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mc:AlternateContent xmlns:mc="http://schemas.openxmlformats.org/markup-compatibility/2006">
    <mc:Choice Requires="x15">
      <x15ac:absPath xmlns:x15ac="http://schemas.microsoft.com/office/spreadsheetml/2010/11/ac" url="/Users/adapar/Stats/MICARE/FondoEsperanza/data/src/"/>
    </mc:Choice>
  </mc:AlternateContent>
  <xr:revisionPtr revIDLastSave="0" documentId="13_ncr:1_{F6D50CA5-885E-0242-9155-975B547FABB4}" xr6:coauthVersionLast="47" xr6:coauthVersionMax="47" xr10:uidLastSave="{00000000-0000-0000-0000-000000000000}"/>
  <bookViews>
    <workbookView xWindow="0" yWindow="500" windowWidth="38400" windowHeight="21100" xr2:uid="{00000000-000D-0000-FFFF-FFFF00000000}"/>
  </bookViews>
  <sheets>
    <sheet name="Form Responses" sheetId="1" r:id="rId1"/>
    <sheet name="variables_limpias" sheetId="2" r:id="rId2"/>
    <sheet name="variables_control" sheetId="3" r:id="rId3"/>
    <sheet name="vars_stata" sheetId="4" r:id="rId4"/>
    <sheet name="Base Editada" sheetId="5" r:id="rId5"/>
    <sheet name="Base Corregida" sheetId="6" r:id="rId6"/>
  </sheets>
  <definedNames>
    <definedName name="_xlnm._FilterDatabase" localSheetId="5" hidden="1">'Base Corregida'!$A$2:$AA$504</definedName>
    <definedName name="_xlnm._FilterDatabase" localSheetId="4" hidden="1">'Base Editada'!$A$1:$AA$503</definedName>
    <definedName name="_xlnm._FilterDatabase" localSheetId="0" hidden="1">'Form Responses'!$AJ$1:$AJ$599</definedName>
    <definedName name="_xlnm._FilterDatabase" localSheetId="2" hidden="1">variables_control!$A$1:$S$503</definedName>
    <definedName name="_xlnm._FilterDatabase" localSheetId="3" hidden="1">vars_stata!$C$1:$AB$503</definedName>
    <definedName name="bf">'Form Responses'!$C$17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03" i="3" l="1"/>
  <c r="L503" i="3"/>
  <c r="J503" i="3"/>
  <c r="H503" i="3"/>
  <c r="F503" i="3"/>
  <c r="D503" i="3"/>
  <c r="B503" i="3"/>
  <c r="O502" i="3"/>
  <c r="L502" i="3"/>
  <c r="J502" i="3"/>
  <c r="H502" i="3"/>
  <c r="F502" i="3"/>
  <c r="D502" i="3"/>
  <c r="B502" i="3"/>
  <c r="O501" i="3"/>
  <c r="L501" i="3"/>
  <c r="J501" i="3"/>
  <c r="H501" i="3"/>
  <c r="F501" i="3"/>
  <c r="D501" i="3"/>
  <c r="B501" i="3"/>
  <c r="O500" i="3"/>
  <c r="L500" i="3"/>
  <c r="J500" i="3"/>
  <c r="H500" i="3"/>
  <c r="F500" i="3"/>
  <c r="D500" i="3"/>
  <c r="B500" i="3"/>
  <c r="O499" i="3"/>
  <c r="L499" i="3"/>
  <c r="J499" i="3"/>
  <c r="H499" i="3"/>
  <c r="F499" i="3"/>
  <c r="D499" i="3"/>
  <c r="B499" i="3"/>
  <c r="O498" i="3"/>
  <c r="L498" i="3"/>
  <c r="J498" i="3"/>
  <c r="H498" i="3"/>
  <c r="F498" i="3"/>
  <c r="D498" i="3"/>
  <c r="B498" i="3"/>
  <c r="O497" i="3"/>
  <c r="L497" i="3"/>
  <c r="J497" i="3"/>
  <c r="H497" i="3"/>
  <c r="F497" i="3"/>
  <c r="D497" i="3"/>
  <c r="B497" i="3"/>
  <c r="O496" i="3"/>
  <c r="L496" i="3"/>
  <c r="J496" i="3"/>
  <c r="H496" i="3"/>
  <c r="F496" i="3"/>
  <c r="D496" i="3"/>
  <c r="B496" i="3"/>
  <c r="O495" i="3"/>
  <c r="L495" i="3"/>
  <c r="J495" i="3"/>
  <c r="H495" i="3"/>
  <c r="F495" i="3"/>
  <c r="D495" i="3"/>
  <c r="B495" i="3"/>
  <c r="O494" i="3"/>
  <c r="L494" i="3"/>
  <c r="J494" i="3"/>
  <c r="H494" i="3"/>
  <c r="F494" i="3"/>
  <c r="D494" i="3"/>
  <c r="B494" i="3"/>
  <c r="O493" i="3"/>
  <c r="L493" i="3"/>
  <c r="J493" i="3"/>
  <c r="H493" i="3"/>
  <c r="F493" i="3"/>
  <c r="D493" i="3"/>
  <c r="B493" i="3"/>
  <c r="O492" i="3"/>
  <c r="L492" i="3"/>
  <c r="J492" i="3"/>
  <c r="H492" i="3"/>
  <c r="F492" i="3"/>
  <c r="D492" i="3"/>
  <c r="B492" i="3"/>
  <c r="O491" i="3"/>
  <c r="L491" i="3"/>
  <c r="J491" i="3"/>
  <c r="H491" i="3"/>
  <c r="F491" i="3"/>
  <c r="D491" i="3"/>
  <c r="B491" i="3"/>
  <c r="O490" i="3"/>
  <c r="L490" i="3"/>
  <c r="J490" i="3"/>
  <c r="H490" i="3"/>
  <c r="F490" i="3"/>
  <c r="D490" i="3"/>
  <c r="B490" i="3"/>
  <c r="O489" i="3"/>
  <c r="L489" i="3"/>
  <c r="J489" i="3"/>
  <c r="H489" i="3"/>
  <c r="F489" i="3"/>
  <c r="D489" i="3"/>
  <c r="B489" i="3"/>
  <c r="O488" i="3"/>
  <c r="L488" i="3"/>
  <c r="J488" i="3"/>
  <c r="H488" i="3"/>
  <c r="F488" i="3"/>
  <c r="D488" i="3"/>
  <c r="B488" i="3"/>
  <c r="O487" i="3"/>
  <c r="L487" i="3"/>
  <c r="J487" i="3"/>
  <c r="H487" i="3"/>
  <c r="F487" i="3"/>
  <c r="D487" i="3"/>
  <c r="B487" i="3"/>
  <c r="O486" i="3"/>
  <c r="L486" i="3"/>
  <c r="J486" i="3"/>
  <c r="H486" i="3"/>
  <c r="F486" i="3"/>
  <c r="D486" i="3"/>
  <c r="B486" i="3"/>
  <c r="O485" i="3"/>
  <c r="L485" i="3"/>
  <c r="J485" i="3"/>
  <c r="H485" i="3"/>
  <c r="F485" i="3"/>
  <c r="D485" i="3"/>
  <c r="B485" i="3"/>
  <c r="O484" i="3"/>
  <c r="L484" i="3"/>
  <c r="J484" i="3"/>
  <c r="H484" i="3"/>
  <c r="F484" i="3"/>
  <c r="D484" i="3"/>
  <c r="B484" i="3"/>
  <c r="O483" i="3"/>
  <c r="L483" i="3"/>
  <c r="J483" i="3"/>
  <c r="H483" i="3"/>
  <c r="F483" i="3"/>
  <c r="D483" i="3"/>
  <c r="B483" i="3"/>
  <c r="O482" i="3"/>
  <c r="L482" i="3"/>
  <c r="J482" i="3"/>
  <c r="H482" i="3"/>
  <c r="F482" i="3"/>
  <c r="D482" i="3"/>
  <c r="B482" i="3"/>
  <c r="O481" i="3"/>
  <c r="L481" i="3"/>
  <c r="J481" i="3"/>
  <c r="H481" i="3"/>
  <c r="F481" i="3"/>
  <c r="D481" i="3"/>
  <c r="B481" i="3"/>
  <c r="O480" i="3"/>
  <c r="L480" i="3"/>
  <c r="J480" i="3"/>
  <c r="H480" i="3"/>
  <c r="F480" i="3"/>
  <c r="D480" i="3"/>
  <c r="B480" i="3"/>
  <c r="O479" i="3"/>
  <c r="L479" i="3"/>
  <c r="J479" i="3"/>
  <c r="H479" i="3"/>
  <c r="F479" i="3"/>
  <c r="D479" i="3"/>
  <c r="B479" i="3"/>
  <c r="O478" i="3"/>
  <c r="L478" i="3"/>
  <c r="J478" i="3"/>
  <c r="H478" i="3"/>
  <c r="F478" i="3"/>
  <c r="D478" i="3"/>
  <c r="B478" i="3"/>
  <c r="O477" i="3"/>
  <c r="L477" i="3"/>
  <c r="J477" i="3"/>
  <c r="H477" i="3"/>
  <c r="F477" i="3"/>
  <c r="D477" i="3"/>
  <c r="B477" i="3"/>
  <c r="O476" i="3"/>
  <c r="L476" i="3"/>
  <c r="J476" i="3"/>
  <c r="H476" i="3"/>
  <c r="F476" i="3"/>
  <c r="D476" i="3"/>
  <c r="B476" i="3"/>
  <c r="O475" i="3"/>
  <c r="L475" i="3"/>
  <c r="J475" i="3"/>
  <c r="H475" i="3"/>
  <c r="F475" i="3"/>
  <c r="D475" i="3"/>
  <c r="B475" i="3"/>
  <c r="O474" i="3"/>
  <c r="L474" i="3"/>
  <c r="J474" i="3"/>
  <c r="H474" i="3"/>
  <c r="F474" i="3"/>
  <c r="D474" i="3"/>
  <c r="B474" i="3"/>
  <c r="O473" i="3"/>
  <c r="L473" i="3"/>
  <c r="J473" i="3"/>
  <c r="H473" i="3"/>
  <c r="F473" i="3"/>
  <c r="D473" i="3"/>
  <c r="B473" i="3"/>
  <c r="O472" i="3"/>
  <c r="L472" i="3"/>
  <c r="J472" i="3"/>
  <c r="H472" i="3"/>
  <c r="F472" i="3"/>
  <c r="D472" i="3"/>
  <c r="B472" i="3"/>
  <c r="O471" i="3"/>
  <c r="L471" i="3"/>
  <c r="J471" i="3"/>
  <c r="H471" i="3"/>
  <c r="F471" i="3"/>
  <c r="D471" i="3"/>
  <c r="B471" i="3"/>
  <c r="O470" i="3"/>
  <c r="L470" i="3"/>
  <c r="J470" i="3"/>
  <c r="H470" i="3"/>
  <c r="F470" i="3"/>
  <c r="D470" i="3"/>
  <c r="B470" i="3"/>
  <c r="O469" i="3"/>
  <c r="L469" i="3"/>
  <c r="J469" i="3"/>
  <c r="H469" i="3"/>
  <c r="F469" i="3"/>
  <c r="D469" i="3"/>
  <c r="B469" i="3"/>
  <c r="O468" i="3"/>
  <c r="L468" i="3"/>
  <c r="J468" i="3"/>
  <c r="H468" i="3"/>
  <c r="F468" i="3"/>
  <c r="D468" i="3"/>
  <c r="B468" i="3"/>
  <c r="O467" i="3"/>
  <c r="L467" i="3"/>
  <c r="J467" i="3"/>
  <c r="H467" i="3"/>
  <c r="F467" i="3"/>
  <c r="D467" i="3"/>
  <c r="B467" i="3"/>
  <c r="O466" i="3"/>
  <c r="L466" i="3"/>
  <c r="J466" i="3"/>
  <c r="H466" i="3"/>
  <c r="F466" i="3"/>
  <c r="D466" i="3"/>
  <c r="B466" i="3"/>
  <c r="O465" i="3"/>
  <c r="L465" i="3"/>
  <c r="J465" i="3"/>
  <c r="H465" i="3"/>
  <c r="F465" i="3"/>
  <c r="D465" i="3"/>
  <c r="B465" i="3"/>
  <c r="O464" i="3"/>
  <c r="L464" i="3"/>
  <c r="J464" i="3"/>
  <c r="H464" i="3"/>
  <c r="F464" i="3"/>
  <c r="D464" i="3"/>
  <c r="B464" i="3"/>
  <c r="O463" i="3"/>
  <c r="L463" i="3"/>
  <c r="J463" i="3"/>
  <c r="H463" i="3"/>
  <c r="F463" i="3"/>
  <c r="D463" i="3"/>
  <c r="B463" i="3"/>
  <c r="O462" i="3"/>
  <c r="L462" i="3"/>
  <c r="J462" i="3"/>
  <c r="H462" i="3"/>
  <c r="F462" i="3"/>
  <c r="D462" i="3"/>
  <c r="B462" i="3"/>
  <c r="O461" i="3"/>
  <c r="L461" i="3"/>
  <c r="J461" i="3"/>
  <c r="H461" i="3"/>
  <c r="F461" i="3"/>
  <c r="D461" i="3"/>
  <c r="B461" i="3"/>
  <c r="O460" i="3"/>
  <c r="L460" i="3"/>
  <c r="J460" i="3"/>
  <c r="H460" i="3"/>
  <c r="F460" i="3"/>
  <c r="D460" i="3"/>
  <c r="B460" i="3"/>
  <c r="O459" i="3"/>
  <c r="L459" i="3"/>
  <c r="J459" i="3"/>
  <c r="H459" i="3"/>
  <c r="F459" i="3"/>
  <c r="D459" i="3"/>
  <c r="B459" i="3"/>
  <c r="O458" i="3"/>
  <c r="L458" i="3"/>
  <c r="J458" i="3"/>
  <c r="H458" i="3"/>
  <c r="F458" i="3"/>
  <c r="D458" i="3"/>
  <c r="B458" i="3"/>
  <c r="O457" i="3"/>
  <c r="L457" i="3"/>
  <c r="J457" i="3"/>
  <c r="H457" i="3"/>
  <c r="F457" i="3"/>
  <c r="D457" i="3"/>
  <c r="B457" i="3"/>
  <c r="O456" i="3"/>
  <c r="L456" i="3"/>
  <c r="J456" i="3"/>
  <c r="H456" i="3"/>
  <c r="F456" i="3"/>
  <c r="D456" i="3"/>
  <c r="B456" i="3"/>
  <c r="O455" i="3"/>
  <c r="L455" i="3"/>
  <c r="J455" i="3"/>
  <c r="H455" i="3"/>
  <c r="F455" i="3"/>
  <c r="D455" i="3"/>
  <c r="B455" i="3"/>
  <c r="O454" i="3"/>
  <c r="L454" i="3"/>
  <c r="J454" i="3"/>
  <c r="H454" i="3"/>
  <c r="F454" i="3"/>
  <c r="D454" i="3"/>
  <c r="B454" i="3"/>
  <c r="O453" i="3"/>
  <c r="L453" i="3"/>
  <c r="J453" i="3"/>
  <c r="H453" i="3"/>
  <c r="F453" i="3"/>
  <c r="D453" i="3"/>
  <c r="B453" i="3"/>
  <c r="O452" i="3"/>
  <c r="L452" i="3"/>
  <c r="J452" i="3"/>
  <c r="H452" i="3"/>
  <c r="F452" i="3"/>
  <c r="D452" i="3"/>
  <c r="B452" i="3"/>
  <c r="O451" i="3"/>
  <c r="L451" i="3"/>
  <c r="J451" i="3"/>
  <c r="H451" i="3"/>
  <c r="F451" i="3"/>
  <c r="D451" i="3"/>
  <c r="B451" i="3"/>
  <c r="O450" i="3"/>
  <c r="L450" i="3"/>
  <c r="J450" i="3"/>
  <c r="H450" i="3"/>
  <c r="F450" i="3"/>
  <c r="D450" i="3"/>
  <c r="B450" i="3"/>
  <c r="O449" i="3"/>
  <c r="L449" i="3"/>
  <c r="J449" i="3"/>
  <c r="H449" i="3"/>
  <c r="F449" i="3"/>
  <c r="D449" i="3"/>
  <c r="B449" i="3"/>
  <c r="O448" i="3"/>
  <c r="L448" i="3"/>
  <c r="J448" i="3"/>
  <c r="H448" i="3"/>
  <c r="F448" i="3"/>
  <c r="D448" i="3"/>
  <c r="B448" i="3"/>
  <c r="O447" i="3"/>
  <c r="L447" i="3"/>
  <c r="J447" i="3"/>
  <c r="H447" i="3"/>
  <c r="F447" i="3"/>
  <c r="D447" i="3"/>
  <c r="B447" i="3"/>
  <c r="O446" i="3"/>
  <c r="L446" i="3"/>
  <c r="J446" i="3"/>
  <c r="H446" i="3"/>
  <c r="F446" i="3"/>
  <c r="D446" i="3"/>
  <c r="B446" i="3"/>
  <c r="O445" i="3"/>
  <c r="L445" i="3"/>
  <c r="J445" i="3"/>
  <c r="H445" i="3"/>
  <c r="F445" i="3"/>
  <c r="D445" i="3"/>
  <c r="B445" i="3"/>
  <c r="O444" i="3"/>
  <c r="L444" i="3"/>
  <c r="J444" i="3"/>
  <c r="H444" i="3"/>
  <c r="F444" i="3"/>
  <c r="D444" i="3"/>
  <c r="B444" i="3"/>
  <c r="O443" i="3"/>
  <c r="L443" i="3"/>
  <c r="J443" i="3"/>
  <c r="H443" i="3"/>
  <c r="F443" i="3"/>
  <c r="D443" i="3"/>
  <c r="B443" i="3"/>
  <c r="O442" i="3"/>
  <c r="L442" i="3"/>
  <c r="J442" i="3"/>
  <c r="H442" i="3"/>
  <c r="F442" i="3"/>
  <c r="D442" i="3"/>
  <c r="B442" i="3"/>
  <c r="O441" i="3"/>
  <c r="L441" i="3"/>
  <c r="J441" i="3"/>
  <c r="H441" i="3"/>
  <c r="F441" i="3"/>
  <c r="D441" i="3"/>
  <c r="B441" i="3"/>
  <c r="O440" i="3"/>
  <c r="L440" i="3"/>
  <c r="J440" i="3"/>
  <c r="H440" i="3"/>
  <c r="F440" i="3"/>
  <c r="D440" i="3"/>
  <c r="B440" i="3"/>
  <c r="O439" i="3"/>
  <c r="L439" i="3"/>
  <c r="J439" i="3"/>
  <c r="H439" i="3"/>
  <c r="F439" i="3"/>
  <c r="D439" i="3"/>
  <c r="B439" i="3"/>
  <c r="O438" i="3"/>
  <c r="L438" i="3"/>
  <c r="J438" i="3"/>
  <c r="H438" i="3"/>
  <c r="F438" i="3"/>
  <c r="D438" i="3"/>
  <c r="B438" i="3"/>
  <c r="O437" i="3"/>
  <c r="L437" i="3"/>
  <c r="J437" i="3"/>
  <c r="H437" i="3"/>
  <c r="F437" i="3"/>
  <c r="D437" i="3"/>
  <c r="B437" i="3"/>
  <c r="O436" i="3"/>
  <c r="L436" i="3"/>
  <c r="J436" i="3"/>
  <c r="H436" i="3"/>
  <c r="F436" i="3"/>
  <c r="D436" i="3"/>
  <c r="B436" i="3"/>
  <c r="O435" i="3"/>
  <c r="L435" i="3"/>
  <c r="J435" i="3"/>
  <c r="H435" i="3"/>
  <c r="F435" i="3"/>
  <c r="D435" i="3"/>
  <c r="B435" i="3"/>
  <c r="O434" i="3"/>
  <c r="L434" i="3"/>
  <c r="J434" i="3"/>
  <c r="H434" i="3"/>
  <c r="F434" i="3"/>
  <c r="D434" i="3"/>
  <c r="B434" i="3"/>
  <c r="O433" i="3"/>
  <c r="L433" i="3"/>
  <c r="J433" i="3"/>
  <c r="H433" i="3"/>
  <c r="F433" i="3"/>
  <c r="D433" i="3"/>
  <c r="B433" i="3"/>
  <c r="O432" i="3"/>
  <c r="L432" i="3"/>
  <c r="J432" i="3"/>
  <c r="H432" i="3"/>
  <c r="F432" i="3"/>
  <c r="D432" i="3"/>
  <c r="B432" i="3"/>
  <c r="O431" i="3"/>
  <c r="L431" i="3"/>
  <c r="J431" i="3"/>
  <c r="H431" i="3"/>
  <c r="F431" i="3"/>
  <c r="D431" i="3"/>
  <c r="B431" i="3"/>
  <c r="O430" i="3"/>
  <c r="L430" i="3"/>
  <c r="J430" i="3"/>
  <c r="H430" i="3"/>
  <c r="F430" i="3"/>
  <c r="D430" i="3"/>
  <c r="B430" i="3"/>
  <c r="O429" i="3"/>
  <c r="L429" i="3"/>
  <c r="J429" i="3"/>
  <c r="H429" i="3"/>
  <c r="F429" i="3"/>
  <c r="D429" i="3"/>
  <c r="B429" i="3"/>
  <c r="O428" i="3"/>
  <c r="L428" i="3"/>
  <c r="J428" i="3"/>
  <c r="H428" i="3"/>
  <c r="F428" i="3"/>
  <c r="D428" i="3"/>
  <c r="B428" i="3"/>
  <c r="O427" i="3"/>
  <c r="L427" i="3"/>
  <c r="J427" i="3"/>
  <c r="H427" i="3"/>
  <c r="F427" i="3"/>
  <c r="D427" i="3"/>
  <c r="B427" i="3"/>
  <c r="O426" i="3"/>
  <c r="L426" i="3"/>
  <c r="J426" i="3"/>
  <c r="H426" i="3"/>
  <c r="F426" i="3"/>
  <c r="D426" i="3"/>
  <c r="B426" i="3"/>
  <c r="O425" i="3"/>
  <c r="L425" i="3"/>
  <c r="J425" i="3"/>
  <c r="H425" i="3"/>
  <c r="F425" i="3"/>
  <c r="D425" i="3"/>
  <c r="B425" i="3"/>
  <c r="O424" i="3"/>
  <c r="L424" i="3"/>
  <c r="J424" i="3"/>
  <c r="H424" i="3"/>
  <c r="F424" i="3"/>
  <c r="D424" i="3"/>
  <c r="B424" i="3"/>
  <c r="O423" i="3"/>
  <c r="L423" i="3"/>
  <c r="J423" i="3"/>
  <c r="H423" i="3"/>
  <c r="F423" i="3"/>
  <c r="D423" i="3"/>
  <c r="B423" i="3"/>
  <c r="O422" i="3"/>
  <c r="L422" i="3"/>
  <c r="J422" i="3"/>
  <c r="H422" i="3"/>
  <c r="F422" i="3"/>
  <c r="D422" i="3"/>
  <c r="B422" i="3"/>
  <c r="O421" i="3"/>
  <c r="L421" i="3"/>
  <c r="J421" i="3"/>
  <c r="H421" i="3"/>
  <c r="F421" i="3"/>
  <c r="D421" i="3"/>
  <c r="B421" i="3"/>
  <c r="O420" i="3"/>
  <c r="L420" i="3"/>
  <c r="J420" i="3"/>
  <c r="H420" i="3"/>
  <c r="F420" i="3"/>
  <c r="D420" i="3"/>
  <c r="B420" i="3"/>
  <c r="O419" i="3"/>
  <c r="L419" i="3"/>
  <c r="J419" i="3"/>
  <c r="H419" i="3"/>
  <c r="F419" i="3"/>
  <c r="D419" i="3"/>
  <c r="B419" i="3"/>
  <c r="O418" i="3"/>
  <c r="L418" i="3"/>
  <c r="J418" i="3"/>
  <c r="H418" i="3"/>
  <c r="F418" i="3"/>
  <c r="D418" i="3"/>
  <c r="B418" i="3"/>
  <c r="O417" i="3"/>
  <c r="L417" i="3"/>
  <c r="J417" i="3"/>
  <c r="H417" i="3"/>
  <c r="F417" i="3"/>
  <c r="D417" i="3"/>
  <c r="B417" i="3"/>
  <c r="O416" i="3"/>
  <c r="L416" i="3"/>
  <c r="J416" i="3"/>
  <c r="H416" i="3"/>
  <c r="F416" i="3"/>
  <c r="D416" i="3"/>
  <c r="B416" i="3"/>
  <c r="O415" i="3"/>
  <c r="L415" i="3"/>
  <c r="J415" i="3"/>
  <c r="H415" i="3"/>
  <c r="F415" i="3"/>
  <c r="D415" i="3"/>
  <c r="B415" i="3"/>
  <c r="O414" i="3"/>
  <c r="L414" i="3"/>
  <c r="J414" i="3"/>
  <c r="H414" i="3"/>
  <c r="F414" i="3"/>
  <c r="D414" i="3"/>
  <c r="B414" i="3"/>
  <c r="O413" i="3"/>
  <c r="L413" i="3"/>
  <c r="J413" i="3"/>
  <c r="H413" i="3"/>
  <c r="F413" i="3"/>
  <c r="D413" i="3"/>
  <c r="B413" i="3"/>
  <c r="O412" i="3"/>
  <c r="L412" i="3"/>
  <c r="J412" i="3"/>
  <c r="H412" i="3"/>
  <c r="F412" i="3"/>
  <c r="D412" i="3"/>
  <c r="B412" i="3"/>
  <c r="O411" i="3"/>
  <c r="L411" i="3"/>
  <c r="J411" i="3"/>
  <c r="H411" i="3"/>
  <c r="F411" i="3"/>
  <c r="D411" i="3"/>
  <c r="B411" i="3"/>
  <c r="O410" i="3"/>
  <c r="L410" i="3"/>
  <c r="J410" i="3"/>
  <c r="H410" i="3"/>
  <c r="F410" i="3"/>
  <c r="D410" i="3"/>
  <c r="B410" i="3"/>
  <c r="O409" i="3"/>
  <c r="L409" i="3"/>
  <c r="J409" i="3"/>
  <c r="H409" i="3"/>
  <c r="F409" i="3"/>
  <c r="D409" i="3"/>
  <c r="B409" i="3"/>
  <c r="O408" i="3"/>
  <c r="L408" i="3"/>
  <c r="J408" i="3"/>
  <c r="H408" i="3"/>
  <c r="F408" i="3"/>
  <c r="D408" i="3"/>
  <c r="B408" i="3"/>
  <c r="O407" i="3"/>
  <c r="L407" i="3"/>
  <c r="J407" i="3"/>
  <c r="H407" i="3"/>
  <c r="F407" i="3"/>
  <c r="D407" i="3"/>
  <c r="B407" i="3"/>
  <c r="O406" i="3"/>
  <c r="L406" i="3"/>
  <c r="J406" i="3"/>
  <c r="H406" i="3"/>
  <c r="F406" i="3"/>
  <c r="D406" i="3"/>
  <c r="B406" i="3"/>
  <c r="O405" i="3"/>
  <c r="L405" i="3"/>
  <c r="J405" i="3"/>
  <c r="H405" i="3"/>
  <c r="F405" i="3"/>
  <c r="D405" i="3"/>
  <c r="B405" i="3"/>
  <c r="O404" i="3"/>
  <c r="L404" i="3"/>
  <c r="J404" i="3"/>
  <c r="H404" i="3"/>
  <c r="F404" i="3"/>
  <c r="D404" i="3"/>
  <c r="B404" i="3"/>
  <c r="O403" i="3"/>
  <c r="L403" i="3"/>
  <c r="J403" i="3"/>
  <c r="H403" i="3"/>
  <c r="F403" i="3"/>
  <c r="D403" i="3"/>
  <c r="B403" i="3"/>
  <c r="O402" i="3"/>
  <c r="L402" i="3"/>
  <c r="J402" i="3"/>
  <c r="H402" i="3"/>
  <c r="F402" i="3"/>
  <c r="D402" i="3"/>
  <c r="B402" i="3"/>
  <c r="O401" i="3"/>
  <c r="L401" i="3"/>
  <c r="J401" i="3"/>
  <c r="H401" i="3"/>
  <c r="F401" i="3"/>
  <c r="D401" i="3"/>
  <c r="B401" i="3"/>
  <c r="O400" i="3"/>
  <c r="L400" i="3"/>
  <c r="J400" i="3"/>
  <c r="H400" i="3"/>
  <c r="F400" i="3"/>
  <c r="D400" i="3"/>
  <c r="B400" i="3"/>
  <c r="O399" i="3"/>
  <c r="L399" i="3"/>
  <c r="J399" i="3"/>
  <c r="H399" i="3"/>
  <c r="F399" i="3"/>
  <c r="D399" i="3"/>
  <c r="B399" i="3"/>
  <c r="O398" i="3"/>
  <c r="L398" i="3"/>
  <c r="J398" i="3"/>
  <c r="H398" i="3"/>
  <c r="F398" i="3"/>
  <c r="D398" i="3"/>
  <c r="B398" i="3"/>
  <c r="O397" i="3"/>
  <c r="L397" i="3"/>
  <c r="J397" i="3"/>
  <c r="H397" i="3"/>
  <c r="F397" i="3"/>
  <c r="D397" i="3"/>
  <c r="B397" i="3"/>
  <c r="O396" i="3"/>
  <c r="L396" i="3"/>
  <c r="J396" i="3"/>
  <c r="H396" i="3"/>
  <c r="F396" i="3"/>
  <c r="D396" i="3"/>
  <c r="B396" i="3"/>
  <c r="O395" i="3"/>
  <c r="L395" i="3"/>
  <c r="J395" i="3"/>
  <c r="H395" i="3"/>
  <c r="F395" i="3"/>
  <c r="D395" i="3"/>
  <c r="B395" i="3"/>
  <c r="O394" i="3"/>
  <c r="L394" i="3"/>
  <c r="J394" i="3"/>
  <c r="H394" i="3"/>
  <c r="F394" i="3"/>
  <c r="D394" i="3"/>
  <c r="B394" i="3"/>
  <c r="O393" i="3"/>
  <c r="L393" i="3"/>
  <c r="J393" i="3"/>
  <c r="H393" i="3"/>
  <c r="F393" i="3"/>
  <c r="D393" i="3"/>
  <c r="B393" i="3"/>
  <c r="O392" i="3"/>
  <c r="L392" i="3"/>
  <c r="J392" i="3"/>
  <c r="H392" i="3"/>
  <c r="F392" i="3"/>
  <c r="D392" i="3"/>
  <c r="B392" i="3"/>
  <c r="O391" i="3"/>
  <c r="L391" i="3"/>
  <c r="J391" i="3"/>
  <c r="H391" i="3"/>
  <c r="F391" i="3"/>
  <c r="D391" i="3"/>
  <c r="B391" i="3"/>
  <c r="O390" i="3"/>
  <c r="L390" i="3"/>
  <c r="J390" i="3"/>
  <c r="H390" i="3"/>
  <c r="F390" i="3"/>
  <c r="D390" i="3"/>
  <c r="B390" i="3"/>
  <c r="O389" i="3"/>
  <c r="L389" i="3"/>
  <c r="J389" i="3"/>
  <c r="H389" i="3"/>
  <c r="F389" i="3"/>
  <c r="D389" i="3"/>
  <c r="B389" i="3"/>
  <c r="O388" i="3"/>
  <c r="L388" i="3"/>
  <c r="J388" i="3"/>
  <c r="H388" i="3"/>
  <c r="F388" i="3"/>
  <c r="D388" i="3"/>
  <c r="B388" i="3"/>
  <c r="O387" i="3"/>
  <c r="L387" i="3"/>
  <c r="J387" i="3"/>
  <c r="H387" i="3"/>
  <c r="F387" i="3"/>
  <c r="D387" i="3"/>
  <c r="B387" i="3"/>
  <c r="O386" i="3"/>
  <c r="L386" i="3"/>
  <c r="J386" i="3"/>
  <c r="H386" i="3"/>
  <c r="F386" i="3"/>
  <c r="D386" i="3"/>
  <c r="B386" i="3"/>
  <c r="O385" i="3"/>
  <c r="L385" i="3"/>
  <c r="J385" i="3"/>
  <c r="H385" i="3"/>
  <c r="F385" i="3"/>
  <c r="D385" i="3"/>
  <c r="B385" i="3"/>
  <c r="O384" i="3"/>
  <c r="L384" i="3"/>
  <c r="J384" i="3"/>
  <c r="H384" i="3"/>
  <c r="F384" i="3"/>
  <c r="D384" i="3"/>
  <c r="B384" i="3"/>
  <c r="O383" i="3"/>
  <c r="L383" i="3"/>
  <c r="J383" i="3"/>
  <c r="H383" i="3"/>
  <c r="F383" i="3"/>
  <c r="D383" i="3"/>
  <c r="B383" i="3"/>
  <c r="O382" i="3"/>
  <c r="L382" i="3"/>
  <c r="J382" i="3"/>
  <c r="H382" i="3"/>
  <c r="F382" i="3"/>
  <c r="D382" i="3"/>
  <c r="B382" i="3"/>
  <c r="O381" i="3"/>
  <c r="L381" i="3"/>
  <c r="J381" i="3"/>
  <c r="H381" i="3"/>
  <c r="F381" i="3"/>
  <c r="D381" i="3"/>
  <c r="B381" i="3"/>
  <c r="O380" i="3"/>
  <c r="L380" i="3"/>
  <c r="J380" i="3"/>
  <c r="H380" i="3"/>
  <c r="F380" i="3"/>
  <c r="D380" i="3"/>
  <c r="B380" i="3"/>
  <c r="O379" i="3"/>
  <c r="L379" i="3"/>
  <c r="J379" i="3"/>
  <c r="H379" i="3"/>
  <c r="F379" i="3"/>
  <c r="D379" i="3"/>
  <c r="B379" i="3"/>
  <c r="O378" i="3"/>
  <c r="L378" i="3"/>
  <c r="J378" i="3"/>
  <c r="H378" i="3"/>
  <c r="F378" i="3"/>
  <c r="D378" i="3"/>
  <c r="B378" i="3"/>
  <c r="O377" i="3"/>
  <c r="L377" i="3"/>
  <c r="J377" i="3"/>
  <c r="H377" i="3"/>
  <c r="F377" i="3"/>
  <c r="D377" i="3"/>
  <c r="B377" i="3"/>
  <c r="O376" i="3"/>
  <c r="L376" i="3"/>
  <c r="J376" i="3"/>
  <c r="H376" i="3"/>
  <c r="F376" i="3"/>
  <c r="D376" i="3"/>
  <c r="B376" i="3"/>
  <c r="O375" i="3"/>
  <c r="L375" i="3"/>
  <c r="J375" i="3"/>
  <c r="H375" i="3"/>
  <c r="F375" i="3"/>
  <c r="D375" i="3"/>
  <c r="B375" i="3"/>
  <c r="O374" i="3"/>
  <c r="L374" i="3"/>
  <c r="J374" i="3"/>
  <c r="H374" i="3"/>
  <c r="F374" i="3"/>
  <c r="D374" i="3"/>
  <c r="B374" i="3"/>
  <c r="O373" i="3"/>
  <c r="L373" i="3"/>
  <c r="J373" i="3"/>
  <c r="H373" i="3"/>
  <c r="F373" i="3"/>
  <c r="D373" i="3"/>
  <c r="B373" i="3"/>
  <c r="O372" i="3"/>
  <c r="L372" i="3"/>
  <c r="J372" i="3"/>
  <c r="H372" i="3"/>
  <c r="F372" i="3"/>
  <c r="D372" i="3"/>
  <c r="B372" i="3"/>
  <c r="O371" i="3"/>
  <c r="L371" i="3"/>
  <c r="J371" i="3"/>
  <c r="H371" i="3"/>
  <c r="F371" i="3"/>
  <c r="D371" i="3"/>
  <c r="B371" i="3"/>
  <c r="O370" i="3"/>
  <c r="L370" i="3"/>
  <c r="J370" i="3"/>
  <c r="H370" i="3"/>
  <c r="F370" i="3"/>
  <c r="D370" i="3"/>
  <c r="B370" i="3"/>
  <c r="O369" i="3"/>
  <c r="L369" i="3"/>
  <c r="J369" i="3"/>
  <c r="H369" i="3"/>
  <c r="F369" i="3"/>
  <c r="D369" i="3"/>
  <c r="B369" i="3"/>
  <c r="O368" i="3"/>
  <c r="L368" i="3"/>
  <c r="J368" i="3"/>
  <c r="H368" i="3"/>
  <c r="F368" i="3"/>
  <c r="D368" i="3"/>
  <c r="B368" i="3"/>
  <c r="O367" i="3"/>
  <c r="L367" i="3"/>
  <c r="J367" i="3"/>
  <c r="H367" i="3"/>
  <c r="F367" i="3"/>
  <c r="D367" i="3"/>
  <c r="B367" i="3"/>
  <c r="O366" i="3"/>
  <c r="L366" i="3"/>
  <c r="J366" i="3"/>
  <c r="H366" i="3"/>
  <c r="F366" i="3"/>
  <c r="D366" i="3"/>
  <c r="B366" i="3"/>
  <c r="O365" i="3"/>
  <c r="L365" i="3"/>
  <c r="J365" i="3"/>
  <c r="H365" i="3"/>
  <c r="F365" i="3"/>
  <c r="D365" i="3"/>
  <c r="B365" i="3"/>
  <c r="O364" i="3"/>
  <c r="L364" i="3"/>
  <c r="J364" i="3"/>
  <c r="H364" i="3"/>
  <c r="F364" i="3"/>
  <c r="D364" i="3"/>
  <c r="B364" i="3"/>
  <c r="O363" i="3"/>
  <c r="L363" i="3"/>
  <c r="J363" i="3"/>
  <c r="H363" i="3"/>
  <c r="F363" i="3"/>
  <c r="D363" i="3"/>
  <c r="B363" i="3"/>
  <c r="O362" i="3"/>
  <c r="L362" i="3"/>
  <c r="J362" i="3"/>
  <c r="H362" i="3"/>
  <c r="F362" i="3"/>
  <c r="D362" i="3"/>
  <c r="B362" i="3"/>
  <c r="O361" i="3"/>
  <c r="L361" i="3"/>
  <c r="J361" i="3"/>
  <c r="H361" i="3"/>
  <c r="F361" i="3"/>
  <c r="D361" i="3"/>
  <c r="B361" i="3"/>
  <c r="O360" i="3"/>
  <c r="L360" i="3"/>
  <c r="J360" i="3"/>
  <c r="H360" i="3"/>
  <c r="F360" i="3"/>
  <c r="D360" i="3"/>
  <c r="B360" i="3"/>
  <c r="O359" i="3"/>
  <c r="L359" i="3"/>
  <c r="J359" i="3"/>
  <c r="H359" i="3"/>
  <c r="F359" i="3"/>
  <c r="D359" i="3"/>
  <c r="B359" i="3"/>
  <c r="O358" i="3"/>
  <c r="L358" i="3"/>
  <c r="J358" i="3"/>
  <c r="H358" i="3"/>
  <c r="F358" i="3"/>
  <c r="D358" i="3"/>
  <c r="B358" i="3"/>
  <c r="O357" i="3"/>
  <c r="L357" i="3"/>
  <c r="J357" i="3"/>
  <c r="H357" i="3"/>
  <c r="F357" i="3"/>
  <c r="D357" i="3"/>
  <c r="B357" i="3"/>
  <c r="O356" i="3"/>
  <c r="L356" i="3"/>
  <c r="J356" i="3"/>
  <c r="H356" i="3"/>
  <c r="F356" i="3"/>
  <c r="D356" i="3"/>
  <c r="B356" i="3"/>
  <c r="O355" i="3"/>
  <c r="L355" i="3"/>
  <c r="J355" i="3"/>
  <c r="H355" i="3"/>
  <c r="F355" i="3"/>
  <c r="D355" i="3"/>
  <c r="B355" i="3"/>
  <c r="O354" i="3"/>
  <c r="L354" i="3"/>
  <c r="J354" i="3"/>
  <c r="H354" i="3"/>
  <c r="F354" i="3"/>
  <c r="D354" i="3"/>
  <c r="B354" i="3"/>
  <c r="O353" i="3"/>
  <c r="L353" i="3"/>
  <c r="J353" i="3"/>
  <c r="H353" i="3"/>
  <c r="F353" i="3"/>
  <c r="D353" i="3"/>
  <c r="B353" i="3"/>
  <c r="O352" i="3"/>
  <c r="L352" i="3"/>
  <c r="J352" i="3"/>
  <c r="H352" i="3"/>
  <c r="F352" i="3"/>
  <c r="D352" i="3"/>
  <c r="B352" i="3"/>
  <c r="O351" i="3"/>
  <c r="L351" i="3"/>
  <c r="J351" i="3"/>
  <c r="H351" i="3"/>
  <c r="F351" i="3"/>
  <c r="D351" i="3"/>
  <c r="B351" i="3"/>
  <c r="O350" i="3"/>
  <c r="L350" i="3"/>
  <c r="J350" i="3"/>
  <c r="H350" i="3"/>
  <c r="F350" i="3"/>
  <c r="D350" i="3"/>
  <c r="B350" i="3"/>
  <c r="O349" i="3"/>
  <c r="L349" i="3"/>
  <c r="J349" i="3"/>
  <c r="H349" i="3"/>
  <c r="F349" i="3"/>
  <c r="D349" i="3"/>
  <c r="B349" i="3"/>
  <c r="O348" i="3"/>
  <c r="L348" i="3"/>
  <c r="J348" i="3"/>
  <c r="H348" i="3"/>
  <c r="F348" i="3"/>
  <c r="D348" i="3"/>
  <c r="B348" i="3"/>
  <c r="O347" i="3"/>
  <c r="L347" i="3"/>
  <c r="J347" i="3"/>
  <c r="H347" i="3"/>
  <c r="F347" i="3"/>
  <c r="D347" i="3"/>
  <c r="B347" i="3"/>
  <c r="O346" i="3"/>
  <c r="L346" i="3"/>
  <c r="J346" i="3"/>
  <c r="H346" i="3"/>
  <c r="F346" i="3"/>
  <c r="D346" i="3"/>
  <c r="B346" i="3"/>
  <c r="O345" i="3"/>
  <c r="L345" i="3"/>
  <c r="J345" i="3"/>
  <c r="H345" i="3"/>
  <c r="F345" i="3"/>
  <c r="D345" i="3"/>
  <c r="B345" i="3"/>
  <c r="O344" i="3"/>
  <c r="L344" i="3"/>
  <c r="J344" i="3"/>
  <c r="H344" i="3"/>
  <c r="F344" i="3"/>
  <c r="D344" i="3"/>
  <c r="B344" i="3"/>
  <c r="O343" i="3"/>
  <c r="L343" i="3"/>
  <c r="J343" i="3"/>
  <c r="H343" i="3"/>
  <c r="F343" i="3"/>
  <c r="D343" i="3"/>
  <c r="B343" i="3"/>
  <c r="O342" i="3"/>
  <c r="L342" i="3"/>
  <c r="J342" i="3"/>
  <c r="H342" i="3"/>
  <c r="F342" i="3"/>
  <c r="D342" i="3"/>
  <c r="B342" i="3"/>
  <c r="O341" i="3"/>
  <c r="L341" i="3"/>
  <c r="J341" i="3"/>
  <c r="H341" i="3"/>
  <c r="F341" i="3"/>
  <c r="D341" i="3"/>
  <c r="B341" i="3"/>
  <c r="O340" i="3"/>
  <c r="L340" i="3"/>
  <c r="J340" i="3"/>
  <c r="H340" i="3"/>
  <c r="F340" i="3"/>
  <c r="D340" i="3"/>
  <c r="B340" i="3"/>
  <c r="O339" i="3"/>
  <c r="L339" i="3"/>
  <c r="J339" i="3"/>
  <c r="H339" i="3"/>
  <c r="F339" i="3"/>
  <c r="D339" i="3"/>
  <c r="B339" i="3"/>
  <c r="O338" i="3"/>
  <c r="L338" i="3"/>
  <c r="J338" i="3"/>
  <c r="H338" i="3"/>
  <c r="F338" i="3"/>
  <c r="D338" i="3"/>
  <c r="B338" i="3"/>
  <c r="O337" i="3"/>
  <c r="L337" i="3"/>
  <c r="J337" i="3"/>
  <c r="H337" i="3"/>
  <c r="F337" i="3"/>
  <c r="D337" i="3"/>
  <c r="B337" i="3"/>
  <c r="O336" i="3"/>
  <c r="L336" i="3"/>
  <c r="J336" i="3"/>
  <c r="H336" i="3"/>
  <c r="F336" i="3"/>
  <c r="D336" i="3"/>
  <c r="B336" i="3"/>
  <c r="O335" i="3"/>
  <c r="L335" i="3"/>
  <c r="J335" i="3"/>
  <c r="H335" i="3"/>
  <c r="F335" i="3"/>
  <c r="D335" i="3"/>
  <c r="B335" i="3"/>
  <c r="O334" i="3"/>
  <c r="L334" i="3"/>
  <c r="J334" i="3"/>
  <c r="H334" i="3"/>
  <c r="F334" i="3"/>
  <c r="D334" i="3"/>
  <c r="B334" i="3"/>
  <c r="O333" i="3"/>
  <c r="L333" i="3"/>
  <c r="J333" i="3"/>
  <c r="H333" i="3"/>
  <c r="F333" i="3"/>
  <c r="D333" i="3"/>
  <c r="B333" i="3"/>
  <c r="O332" i="3"/>
  <c r="L332" i="3"/>
  <c r="J332" i="3"/>
  <c r="H332" i="3"/>
  <c r="F332" i="3"/>
  <c r="D332" i="3"/>
  <c r="B332" i="3"/>
  <c r="O331" i="3"/>
  <c r="L331" i="3"/>
  <c r="J331" i="3"/>
  <c r="H331" i="3"/>
  <c r="F331" i="3"/>
  <c r="D331" i="3"/>
  <c r="B331" i="3"/>
  <c r="O330" i="3"/>
  <c r="L330" i="3"/>
  <c r="J330" i="3"/>
  <c r="H330" i="3"/>
  <c r="F330" i="3"/>
  <c r="D330" i="3"/>
  <c r="B330" i="3"/>
  <c r="O329" i="3"/>
  <c r="L329" i="3"/>
  <c r="J329" i="3"/>
  <c r="H329" i="3"/>
  <c r="F329" i="3"/>
  <c r="D329" i="3"/>
  <c r="B329" i="3"/>
  <c r="O328" i="3"/>
  <c r="L328" i="3"/>
  <c r="J328" i="3"/>
  <c r="H328" i="3"/>
  <c r="F328" i="3"/>
  <c r="D328" i="3"/>
  <c r="B328" i="3"/>
  <c r="O327" i="3"/>
  <c r="L327" i="3"/>
  <c r="J327" i="3"/>
  <c r="H327" i="3"/>
  <c r="F327" i="3"/>
  <c r="D327" i="3"/>
  <c r="B327" i="3"/>
  <c r="O326" i="3"/>
  <c r="L326" i="3"/>
  <c r="J326" i="3"/>
  <c r="H326" i="3"/>
  <c r="F326" i="3"/>
  <c r="D326" i="3"/>
  <c r="B326" i="3"/>
  <c r="O325" i="3"/>
  <c r="L325" i="3"/>
  <c r="J325" i="3"/>
  <c r="H325" i="3"/>
  <c r="F325" i="3"/>
  <c r="D325" i="3"/>
  <c r="B325" i="3"/>
  <c r="O324" i="3"/>
  <c r="L324" i="3"/>
  <c r="J324" i="3"/>
  <c r="H324" i="3"/>
  <c r="F324" i="3"/>
  <c r="D324" i="3"/>
  <c r="B324" i="3"/>
  <c r="O323" i="3"/>
  <c r="L323" i="3"/>
  <c r="J323" i="3"/>
  <c r="H323" i="3"/>
  <c r="F323" i="3"/>
  <c r="D323" i="3"/>
  <c r="B323" i="3"/>
  <c r="O322" i="3"/>
  <c r="L322" i="3"/>
  <c r="J322" i="3"/>
  <c r="H322" i="3"/>
  <c r="F322" i="3"/>
  <c r="D322" i="3"/>
  <c r="B322" i="3"/>
  <c r="O321" i="3"/>
  <c r="L321" i="3"/>
  <c r="J321" i="3"/>
  <c r="H321" i="3"/>
  <c r="F321" i="3"/>
  <c r="D321" i="3"/>
  <c r="B321" i="3"/>
  <c r="O320" i="3"/>
  <c r="L320" i="3"/>
  <c r="J320" i="3"/>
  <c r="H320" i="3"/>
  <c r="F320" i="3"/>
  <c r="D320" i="3"/>
  <c r="B320" i="3"/>
  <c r="O319" i="3"/>
  <c r="L319" i="3"/>
  <c r="J319" i="3"/>
  <c r="H319" i="3"/>
  <c r="F319" i="3"/>
  <c r="D319" i="3"/>
  <c r="B319" i="3"/>
  <c r="O318" i="3"/>
  <c r="L318" i="3"/>
  <c r="J318" i="3"/>
  <c r="H318" i="3"/>
  <c r="F318" i="3"/>
  <c r="D318" i="3"/>
  <c r="B318" i="3"/>
  <c r="O317" i="3"/>
  <c r="L317" i="3"/>
  <c r="J317" i="3"/>
  <c r="H317" i="3"/>
  <c r="F317" i="3"/>
  <c r="D317" i="3"/>
  <c r="B317" i="3"/>
  <c r="O316" i="3"/>
  <c r="L316" i="3"/>
  <c r="J316" i="3"/>
  <c r="H316" i="3"/>
  <c r="F316" i="3"/>
  <c r="D316" i="3"/>
  <c r="B316" i="3"/>
  <c r="O315" i="3"/>
  <c r="L315" i="3"/>
  <c r="J315" i="3"/>
  <c r="H315" i="3"/>
  <c r="F315" i="3"/>
  <c r="D315" i="3"/>
  <c r="B315" i="3"/>
  <c r="O314" i="3"/>
  <c r="L314" i="3"/>
  <c r="J314" i="3"/>
  <c r="H314" i="3"/>
  <c r="F314" i="3"/>
  <c r="D314" i="3"/>
  <c r="B314" i="3"/>
  <c r="O313" i="3"/>
  <c r="L313" i="3"/>
  <c r="J313" i="3"/>
  <c r="H313" i="3"/>
  <c r="F313" i="3"/>
  <c r="D313" i="3"/>
  <c r="B313" i="3"/>
  <c r="O312" i="3"/>
  <c r="L312" i="3"/>
  <c r="J312" i="3"/>
  <c r="H312" i="3"/>
  <c r="F312" i="3"/>
  <c r="D312" i="3"/>
  <c r="B312" i="3"/>
  <c r="O311" i="3"/>
  <c r="L311" i="3"/>
  <c r="J311" i="3"/>
  <c r="H311" i="3"/>
  <c r="F311" i="3"/>
  <c r="D311" i="3"/>
  <c r="B311" i="3"/>
  <c r="O310" i="3"/>
  <c r="L310" i="3"/>
  <c r="J310" i="3"/>
  <c r="H310" i="3"/>
  <c r="F310" i="3"/>
  <c r="D310" i="3"/>
  <c r="B310" i="3"/>
  <c r="O309" i="3"/>
  <c r="L309" i="3"/>
  <c r="J309" i="3"/>
  <c r="H309" i="3"/>
  <c r="F309" i="3"/>
  <c r="D309" i="3"/>
  <c r="B309" i="3"/>
  <c r="O308" i="3"/>
  <c r="L308" i="3"/>
  <c r="J308" i="3"/>
  <c r="H308" i="3"/>
  <c r="F308" i="3"/>
  <c r="D308" i="3"/>
  <c r="B308" i="3"/>
  <c r="O307" i="3"/>
  <c r="L307" i="3"/>
  <c r="J307" i="3"/>
  <c r="H307" i="3"/>
  <c r="F307" i="3"/>
  <c r="D307" i="3"/>
  <c r="B307" i="3"/>
  <c r="O306" i="3"/>
  <c r="L306" i="3"/>
  <c r="J306" i="3"/>
  <c r="H306" i="3"/>
  <c r="F306" i="3"/>
  <c r="D306" i="3"/>
  <c r="B306" i="3"/>
  <c r="O305" i="3"/>
  <c r="L305" i="3"/>
  <c r="J305" i="3"/>
  <c r="H305" i="3"/>
  <c r="F305" i="3"/>
  <c r="D305" i="3"/>
  <c r="B305" i="3"/>
  <c r="O304" i="3"/>
  <c r="L304" i="3"/>
  <c r="J304" i="3"/>
  <c r="H304" i="3"/>
  <c r="F304" i="3"/>
  <c r="D304" i="3"/>
  <c r="B304" i="3"/>
  <c r="O303" i="3"/>
  <c r="L303" i="3"/>
  <c r="J303" i="3"/>
  <c r="H303" i="3"/>
  <c r="F303" i="3"/>
  <c r="D303" i="3"/>
  <c r="B303" i="3"/>
  <c r="O302" i="3"/>
  <c r="L302" i="3"/>
  <c r="J302" i="3"/>
  <c r="H302" i="3"/>
  <c r="F302" i="3"/>
  <c r="D302" i="3"/>
  <c r="B302" i="3"/>
  <c r="O301" i="3"/>
  <c r="L301" i="3"/>
  <c r="J301" i="3"/>
  <c r="H301" i="3"/>
  <c r="F301" i="3"/>
  <c r="D301" i="3"/>
  <c r="B301" i="3"/>
  <c r="O300" i="3"/>
  <c r="L300" i="3"/>
  <c r="J300" i="3"/>
  <c r="H300" i="3"/>
  <c r="F300" i="3"/>
  <c r="D300" i="3"/>
  <c r="B300" i="3"/>
  <c r="O299" i="3"/>
  <c r="L299" i="3"/>
  <c r="J299" i="3"/>
  <c r="H299" i="3"/>
  <c r="F299" i="3"/>
  <c r="D299" i="3"/>
  <c r="B299" i="3"/>
  <c r="O298" i="3"/>
  <c r="L298" i="3"/>
  <c r="J298" i="3"/>
  <c r="H298" i="3"/>
  <c r="F298" i="3"/>
  <c r="D298" i="3"/>
  <c r="B298" i="3"/>
  <c r="O297" i="3"/>
  <c r="L297" i="3"/>
  <c r="J297" i="3"/>
  <c r="H297" i="3"/>
  <c r="F297" i="3"/>
  <c r="D297" i="3"/>
  <c r="B297" i="3"/>
  <c r="O296" i="3"/>
  <c r="L296" i="3"/>
  <c r="J296" i="3"/>
  <c r="H296" i="3"/>
  <c r="F296" i="3"/>
  <c r="D296" i="3"/>
  <c r="B296" i="3"/>
  <c r="O295" i="3"/>
  <c r="L295" i="3"/>
  <c r="J295" i="3"/>
  <c r="H295" i="3"/>
  <c r="F295" i="3"/>
  <c r="D295" i="3"/>
  <c r="B295" i="3"/>
  <c r="O294" i="3"/>
  <c r="L294" i="3"/>
  <c r="J294" i="3"/>
  <c r="H294" i="3"/>
  <c r="F294" i="3"/>
  <c r="D294" i="3"/>
  <c r="B294" i="3"/>
  <c r="O293" i="3"/>
  <c r="L293" i="3"/>
  <c r="J293" i="3"/>
  <c r="H293" i="3"/>
  <c r="F293" i="3"/>
  <c r="D293" i="3"/>
  <c r="B293" i="3"/>
  <c r="O292" i="3"/>
  <c r="L292" i="3"/>
  <c r="J292" i="3"/>
  <c r="H292" i="3"/>
  <c r="F292" i="3"/>
  <c r="D292" i="3"/>
  <c r="B292" i="3"/>
  <c r="O291" i="3"/>
  <c r="L291" i="3"/>
  <c r="J291" i="3"/>
  <c r="H291" i="3"/>
  <c r="F291" i="3"/>
  <c r="D291" i="3"/>
  <c r="B291" i="3"/>
  <c r="O290" i="3"/>
  <c r="L290" i="3"/>
  <c r="J290" i="3"/>
  <c r="H290" i="3"/>
  <c r="F290" i="3"/>
  <c r="D290" i="3"/>
  <c r="B290" i="3"/>
  <c r="O289" i="3"/>
  <c r="L289" i="3"/>
  <c r="J289" i="3"/>
  <c r="H289" i="3"/>
  <c r="F289" i="3"/>
  <c r="D289" i="3"/>
  <c r="B289" i="3"/>
  <c r="O288" i="3"/>
  <c r="L288" i="3"/>
  <c r="J288" i="3"/>
  <c r="H288" i="3"/>
  <c r="F288" i="3"/>
  <c r="D288" i="3"/>
  <c r="B288" i="3"/>
  <c r="O287" i="3"/>
  <c r="L287" i="3"/>
  <c r="J287" i="3"/>
  <c r="H287" i="3"/>
  <c r="F287" i="3"/>
  <c r="D287" i="3"/>
  <c r="B287" i="3"/>
  <c r="O286" i="3"/>
  <c r="L286" i="3"/>
  <c r="J286" i="3"/>
  <c r="H286" i="3"/>
  <c r="F286" i="3"/>
  <c r="D286" i="3"/>
  <c r="B286" i="3"/>
  <c r="O285" i="3"/>
  <c r="L285" i="3"/>
  <c r="J285" i="3"/>
  <c r="H285" i="3"/>
  <c r="F285" i="3"/>
  <c r="D285" i="3"/>
  <c r="B285" i="3"/>
  <c r="O284" i="3"/>
  <c r="L284" i="3"/>
  <c r="J284" i="3"/>
  <c r="H284" i="3"/>
  <c r="F284" i="3"/>
  <c r="D284" i="3"/>
  <c r="B284" i="3"/>
  <c r="O283" i="3"/>
  <c r="L283" i="3"/>
  <c r="J283" i="3"/>
  <c r="H283" i="3"/>
  <c r="F283" i="3"/>
  <c r="D283" i="3"/>
  <c r="B283" i="3"/>
  <c r="O282" i="3"/>
  <c r="L282" i="3"/>
  <c r="J282" i="3"/>
  <c r="H282" i="3"/>
  <c r="F282" i="3"/>
  <c r="D282" i="3"/>
  <c r="B282" i="3"/>
  <c r="O281" i="3"/>
  <c r="L281" i="3"/>
  <c r="J281" i="3"/>
  <c r="H281" i="3"/>
  <c r="F281" i="3"/>
  <c r="D281" i="3"/>
  <c r="B281" i="3"/>
  <c r="O280" i="3"/>
  <c r="L280" i="3"/>
  <c r="J280" i="3"/>
  <c r="H280" i="3"/>
  <c r="F280" i="3"/>
  <c r="D280" i="3"/>
  <c r="B280" i="3"/>
  <c r="O279" i="3"/>
  <c r="L279" i="3"/>
  <c r="J279" i="3"/>
  <c r="H279" i="3"/>
  <c r="F279" i="3"/>
  <c r="D279" i="3"/>
  <c r="B279" i="3"/>
  <c r="O278" i="3"/>
  <c r="L278" i="3"/>
  <c r="J278" i="3"/>
  <c r="H278" i="3"/>
  <c r="F278" i="3"/>
  <c r="D278" i="3"/>
  <c r="B278" i="3"/>
  <c r="O277" i="3"/>
  <c r="L277" i="3"/>
  <c r="J277" i="3"/>
  <c r="H277" i="3"/>
  <c r="F277" i="3"/>
  <c r="D277" i="3"/>
  <c r="B277" i="3"/>
  <c r="O276" i="3"/>
  <c r="L276" i="3"/>
  <c r="J276" i="3"/>
  <c r="H276" i="3"/>
  <c r="F276" i="3"/>
  <c r="D276" i="3"/>
  <c r="B276" i="3"/>
  <c r="O275" i="3"/>
  <c r="L275" i="3"/>
  <c r="J275" i="3"/>
  <c r="H275" i="3"/>
  <c r="F275" i="3"/>
  <c r="D275" i="3"/>
  <c r="B275" i="3"/>
  <c r="O274" i="3"/>
  <c r="L274" i="3"/>
  <c r="J274" i="3"/>
  <c r="H274" i="3"/>
  <c r="F274" i="3"/>
  <c r="D274" i="3"/>
  <c r="B274" i="3"/>
  <c r="O273" i="3"/>
  <c r="L273" i="3"/>
  <c r="J273" i="3"/>
  <c r="H273" i="3"/>
  <c r="F273" i="3"/>
  <c r="D273" i="3"/>
  <c r="B273" i="3"/>
  <c r="O272" i="3"/>
  <c r="L272" i="3"/>
  <c r="J272" i="3"/>
  <c r="H272" i="3"/>
  <c r="F272" i="3"/>
  <c r="D272" i="3"/>
  <c r="B272" i="3"/>
  <c r="O271" i="3"/>
  <c r="L271" i="3"/>
  <c r="J271" i="3"/>
  <c r="H271" i="3"/>
  <c r="F271" i="3"/>
  <c r="D271" i="3"/>
  <c r="B271" i="3"/>
  <c r="O270" i="3"/>
  <c r="L270" i="3"/>
  <c r="J270" i="3"/>
  <c r="H270" i="3"/>
  <c r="F270" i="3"/>
  <c r="D270" i="3"/>
  <c r="B270" i="3"/>
  <c r="O269" i="3"/>
  <c r="L269" i="3"/>
  <c r="J269" i="3"/>
  <c r="H269" i="3"/>
  <c r="F269" i="3"/>
  <c r="D269" i="3"/>
  <c r="B269" i="3"/>
  <c r="O268" i="3"/>
  <c r="L268" i="3"/>
  <c r="J268" i="3"/>
  <c r="H268" i="3"/>
  <c r="F268" i="3"/>
  <c r="D268" i="3"/>
  <c r="B268" i="3"/>
  <c r="O267" i="3"/>
  <c r="L267" i="3"/>
  <c r="J267" i="3"/>
  <c r="H267" i="3"/>
  <c r="F267" i="3"/>
  <c r="D267" i="3"/>
  <c r="B267" i="3"/>
  <c r="O266" i="3"/>
  <c r="L266" i="3"/>
  <c r="J266" i="3"/>
  <c r="H266" i="3"/>
  <c r="F266" i="3"/>
  <c r="D266" i="3"/>
  <c r="B266" i="3"/>
  <c r="O265" i="3"/>
  <c r="L265" i="3"/>
  <c r="J265" i="3"/>
  <c r="H265" i="3"/>
  <c r="F265" i="3"/>
  <c r="D265" i="3"/>
  <c r="B265" i="3"/>
  <c r="O264" i="3"/>
  <c r="L264" i="3"/>
  <c r="J264" i="3"/>
  <c r="H264" i="3"/>
  <c r="F264" i="3"/>
  <c r="D264" i="3"/>
  <c r="B264" i="3"/>
  <c r="O263" i="3"/>
  <c r="L263" i="3"/>
  <c r="J263" i="3"/>
  <c r="H263" i="3"/>
  <c r="F263" i="3"/>
  <c r="D263" i="3"/>
  <c r="B263" i="3"/>
  <c r="O262" i="3"/>
  <c r="L262" i="3"/>
  <c r="J262" i="3"/>
  <c r="H262" i="3"/>
  <c r="F262" i="3"/>
  <c r="D262" i="3"/>
  <c r="B262" i="3"/>
  <c r="O261" i="3"/>
  <c r="L261" i="3"/>
  <c r="J261" i="3"/>
  <c r="H261" i="3"/>
  <c r="F261" i="3"/>
  <c r="D261" i="3"/>
  <c r="B261" i="3"/>
  <c r="O260" i="3"/>
  <c r="L260" i="3"/>
  <c r="J260" i="3"/>
  <c r="H260" i="3"/>
  <c r="F260" i="3"/>
  <c r="D260" i="3"/>
  <c r="B260" i="3"/>
  <c r="O259" i="3"/>
  <c r="L259" i="3"/>
  <c r="J259" i="3"/>
  <c r="H259" i="3"/>
  <c r="F259" i="3"/>
  <c r="D259" i="3"/>
  <c r="B259" i="3"/>
  <c r="O258" i="3"/>
  <c r="L258" i="3"/>
  <c r="J258" i="3"/>
  <c r="H258" i="3"/>
  <c r="F258" i="3"/>
  <c r="D258" i="3"/>
  <c r="B258" i="3"/>
  <c r="O257" i="3"/>
  <c r="L257" i="3"/>
  <c r="J257" i="3"/>
  <c r="H257" i="3"/>
  <c r="F257" i="3"/>
  <c r="D257" i="3"/>
  <c r="B257" i="3"/>
  <c r="O256" i="3"/>
  <c r="L256" i="3"/>
  <c r="J256" i="3"/>
  <c r="H256" i="3"/>
  <c r="F256" i="3"/>
  <c r="D256" i="3"/>
  <c r="B256" i="3"/>
  <c r="O255" i="3"/>
  <c r="L255" i="3"/>
  <c r="J255" i="3"/>
  <c r="H255" i="3"/>
  <c r="F255" i="3"/>
  <c r="D255" i="3"/>
  <c r="B255" i="3"/>
  <c r="O254" i="3"/>
  <c r="L254" i="3"/>
  <c r="J254" i="3"/>
  <c r="H254" i="3"/>
  <c r="F254" i="3"/>
  <c r="D254" i="3"/>
  <c r="B254" i="3"/>
  <c r="O253" i="3"/>
  <c r="L253" i="3"/>
  <c r="J253" i="3"/>
  <c r="H253" i="3"/>
  <c r="F253" i="3"/>
  <c r="D253" i="3"/>
  <c r="B253" i="3"/>
  <c r="O252" i="3"/>
  <c r="L252" i="3"/>
  <c r="J252" i="3"/>
  <c r="H252" i="3"/>
  <c r="F252" i="3"/>
  <c r="D252" i="3"/>
  <c r="B252" i="3"/>
  <c r="O251" i="3"/>
  <c r="L251" i="3"/>
  <c r="J251" i="3"/>
  <c r="H251" i="3"/>
  <c r="F251" i="3"/>
  <c r="D251" i="3"/>
  <c r="B251" i="3"/>
  <c r="O250" i="3"/>
  <c r="L250" i="3"/>
  <c r="J250" i="3"/>
  <c r="H250" i="3"/>
  <c r="F250" i="3"/>
  <c r="D250" i="3"/>
  <c r="B250" i="3"/>
  <c r="O249" i="3"/>
  <c r="L249" i="3"/>
  <c r="J249" i="3"/>
  <c r="H249" i="3"/>
  <c r="F249" i="3"/>
  <c r="D249" i="3"/>
  <c r="B249" i="3"/>
  <c r="O248" i="3"/>
  <c r="L248" i="3"/>
  <c r="J248" i="3"/>
  <c r="H248" i="3"/>
  <c r="F248" i="3"/>
  <c r="D248" i="3"/>
  <c r="B248" i="3"/>
  <c r="O247" i="3"/>
  <c r="L247" i="3"/>
  <c r="J247" i="3"/>
  <c r="H247" i="3"/>
  <c r="F247" i="3"/>
  <c r="D247" i="3"/>
  <c r="B247" i="3"/>
  <c r="O246" i="3"/>
  <c r="L246" i="3"/>
  <c r="J246" i="3"/>
  <c r="H246" i="3"/>
  <c r="F246" i="3"/>
  <c r="D246" i="3"/>
  <c r="B246" i="3"/>
  <c r="O245" i="3"/>
  <c r="L245" i="3"/>
  <c r="J245" i="3"/>
  <c r="H245" i="3"/>
  <c r="F245" i="3"/>
  <c r="D245" i="3"/>
  <c r="B245" i="3"/>
  <c r="O244" i="3"/>
  <c r="L244" i="3"/>
  <c r="J244" i="3"/>
  <c r="H244" i="3"/>
  <c r="F244" i="3"/>
  <c r="D244" i="3"/>
  <c r="B244" i="3"/>
  <c r="O243" i="3"/>
  <c r="L243" i="3"/>
  <c r="J243" i="3"/>
  <c r="H243" i="3"/>
  <c r="F243" i="3"/>
  <c r="D243" i="3"/>
  <c r="B243" i="3"/>
  <c r="O242" i="3"/>
  <c r="L242" i="3"/>
  <c r="J242" i="3"/>
  <c r="H242" i="3"/>
  <c r="F242" i="3"/>
  <c r="D242" i="3"/>
  <c r="B242" i="3"/>
  <c r="O241" i="3"/>
  <c r="L241" i="3"/>
  <c r="J241" i="3"/>
  <c r="H241" i="3"/>
  <c r="F241" i="3"/>
  <c r="D241" i="3"/>
  <c r="B241" i="3"/>
  <c r="O240" i="3"/>
  <c r="L240" i="3"/>
  <c r="J240" i="3"/>
  <c r="H240" i="3"/>
  <c r="F240" i="3"/>
  <c r="D240" i="3"/>
  <c r="B240" i="3"/>
  <c r="O239" i="3"/>
  <c r="L239" i="3"/>
  <c r="J239" i="3"/>
  <c r="H239" i="3"/>
  <c r="F239" i="3"/>
  <c r="D239" i="3"/>
  <c r="B239" i="3"/>
  <c r="O238" i="3"/>
  <c r="L238" i="3"/>
  <c r="J238" i="3"/>
  <c r="H238" i="3"/>
  <c r="F238" i="3"/>
  <c r="D238" i="3"/>
  <c r="B238" i="3"/>
  <c r="O237" i="3"/>
  <c r="L237" i="3"/>
  <c r="J237" i="3"/>
  <c r="H237" i="3"/>
  <c r="F237" i="3"/>
  <c r="D237" i="3"/>
  <c r="B237" i="3"/>
  <c r="O236" i="3"/>
  <c r="L236" i="3"/>
  <c r="J236" i="3"/>
  <c r="H236" i="3"/>
  <c r="F236" i="3"/>
  <c r="D236" i="3"/>
  <c r="B236" i="3"/>
  <c r="O235" i="3"/>
  <c r="L235" i="3"/>
  <c r="J235" i="3"/>
  <c r="H235" i="3"/>
  <c r="F235" i="3"/>
  <c r="D235" i="3"/>
  <c r="B235" i="3"/>
  <c r="O234" i="3"/>
  <c r="L234" i="3"/>
  <c r="J234" i="3"/>
  <c r="H234" i="3"/>
  <c r="F234" i="3"/>
  <c r="D234" i="3"/>
  <c r="B234" i="3"/>
  <c r="O233" i="3"/>
  <c r="L233" i="3"/>
  <c r="J233" i="3"/>
  <c r="H233" i="3"/>
  <c r="F233" i="3"/>
  <c r="D233" i="3"/>
  <c r="B233" i="3"/>
  <c r="O232" i="3"/>
  <c r="L232" i="3"/>
  <c r="J232" i="3"/>
  <c r="H232" i="3"/>
  <c r="F232" i="3"/>
  <c r="D232" i="3"/>
  <c r="B232" i="3"/>
  <c r="O231" i="3"/>
  <c r="L231" i="3"/>
  <c r="J231" i="3"/>
  <c r="H231" i="3"/>
  <c r="F231" i="3"/>
  <c r="D231" i="3"/>
  <c r="B231" i="3"/>
  <c r="O230" i="3"/>
  <c r="L230" i="3"/>
  <c r="J230" i="3"/>
  <c r="H230" i="3"/>
  <c r="F230" i="3"/>
  <c r="D230" i="3"/>
  <c r="B230" i="3"/>
  <c r="O229" i="3"/>
  <c r="L229" i="3"/>
  <c r="J229" i="3"/>
  <c r="H229" i="3"/>
  <c r="F229" i="3"/>
  <c r="D229" i="3"/>
  <c r="B229" i="3"/>
  <c r="O228" i="3"/>
  <c r="L228" i="3"/>
  <c r="J228" i="3"/>
  <c r="H228" i="3"/>
  <c r="F228" i="3"/>
  <c r="D228" i="3"/>
  <c r="B228" i="3"/>
  <c r="O227" i="3"/>
  <c r="L227" i="3"/>
  <c r="J227" i="3"/>
  <c r="H227" i="3"/>
  <c r="F227" i="3"/>
  <c r="D227" i="3"/>
  <c r="B227" i="3"/>
  <c r="O226" i="3"/>
  <c r="L226" i="3"/>
  <c r="J226" i="3"/>
  <c r="H226" i="3"/>
  <c r="F226" i="3"/>
  <c r="D226" i="3"/>
  <c r="B226" i="3"/>
  <c r="O225" i="3"/>
  <c r="L225" i="3"/>
  <c r="J225" i="3"/>
  <c r="H225" i="3"/>
  <c r="F225" i="3"/>
  <c r="D225" i="3"/>
  <c r="B225" i="3"/>
  <c r="O224" i="3"/>
  <c r="L224" i="3"/>
  <c r="J224" i="3"/>
  <c r="H224" i="3"/>
  <c r="F224" i="3"/>
  <c r="D224" i="3"/>
  <c r="B224" i="3"/>
  <c r="O223" i="3"/>
  <c r="L223" i="3"/>
  <c r="J223" i="3"/>
  <c r="H223" i="3"/>
  <c r="F223" i="3"/>
  <c r="D223" i="3"/>
  <c r="B223" i="3"/>
  <c r="O222" i="3"/>
  <c r="L222" i="3"/>
  <c r="J222" i="3"/>
  <c r="H222" i="3"/>
  <c r="F222" i="3"/>
  <c r="D222" i="3"/>
  <c r="B222" i="3"/>
  <c r="O221" i="3"/>
  <c r="L221" i="3"/>
  <c r="J221" i="3"/>
  <c r="H221" i="3"/>
  <c r="F221" i="3"/>
  <c r="D221" i="3"/>
  <c r="B221" i="3"/>
  <c r="O220" i="3"/>
  <c r="L220" i="3"/>
  <c r="J220" i="3"/>
  <c r="H220" i="3"/>
  <c r="F220" i="3"/>
  <c r="D220" i="3"/>
  <c r="B220" i="3"/>
  <c r="O219" i="3"/>
  <c r="L219" i="3"/>
  <c r="J219" i="3"/>
  <c r="H219" i="3"/>
  <c r="F219" i="3"/>
  <c r="D219" i="3"/>
  <c r="B219" i="3"/>
  <c r="O218" i="3"/>
  <c r="L218" i="3"/>
  <c r="J218" i="3"/>
  <c r="H218" i="3"/>
  <c r="F218" i="3"/>
  <c r="D218" i="3"/>
  <c r="B218" i="3"/>
  <c r="O217" i="3"/>
  <c r="L217" i="3"/>
  <c r="J217" i="3"/>
  <c r="H217" i="3"/>
  <c r="F217" i="3"/>
  <c r="D217" i="3"/>
  <c r="B217" i="3"/>
  <c r="O216" i="3"/>
  <c r="L216" i="3"/>
  <c r="J216" i="3"/>
  <c r="H216" i="3"/>
  <c r="F216" i="3"/>
  <c r="D216" i="3"/>
  <c r="B216" i="3"/>
  <c r="O215" i="3"/>
  <c r="L215" i="3"/>
  <c r="J215" i="3"/>
  <c r="H215" i="3"/>
  <c r="F215" i="3"/>
  <c r="D215" i="3"/>
  <c r="B215" i="3"/>
  <c r="O214" i="3"/>
  <c r="L214" i="3"/>
  <c r="J214" i="3"/>
  <c r="H214" i="3"/>
  <c r="F214" i="3"/>
  <c r="D214" i="3"/>
  <c r="B214" i="3"/>
  <c r="O213" i="3"/>
  <c r="L213" i="3"/>
  <c r="J213" i="3"/>
  <c r="H213" i="3"/>
  <c r="F213" i="3"/>
  <c r="D213" i="3"/>
  <c r="B213" i="3"/>
  <c r="O212" i="3"/>
  <c r="L212" i="3"/>
  <c r="J212" i="3"/>
  <c r="H212" i="3"/>
  <c r="F212" i="3"/>
  <c r="D212" i="3"/>
  <c r="B212" i="3"/>
  <c r="O211" i="3"/>
  <c r="L211" i="3"/>
  <c r="J211" i="3"/>
  <c r="H211" i="3"/>
  <c r="F211" i="3"/>
  <c r="D211" i="3"/>
  <c r="B211" i="3"/>
  <c r="O210" i="3"/>
  <c r="L210" i="3"/>
  <c r="J210" i="3"/>
  <c r="H210" i="3"/>
  <c r="F210" i="3"/>
  <c r="D210" i="3"/>
  <c r="B210" i="3"/>
  <c r="O209" i="3"/>
  <c r="L209" i="3"/>
  <c r="J209" i="3"/>
  <c r="H209" i="3"/>
  <c r="F209" i="3"/>
  <c r="D209" i="3"/>
  <c r="B209" i="3"/>
  <c r="O208" i="3"/>
  <c r="L208" i="3"/>
  <c r="J208" i="3"/>
  <c r="H208" i="3"/>
  <c r="F208" i="3"/>
  <c r="D208" i="3"/>
  <c r="B208" i="3"/>
  <c r="O207" i="3"/>
  <c r="L207" i="3"/>
  <c r="J207" i="3"/>
  <c r="H207" i="3"/>
  <c r="F207" i="3"/>
  <c r="D207" i="3"/>
  <c r="B207" i="3"/>
  <c r="O206" i="3"/>
  <c r="L206" i="3"/>
  <c r="J206" i="3"/>
  <c r="H206" i="3"/>
  <c r="F206" i="3"/>
  <c r="D206" i="3"/>
  <c r="B206" i="3"/>
  <c r="O205" i="3"/>
  <c r="L205" i="3"/>
  <c r="J205" i="3"/>
  <c r="H205" i="3"/>
  <c r="F205" i="3"/>
  <c r="D205" i="3"/>
  <c r="B205" i="3"/>
  <c r="O204" i="3"/>
  <c r="L204" i="3"/>
  <c r="J204" i="3"/>
  <c r="H204" i="3"/>
  <c r="F204" i="3"/>
  <c r="D204" i="3"/>
  <c r="B204" i="3"/>
  <c r="O203" i="3"/>
  <c r="L203" i="3"/>
  <c r="J203" i="3"/>
  <c r="H203" i="3"/>
  <c r="F203" i="3"/>
  <c r="D203" i="3"/>
  <c r="B203" i="3"/>
  <c r="O202" i="3"/>
  <c r="L202" i="3"/>
  <c r="J202" i="3"/>
  <c r="H202" i="3"/>
  <c r="F202" i="3"/>
  <c r="D202" i="3"/>
  <c r="B202" i="3"/>
  <c r="O201" i="3"/>
  <c r="L201" i="3"/>
  <c r="J201" i="3"/>
  <c r="H201" i="3"/>
  <c r="F201" i="3"/>
  <c r="D201" i="3"/>
  <c r="B201" i="3"/>
  <c r="O200" i="3"/>
  <c r="L200" i="3"/>
  <c r="J200" i="3"/>
  <c r="H200" i="3"/>
  <c r="F200" i="3"/>
  <c r="D200" i="3"/>
  <c r="B200" i="3"/>
  <c r="O199" i="3"/>
  <c r="L199" i="3"/>
  <c r="J199" i="3"/>
  <c r="H199" i="3"/>
  <c r="F199" i="3"/>
  <c r="D199" i="3"/>
  <c r="B199" i="3"/>
  <c r="O198" i="3"/>
  <c r="L198" i="3"/>
  <c r="J198" i="3"/>
  <c r="H198" i="3"/>
  <c r="F198" i="3"/>
  <c r="D198" i="3"/>
  <c r="B198" i="3"/>
  <c r="O197" i="3"/>
  <c r="L197" i="3"/>
  <c r="J197" i="3"/>
  <c r="H197" i="3"/>
  <c r="F197" i="3"/>
  <c r="D197" i="3"/>
  <c r="B197" i="3"/>
  <c r="O196" i="3"/>
  <c r="L196" i="3"/>
  <c r="J196" i="3"/>
  <c r="H196" i="3"/>
  <c r="F196" i="3"/>
  <c r="D196" i="3"/>
  <c r="B196" i="3"/>
  <c r="O195" i="3"/>
  <c r="L195" i="3"/>
  <c r="J195" i="3"/>
  <c r="H195" i="3"/>
  <c r="F195" i="3"/>
  <c r="D195" i="3"/>
  <c r="B195" i="3"/>
  <c r="O194" i="3"/>
  <c r="L194" i="3"/>
  <c r="J194" i="3"/>
  <c r="H194" i="3"/>
  <c r="F194" i="3"/>
  <c r="D194" i="3"/>
  <c r="B194" i="3"/>
  <c r="O193" i="3"/>
  <c r="L193" i="3"/>
  <c r="J193" i="3"/>
  <c r="H193" i="3"/>
  <c r="F193" i="3"/>
  <c r="D193" i="3"/>
  <c r="B193" i="3"/>
  <c r="O192" i="3"/>
  <c r="L192" i="3"/>
  <c r="J192" i="3"/>
  <c r="H192" i="3"/>
  <c r="F192" i="3"/>
  <c r="D192" i="3"/>
  <c r="B192" i="3"/>
  <c r="O191" i="3"/>
  <c r="L191" i="3"/>
  <c r="J191" i="3"/>
  <c r="H191" i="3"/>
  <c r="F191" i="3"/>
  <c r="D191" i="3"/>
  <c r="B191" i="3"/>
  <c r="O190" i="3"/>
  <c r="L190" i="3"/>
  <c r="J190" i="3"/>
  <c r="H190" i="3"/>
  <c r="F190" i="3"/>
  <c r="D190" i="3"/>
  <c r="B190" i="3"/>
  <c r="O189" i="3"/>
  <c r="L189" i="3"/>
  <c r="J189" i="3"/>
  <c r="H189" i="3"/>
  <c r="F189" i="3"/>
  <c r="D189" i="3"/>
  <c r="B189" i="3"/>
  <c r="O188" i="3"/>
  <c r="L188" i="3"/>
  <c r="J188" i="3"/>
  <c r="H188" i="3"/>
  <c r="F188" i="3"/>
  <c r="D188" i="3"/>
  <c r="B188" i="3"/>
  <c r="O187" i="3"/>
  <c r="L187" i="3"/>
  <c r="J187" i="3"/>
  <c r="H187" i="3"/>
  <c r="F187" i="3"/>
  <c r="D187" i="3"/>
  <c r="B187" i="3"/>
  <c r="O186" i="3"/>
  <c r="L186" i="3"/>
  <c r="J186" i="3"/>
  <c r="H186" i="3"/>
  <c r="F186" i="3"/>
  <c r="D186" i="3"/>
  <c r="B186" i="3"/>
  <c r="O185" i="3"/>
  <c r="L185" i="3"/>
  <c r="J185" i="3"/>
  <c r="H185" i="3"/>
  <c r="F185" i="3"/>
  <c r="D185" i="3"/>
  <c r="B185" i="3"/>
  <c r="O184" i="3"/>
  <c r="L184" i="3"/>
  <c r="J184" i="3"/>
  <c r="H184" i="3"/>
  <c r="F184" i="3"/>
  <c r="D184" i="3"/>
  <c r="B184" i="3"/>
  <c r="O183" i="3"/>
  <c r="L183" i="3"/>
  <c r="J183" i="3"/>
  <c r="H183" i="3"/>
  <c r="F183" i="3"/>
  <c r="D183" i="3"/>
  <c r="B183" i="3"/>
  <c r="O182" i="3"/>
  <c r="L182" i="3"/>
  <c r="J182" i="3"/>
  <c r="H182" i="3"/>
  <c r="F182" i="3"/>
  <c r="D182" i="3"/>
  <c r="B182" i="3"/>
  <c r="O181" i="3"/>
  <c r="L181" i="3"/>
  <c r="J181" i="3"/>
  <c r="H181" i="3"/>
  <c r="F181" i="3"/>
  <c r="D181" i="3"/>
  <c r="B181" i="3"/>
  <c r="O180" i="3"/>
  <c r="L180" i="3"/>
  <c r="J180" i="3"/>
  <c r="H180" i="3"/>
  <c r="F180" i="3"/>
  <c r="D180" i="3"/>
  <c r="B180" i="3"/>
  <c r="O179" i="3"/>
  <c r="L179" i="3"/>
  <c r="J179" i="3"/>
  <c r="H179" i="3"/>
  <c r="F179" i="3"/>
  <c r="D179" i="3"/>
  <c r="B179" i="3"/>
  <c r="O178" i="3"/>
  <c r="L178" i="3"/>
  <c r="J178" i="3"/>
  <c r="H178" i="3"/>
  <c r="F178" i="3"/>
  <c r="D178" i="3"/>
  <c r="B178" i="3"/>
  <c r="O177" i="3"/>
  <c r="L177" i="3"/>
  <c r="J177" i="3"/>
  <c r="H177" i="3"/>
  <c r="F177" i="3"/>
  <c r="D177" i="3"/>
  <c r="B177" i="3"/>
  <c r="O176" i="3"/>
  <c r="L176" i="3"/>
  <c r="J176" i="3"/>
  <c r="H176" i="3"/>
  <c r="F176" i="3"/>
  <c r="D176" i="3"/>
  <c r="B176" i="3"/>
  <c r="O175" i="3"/>
  <c r="L175" i="3"/>
  <c r="J175" i="3"/>
  <c r="H175" i="3"/>
  <c r="F175" i="3"/>
  <c r="D175" i="3"/>
  <c r="B175" i="3"/>
  <c r="O174" i="3"/>
  <c r="L174" i="3"/>
  <c r="J174" i="3"/>
  <c r="H174" i="3"/>
  <c r="F174" i="3"/>
  <c r="D174" i="3"/>
  <c r="B174" i="3"/>
  <c r="O173" i="3"/>
  <c r="L173" i="3"/>
  <c r="J173" i="3"/>
  <c r="H173" i="3"/>
  <c r="F173" i="3"/>
  <c r="D173" i="3"/>
  <c r="B173" i="3"/>
  <c r="O172" i="3"/>
  <c r="L172" i="3"/>
  <c r="J172" i="3"/>
  <c r="H172" i="3"/>
  <c r="F172" i="3"/>
  <c r="D172" i="3"/>
  <c r="B172" i="3"/>
  <c r="O171" i="3"/>
  <c r="L171" i="3"/>
  <c r="J171" i="3"/>
  <c r="H171" i="3"/>
  <c r="F171" i="3"/>
  <c r="D171" i="3"/>
  <c r="B171" i="3"/>
  <c r="O170" i="3"/>
  <c r="L170" i="3"/>
  <c r="J170" i="3"/>
  <c r="H170" i="3"/>
  <c r="F170" i="3"/>
  <c r="D170" i="3"/>
  <c r="B170" i="3"/>
  <c r="O169" i="3"/>
  <c r="L169" i="3"/>
  <c r="J169" i="3"/>
  <c r="H169" i="3"/>
  <c r="F169" i="3"/>
  <c r="D169" i="3"/>
  <c r="B169" i="3"/>
  <c r="O168" i="3"/>
  <c r="L168" i="3"/>
  <c r="J168" i="3"/>
  <c r="H168" i="3"/>
  <c r="F168" i="3"/>
  <c r="D168" i="3"/>
  <c r="B168" i="3"/>
  <c r="O167" i="3"/>
  <c r="L167" i="3"/>
  <c r="J167" i="3"/>
  <c r="H167" i="3"/>
  <c r="F167" i="3"/>
  <c r="D167" i="3"/>
  <c r="B167" i="3"/>
  <c r="O166" i="3"/>
  <c r="L166" i="3"/>
  <c r="J166" i="3"/>
  <c r="H166" i="3"/>
  <c r="F166" i="3"/>
  <c r="D166" i="3"/>
  <c r="B166" i="3"/>
  <c r="O165" i="3"/>
  <c r="L165" i="3"/>
  <c r="J165" i="3"/>
  <c r="H165" i="3"/>
  <c r="F165" i="3"/>
  <c r="D165" i="3"/>
  <c r="B165" i="3"/>
  <c r="O164" i="3"/>
  <c r="L164" i="3"/>
  <c r="J164" i="3"/>
  <c r="H164" i="3"/>
  <c r="F164" i="3"/>
  <c r="D164" i="3"/>
  <c r="B164" i="3"/>
  <c r="O163" i="3"/>
  <c r="L163" i="3"/>
  <c r="J163" i="3"/>
  <c r="H163" i="3"/>
  <c r="F163" i="3"/>
  <c r="D163" i="3"/>
  <c r="B163" i="3"/>
  <c r="O162" i="3"/>
  <c r="L162" i="3"/>
  <c r="J162" i="3"/>
  <c r="H162" i="3"/>
  <c r="F162" i="3"/>
  <c r="D162" i="3"/>
  <c r="B162" i="3"/>
  <c r="O161" i="3"/>
  <c r="L161" i="3"/>
  <c r="J161" i="3"/>
  <c r="H161" i="3"/>
  <c r="F161" i="3"/>
  <c r="D161" i="3"/>
  <c r="B161" i="3"/>
  <c r="O160" i="3"/>
  <c r="L160" i="3"/>
  <c r="J160" i="3"/>
  <c r="H160" i="3"/>
  <c r="F160" i="3"/>
  <c r="D160" i="3"/>
  <c r="B160" i="3"/>
  <c r="O159" i="3"/>
  <c r="L159" i="3"/>
  <c r="J159" i="3"/>
  <c r="H159" i="3"/>
  <c r="F159" i="3"/>
  <c r="D159" i="3"/>
  <c r="B159" i="3"/>
  <c r="O158" i="3"/>
  <c r="L158" i="3"/>
  <c r="J158" i="3"/>
  <c r="H158" i="3"/>
  <c r="F158" i="3"/>
  <c r="D158" i="3"/>
  <c r="B158" i="3"/>
  <c r="O157" i="3"/>
  <c r="L157" i="3"/>
  <c r="J157" i="3"/>
  <c r="H157" i="3"/>
  <c r="F157" i="3"/>
  <c r="D157" i="3"/>
  <c r="B157" i="3"/>
  <c r="O156" i="3"/>
  <c r="L156" i="3"/>
  <c r="J156" i="3"/>
  <c r="H156" i="3"/>
  <c r="F156" i="3"/>
  <c r="D156" i="3"/>
  <c r="B156" i="3"/>
  <c r="O155" i="3"/>
  <c r="L155" i="3"/>
  <c r="J155" i="3"/>
  <c r="H155" i="3"/>
  <c r="F155" i="3"/>
  <c r="D155" i="3"/>
  <c r="B155" i="3"/>
  <c r="O154" i="3"/>
  <c r="L154" i="3"/>
  <c r="J154" i="3"/>
  <c r="H154" i="3"/>
  <c r="F154" i="3"/>
  <c r="D154" i="3"/>
  <c r="B154" i="3"/>
  <c r="O153" i="3"/>
  <c r="L153" i="3"/>
  <c r="J153" i="3"/>
  <c r="H153" i="3"/>
  <c r="F153" i="3"/>
  <c r="D153" i="3"/>
  <c r="B153" i="3"/>
  <c r="O152" i="3"/>
  <c r="L152" i="3"/>
  <c r="J152" i="3"/>
  <c r="H152" i="3"/>
  <c r="F152" i="3"/>
  <c r="D152" i="3"/>
  <c r="B152" i="3"/>
  <c r="O151" i="3"/>
  <c r="L151" i="3"/>
  <c r="J151" i="3"/>
  <c r="H151" i="3"/>
  <c r="F151" i="3"/>
  <c r="D151" i="3"/>
  <c r="B151" i="3"/>
  <c r="O150" i="3"/>
  <c r="L150" i="3"/>
  <c r="J150" i="3"/>
  <c r="H150" i="3"/>
  <c r="F150" i="3"/>
  <c r="D150" i="3"/>
  <c r="B150" i="3"/>
  <c r="O149" i="3"/>
  <c r="L149" i="3"/>
  <c r="J149" i="3"/>
  <c r="H149" i="3"/>
  <c r="F149" i="3"/>
  <c r="D149" i="3"/>
  <c r="B149" i="3"/>
  <c r="O148" i="3"/>
  <c r="L148" i="3"/>
  <c r="J148" i="3"/>
  <c r="H148" i="3"/>
  <c r="F148" i="3"/>
  <c r="D148" i="3"/>
  <c r="B148" i="3"/>
  <c r="O147" i="3"/>
  <c r="L147" i="3"/>
  <c r="J147" i="3"/>
  <c r="H147" i="3"/>
  <c r="F147" i="3"/>
  <c r="D147" i="3"/>
  <c r="B147" i="3"/>
  <c r="O146" i="3"/>
  <c r="L146" i="3"/>
  <c r="J146" i="3"/>
  <c r="H146" i="3"/>
  <c r="F146" i="3"/>
  <c r="D146" i="3"/>
  <c r="B146" i="3"/>
  <c r="O145" i="3"/>
  <c r="L145" i="3"/>
  <c r="J145" i="3"/>
  <c r="H145" i="3"/>
  <c r="F145" i="3"/>
  <c r="D145" i="3"/>
  <c r="B145" i="3"/>
  <c r="O144" i="3"/>
  <c r="L144" i="3"/>
  <c r="J144" i="3"/>
  <c r="H144" i="3"/>
  <c r="F144" i="3"/>
  <c r="D144" i="3"/>
  <c r="B144" i="3"/>
  <c r="O143" i="3"/>
  <c r="L143" i="3"/>
  <c r="J143" i="3"/>
  <c r="H143" i="3"/>
  <c r="F143" i="3"/>
  <c r="D143" i="3"/>
  <c r="B143" i="3"/>
  <c r="O142" i="3"/>
  <c r="L142" i="3"/>
  <c r="J142" i="3"/>
  <c r="H142" i="3"/>
  <c r="F142" i="3"/>
  <c r="D142" i="3"/>
  <c r="B142" i="3"/>
  <c r="O141" i="3"/>
  <c r="L141" i="3"/>
  <c r="J141" i="3"/>
  <c r="H141" i="3"/>
  <c r="F141" i="3"/>
  <c r="D141" i="3"/>
  <c r="B141" i="3"/>
  <c r="O140" i="3"/>
  <c r="L140" i="3"/>
  <c r="J140" i="3"/>
  <c r="H140" i="3"/>
  <c r="F140" i="3"/>
  <c r="D140" i="3"/>
  <c r="B140" i="3"/>
  <c r="O139" i="3"/>
  <c r="L139" i="3"/>
  <c r="J139" i="3"/>
  <c r="H139" i="3"/>
  <c r="F139" i="3"/>
  <c r="D139" i="3"/>
  <c r="B139" i="3"/>
  <c r="O138" i="3"/>
  <c r="L138" i="3"/>
  <c r="J138" i="3"/>
  <c r="H138" i="3"/>
  <c r="F138" i="3"/>
  <c r="D138" i="3"/>
  <c r="B138" i="3"/>
  <c r="O137" i="3"/>
  <c r="L137" i="3"/>
  <c r="J137" i="3"/>
  <c r="H137" i="3"/>
  <c r="F137" i="3"/>
  <c r="D137" i="3"/>
  <c r="B137" i="3"/>
  <c r="O136" i="3"/>
  <c r="L136" i="3"/>
  <c r="J136" i="3"/>
  <c r="H136" i="3"/>
  <c r="F136" i="3"/>
  <c r="D136" i="3"/>
  <c r="B136" i="3"/>
  <c r="O135" i="3"/>
  <c r="L135" i="3"/>
  <c r="J135" i="3"/>
  <c r="H135" i="3"/>
  <c r="F135" i="3"/>
  <c r="D135" i="3"/>
  <c r="B135" i="3"/>
  <c r="O134" i="3"/>
  <c r="L134" i="3"/>
  <c r="J134" i="3"/>
  <c r="H134" i="3"/>
  <c r="F134" i="3"/>
  <c r="D134" i="3"/>
  <c r="B134" i="3"/>
  <c r="O133" i="3"/>
  <c r="L133" i="3"/>
  <c r="J133" i="3"/>
  <c r="H133" i="3"/>
  <c r="F133" i="3"/>
  <c r="D133" i="3"/>
  <c r="B133" i="3"/>
  <c r="O132" i="3"/>
  <c r="L132" i="3"/>
  <c r="J132" i="3"/>
  <c r="H132" i="3"/>
  <c r="F132" i="3"/>
  <c r="D132" i="3"/>
  <c r="B132" i="3"/>
  <c r="O131" i="3"/>
  <c r="L131" i="3"/>
  <c r="J131" i="3"/>
  <c r="H131" i="3"/>
  <c r="F131" i="3"/>
  <c r="D131" i="3"/>
  <c r="B131" i="3"/>
  <c r="O130" i="3"/>
  <c r="L130" i="3"/>
  <c r="J130" i="3"/>
  <c r="H130" i="3"/>
  <c r="F130" i="3"/>
  <c r="D130" i="3"/>
  <c r="B130" i="3"/>
  <c r="O129" i="3"/>
  <c r="L129" i="3"/>
  <c r="J129" i="3"/>
  <c r="H129" i="3"/>
  <c r="F129" i="3"/>
  <c r="D129" i="3"/>
  <c r="B129" i="3"/>
  <c r="O128" i="3"/>
  <c r="L128" i="3"/>
  <c r="J128" i="3"/>
  <c r="H128" i="3"/>
  <c r="F128" i="3"/>
  <c r="D128" i="3"/>
  <c r="B128" i="3"/>
  <c r="O127" i="3"/>
  <c r="L127" i="3"/>
  <c r="J127" i="3"/>
  <c r="H127" i="3"/>
  <c r="F127" i="3"/>
  <c r="D127" i="3"/>
  <c r="B127" i="3"/>
  <c r="O126" i="3"/>
  <c r="L126" i="3"/>
  <c r="J126" i="3"/>
  <c r="H126" i="3"/>
  <c r="F126" i="3"/>
  <c r="D126" i="3"/>
  <c r="B126" i="3"/>
  <c r="O125" i="3"/>
  <c r="L125" i="3"/>
  <c r="J125" i="3"/>
  <c r="H125" i="3"/>
  <c r="F125" i="3"/>
  <c r="D125" i="3"/>
  <c r="B125" i="3"/>
  <c r="O124" i="3"/>
  <c r="L124" i="3"/>
  <c r="J124" i="3"/>
  <c r="H124" i="3"/>
  <c r="F124" i="3"/>
  <c r="D124" i="3"/>
  <c r="B124" i="3"/>
  <c r="O123" i="3"/>
  <c r="L123" i="3"/>
  <c r="J123" i="3"/>
  <c r="H123" i="3"/>
  <c r="F123" i="3"/>
  <c r="D123" i="3"/>
  <c r="B123" i="3"/>
  <c r="O122" i="3"/>
  <c r="L122" i="3"/>
  <c r="J122" i="3"/>
  <c r="H122" i="3"/>
  <c r="F122" i="3"/>
  <c r="D122" i="3"/>
  <c r="B122" i="3"/>
  <c r="O121" i="3"/>
  <c r="L121" i="3"/>
  <c r="J121" i="3"/>
  <c r="H121" i="3"/>
  <c r="F121" i="3"/>
  <c r="D121" i="3"/>
  <c r="B121" i="3"/>
  <c r="O120" i="3"/>
  <c r="L120" i="3"/>
  <c r="J120" i="3"/>
  <c r="H120" i="3"/>
  <c r="F120" i="3"/>
  <c r="D120" i="3"/>
  <c r="B120" i="3"/>
  <c r="O119" i="3"/>
  <c r="L119" i="3"/>
  <c r="J119" i="3"/>
  <c r="H119" i="3"/>
  <c r="F119" i="3"/>
  <c r="D119" i="3"/>
  <c r="B119" i="3"/>
  <c r="O118" i="3"/>
  <c r="L118" i="3"/>
  <c r="J118" i="3"/>
  <c r="H118" i="3"/>
  <c r="F118" i="3"/>
  <c r="D118" i="3"/>
  <c r="B118" i="3"/>
  <c r="O117" i="3"/>
  <c r="L117" i="3"/>
  <c r="J117" i="3"/>
  <c r="H117" i="3"/>
  <c r="F117" i="3"/>
  <c r="D117" i="3"/>
  <c r="B117" i="3"/>
  <c r="O116" i="3"/>
  <c r="L116" i="3"/>
  <c r="J116" i="3"/>
  <c r="H116" i="3"/>
  <c r="F116" i="3"/>
  <c r="D116" i="3"/>
  <c r="B116" i="3"/>
  <c r="O115" i="3"/>
  <c r="L115" i="3"/>
  <c r="J115" i="3"/>
  <c r="H115" i="3"/>
  <c r="F115" i="3"/>
  <c r="D115" i="3"/>
  <c r="B115" i="3"/>
  <c r="O114" i="3"/>
  <c r="L114" i="3"/>
  <c r="J114" i="3"/>
  <c r="H114" i="3"/>
  <c r="F114" i="3"/>
  <c r="D114" i="3"/>
  <c r="B114" i="3"/>
  <c r="O113" i="3"/>
  <c r="L113" i="3"/>
  <c r="J113" i="3"/>
  <c r="H113" i="3"/>
  <c r="F113" i="3"/>
  <c r="D113" i="3"/>
  <c r="B113" i="3"/>
  <c r="O112" i="3"/>
  <c r="L112" i="3"/>
  <c r="J112" i="3"/>
  <c r="H112" i="3"/>
  <c r="F112" i="3"/>
  <c r="D112" i="3"/>
  <c r="B112" i="3"/>
  <c r="O111" i="3"/>
  <c r="L111" i="3"/>
  <c r="J111" i="3"/>
  <c r="H111" i="3"/>
  <c r="F111" i="3"/>
  <c r="D111" i="3"/>
  <c r="B111" i="3"/>
  <c r="O110" i="3"/>
  <c r="L110" i="3"/>
  <c r="J110" i="3"/>
  <c r="H110" i="3"/>
  <c r="F110" i="3"/>
  <c r="D110" i="3"/>
  <c r="B110" i="3"/>
  <c r="O109" i="3"/>
  <c r="L109" i="3"/>
  <c r="J109" i="3"/>
  <c r="H109" i="3"/>
  <c r="F109" i="3"/>
  <c r="D109" i="3"/>
  <c r="B109" i="3"/>
  <c r="O108" i="3"/>
  <c r="L108" i="3"/>
  <c r="J108" i="3"/>
  <c r="H108" i="3"/>
  <c r="F108" i="3"/>
  <c r="D108" i="3"/>
  <c r="B108" i="3"/>
  <c r="O107" i="3"/>
  <c r="L107" i="3"/>
  <c r="J107" i="3"/>
  <c r="H107" i="3"/>
  <c r="F107" i="3"/>
  <c r="D107" i="3"/>
  <c r="B107" i="3"/>
  <c r="O106" i="3"/>
  <c r="L106" i="3"/>
  <c r="J106" i="3"/>
  <c r="H106" i="3"/>
  <c r="F106" i="3"/>
  <c r="D106" i="3"/>
  <c r="B106" i="3"/>
  <c r="O105" i="3"/>
  <c r="L105" i="3"/>
  <c r="J105" i="3"/>
  <c r="H105" i="3"/>
  <c r="F105" i="3"/>
  <c r="D105" i="3"/>
  <c r="B105" i="3"/>
  <c r="O104" i="3"/>
  <c r="L104" i="3"/>
  <c r="J104" i="3"/>
  <c r="H104" i="3"/>
  <c r="F104" i="3"/>
  <c r="D104" i="3"/>
  <c r="B104" i="3"/>
  <c r="O103" i="3"/>
  <c r="L103" i="3"/>
  <c r="J103" i="3"/>
  <c r="H103" i="3"/>
  <c r="F103" i="3"/>
  <c r="D103" i="3"/>
  <c r="B103" i="3"/>
  <c r="O102" i="3"/>
  <c r="L102" i="3"/>
  <c r="J102" i="3"/>
  <c r="H102" i="3"/>
  <c r="F102" i="3"/>
  <c r="D102" i="3"/>
  <c r="B102" i="3"/>
  <c r="O101" i="3"/>
  <c r="L101" i="3"/>
  <c r="J101" i="3"/>
  <c r="H101" i="3"/>
  <c r="F101" i="3"/>
  <c r="D101" i="3"/>
  <c r="B101" i="3"/>
  <c r="O100" i="3"/>
  <c r="L100" i="3"/>
  <c r="J100" i="3"/>
  <c r="H100" i="3"/>
  <c r="F100" i="3"/>
  <c r="D100" i="3"/>
  <c r="B100" i="3"/>
  <c r="O99" i="3"/>
  <c r="L99" i="3"/>
  <c r="J99" i="3"/>
  <c r="H99" i="3"/>
  <c r="F99" i="3"/>
  <c r="D99" i="3"/>
  <c r="B99" i="3"/>
  <c r="O98" i="3"/>
  <c r="L98" i="3"/>
  <c r="J98" i="3"/>
  <c r="H98" i="3"/>
  <c r="F98" i="3"/>
  <c r="D98" i="3"/>
  <c r="B98" i="3"/>
  <c r="O97" i="3"/>
  <c r="L97" i="3"/>
  <c r="J97" i="3"/>
  <c r="H97" i="3"/>
  <c r="F97" i="3"/>
  <c r="D97" i="3"/>
  <c r="B97" i="3"/>
  <c r="O96" i="3"/>
  <c r="L96" i="3"/>
  <c r="J96" i="3"/>
  <c r="H96" i="3"/>
  <c r="F96" i="3"/>
  <c r="D96" i="3"/>
  <c r="B96" i="3"/>
  <c r="O95" i="3"/>
  <c r="L95" i="3"/>
  <c r="J95" i="3"/>
  <c r="H95" i="3"/>
  <c r="F95" i="3"/>
  <c r="D95" i="3"/>
  <c r="B95" i="3"/>
  <c r="O94" i="3"/>
  <c r="L94" i="3"/>
  <c r="J94" i="3"/>
  <c r="H94" i="3"/>
  <c r="F94" i="3"/>
  <c r="D94" i="3"/>
  <c r="B94" i="3"/>
  <c r="O93" i="3"/>
  <c r="L93" i="3"/>
  <c r="J93" i="3"/>
  <c r="H93" i="3"/>
  <c r="F93" i="3"/>
  <c r="D93" i="3"/>
  <c r="B93" i="3"/>
  <c r="O92" i="3"/>
  <c r="L92" i="3"/>
  <c r="J92" i="3"/>
  <c r="H92" i="3"/>
  <c r="F92" i="3"/>
  <c r="D92" i="3"/>
  <c r="B92" i="3"/>
  <c r="O91" i="3"/>
  <c r="L91" i="3"/>
  <c r="J91" i="3"/>
  <c r="H91" i="3"/>
  <c r="F91" i="3"/>
  <c r="D91" i="3"/>
  <c r="B91" i="3"/>
  <c r="O90" i="3"/>
  <c r="L90" i="3"/>
  <c r="J90" i="3"/>
  <c r="H90" i="3"/>
  <c r="F90" i="3"/>
  <c r="D90" i="3"/>
  <c r="B90" i="3"/>
  <c r="O89" i="3"/>
  <c r="L89" i="3"/>
  <c r="J89" i="3"/>
  <c r="H89" i="3"/>
  <c r="F89" i="3"/>
  <c r="D89" i="3"/>
  <c r="B89" i="3"/>
  <c r="O88" i="3"/>
  <c r="L88" i="3"/>
  <c r="J88" i="3"/>
  <c r="H88" i="3"/>
  <c r="F88" i="3"/>
  <c r="D88" i="3"/>
  <c r="B88" i="3"/>
  <c r="O87" i="3"/>
  <c r="L87" i="3"/>
  <c r="J87" i="3"/>
  <c r="H87" i="3"/>
  <c r="F87" i="3"/>
  <c r="D87" i="3"/>
  <c r="B87" i="3"/>
  <c r="O86" i="3"/>
  <c r="L86" i="3"/>
  <c r="J86" i="3"/>
  <c r="H86" i="3"/>
  <c r="F86" i="3"/>
  <c r="D86" i="3"/>
  <c r="B86" i="3"/>
  <c r="O85" i="3"/>
  <c r="L85" i="3"/>
  <c r="J85" i="3"/>
  <c r="H85" i="3"/>
  <c r="F85" i="3"/>
  <c r="D85" i="3"/>
  <c r="B85" i="3"/>
  <c r="O84" i="3"/>
  <c r="L84" i="3"/>
  <c r="J84" i="3"/>
  <c r="H84" i="3"/>
  <c r="F84" i="3"/>
  <c r="D84" i="3"/>
  <c r="B84" i="3"/>
  <c r="O83" i="3"/>
  <c r="L83" i="3"/>
  <c r="J83" i="3"/>
  <c r="H83" i="3"/>
  <c r="F83" i="3"/>
  <c r="D83" i="3"/>
  <c r="B83" i="3"/>
  <c r="O82" i="3"/>
  <c r="L82" i="3"/>
  <c r="J82" i="3"/>
  <c r="H82" i="3"/>
  <c r="F82" i="3"/>
  <c r="D82" i="3"/>
  <c r="B82" i="3"/>
  <c r="O81" i="3"/>
  <c r="L81" i="3"/>
  <c r="J81" i="3"/>
  <c r="H81" i="3"/>
  <c r="F81" i="3"/>
  <c r="D81" i="3"/>
  <c r="B81" i="3"/>
  <c r="O80" i="3"/>
  <c r="L80" i="3"/>
  <c r="J80" i="3"/>
  <c r="H80" i="3"/>
  <c r="F80" i="3"/>
  <c r="D80" i="3"/>
  <c r="B80" i="3"/>
  <c r="O79" i="3"/>
  <c r="L79" i="3"/>
  <c r="J79" i="3"/>
  <c r="H79" i="3"/>
  <c r="F79" i="3"/>
  <c r="D79" i="3"/>
  <c r="B79" i="3"/>
  <c r="O78" i="3"/>
  <c r="L78" i="3"/>
  <c r="J78" i="3"/>
  <c r="H78" i="3"/>
  <c r="F78" i="3"/>
  <c r="D78" i="3"/>
  <c r="B78" i="3"/>
  <c r="O77" i="3"/>
  <c r="L77" i="3"/>
  <c r="J77" i="3"/>
  <c r="H77" i="3"/>
  <c r="F77" i="3"/>
  <c r="D77" i="3"/>
  <c r="B77" i="3"/>
  <c r="O76" i="3"/>
  <c r="L76" i="3"/>
  <c r="J76" i="3"/>
  <c r="H76" i="3"/>
  <c r="F76" i="3"/>
  <c r="D76" i="3"/>
  <c r="B76" i="3"/>
  <c r="O75" i="3"/>
  <c r="L75" i="3"/>
  <c r="J75" i="3"/>
  <c r="H75" i="3"/>
  <c r="F75" i="3"/>
  <c r="D75" i="3"/>
  <c r="B75" i="3"/>
  <c r="O74" i="3"/>
  <c r="L74" i="3"/>
  <c r="J74" i="3"/>
  <c r="H74" i="3"/>
  <c r="F74" i="3"/>
  <c r="D74" i="3"/>
  <c r="B74" i="3"/>
  <c r="O73" i="3"/>
  <c r="L73" i="3"/>
  <c r="J73" i="3"/>
  <c r="H73" i="3"/>
  <c r="F73" i="3"/>
  <c r="D73" i="3"/>
  <c r="B73" i="3"/>
  <c r="O72" i="3"/>
  <c r="L72" i="3"/>
  <c r="J72" i="3"/>
  <c r="H72" i="3"/>
  <c r="F72" i="3"/>
  <c r="D72" i="3"/>
  <c r="B72" i="3"/>
  <c r="O71" i="3"/>
  <c r="L71" i="3"/>
  <c r="J71" i="3"/>
  <c r="H71" i="3"/>
  <c r="F71" i="3"/>
  <c r="D71" i="3"/>
  <c r="B71" i="3"/>
  <c r="O70" i="3"/>
  <c r="L70" i="3"/>
  <c r="J70" i="3"/>
  <c r="H70" i="3"/>
  <c r="F70" i="3"/>
  <c r="D70" i="3"/>
  <c r="B70" i="3"/>
  <c r="O69" i="3"/>
  <c r="L69" i="3"/>
  <c r="J69" i="3"/>
  <c r="H69" i="3"/>
  <c r="F69" i="3"/>
  <c r="D69" i="3"/>
  <c r="B69" i="3"/>
  <c r="O68" i="3"/>
  <c r="L68" i="3"/>
  <c r="J68" i="3"/>
  <c r="H68" i="3"/>
  <c r="F68" i="3"/>
  <c r="D68" i="3"/>
  <c r="B68" i="3"/>
  <c r="O67" i="3"/>
  <c r="L67" i="3"/>
  <c r="J67" i="3"/>
  <c r="H67" i="3"/>
  <c r="F67" i="3"/>
  <c r="D67" i="3"/>
  <c r="B67" i="3"/>
  <c r="O66" i="3"/>
  <c r="L66" i="3"/>
  <c r="J66" i="3"/>
  <c r="H66" i="3"/>
  <c r="F66" i="3"/>
  <c r="D66" i="3"/>
  <c r="B66" i="3"/>
  <c r="O65" i="3"/>
  <c r="L65" i="3"/>
  <c r="J65" i="3"/>
  <c r="H65" i="3"/>
  <c r="F65" i="3"/>
  <c r="D65" i="3"/>
  <c r="B65" i="3"/>
  <c r="O64" i="3"/>
  <c r="L64" i="3"/>
  <c r="J64" i="3"/>
  <c r="H64" i="3"/>
  <c r="F64" i="3"/>
  <c r="D64" i="3"/>
  <c r="B64" i="3"/>
  <c r="O63" i="3"/>
  <c r="L63" i="3"/>
  <c r="J63" i="3"/>
  <c r="H63" i="3"/>
  <c r="F63" i="3"/>
  <c r="D63" i="3"/>
  <c r="B63" i="3"/>
  <c r="O62" i="3"/>
  <c r="L62" i="3"/>
  <c r="J62" i="3"/>
  <c r="H62" i="3"/>
  <c r="F62" i="3"/>
  <c r="D62" i="3"/>
  <c r="B62" i="3"/>
  <c r="O61" i="3"/>
  <c r="L61" i="3"/>
  <c r="J61" i="3"/>
  <c r="H61" i="3"/>
  <c r="F61" i="3"/>
  <c r="D61" i="3"/>
  <c r="B61" i="3"/>
  <c r="O60" i="3"/>
  <c r="L60" i="3"/>
  <c r="J60" i="3"/>
  <c r="H60" i="3"/>
  <c r="F60" i="3"/>
  <c r="D60" i="3"/>
  <c r="B60" i="3"/>
  <c r="O59" i="3"/>
  <c r="L59" i="3"/>
  <c r="J59" i="3"/>
  <c r="H59" i="3"/>
  <c r="F59" i="3"/>
  <c r="D59" i="3"/>
  <c r="B59" i="3"/>
  <c r="O58" i="3"/>
  <c r="L58" i="3"/>
  <c r="J58" i="3"/>
  <c r="H58" i="3"/>
  <c r="F58" i="3"/>
  <c r="D58" i="3"/>
  <c r="B58" i="3"/>
  <c r="O57" i="3"/>
  <c r="L57" i="3"/>
  <c r="J57" i="3"/>
  <c r="H57" i="3"/>
  <c r="F57" i="3"/>
  <c r="D57" i="3"/>
  <c r="B57" i="3"/>
  <c r="O56" i="3"/>
  <c r="L56" i="3"/>
  <c r="J56" i="3"/>
  <c r="H56" i="3"/>
  <c r="F56" i="3"/>
  <c r="D56" i="3"/>
  <c r="B56" i="3"/>
  <c r="O55" i="3"/>
  <c r="L55" i="3"/>
  <c r="J55" i="3"/>
  <c r="H55" i="3"/>
  <c r="F55" i="3"/>
  <c r="D55" i="3"/>
  <c r="B55" i="3"/>
  <c r="O54" i="3"/>
  <c r="L54" i="3"/>
  <c r="J54" i="3"/>
  <c r="H54" i="3"/>
  <c r="F54" i="3"/>
  <c r="D54" i="3"/>
  <c r="B54" i="3"/>
  <c r="O53" i="3"/>
  <c r="L53" i="3"/>
  <c r="J53" i="3"/>
  <c r="H53" i="3"/>
  <c r="F53" i="3"/>
  <c r="D53" i="3"/>
  <c r="B53" i="3"/>
  <c r="O52" i="3"/>
  <c r="L52" i="3"/>
  <c r="J52" i="3"/>
  <c r="H52" i="3"/>
  <c r="F52" i="3"/>
  <c r="D52" i="3"/>
  <c r="B52" i="3"/>
  <c r="O51" i="3"/>
  <c r="L51" i="3"/>
  <c r="J51" i="3"/>
  <c r="H51" i="3"/>
  <c r="F51" i="3"/>
  <c r="D51" i="3"/>
  <c r="B51" i="3"/>
  <c r="O50" i="3"/>
  <c r="L50" i="3"/>
  <c r="J50" i="3"/>
  <c r="H50" i="3"/>
  <c r="F50" i="3"/>
  <c r="D50" i="3"/>
  <c r="B50" i="3"/>
  <c r="O49" i="3"/>
  <c r="L49" i="3"/>
  <c r="J49" i="3"/>
  <c r="H49" i="3"/>
  <c r="F49" i="3"/>
  <c r="D49" i="3"/>
  <c r="B49" i="3"/>
  <c r="O48" i="3"/>
  <c r="L48" i="3"/>
  <c r="J48" i="3"/>
  <c r="H48" i="3"/>
  <c r="F48" i="3"/>
  <c r="D48" i="3"/>
  <c r="B48" i="3"/>
  <c r="O47" i="3"/>
  <c r="L47" i="3"/>
  <c r="J47" i="3"/>
  <c r="H47" i="3"/>
  <c r="F47" i="3"/>
  <c r="D47" i="3"/>
  <c r="B47" i="3"/>
  <c r="O46" i="3"/>
  <c r="L46" i="3"/>
  <c r="J46" i="3"/>
  <c r="H46" i="3"/>
  <c r="F46" i="3"/>
  <c r="D46" i="3"/>
  <c r="B46" i="3"/>
  <c r="O45" i="3"/>
  <c r="L45" i="3"/>
  <c r="J45" i="3"/>
  <c r="H45" i="3"/>
  <c r="F45" i="3"/>
  <c r="D45" i="3"/>
  <c r="B45" i="3"/>
  <c r="O44" i="3"/>
  <c r="L44" i="3"/>
  <c r="J44" i="3"/>
  <c r="H44" i="3"/>
  <c r="F44" i="3"/>
  <c r="D44" i="3"/>
  <c r="B44" i="3"/>
  <c r="O43" i="3"/>
  <c r="L43" i="3"/>
  <c r="J43" i="3"/>
  <c r="H43" i="3"/>
  <c r="F43" i="3"/>
  <c r="D43" i="3"/>
  <c r="B43" i="3"/>
  <c r="O42" i="3"/>
  <c r="L42" i="3"/>
  <c r="J42" i="3"/>
  <c r="H42" i="3"/>
  <c r="F42" i="3"/>
  <c r="D42" i="3"/>
  <c r="B42" i="3"/>
  <c r="O41" i="3"/>
  <c r="L41" i="3"/>
  <c r="J41" i="3"/>
  <c r="H41" i="3"/>
  <c r="F41" i="3"/>
  <c r="D41" i="3"/>
  <c r="B41" i="3"/>
  <c r="O40" i="3"/>
  <c r="L40" i="3"/>
  <c r="J40" i="3"/>
  <c r="H40" i="3"/>
  <c r="F40" i="3"/>
  <c r="D40" i="3"/>
  <c r="B40" i="3"/>
  <c r="O39" i="3"/>
  <c r="L39" i="3"/>
  <c r="J39" i="3"/>
  <c r="H39" i="3"/>
  <c r="F39" i="3"/>
  <c r="D39" i="3"/>
  <c r="B39" i="3"/>
  <c r="O38" i="3"/>
  <c r="L38" i="3"/>
  <c r="J38" i="3"/>
  <c r="H38" i="3"/>
  <c r="F38" i="3"/>
  <c r="D38" i="3"/>
  <c r="B38" i="3"/>
  <c r="O37" i="3"/>
  <c r="L37" i="3"/>
  <c r="J37" i="3"/>
  <c r="H37" i="3"/>
  <c r="F37" i="3"/>
  <c r="D37" i="3"/>
  <c r="B37" i="3"/>
  <c r="O36" i="3"/>
  <c r="L36" i="3"/>
  <c r="J36" i="3"/>
  <c r="H36" i="3"/>
  <c r="F36" i="3"/>
  <c r="D36" i="3"/>
  <c r="B36" i="3"/>
  <c r="O35" i="3"/>
  <c r="L35" i="3"/>
  <c r="J35" i="3"/>
  <c r="H35" i="3"/>
  <c r="F35" i="3"/>
  <c r="D35" i="3"/>
  <c r="B35" i="3"/>
  <c r="O34" i="3"/>
  <c r="L34" i="3"/>
  <c r="J34" i="3"/>
  <c r="H34" i="3"/>
  <c r="F34" i="3"/>
  <c r="D34" i="3"/>
  <c r="B34" i="3"/>
  <c r="O33" i="3"/>
  <c r="L33" i="3"/>
  <c r="J33" i="3"/>
  <c r="H33" i="3"/>
  <c r="F33" i="3"/>
  <c r="D33" i="3"/>
  <c r="B33" i="3"/>
  <c r="O32" i="3"/>
  <c r="L32" i="3"/>
  <c r="J32" i="3"/>
  <c r="H32" i="3"/>
  <c r="F32" i="3"/>
  <c r="D32" i="3"/>
  <c r="B32" i="3"/>
  <c r="O31" i="3"/>
  <c r="L31" i="3"/>
  <c r="J31" i="3"/>
  <c r="H31" i="3"/>
  <c r="F31" i="3"/>
  <c r="D31" i="3"/>
  <c r="B31" i="3"/>
  <c r="O30" i="3"/>
  <c r="L30" i="3"/>
  <c r="J30" i="3"/>
  <c r="H30" i="3"/>
  <c r="F30" i="3"/>
  <c r="D30" i="3"/>
  <c r="B30" i="3"/>
  <c r="O29" i="3"/>
  <c r="L29" i="3"/>
  <c r="J29" i="3"/>
  <c r="H29" i="3"/>
  <c r="F29" i="3"/>
  <c r="D29" i="3"/>
  <c r="B29" i="3"/>
  <c r="O28" i="3"/>
  <c r="L28" i="3"/>
  <c r="J28" i="3"/>
  <c r="H28" i="3"/>
  <c r="F28" i="3"/>
  <c r="D28" i="3"/>
  <c r="B28" i="3"/>
  <c r="O27" i="3"/>
  <c r="L27" i="3"/>
  <c r="J27" i="3"/>
  <c r="H27" i="3"/>
  <c r="F27" i="3"/>
  <c r="D27" i="3"/>
  <c r="B27" i="3"/>
  <c r="O26" i="3"/>
  <c r="L26" i="3"/>
  <c r="J26" i="3"/>
  <c r="H26" i="3"/>
  <c r="F26" i="3"/>
  <c r="D26" i="3"/>
  <c r="B26" i="3"/>
  <c r="O25" i="3"/>
  <c r="L25" i="3"/>
  <c r="J25" i="3"/>
  <c r="H25" i="3"/>
  <c r="F25" i="3"/>
  <c r="D25" i="3"/>
  <c r="B25" i="3"/>
  <c r="O24" i="3"/>
  <c r="L24" i="3"/>
  <c r="J24" i="3"/>
  <c r="H24" i="3"/>
  <c r="F24" i="3"/>
  <c r="D24" i="3"/>
  <c r="B24" i="3"/>
  <c r="O23" i="3"/>
  <c r="L23" i="3"/>
  <c r="J23" i="3"/>
  <c r="H23" i="3"/>
  <c r="F23" i="3"/>
  <c r="D23" i="3"/>
  <c r="B23" i="3"/>
  <c r="O22" i="3"/>
  <c r="L22" i="3"/>
  <c r="J22" i="3"/>
  <c r="H22" i="3"/>
  <c r="F22" i="3"/>
  <c r="D22" i="3"/>
  <c r="B22" i="3"/>
  <c r="O21" i="3"/>
  <c r="L21" i="3"/>
  <c r="J21" i="3"/>
  <c r="H21" i="3"/>
  <c r="F21" i="3"/>
  <c r="D21" i="3"/>
  <c r="B21" i="3"/>
  <c r="O20" i="3"/>
  <c r="L20" i="3"/>
  <c r="J20" i="3"/>
  <c r="H20" i="3"/>
  <c r="F20" i="3"/>
  <c r="D20" i="3"/>
  <c r="B20" i="3"/>
  <c r="O19" i="3"/>
  <c r="L19" i="3"/>
  <c r="J19" i="3"/>
  <c r="H19" i="3"/>
  <c r="F19" i="3"/>
  <c r="D19" i="3"/>
  <c r="B19" i="3"/>
  <c r="O18" i="3"/>
  <c r="L18" i="3"/>
  <c r="J18" i="3"/>
  <c r="H18" i="3"/>
  <c r="F18" i="3"/>
  <c r="D18" i="3"/>
  <c r="B18" i="3"/>
  <c r="O17" i="3"/>
  <c r="L17" i="3"/>
  <c r="J17" i="3"/>
  <c r="H17" i="3"/>
  <c r="F17" i="3"/>
  <c r="D17" i="3"/>
  <c r="B17" i="3"/>
  <c r="O16" i="3"/>
  <c r="L16" i="3"/>
  <c r="J16" i="3"/>
  <c r="H16" i="3"/>
  <c r="F16" i="3"/>
  <c r="D16" i="3"/>
  <c r="B16" i="3"/>
  <c r="O15" i="3"/>
  <c r="L15" i="3"/>
  <c r="J15" i="3"/>
  <c r="H15" i="3"/>
  <c r="F15" i="3"/>
  <c r="D15" i="3"/>
  <c r="B15" i="3"/>
  <c r="O14" i="3"/>
  <c r="L14" i="3"/>
  <c r="J14" i="3"/>
  <c r="H14" i="3"/>
  <c r="F14" i="3"/>
  <c r="D14" i="3"/>
  <c r="B14" i="3"/>
  <c r="O13" i="3"/>
  <c r="L13" i="3"/>
  <c r="J13" i="3"/>
  <c r="H13" i="3"/>
  <c r="F13" i="3"/>
  <c r="D13" i="3"/>
  <c r="B13" i="3"/>
  <c r="O12" i="3"/>
  <c r="L12" i="3"/>
  <c r="J12" i="3"/>
  <c r="H12" i="3"/>
  <c r="F12" i="3"/>
  <c r="D12" i="3"/>
  <c r="B12" i="3"/>
  <c r="O11" i="3"/>
  <c r="L11" i="3"/>
  <c r="J11" i="3"/>
  <c r="H11" i="3"/>
  <c r="F11" i="3"/>
  <c r="D11" i="3"/>
  <c r="B11" i="3"/>
  <c r="O10" i="3"/>
  <c r="L10" i="3"/>
  <c r="J10" i="3"/>
  <c r="H10" i="3"/>
  <c r="F10" i="3"/>
  <c r="D10" i="3"/>
  <c r="B10" i="3"/>
  <c r="O9" i="3"/>
  <c r="L9" i="3"/>
  <c r="J9" i="3"/>
  <c r="H9" i="3"/>
  <c r="F9" i="3"/>
  <c r="D9" i="3"/>
  <c r="B9" i="3"/>
  <c r="O8" i="3"/>
  <c r="L8" i="3"/>
  <c r="J8" i="3"/>
  <c r="H8" i="3"/>
  <c r="F8" i="3"/>
  <c r="D8" i="3"/>
  <c r="B8" i="3"/>
  <c r="O7" i="3"/>
  <c r="L7" i="3"/>
  <c r="J7" i="3"/>
  <c r="H7" i="3"/>
  <c r="F7" i="3"/>
  <c r="D7" i="3"/>
  <c r="B7" i="3"/>
  <c r="O6" i="3"/>
  <c r="L6" i="3"/>
  <c r="J6" i="3"/>
  <c r="H6" i="3"/>
  <c r="F6" i="3"/>
  <c r="D6" i="3"/>
  <c r="B6" i="3"/>
  <c r="O5" i="3"/>
  <c r="L5" i="3"/>
  <c r="J5" i="3"/>
  <c r="H5" i="3"/>
  <c r="F5" i="3"/>
  <c r="D5" i="3"/>
  <c r="B5" i="3"/>
  <c r="O4" i="3"/>
  <c r="L4" i="3"/>
  <c r="J4" i="3"/>
  <c r="H4" i="3"/>
  <c r="F4" i="3"/>
  <c r="D4" i="3"/>
  <c r="B4" i="3"/>
  <c r="O3" i="3"/>
  <c r="L3" i="3"/>
  <c r="J3" i="3"/>
  <c r="H3" i="3"/>
  <c r="F3" i="3"/>
  <c r="D3" i="3"/>
  <c r="B3" i="3"/>
  <c r="O2" i="3"/>
  <c r="L2" i="3"/>
  <c r="J2" i="3"/>
  <c r="H2" i="3"/>
  <c r="F2" i="3"/>
  <c r="D2" i="3"/>
  <c r="B2" i="3"/>
  <c r="GV599" i="1"/>
  <c r="GF599" i="1"/>
  <c r="GE599" i="1"/>
  <c r="GD599" i="1"/>
  <c r="GB599" i="1"/>
  <c r="FZ599" i="1"/>
  <c r="FX599" i="1"/>
  <c r="FV599" i="1"/>
  <c r="FT599" i="1"/>
  <c r="FR599" i="1"/>
  <c r="FP599" i="1"/>
  <c r="FO599" i="1"/>
  <c r="FN599" i="1"/>
  <c r="FL599" i="1"/>
  <c r="FJ599" i="1"/>
  <c r="FH599" i="1"/>
  <c r="FG599" i="1"/>
  <c r="FF599" i="1"/>
  <c r="FD599" i="1"/>
  <c r="FB599" i="1"/>
  <c r="EZ599" i="1"/>
  <c r="EY599" i="1"/>
  <c r="EX599" i="1"/>
  <c r="EV599" i="1"/>
  <c r="ET599" i="1"/>
  <c r="ER599" i="1"/>
  <c r="EP599" i="1"/>
  <c r="EO599" i="1"/>
  <c r="EN599" i="1"/>
  <c r="EL599" i="1"/>
  <c r="EJ599" i="1"/>
  <c r="EH599" i="1"/>
  <c r="EG599" i="1"/>
  <c r="EF599" i="1"/>
  <c r="ED599" i="1"/>
  <c r="EB599" i="1"/>
  <c r="DZ599" i="1"/>
  <c r="DY599" i="1"/>
  <c r="DX599" i="1"/>
  <c r="DV599" i="1"/>
  <c r="DT599" i="1"/>
  <c r="DR599" i="1"/>
  <c r="DP599" i="1"/>
  <c r="DN599" i="1"/>
  <c r="DL599" i="1"/>
  <c r="DJ599" i="1"/>
  <c r="DH599" i="1"/>
  <c r="DF599" i="1"/>
  <c r="DD599" i="1"/>
  <c r="DB599" i="1"/>
  <c r="AK599" i="1"/>
  <c r="A599" i="1"/>
  <c r="GV598" i="1"/>
  <c r="GV597" i="1"/>
  <c r="GF597" i="1"/>
  <c r="GE597" i="1"/>
  <c r="GD597" i="1"/>
  <c r="GB597" i="1"/>
  <c r="FZ597" i="1"/>
  <c r="FX597" i="1"/>
  <c r="FV597" i="1"/>
  <c r="FT597" i="1"/>
  <c r="FR597" i="1"/>
  <c r="FP597" i="1"/>
  <c r="FO597" i="1"/>
  <c r="FN597" i="1"/>
  <c r="FL597" i="1"/>
  <c r="FJ597" i="1"/>
  <c r="FH597" i="1"/>
  <c r="FG597" i="1"/>
  <c r="FF597" i="1"/>
  <c r="FD597" i="1"/>
  <c r="FB597" i="1"/>
  <c r="EZ597" i="1"/>
  <c r="EY597" i="1"/>
  <c r="EX597" i="1"/>
  <c r="EV597" i="1"/>
  <c r="ET597" i="1"/>
  <c r="ER597" i="1"/>
  <c r="EP597" i="1"/>
  <c r="EO597" i="1"/>
  <c r="EN597" i="1"/>
  <c r="EL597" i="1"/>
  <c r="EJ597" i="1"/>
  <c r="EH597" i="1"/>
  <c r="EG597" i="1"/>
  <c r="EF597" i="1"/>
  <c r="ED597" i="1"/>
  <c r="EB597" i="1"/>
  <c r="DZ597" i="1"/>
  <c r="DY597" i="1"/>
  <c r="DX597" i="1"/>
  <c r="DV597" i="1"/>
  <c r="DT597" i="1"/>
  <c r="DR597" i="1"/>
  <c r="DP597" i="1"/>
  <c r="DN597" i="1"/>
  <c r="DL597" i="1"/>
  <c r="DJ597" i="1"/>
  <c r="DH597" i="1"/>
  <c r="DF597" i="1"/>
  <c r="DD597" i="1"/>
  <c r="DB597" i="1"/>
  <c r="AK597" i="1"/>
  <c r="A597" i="1"/>
  <c r="GV596" i="1"/>
  <c r="GF596" i="1"/>
  <c r="GE596" i="1"/>
  <c r="GD596" i="1"/>
  <c r="GB596" i="1"/>
  <c r="FZ596" i="1"/>
  <c r="FX596" i="1"/>
  <c r="FV596" i="1"/>
  <c r="FT596" i="1"/>
  <c r="FR596" i="1"/>
  <c r="FP596" i="1"/>
  <c r="FO596" i="1"/>
  <c r="FN596" i="1"/>
  <c r="FL596" i="1"/>
  <c r="FJ596" i="1"/>
  <c r="FH596" i="1"/>
  <c r="FG596" i="1"/>
  <c r="FF596" i="1"/>
  <c r="FD596" i="1"/>
  <c r="FB596" i="1"/>
  <c r="EZ596" i="1"/>
  <c r="EY596" i="1"/>
  <c r="EX596" i="1"/>
  <c r="EV596" i="1"/>
  <c r="ET596" i="1"/>
  <c r="ER596" i="1"/>
  <c r="EP596" i="1"/>
  <c r="EO596" i="1"/>
  <c r="EN596" i="1"/>
  <c r="EL596" i="1"/>
  <c r="EJ596" i="1"/>
  <c r="EH596" i="1"/>
  <c r="EG596" i="1"/>
  <c r="EF596" i="1"/>
  <c r="ED596" i="1"/>
  <c r="EB596" i="1"/>
  <c r="DZ596" i="1"/>
  <c r="DY596" i="1"/>
  <c r="DX596" i="1"/>
  <c r="DV596" i="1"/>
  <c r="DT596" i="1"/>
  <c r="DR596" i="1"/>
  <c r="DP596" i="1"/>
  <c r="DN596" i="1"/>
  <c r="DL596" i="1"/>
  <c r="DJ596" i="1"/>
  <c r="DH596" i="1"/>
  <c r="DF596" i="1"/>
  <c r="DD596" i="1"/>
  <c r="DB596" i="1"/>
  <c r="AK596" i="1"/>
  <c r="A596" i="1"/>
  <c r="GV595" i="1"/>
  <c r="GV594" i="1"/>
  <c r="GF594" i="1"/>
  <c r="GE594" i="1"/>
  <c r="GD594" i="1"/>
  <c r="GB594" i="1"/>
  <c r="FZ594" i="1"/>
  <c r="FX594" i="1"/>
  <c r="FV594" i="1"/>
  <c r="FT594" i="1"/>
  <c r="FR594" i="1"/>
  <c r="FP594" i="1"/>
  <c r="FO594" i="1"/>
  <c r="FN594" i="1"/>
  <c r="FL594" i="1"/>
  <c r="FJ594" i="1"/>
  <c r="FH594" i="1"/>
  <c r="FG594" i="1"/>
  <c r="FF594" i="1"/>
  <c r="FD594" i="1"/>
  <c r="FB594" i="1"/>
  <c r="EZ594" i="1"/>
  <c r="EY594" i="1"/>
  <c r="EX594" i="1"/>
  <c r="EV594" i="1"/>
  <c r="ET594" i="1"/>
  <c r="ER594" i="1"/>
  <c r="EP594" i="1"/>
  <c r="EO594" i="1"/>
  <c r="EN594" i="1"/>
  <c r="EL594" i="1"/>
  <c r="EJ594" i="1"/>
  <c r="EH594" i="1"/>
  <c r="EG594" i="1"/>
  <c r="EF594" i="1"/>
  <c r="ED594" i="1"/>
  <c r="EB594" i="1"/>
  <c r="DZ594" i="1"/>
  <c r="DY594" i="1"/>
  <c r="DX594" i="1"/>
  <c r="DV594" i="1"/>
  <c r="DT594" i="1"/>
  <c r="DR594" i="1"/>
  <c r="DP594" i="1"/>
  <c r="DN594" i="1"/>
  <c r="DL594" i="1"/>
  <c r="DJ594" i="1"/>
  <c r="DH594" i="1"/>
  <c r="DF594" i="1"/>
  <c r="DD594" i="1"/>
  <c r="DB594" i="1"/>
  <c r="AK594" i="1"/>
  <c r="A594" i="1"/>
  <c r="GV593" i="1"/>
  <c r="GF593" i="1"/>
  <c r="GE593" i="1"/>
  <c r="GD593" i="1"/>
  <c r="GB593" i="1"/>
  <c r="FZ593" i="1"/>
  <c r="FX593" i="1"/>
  <c r="FV593" i="1"/>
  <c r="FT593" i="1"/>
  <c r="FR593" i="1"/>
  <c r="FP593" i="1"/>
  <c r="FO593" i="1"/>
  <c r="FN593" i="1"/>
  <c r="FL593" i="1"/>
  <c r="FJ593" i="1"/>
  <c r="FH593" i="1"/>
  <c r="FG593" i="1"/>
  <c r="FF593" i="1"/>
  <c r="FD593" i="1"/>
  <c r="FB593" i="1"/>
  <c r="EZ593" i="1"/>
  <c r="EY593" i="1"/>
  <c r="EX593" i="1"/>
  <c r="EV593" i="1"/>
  <c r="ET593" i="1"/>
  <c r="ER593" i="1"/>
  <c r="EP593" i="1"/>
  <c r="EO593" i="1"/>
  <c r="EN593" i="1"/>
  <c r="EL593" i="1"/>
  <c r="EJ593" i="1"/>
  <c r="EH593" i="1"/>
  <c r="EG593" i="1"/>
  <c r="EF593" i="1"/>
  <c r="ED593" i="1"/>
  <c r="EB593" i="1"/>
  <c r="DZ593" i="1"/>
  <c r="DY593" i="1"/>
  <c r="DX593" i="1"/>
  <c r="DV593" i="1"/>
  <c r="DT593" i="1"/>
  <c r="DR593" i="1"/>
  <c r="DP593" i="1"/>
  <c r="DN593" i="1"/>
  <c r="DL593" i="1"/>
  <c r="DJ593" i="1"/>
  <c r="DH593" i="1"/>
  <c r="DF593" i="1"/>
  <c r="DD593" i="1"/>
  <c r="DB593" i="1"/>
  <c r="AK593" i="1"/>
  <c r="A593" i="1"/>
  <c r="GV592" i="1"/>
  <c r="GF592" i="1"/>
  <c r="GE592" i="1"/>
  <c r="GD592" i="1"/>
  <c r="GB592" i="1"/>
  <c r="FZ592" i="1"/>
  <c r="FX592" i="1"/>
  <c r="FV592" i="1"/>
  <c r="FT592" i="1"/>
  <c r="FR592" i="1"/>
  <c r="FP592" i="1"/>
  <c r="FO592" i="1"/>
  <c r="FN592" i="1"/>
  <c r="FL592" i="1"/>
  <c r="FJ592" i="1"/>
  <c r="FH592" i="1"/>
  <c r="FG592" i="1"/>
  <c r="FF592" i="1"/>
  <c r="FD592" i="1"/>
  <c r="FB592" i="1"/>
  <c r="EZ592" i="1"/>
  <c r="EY592" i="1"/>
  <c r="EX592" i="1"/>
  <c r="EV592" i="1"/>
  <c r="ET592" i="1"/>
  <c r="ER592" i="1"/>
  <c r="EP592" i="1"/>
  <c r="EO592" i="1"/>
  <c r="EN592" i="1"/>
  <c r="EL592" i="1"/>
  <c r="EJ592" i="1"/>
  <c r="EH592" i="1"/>
  <c r="EG592" i="1"/>
  <c r="EF592" i="1"/>
  <c r="ED592" i="1"/>
  <c r="EB592" i="1"/>
  <c r="DZ592" i="1"/>
  <c r="DY592" i="1"/>
  <c r="DX592" i="1"/>
  <c r="DV592" i="1"/>
  <c r="DT592" i="1"/>
  <c r="DR592" i="1"/>
  <c r="DP592" i="1"/>
  <c r="DN592" i="1"/>
  <c r="DL592" i="1"/>
  <c r="DJ592" i="1"/>
  <c r="DH592" i="1"/>
  <c r="DF592" i="1"/>
  <c r="DD592" i="1"/>
  <c r="DB592" i="1"/>
  <c r="AK592" i="1"/>
  <c r="A592" i="1"/>
  <c r="GV591" i="1"/>
  <c r="GV590" i="1"/>
  <c r="GF590" i="1"/>
  <c r="GE590" i="1"/>
  <c r="GD590" i="1"/>
  <c r="GB590" i="1"/>
  <c r="FZ590" i="1"/>
  <c r="FX590" i="1"/>
  <c r="FV590" i="1"/>
  <c r="FT590" i="1"/>
  <c r="FR590" i="1"/>
  <c r="FP590" i="1"/>
  <c r="FO590" i="1"/>
  <c r="FN590" i="1"/>
  <c r="FL590" i="1"/>
  <c r="FJ590" i="1"/>
  <c r="FH590" i="1"/>
  <c r="FG590" i="1"/>
  <c r="FF590" i="1"/>
  <c r="FD590" i="1"/>
  <c r="FB590" i="1"/>
  <c r="EZ590" i="1"/>
  <c r="EY590" i="1"/>
  <c r="EX590" i="1"/>
  <c r="EV590" i="1"/>
  <c r="ET590" i="1"/>
  <c r="ER590" i="1"/>
  <c r="EP590" i="1"/>
  <c r="EO590" i="1"/>
  <c r="EN590" i="1"/>
  <c r="EL590" i="1"/>
  <c r="EJ590" i="1"/>
  <c r="EH590" i="1"/>
  <c r="EG590" i="1"/>
  <c r="EF590" i="1"/>
  <c r="ED590" i="1"/>
  <c r="EB590" i="1"/>
  <c r="DZ590" i="1"/>
  <c r="DY590" i="1"/>
  <c r="DX590" i="1"/>
  <c r="DV590" i="1"/>
  <c r="DT590" i="1"/>
  <c r="DR590" i="1"/>
  <c r="DP590" i="1"/>
  <c r="DN590" i="1"/>
  <c r="DL590" i="1"/>
  <c r="DJ590" i="1"/>
  <c r="DH590" i="1"/>
  <c r="DF590" i="1"/>
  <c r="DD590" i="1"/>
  <c r="DB590" i="1"/>
  <c r="AK590" i="1"/>
  <c r="A590" i="1"/>
  <c r="GV589" i="1"/>
  <c r="GF589" i="1"/>
  <c r="GE589" i="1"/>
  <c r="GD589" i="1"/>
  <c r="GB589" i="1"/>
  <c r="FZ589" i="1"/>
  <c r="FX589" i="1"/>
  <c r="FV589" i="1"/>
  <c r="FT589" i="1"/>
  <c r="FR589" i="1"/>
  <c r="FP589" i="1"/>
  <c r="FO589" i="1"/>
  <c r="FN589" i="1"/>
  <c r="FL589" i="1"/>
  <c r="FJ589" i="1"/>
  <c r="FH589" i="1"/>
  <c r="FG589" i="1"/>
  <c r="FF589" i="1"/>
  <c r="FD589" i="1"/>
  <c r="FB589" i="1"/>
  <c r="EZ589" i="1"/>
  <c r="EY589" i="1"/>
  <c r="EX589" i="1"/>
  <c r="EV589" i="1"/>
  <c r="ET589" i="1"/>
  <c r="ER589" i="1"/>
  <c r="EP589" i="1"/>
  <c r="EO589" i="1"/>
  <c r="EN589" i="1"/>
  <c r="EL589" i="1"/>
  <c r="EJ589" i="1"/>
  <c r="EH589" i="1"/>
  <c r="EG589" i="1"/>
  <c r="EF589" i="1"/>
  <c r="ED589" i="1"/>
  <c r="EB589" i="1"/>
  <c r="DZ589" i="1"/>
  <c r="DY589" i="1"/>
  <c r="DX589" i="1"/>
  <c r="DV589" i="1"/>
  <c r="DT589" i="1"/>
  <c r="DR589" i="1"/>
  <c r="DP589" i="1"/>
  <c r="DN589" i="1"/>
  <c r="DL589" i="1"/>
  <c r="DJ589" i="1"/>
  <c r="DH589" i="1"/>
  <c r="DF589" i="1"/>
  <c r="DD589" i="1"/>
  <c r="DB589" i="1"/>
  <c r="AK589" i="1"/>
  <c r="A589" i="1"/>
  <c r="GV588" i="1"/>
  <c r="GF588" i="1"/>
  <c r="GE588" i="1"/>
  <c r="GD588" i="1"/>
  <c r="GB588" i="1"/>
  <c r="FZ588" i="1"/>
  <c r="FX588" i="1"/>
  <c r="FV588" i="1"/>
  <c r="FT588" i="1"/>
  <c r="FR588" i="1"/>
  <c r="FP588" i="1"/>
  <c r="FO588" i="1"/>
  <c r="FN588" i="1"/>
  <c r="FL588" i="1"/>
  <c r="FJ588" i="1"/>
  <c r="FH588" i="1"/>
  <c r="FG588" i="1"/>
  <c r="FF588" i="1"/>
  <c r="FD588" i="1"/>
  <c r="FB588" i="1"/>
  <c r="EZ588" i="1"/>
  <c r="EY588" i="1"/>
  <c r="EX588" i="1"/>
  <c r="EV588" i="1"/>
  <c r="ET588" i="1"/>
  <c r="ER588" i="1"/>
  <c r="EP588" i="1"/>
  <c r="EO588" i="1"/>
  <c r="EN588" i="1"/>
  <c r="EL588" i="1"/>
  <c r="EJ588" i="1"/>
  <c r="EH588" i="1"/>
  <c r="EG588" i="1"/>
  <c r="EF588" i="1"/>
  <c r="ED588" i="1"/>
  <c r="EB588" i="1"/>
  <c r="DZ588" i="1"/>
  <c r="DY588" i="1"/>
  <c r="DX588" i="1"/>
  <c r="DV588" i="1"/>
  <c r="DT588" i="1"/>
  <c r="DR588" i="1"/>
  <c r="DP588" i="1"/>
  <c r="DN588" i="1"/>
  <c r="DL588" i="1"/>
  <c r="DJ588" i="1"/>
  <c r="DH588" i="1"/>
  <c r="DF588" i="1"/>
  <c r="DD588" i="1"/>
  <c r="DB588" i="1"/>
  <c r="AK588" i="1"/>
  <c r="A588" i="1"/>
  <c r="GV587" i="1"/>
  <c r="GF587" i="1"/>
  <c r="GE587" i="1"/>
  <c r="GD587" i="1"/>
  <c r="GB587" i="1"/>
  <c r="FZ587" i="1"/>
  <c r="FX587" i="1"/>
  <c r="FV587" i="1"/>
  <c r="FT587" i="1"/>
  <c r="FR587" i="1"/>
  <c r="FP587" i="1"/>
  <c r="FO587" i="1"/>
  <c r="FN587" i="1"/>
  <c r="FL587" i="1"/>
  <c r="FJ587" i="1"/>
  <c r="FH587" i="1"/>
  <c r="FG587" i="1"/>
  <c r="FF587" i="1"/>
  <c r="FD587" i="1"/>
  <c r="FB587" i="1"/>
  <c r="EZ587" i="1"/>
  <c r="EY587" i="1"/>
  <c r="EX587" i="1"/>
  <c r="EV587" i="1"/>
  <c r="ET587" i="1"/>
  <c r="ER587" i="1"/>
  <c r="EP587" i="1"/>
  <c r="EO587" i="1"/>
  <c r="EN587" i="1"/>
  <c r="EL587" i="1"/>
  <c r="EJ587" i="1"/>
  <c r="EH587" i="1"/>
  <c r="EG587" i="1"/>
  <c r="EF587" i="1"/>
  <c r="ED587" i="1"/>
  <c r="EB587" i="1"/>
  <c r="DZ587" i="1"/>
  <c r="DY587" i="1"/>
  <c r="DX587" i="1"/>
  <c r="DV587" i="1"/>
  <c r="DT587" i="1"/>
  <c r="DR587" i="1"/>
  <c r="DP587" i="1"/>
  <c r="DN587" i="1"/>
  <c r="DL587" i="1"/>
  <c r="DJ587" i="1"/>
  <c r="DH587" i="1"/>
  <c r="DF587" i="1"/>
  <c r="DD587" i="1"/>
  <c r="DB587" i="1"/>
  <c r="AK587" i="1"/>
  <c r="A587" i="1"/>
  <c r="GV586" i="1"/>
  <c r="GF586" i="1"/>
  <c r="GE586" i="1"/>
  <c r="GD586" i="1"/>
  <c r="GB586" i="1"/>
  <c r="FZ586" i="1"/>
  <c r="FX586" i="1"/>
  <c r="FV586" i="1"/>
  <c r="FT586" i="1"/>
  <c r="FR586" i="1"/>
  <c r="FP586" i="1"/>
  <c r="FO586" i="1"/>
  <c r="FN586" i="1"/>
  <c r="FL586" i="1"/>
  <c r="FJ586" i="1"/>
  <c r="FH586" i="1"/>
  <c r="FG586" i="1"/>
  <c r="FF586" i="1"/>
  <c r="FD586" i="1"/>
  <c r="FB586" i="1"/>
  <c r="EZ586" i="1"/>
  <c r="EY586" i="1"/>
  <c r="EX586" i="1"/>
  <c r="EV586" i="1"/>
  <c r="ET586" i="1"/>
  <c r="ER586" i="1"/>
  <c r="EP586" i="1"/>
  <c r="EO586" i="1"/>
  <c r="EN586" i="1"/>
  <c r="EL586" i="1"/>
  <c r="EJ586" i="1"/>
  <c r="EH586" i="1"/>
  <c r="EG586" i="1"/>
  <c r="EF586" i="1"/>
  <c r="ED586" i="1"/>
  <c r="EB586" i="1"/>
  <c r="DZ586" i="1"/>
  <c r="DY586" i="1"/>
  <c r="DX586" i="1"/>
  <c r="DV586" i="1"/>
  <c r="DT586" i="1"/>
  <c r="DR586" i="1"/>
  <c r="DP586" i="1"/>
  <c r="DN586" i="1"/>
  <c r="DL586" i="1"/>
  <c r="DJ586" i="1"/>
  <c r="DH586" i="1"/>
  <c r="DF586" i="1"/>
  <c r="DD586" i="1"/>
  <c r="DB586" i="1"/>
  <c r="AK586" i="1"/>
  <c r="A586" i="1"/>
  <c r="GV585" i="1"/>
  <c r="GF585" i="1"/>
  <c r="GE585" i="1"/>
  <c r="GD585" i="1"/>
  <c r="GB585" i="1"/>
  <c r="FZ585" i="1"/>
  <c r="FX585" i="1"/>
  <c r="FV585" i="1"/>
  <c r="FT585" i="1"/>
  <c r="FR585" i="1"/>
  <c r="FP585" i="1"/>
  <c r="FO585" i="1"/>
  <c r="FN585" i="1"/>
  <c r="FL585" i="1"/>
  <c r="FJ585" i="1"/>
  <c r="FH585" i="1"/>
  <c r="FG585" i="1"/>
  <c r="FF585" i="1"/>
  <c r="FD585" i="1"/>
  <c r="FB585" i="1"/>
  <c r="EZ585" i="1"/>
  <c r="EY585" i="1"/>
  <c r="EX585" i="1"/>
  <c r="EV585" i="1"/>
  <c r="ET585" i="1"/>
  <c r="ER585" i="1"/>
  <c r="EP585" i="1"/>
  <c r="EO585" i="1"/>
  <c r="EN585" i="1"/>
  <c r="EL585" i="1"/>
  <c r="EJ585" i="1"/>
  <c r="EH585" i="1"/>
  <c r="EG585" i="1"/>
  <c r="EF585" i="1"/>
  <c r="ED585" i="1"/>
  <c r="EB585" i="1"/>
  <c r="DZ585" i="1"/>
  <c r="DY585" i="1"/>
  <c r="DX585" i="1"/>
  <c r="DV585" i="1"/>
  <c r="DT585" i="1"/>
  <c r="DR585" i="1"/>
  <c r="DP585" i="1"/>
  <c r="DN585" i="1"/>
  <c r="DL585" i="1"/>
  <c r="DJ585" i="1"/>
  <c r="DH585" i="1"/>
  <c r="DF585" i="1"/>
  <c r="DD585" i="1"/>
  <c r="DB585" i="1"/>
  <c r="AK585" i="1"/>
  <c r="A585" i="1"/>
  <c r="GV584" i="1"/>
  <c r="GF584" i="1"/>
  <c r="GE584" i="1"/>
  <c r="GD584" i="1"/>
  <c r="GB584" i="1"/>
  <c r="FZ584" i="1"/>
  <c r="FX584" i="1"/>
  <c r="FV584" i="1"/>
  <c r="FT584" i="1"/>
  <c r="FR584" i="1"/>
  <c r="FP584" i="1"/>
  <c r="FO584" i="1"/>
  <c r="FN584" i="1"/>
  <c r="FL584" i="1"/>
  <c r="FJ584" i="1"/>
  <c r="FH584" i="1"/>
  <c r="FG584" i="1"/>
  <c r="FF584" i="1"/>
  <c r="FD584" i="1"/>
  <c r="FB584" i="1"/>
  <c r="EZ584" i="1"/>
  <c r="EY584" i="1"/>
  <c r="EX584" i="1"/>
  <c r="EV584" i="1"/>
  <c r="ET584" i="1"/>
  <c r="ER584" i="1"/>
  <c r="EP584" i="1"/>
  <c r="EO584" i="1"/>
  <c r="EN584" i="1"/>
  <c r="EL584" i="1"/>
  <c r="EJ584" i="1"/>
  <c r="EH584" i="1"/>
  <c r="EG584" i="1"/>
  <c r="EF584" i="1"/>
  <c r="ED584" i="1"/>
  <c r="EB584" i="1"/>
  <c r="DZ584" i="1"/>
  <c r="DY584" i="1"/>
  <c r="DX584" i="1"/>
  <c r="DV584" i="1"/>
  <c r="DT584" i="1"/>
  <c r="DR584" i="1"/>
  <c r="DP584" i="1"/>
  <c r="DN584" i="1"/>
  <c r="DL584" i="1"/>
  <c r="DJ584" i="1"/>
  <c r="DH584" i="1"/>
  <c r="DF584" i="1"/>
  <c r="DD584" i="1"/>
  <c r="DB584" i="1"/>
  <c r="AK584" i="1"/>
  <c r="A584" i="1"/>
  <c r="GV583" i="1"/>
  <c r="GF583" i="1"/>
  <c r="GE583" i="1"/>
  <c r="GD583" i="1"/>
  <c r="GB583" i="1"/>
  <c r="FZ583" i="1"/>
  <c r="FX583" i="1"/>
  <c r="FV583" i="1"/>
  <c r="FT583" i="1"/>
  <c r="FR583" i="1"/>
  <c r="FP583" i="1"/>
  <c r="FO583" i="1"/>
  <c r="FN583" i="1"/>
  <c r="FL583" i="1"/>
  <c r="FJ583" i="1"/>
  <c r="FH583" i="1"/>
  <c r="FG583" i="1"/>
  <c r="FF583" i="1"/>
  <c r="FD583" i="1"/>
  <c r="FB583" i="1"/>
  <c r="EZ583" i="1"/>
  <c r="EY583" i="1"/>
  <c r="EX583" i="1"/>
  <c r="EV583" i="1"/>
  <c r="ET583" i="1"/>
  <c r="ER583" i="1"/>
  <c r="EP583" i="1"/>
  <c r="EO583" i="1"/>
  <c r="EN583" i="1"/>
  <c r="EL583" i="1"/>
  <c r="EJ583" i="1"/>
  <c r="EH583" i="1"/>
  <c r="EG583" i="1"/>
  <c r="EF583" i="1"/>
  <c r="ED583" i="1"/>
  <c r="EB583" i="1"/>
  <c r="DZ583" i="1"/>
  <c r="DY583" i="1"/>
  <c r="DX583" i="1"/>
  <c r="DV583" i="1"/>
  <c r="DT583" i="1"/>
  <c r="DR583" i="1"/>
  <c r="DP583" i="1"/>
  <c r="DN583" i="1"/>
  <c r="DL583" i="1"/>
  <c r="DJ583" i="1"/>
  <c r="DH583" i="1"/>
  <c r="DF583" i="1"/>
  <c r="DD583" i="1"/>
  <c r="DB583" i="1"/>
  <c r="AK583" i="1"/>
  <c r="A583" i="1"/>
  <c r="GV582" i="1"/>
  <c r="GF582" i="1"/>
  <c r="GE582" i="1"/>
  <c r="GD582" i="1"/>
  <c r="GB582" i="1"/>
  <c r="FZ582" i="1"/>
  <c r="FX582" i="1"/>
  <c r="FV582" i="1"/>
  <c r="FT582" i="1"/>
  <c r="FR582" i="1"/>
  <c r="FP582" i="1"/>
  <c r="FO582" i="1"/>
  <c r="FN582" i="1"/>
  <c r="FL582" i="1"/>
  <c r="FJ582" i="1"/>
  <c r="FH582" i="1"/>
  <c r="FG582" i="1"/>
  <c r="FF582" i="1"/>
  <c r="FD582" i="1"/>
  <c r="FB582" i="1"/>
  <c r="EZ582" i="1"/>
  <c r="EY582" i="1"/>
  <c r="EX582" i="1"/>
  <c r="EV582" i="1"/>
  <c r="ET582" i="1"/>
  <c r="ER582" i="1"/>
  <c r="EP582" i="1"/>
  <c r="EO582" i="1"/>
  <c r="EN582" i="1"/>
  <c r="EL582" i="1"/>
  <c r="EJ582" i="1"/>
  <c r="EH582" i="1"/>
  <c r="EG582" i="1"/>
  <c r="EF582" i="1"/>
  <c r="ED582" i="1"/>
  <c r="EB582" i="1"/>
  <c r="DZ582" i="1"/>
  <c r="DY582" i="1"/>
  <c r="DX582" i="1"/>
  <c r="DV582" i="1"/>
  <c r="DT582" i="1"/>
  <c r="DR582" i="1"/>
  <c r="DP582" i="1"/>
  <c r="DN582" i="1"/>
  <c r="DL582" i="1"/>
  <c r="DJ582" i="1"/>
  <c r="DH582" i="1"/>
  <c r="DF582" i="1"/>
  <c r="DD582" i="1"/>
  <c r="DB582" i="1"/>
  <c r="AK582" i="1"/>
  <c r="A582" i="1"/>
  <c r="GV581" i="1"/>
  <c r="GF581" i="1"/>
  <c r="GE581" i="1"/>
  <c r="GD581" i="1"/>
  <c r="GB581" i="1"/>
  <c r="FZ581" i="1"/>
  <c r="FX581" i="1"/>
  <c r="FV581" i="1"/>
  <c r="FT581" i="1"/>
  <c r="FR581" i="1"/>
  <c r="FP581" i="1"/>
  <c r="FO581" i="1"/>
  <c r="FN581" i="1"/>
  <c r="FL581" i="1"/>
  <c r="FJ581" i="1"/>
  <c r="FH581" i="1"/>
  <c r="FG581" i="1"/>
  <c r="FF581" i="1"/>
  <c r="FD581" i="1"/>
  <c r="FB581" i="1"/>
  <c r="EZ581" i="1"/>
  <c r="EY581" i="1"/>
  <c r="EX581" i="1"/>
  <c r="EV581" i="1"/>
  <c r="ET581" i="1"/>
  <c r="ER581" i="1"/>
  <c r="EP581" i="1"/>
  <c r="EO581" i="1"/>
  <c r="EN581" i="1"/>
  <c r="EL581" i="1"/>
  <c r="EJ581" i="1"/>
  <c r="EH581" i="1"/>
  <c r="EG581" i="1"/>
  <c r="EF581" i="1"/>
  <c r="ED581" i="1"/>
  <c r="EB581" i="1"/>
  <c r="DZ581" i="1"/>
  <c r="DY581" i="1"/>
  <c r="DX581" i="1"/>
  <c r="DV581" i="1"/>
  <c r="DT581" i="1"/>
  <c r="DR581" i="1"/>
  <c r="DP581" i="1"/>
  <c r="DN581" i="1"/>
  <c r="DL581" i="1"/>
  <c r="DJ581" i="1"/>
  <c r="DH581" i="1"/>
  <c r="DF581" i="1"/>
  <c r="DD581" i="1"/>
  <c r="DB581" i="1"/>
  <c r="AK581" i="1"/>
  <c r="A581" i="1"/>
  <c r="GV580" i="1"/>
  <c r="GV579" i="1"/>
  <c r="GF579" i="1"/>
  <c r="GE579" i="1"/>
  <c r="GD579" i="1"/>
  <c r="GB579" i="1"/>
  <c r="FZ579" i="1"/>
  <c r="FX579" i="1"/>
  <c r="FV579" i="1"/>
  <c r="FT579" i="1"/>
  <c r="FR579" i="1"/>
  <c r="FP579" i="1"/>
  <c r="FO579" i="1"/>
  <c r="FN579" i="1"/>
  <c r="FL579" i="1"/>
  <c r="FJ579" i="1"/>
  <c r="FH579" i="1"/>
  <c r="FG579" i="1"/>
  <c r="FF579" i="1"/>
  <c r="FD579" i="1"/>
  <c r="FB579" i="1"/>
  <c r="EZ579" i="1"/>
  <c r="EY579" i="1"/>
  <c r="EX579" i="1"/>
  <c r="EV579" i="1"/>
  <c r="ET579" i="1"/>
  <c r="ER579" i="1"/>
  <c r="EP579" i="1"/>
  <c r="EO579" i="1"/>
  <c r="EN579" i="1"/>
  <c r="EL579" i="1"/>
  <c r="EJ579" i="1"/>
  <c r="EH579" i="1"/>
  <c r="EG579" i="1"/>
  <c r="EF579" i="1"/>
  <c r="ED579" i="1"/>
  <c r="EB579" i="1"/>
  <c r="DZ579" i="1"/>
  <c r="DY579" i="1"/>
  <c r="DX579" i="1"/>
  <c r="DV579" i="1"/>
  <c r="DT579" i="1"/>
  <c r="DR579" i="1"/>
  <c r="DP579" i="1"/>
  <c r="DN579" i="1"/>
  <c r="DL579" i="1"/>
  <c r="DJ579" i="1"/>
  <c r="DH579" i="1"/>
  <c r="DF579" i="1"/>
  <c r="DD579" i="1"/>
  <c r="DB579" i="1"/>
  <c r="AK579" i="1"/>
  <c r="A579" i="1"/>
  <c r="GV578" i="1"/>
  <c r="GF578" i="1"/>
  <c r="GE578" i="1"/>
  <c r="GD578" i="1"/>
  <c r="GB578" i="1"/>
  <c r="FZ578" i="1"/>
  <c r="FX578" i="1"/>
  <c r="FV578" i="1"/>
  <c r="FT578" i="1"/>
  <c r="FR578" i="1"/>
  <c r="FP578" i="1"/>
  <c r="FO578" i="1"/>
  <c r="FN578" i="1"/>
  <c r="FL578" i="1"/>
  <c r="FJ578" i="1"/>
  <c r="FH578" i="1"/>
  <c r="FG578" i="1"/>
  <c r="FF578" i="1"/>
  <c r="FD578" i="1"/>
  <c r="FB578" i="1"/>
  <c r="EZ578" i="1"/>
  <c r="EY578" i="1"/>
  <c r="EX578" i="1"/>
  <c r="EV578" i="1"/>
  <c r="ET578" i="1"/>
  <c r="ER578" i="1"/>
  <c r="EP578" i="1"/>
  <c r="EO578" i="1"/>
  <c r="EN578" i="1"/>
  <c r="EL578" i="1"/>
  <c r="EJ578" i="1"/>
  <c r="EH578" i="1"/>
  <c r="EG578" i="1"/>
  <c r="EF578" i="1"/>
  <c r="ED578" i="1"/>
  <c r="EB578" i="1"/>
  <c r="DZ578" i="1"/>
  <c r="DY578" i="1"/>
  <c r="DX578" i="1"/>
  <c r="DV578" i="1"/>
  <c r="DT578" i="1"/>
  <c r="DR578" i="1"/>
  <c r="DP578" i="1"/>
  <c r="DN578" i="1"/>
  <c r="DL578" i="1"/>
  <c r="DJ578" i="1"/>
  <c r="DH578" i="1"/>
  <c r="DF578" i="1"/>
  <c r="DD578" i="1"/>
  <c r="DB578" i="1"/>
  <c r="AK578" i="1"/>
  <c r="A578" i="1"/>
  <c r="GV577" i="1"/>
  <c r="GF577" i="1"/>
  <c r="GE577" i="1"/>
  <c r="GD577" i="1"/>
  <c r="GB577" i="1"/>
  <c r="FZ577" i="1"/>
  <c r="FX577" i="1"/>
  <c r="FV577" i="1"/>
  <c r="FT577" i="1"/>
  <c r="FR577" i="1"/>
  <c r="FP577" i="1"/>
  <c r="FO577" i="1"/>
  <c r="FN577" i="1"/>
  <c r="FL577" i="1"/>
  <c r="FJ577" i="1"/>
  <c r="FH577" i="1"/>
  <c r="FG577" i="1"/>
  <c r="FF577" i="1"/>
  <c r="FD577" i="1"/>
  <c r="FB577" i="1"/>
  <c r="EZ577" i="1"/>
  <c r="EY577" i="1"/>
  <c r="EX577" i="1"/>
  <c r="EV577" i="1"/>
  <c r="ET577" i="1"/>
  <c r="ER577" i="1"/>
  <c r="EP577" i="1"/>
  <c r="EO577" i="1"/>
  <c r="EN577" i="1"/>
  <c r="EL577" i="1"/>
  <c r="EJ577" i="1"/>
  <c r="EH577" i="1"/>
  <c r="EG577" i="1"/>
  <c r="EF577" i="1"/>
  <c r="ED577" i="1"/>
  <c r="EB577" i="1"/>
  <c r="DZ577" i="1"/>
  <c r="DY577" i="1"/>
  <c r="DX577" i="1"/>
  <c r="DV577" i="1"/>
  <c r="DT577" i="1"/>
  <c r="DR577" i="1"/>
  <c r="DP577" i="1"/>
  <c r="DN577" i="1"/>
  <c r="DL577" i="1"/>
  <c r="DJ577" i="1"/>
  <c r="DH577" i="1"/>
  <c r="DF577" i="1"/>
  <c r="DD577" i="1"/>
  <c r="DB577" i="1"/>
  <c r="AK577" i="1"/>
  <c r="A577" i="1"/>
  <c r="GV576" i="1"/>
  <c r="GF576" i="1"/>
  <c r="GE576" i="1"/>
  <c r="GD576" i="1"/>
  <c r="GB576" i="1"/>
  <c r="FZ576" i="1"/>
  <c r="FX576" i="1"/>
  <c r="FV576" i="1"/>
  <c r="FT576" i="1"/>
  <c r="FR576" i="1"/>
  <c r="FP576" i="1"/>
  <c r="FO576" i="1"/>
  <c r="FN576" i="1"/>
  <c r="FL576" i="1"/>
  <c r="FJ576" i="1"/>
  <c r="FH576" i="1"/>
  <c r="FG576" i="1"/>
  <c r="FF576" i="1"/>
  <c r="FD576" i="1"/>
  <c r="FB576" i="1"/>
  <c r="EZ576" i="1"/>
  <c r="EY576" i="1"/>
  <c r="EX576" i="1"/>
  <c r="EV576" i="1"/>
  <c r="ET576" i="1"/>
  <c r="ER576" i="1"/>
  <c r="EP576" i="1"/>
  <c r="EO576" i="1"/>
  <c r="EN576" i="1"/>
  <c r="EL576" i="1"/>
  <c r="EJ576" i="1"/>
  <c r="EH576" i="1"/>
  <c r="EG576" i="1"/>
  <c r="EF576" i="1"/>
  <c r="ED576" i="1"/>
  <c r="EB576" i="1"/>
  <c r="DZ576" i="1"/>
  <c r="DY576" i="1"/>
  <c r="DX576" i="1"/>
  <c r="DV576" i="1"/>
  <c r="DT576" i="1"/>
  <c r="DR576" i="1"/>
  <c r="DP576" i="1"/>
  <c r="DN576" i="1"/>
  <c r="DL576" i="1"/>
  <c r="DJ576" i="1"/>
  <c r="DH576" i="1"/>
  <c r="DF576" i="1"/>
  <c r="DD576" i="1"/>
  <c r="DB576" i="1"/>
  <c r="AK576" i="1"/>
  <c r="A576" i="1"/>
  <c r="GV575" i="1"/>
  <c r="GF575" i="1"/>
  <c r="GE575" i="1"/>
  <c r="GD575" i="1"/>
  <c r="GB575" i="1"/>
  <c r="FZ575" i="1"/>
  <c r="FX575" i="1"/>
  <c r="FV575" i="1"/>
  <c r="FT575" i="1"/>
  <c r="FR575" i="1"/>
  <c r="FP575" i="1"/>
  <c r="FO575" i="1"/>
  <c r="FN575" i="1"/>
  <c r="FL575" i="1"/>
  <c r="FJ575" i="1"/>
  <c r="FH575" i="1"/>
  <c r="FG575" i="1"/>
  <c r="FF575" i="1"/>
  <c r="FD575" i="1"/>
  <c r="FB575" i="1"/>
  <c r="EZ575" i="1"/>
  <c r="EY575" i="1"/>
  <c r="EX575" i="1"/>
  <c r="EV575" i="1"/>
  <c r="ET575" i="1"/>
  <c r="ER575" i="1"/>
  <c r="EP575" i="1"/>
  <c r="EO575" i="1"/>
  <c r="EN575" i="1"/>
  <c r="EL575" i="1"/>
  <c r="EJ575" i="1"/>
  <c r="EH575" i="1"/>
  <c r="EG575" i="1"/>
  <c r="EF575" i="1"/>
  <c r="ED575" i="1"/>
  <c r="EB575" i="1"/>
  <c r="DZ575" i="1"/>
  <c r="DY575" i="1"/>
  <c r="DX575" i="1"/>
  <c r="DV575" i="1"/>
  <c r="DT575" i="1"/>
  <c r="DR575" i="1"/>
  <c r="DP575" i="1"/>
  <c r="DN575" i="1"/>
  <c r="DL575" i="1"/>
  <c r="DJ575" i="1"/>
  <c r="DH575" i="1"/>
  <c r="DF575" i="1"/>
  <c r="DD575" i="1"/>
  <c r="DB575" i="1"/>
  <c r="AK575" i="1"/>
  <c r="A575" i="1"/>
  <c r="GV574" i="1"/>
  <c r="GF574" i="1"/>
  <c r="GE574" i="1"/>
  <c r="GD574" i="1"/>
  <c r="GB574" i="1"/>
  <c r="FZ574" i="1"/>
  <c r="FX574" i="1"/>
  <c r="FV574" i="1"/>
  <c r="FT574" i="1"/>
  <c r="FR574" i="1"/>
  <c r="FP574" i="1"/>
  <c r="FO574" i="1"/>
  <c r="FN574" i="1"/>
  <c r="FL574" i="1"/>
  <c r="FJ574" i="1"/>
  <c r="FH574" i="1"/>
  <c r="FG574" i="1"/>
  <c r="FF574" i="1"/>
  <c r="FD574" i="1"/>
  <c r="FB574" i="1"/>
  <c r="EZ574" i="1"/>
  <c r="EY574" i="1"/>
  <c r="EX574" i="1"/>
  <c r="EV574" i="1"/>
  <c r="ET574" i="1"/>
  <c r="ER574" i="1"/>
  <c r="EP574" i="1"/>
  <c r="EO574" i="1"/>
  <c r="EN574" i="1"/>
  <c r="EL574" i="1"/>
  <c r="EJ574" i="1"/>
  <c r="EH574" i="1"/>
  <c r="EG574" i="1"/>
  <c r="EF574" i="1"/>
  <c r="ED574" i="1"/>
  <c r="EB574" i="1"/>
  <c r="DZ574" i="1"/>
  <c r="DY574" i="1"/>
  <c r="DX574" i="1"/>
  <c r="DV574" i="1"/>
  <c r="DT574" i="1"/>
  <c r="DR574" i="1"/>
  <c r="DP574" i="1"/>
  <c r="DN574" i="1"/>
  <c r="DL574" i="1"/>
  <c r="DJ574" i="1"/>
  <c r="DH574" i="1"/>
  <c r="DF574" i="1"/>
  <c r="DD574" i="1"/>
  <c r="DB574" i="1"/>
  <c r="AK574" i="1"/>
  <c r="A574" i="1"/>
  <c r="GV573" i="1"/>
  <c r="GV572" i="1"/>
  <c r="GF572" i="1"/>
  <c r="GE572" i="1"/>
  <c r="GD572" i="1"/>
  <c r="GB572" i="1"/>
  <c r="FZ572" i="1"/>
  <c r="FX572" i="1"/>
  <c r="FV572" i="1"/>
  <c r="FT572" i="1"/>
  <c r="FR572" i="1"/>
  <c r="FP572" i="1"/>
  <c r="FO572" i="1"/>
  <c r="FN572" i="1"/>
  <c r="FL572" i="1"/>
  <c r="FJ572" i="1"/>
  <c r="FH572" i="1"/>
  <c r="FG572" i="1"/>
  <c r="FF572" i="1"/>
  <c r="FD572" i="1"/>
  <c r="FB572" i="1"/>
  <c r="EZ572" i="1"/>
  <c r="EY572" i="1"/>
  <c r="EX572" i="1"/>
  <c r="EV572" i="1"/>
  <c r="ET572" i="1"/>
  <c r="ER572" i="1"/>
  <c r="EP572" i="1"/>
  <c r="EO572" i="1"/>
  <c r="EN572" i="1"/>
  <c r="EL572" i="1"/>
  <c r="EJ572" i="1"/>
  <c r="EH572" i="1"/>
  <c r="EG572" i="1"/>
  <c r="EF572" i="1"/>
  <c r="ED572" i="1"/>
  <c r="EB572" i="1"/>
  <c r="DZ572" i="1"/>
  <c r="DY572" i="1"/>
  <c r="DX572" i="1"/>
  <c r="DV572" i="1"/>
  <c r="DT572" i="1"/>
  <c r="DR572" i="1"/>
  <c r="DP572" i="1"/>
  <c r="DN572" i="1"/>
  <c r="DL572" i="1"/>
  <c r="DJ572" i="1"/>
  <c r="DH572" i="1"/>
  <c r="DF572" i="1"/>
  <c r="DD572" i="1"/>
  <c r="DB572" i="1"/>
  <c r="AK572" i="1"/>
  <c r="A572" i="1"/>
  <c r="GV571" i="1"/>
  <c r="GF571" i="1"/>
  <c r="GE571" i="1"/>
  <c r="GD571" i="1"/>
  <c r="GB571" i="1"/>
  <c r="FZ571" i="1"/>
  <c r="FX571" i="1"/>
  <c r="FV571" i="1"/>
  <c r="FT571" i="1"/>
  <c r="FR571" i="1"/>
  <c r="FP571" i="1"/>
  <c r="FO571" i="1"/>
  <c r="FN571" i="1"/>
  <c r="FL571" i="1"/>
  <c r="FJ571" i="1"/>
  <c r="FH571" i="1"/>
  <c r="FG571" i="1"/>
  <c r="FF571" i="1"/>
  <c r="FD571" i="1"/>
  <c r="FB571" i="1"/>
  <c r="EZ571" i="1"/>
  <c r="EY571" i="1"/>
  <c r="EX571" i="1"/>
  <c r="EV571" i="1"/>
  <c r="ET571" i="1"/>
  <c r="ER571" i="1"/>
  <c r="EP571" i="1"/>
  <c r="EO571" i="1"/>
  <c r="EN571" i="1"/>
  <c r="EL571" i="1"/>
  <c r="EJ571" i="1"/>
  <c r="EH571" i="1"/>
  <c r="EG571" i="1"/>
  <c r="EF571" i="1"/>
  <c r="ED571" i="1"/>
  <c r="EB571" i="1"/>
  <c r="DZ571" i="1"/>
  <c r="DY571" i="1"/>
  <c r="DX571" i="1"/>
  <c r="DV571" i="1"/>
  <c r="DT571" i="1"/>
  <c r="DR571" i="1"/>
  <c r="DP571" i="1"/>
  <c r="DN571" i="1"/>
  <c r="DL571" i="1"/>
  <c r="DJ571" i="1"/>
  <c r="DH571" i="1"/>
  <c r="DF571" i="1"/>
  <c r="DD571" i="1"/>
  <c r="DB571" i="1"/>
  <c r="AK571" i="1"/>
  <c r="A571" i="1"/>
  <c r="GV570" i="1"/>
  <c r="GF570" i="1"/>
  <c r="GE570" i="1"/>
  <c r="GD570" i="1"/>
  <c r="GB570" i="1"/>
  <c r="FZ570" i="1"/>
  <c r="FX570" i="1"/>
  <c r="FV570" i="1"/>
  <c r="FT570" i="1"/>
  <c r="FR570" i="1"/>
  <c r="FP570" i="1"/>
  <c r="FO570" i="1"/>
  <c r="FN570" i="1"/>
  <c r="FL570" i="1"/>
  <c r="FJ570" i="1"/>
  <c r="FH570" i="1"/>
  <c r="FG570" i="1"/>
  <c r="FF570" i="1"/>
  <c r="FD570" i="1"/>
  <c r="FB570" i="1"/>
  <c r="EZ570" i="1"/>
  <c r="EY570" i="1"/>
  <c r="EX570" i="1"/>
  <c r="EV570" i="1"/>
  <c r="ET570" i="1"/>
  <c r="ER570" i="1"/>
  <c r="EP570" i="1"/>
  <c r="EO570" i="1"/>
  <c r="EN570" i="1"/>
  <c r="EL570" i="1"/>
  <c r="EJ570" i="1"/>
  <c r="EH570" i="1"/>
  <c r="EG570" i="1"/>
  <c r="EF570" i="1"/>
  <c r="ED570" i="1"/>
  <c r="EB570" i="1"/>
  <c r="DZ570" i="1"/>
  <c r="DY570" i="1"/>
  <c r="DX570" i="1"/>
  <c r="DV570" i="1"/>
  <c r="DT570" i="1"/>
  <c r="DR570" i="1"/>
  <c r="DP570" i="1"/>
  <c r="DN570" i="1"/>
  <c r="DL570" i="1"/>
  <c r="DJ570" i="1"/>
  <c r="DH570" i="1"/>
  <c r="DF570" i="1"/>
  <c r="DD570" i="1"/>
  <c r="DB570" i="1"/>
  <c r="AK570" i="1"/>
  <c r="A570" i="1"/>
  <c r="GV569" i="1"/>
  <c r="GF569" i="1"/>
  <c r="GE569" i="1"/>
  <c r="GD569" i="1"/>
  <c r="GB569" i="1"/>
  <c r="FZ569" i="1"/>
  <c r="FX569" i="1"/>
  <c r="FV569" i="1"/>
  <c r="FT569" i="1"/>
  <c r="FR569" i="1"/>
  <c r="FP569" i="1"/>
  <c r="FO569" i="1"/>
  <c r="FN569" i="1"/>
  <c r="FL569" i="1"/>
  <c r="FJ569" i="1"/>
  <c r="FH569" i="1"/>
  <c r="FG569" i="1"/>
  <c r="FF569" i="1"/>
  <c r="FD569" i="1"/>
  <c r="FB569" i="1"/>
  <c r="EZ569" i="1"/>
  <c r="EY569" i="1"/>
  <c r="EX569" i="1"/>
  <c r="EV569" i="1"/>
  <c r="ET569" i="1"/>
  <c r="ER569" i="1"/>
  <c r="EP569" i="1"/>
  <c r="EO569" i="1"/>
  <c r="EN569" i="1"/>
  <c r="EL569" i="1"/>
  <c r="EJ569" i="1"/>
  <c r="EH569" i="1"/>
  <c r="EG569" i="1"/>
  <c r="EF569" i="1"/>
  <c r="ED569" i="1"/>
  <c r="EB569" i="1"/>
  <c r="DZ569" i="1"/>
  <c r="DY569" i="1"/>
  <c r="DX569" i="1"/>
  <c r="DV569" i="1"/>
  <c r="DT569" i="1"/>
  <c r="DR569" i="1"/>
  <c r="DP569" i="1"/>
  <c r="DN569" i="1"/>
  <c r="DL569" i="1"/>
  <c r="DJ569" i="1"/>
  <c r="DH569" i="1"/>
  <c r="DF569" i="1"/>
  <c r="DD569" i="1"/>
  <c r="DB569" i="1"/>
  <c r="AK569" i="1"/>
  <c r="A569" i="1"/>
  <c r="GV568" i="1"/>
  <c r="GF568" i="1"/>
  <c r="GE568" i="1"/>
  <c r="GD568" i="1"/>
  <c r="GB568" i="1"/>
  <c r="FZ568" i="1"/>
  <c r="FX568" i="1"/>
  <c r="FV568" i="1"/>
  <c r="FT568" i="1"/>
  <c r="FR568" i="1"/>
  <c r="FP568" i="1"/>
  <c r="FO568" i="1"/>
  <c r="FN568" i="1"/>
  <c r="FL568" i="1"/>
  <c r="FJ568" i="1"/>
  <c r="FH568" i="1"/>
  <c r="FG568" i="1"/>
  <c r="FF568" i="1"/>
  <c r="FD568" i="1"/>
  <c r="FB568" i="1"/>
  <c r="EZ568" i="1"/>
  <c r="EY568" i="1"/>
  <c r="EX568" i="1"/>
  <c r="EV568" i="1"/>
  <c r="ET568" i="1"/>
  <c r="ER568" i="1"/>
  <c r="EP568" i="1"/>
  <c r="EO568" i="1"/>
  <c r="EN568" i="1"/>
  <c r="EL568" i="1"/>
  <c r="EJ568" i="1"/>
  <c r="EH568" i="1"/>
  <c r="EG568" i="1"/>
  <c r="EF568" i="1"/>
  <c r="ED568" i="1"/>
  <c r="EB568" i="1"/>
  <c r="DZ568" i="1"/>
  <c r="DY568" i="1"/>
  <c r="DX568" i="1"/>
  <c r="DV568" i="1"/>
  <c r="DT568" i="1"/>
  <c r="DR568" i="1"/>
  <c r="DP568" i="1"/>
  <c r="DN568" i="1"/>
  <c r="DL568" i="1"/>
  <c r="DJ568" i="1"/>
  <c r="DH568" i="1"/>
  <c r="DF568" i="1"/>
  <c r="DD568" i="1"/>
  <c r="DB568" i="1"/>
  <c r="AK568" i="1"/>
  <c r="A568" i="1"/>
  <c r="GV567" i="1"/>
  <c r="GF567" i="1"/>
  <c r="GE567" i="1"/>
  <c r="GD567" i="1"/>
  <c r="GB567" i="1"/>
  <c r="FZ567" i="1"/>
  <c r="FX567" i="1"/>
  <c r="FV567" i="1"/>
  <c r="FT567" i="1"/>
  <c r="FR567" i="1"/>
  <c r="FP567" i="1"/>
  <c r="FO567" i="1"/>
  <c r="FN567" i="1"/>
  <c r="FL567" i="1"/>
  <c r="FJ567" i="1"/>
  <c r="FH567" i="1"/>
  <c r="FG567" i="1"/>
  <c r="FF567" i="1"/>
  <c r="FD567" i="1"/>
  <c r="FB567" i="1"/>
  <c r="EZ567" i="1"/>
  <c r="EY567" i="1"/>
  <c r="EX567" i="1"/>
  <c r="EV567" i="1"/>
  <c r="ET567" i="1"/>
  <c r="ER567" i="1"/>
  <c r="EP567" i="1"/>
  <c r="EO567" i="1"/>
  <c r="EN567" i="1"/>
  <c r="EL567" i="1"/>
  <c r="EJ567" i="1"/>
  <c r="EH567" i="1"/>
  <c r="EG567" i="1"/>
  <c r="EF567" i="1"/>
  <c r="ED567" i="1"/>
  <c r="EB567" i="1"/>
  <c r="DZ567" i="1"/>
  <c r="DY567" i="1"/>
  <c r="DX567" i="1"/>
  <c r="DV567" i="1"/>
  <c r="DT567" i="1"/>
  <c r="DR567" i="1"/>
  <c r="DP567" i="1"/>
  <c r="DN567" i="1"/>
  <c r="DL567" i="1"/>
  <c r="DJ567" i="1"/>
  <c r="DH567" i="1"/>
  <c r="DF567" i="1"/>
  <c r="DD567" i="1"/>
  <c r="DB567" i="1"/>
  <c r="AK567" i="1"/>
  <c r="A567" i="1"/>
  <c r="GV566" i="1"/>
  <c r="GV565" i="1"/>
  <c r="GF565" i="1"/>
  <c r="GE565" i="1"/>
  <c r="GD565" i="1"/>
  <c r="GB565" i="1"/>
  <c r="FZ565" i="1"/>
  <c r="FX565" i="1"/>
  <c r="FV565" i="1"/>
  <c r="FT565" i="1"/>
  <c r="FR565" i="1"/>
  <c r="FP565" i="1"/>
  <c r="FO565" i="1"/>
  <c r="FN565" i="1"/>
  <c r="FL565" i="1"/>
  <c r="FJ565" i="1"/>
  <c r="FH565" i="1"/>
  <c r="FG565" i="1"/>
  <c r="FF565" i="1"/>
  <c r="FD565" i="1"/>
  <c r="FB565" i="1"/>
  <c r="EZ565" i="1"/>
  <c r="EY565" i="1"/>
  <c r="EX565" i="1"/>
  <c r="EV565" i="1"/>
  <c r="ET565" i="1"/>
  <c r="ER565" i="1"/>
  <c r="EP565" i="1"/>
  <c r="EO565" i="1"/>
  <c r="EN565" i="1"/>
  <c r="EL565" i="1"/>
  <c r="EJ565" i="1"/>
  <c r="EH565" i="1"/>
  <c r="EG565" i="1"/>
  <c r="EF565" i="1"/>
  <c r="ED565" i="1"/>
  <c r="EB565" i="1"/>
  <c r="DZ565" i="1"/>
  <c r="DY565" i="1"/>
  <c r="DX565" i="1"/>
  <c r="DV565" i="1"/>
  <c r="DT565" i="1"/>
  <c r="DR565" i="1"/>
  <c r="DP565" i="1"/>
  <c r="DN565" i="1"/>
  <c r="DL565" i="1"/>
  <c r="DJ565" i="1"/>
  <c r="DH565" i="1"/>
  <c r="DF565" i="1"/>
  <c r="DD565" i="1"/>
  <c r="DB565" i="1"/>
  <c r="AK565" i="1"/>
  <c r="A565" i="1"/>
  <c r="GV564" i="1"/>
  <c r="GF564" i="1"/>
  <c r="GE564" i="1"/>
  <c r="GD564" i="1"/>
  <c r="GB564" i="1"/>
  <c r="FZ564" i="1"/>
  <c r="FX564" i="1"/>
  <c r="FV564" i="1"/>
  <c r="FT564" i="1"/>
  <c r="FR564" i="1"/>
  <c r="FP564" i="1"/>
  <c r="FO564" i="1"/>
  <c r="FN564" i="1"/>
  <c r="FL564" i="1"/>
  <c r="FJ564" i="1"/>
  <c r="FH564" i="1"/>
  <c r="FG564" i="1"/>
  <c r="FF564" i="1"/>
  <c r="FD564" i="1"/>
  <c r="FB564" i="1"/>
  <c r="EZ564" i="1"/>
  <c r="EY564" i="1"/>
  <c r="EX564" i="1"/>
  <c r="EV564" i="1"/>
  <c r="ET564" i="1"/>
  <c r="ER564" i="1"/>
  <c r="EP564" i="1"/>
  <c r="EO564" i="1"/>
  <c r="EN564" i="1"/>
  <c r="EL564" i="1"/>
  <c r="EJ564" i="1"/>
  <c r="EH564" i="1"/>
  <c r="EG564" i="1"/>
  <c r="EF564" i="1"/>
  <c r="ED564" i="1"/>
  <c r="EB564" i="1"/>
  <c r="DZ564" i="1"/>
  <c r="DY564" i="1"/>
  <c r="DX564" i="1"/>
  <c r="DV564" i="1"/>
  <c r="DT564" i="1"/>
  <c r="DR564" i="1"/>
  <c r="DP564" i="1"/>
  <c r="DN564" i="1"/>
  <c r="DL564" i="1"/>
  <c r="DJ564" i="1"/>
  <c r="DH564" i="1"/>
  <c r="DF564" i="1"/>
  <c r="DD564" i="1"/>
  <c r="DB564" i="1"/>
  <c r="AK564" i="1"/>
  <c r="A564" i="1"/>
  <c r="GV563" i="1"/>
  <c r="GF563" i="1"/>
  <c r="GE563" i="1"/>
  <c r="GD563" i="1"/>
  <c r="GB563" i="1"/>
  <c r="FZ563" i="1"/>
  <c r="FX563" i="1"/>
  <c r="FV563" i="1"/>
  <c r="FT563" i="1"/>
  <c r="FR563" i="1"/>
  <c r="FP563" i="1"/>
  <c r="FO563" i="1"/>
  <c r="FN563" i="1"/>
  <c r="FL563" i="1"/>
  <c r="FJ563" i="1"/>
  <c r="FH563" i="1"/>
  <c r="FG563" i="1"/>
  <c r="FF563" i="1"/>
  <c r="FD563" i="1"/>
  <c r="FB563" i="1"/>
  <c r="EZ563" i="1"/>
  <c r="EY563" i="1"/>
  <c r="EX563" i="1"/>
  <c r="EV563" i="1"/>
  <c r="ET563" i="1"/>
  <c r="ER563" i="1"/>
  <c r="EP563" i="1"/>
  <c r="EO563" i="1"/>
  <c r="EN563" i="1"/>
  <c r="EL563" i="1"/>
  <c r="EJ563" i="1"/>
  <c r="EH563" i="1"/>
  <c r="EG563" i="1"/>
  <c r="EF563" i="1"/>
  <c r="ED563" i="1"/>
  <c r="EB563" i="1"/>
  <c r="DZ563" i="1"/>
  <c r="DY563" i="1"/>
  <c r="DX563" i="1"/>
  <c r="DV563" i="1"/>
  <c r="DT563" i="1"/>
  <c r="DR563" i="1"/>
  <c r="DP563" i="1"/>
  <c r="DN563" i="1"/>
  <c r="DL563" i="1"/>
  <c r="DJ563" i="1"/>
  <c r="DH563" i="1"/>
  <c r="DF563" i="1"/>
  <c r="DD563" i="1"/>
  <c r="DB563" i="1"/>
  <c r="AK563" i="1"/>
  <c r="A563" i="1"/>
  <c r="GV562" i="1"/>
  <c r="GF562" i="1"/>
  <c r="GE562" i="1"/>
  <c r="GD562" i="1"/>
  <c r="GB562" i="1"/>
  <c r="FZ562" i="1"/>
  <c r="FX562" i="1"/>
  <c r="FV562" i="1"/>
  <c r="FT562" i="1"/>
  <c r="FR562" i="1"/>
  <c r="FP562" i="1"/>
  <c r="FO562" i="1"/>
  <c r="FN562" i="1"/>
  <c r="FL562" i="1"/>
  <c r="FJ562" i="1"/>
  <c r="FH562" i="1"/>
  <c r="FG562" i="1"/>
  <c r="FF562" i="1"/>
  <c r="FD562" i="1"/>
  <c r="FB562" i="1"/>
  <c r="EZ562" i="1"/>
  <c r="EY562" i="1"/>
  <c r="EX562" i="1"/>
  <c r="EV562" i="1"/>
  <c r="ET562" i="1"/>
  <c r="ER562" i="1"/>
  <c r="EP562" i="1"/>
  <c r="EO562" i="1"/>
  <c r="EN562" i="1"/>
  <c r="EL562" i="1"/>
  <c r="EJ562" i="1"/>
  <c r="EH562" i="1"/>
  <c r="EG562" i="1"/>
  <c r="EF562" i="1"/>
  <c r="ED562" i="1"/>
  <c r="EB562" i="1"/>
  <c r="DZ562" i="1"/>
  <c r="DY562" i="1"/>
  <c r="DX562" i="1"/>
  <c r="DV562" i="1"/>
  <c r="DT562" i="1"/>
  <c r="DR562" i="1"/>
  <c r="DP562" i="1"/>
  <c r="DN562" i="1"/>
  <c r="DL562" i="1"/>
  <c r="DJ562" i="1"/>
  <c r="DH562" i="1"/>
  <c r="DF562" i="1"/>
  <c r="DD562" i="1"/>
  <c r="DB562" i="1"/>
  <c r="AK562" i="1"/>
  <c r="A562" i="1"/>
  <c r="GV561" i="1"/>
  <c r="GF561" i="1"/>
  <c r="GE561" i="1"/>
  <c r="GD561" i="1"/>
  <c r="GB561" i="1"/>
  <c r="FZ561" i="1"/>
  <c r="FX561" i="1"/>
  <c r="FV561" i="1"/>
  <c r="FT561" i="1"/>
  <c r="FR561" i="1"/>
  <c r="FP561" i="1"/>
  <c r="FO561" i="1"/>
  <c r="FN561" i="1"/>
  <c r="FL561" i="1"/>
  <c r="FJ561" i="1"/>
  <c r="FH561" i="1"/>
  <c r="FG561" i="1"/>
  <c r="FF561" i="1"/>
  <c r="FD561" i="1"/>
  <c r="FB561" i="1"/>
  <c r="EZ561" i="1"/>
  <c r="EY561" i="1"/>
  <c r="EX561" i="1"/>
  <c r="EV561" i="1"/>
  <c r="ET561" i="1"/>
  <c r="ER561" i="1"/>
  <c r="EP561" i="1"/>
  <c r="EO561" i="1"/>
  <c r="EN561" i="1"/>
  <c r="EL561" i="1"/>
  <c r="EJ561" i="1"/>
  <c r="EH561" i="1"/>
  <c r="EG561" i="1"/>
  <c r="EF561" i="1"/>
  <c r="ED561" i="1"/>
  <c r="EB561" i="1"/>
  <c r="DZ561" i="1"/>
  <c r="DY561" i="1"/>
  <c r="DX561" i="1"/>
  <c r="DV561" i="1"/>
  <c r="DT561" i="1"/>
  <c r="DR561" i="1"/>
  <c r="DP561" i="1"/>
  <c r="DN561" i="1"/>
  <c r="DL561" i="1"/>
  <c r="DJ561" i="1"/>
  <c r="DH561" i="1"/>
  <c r="DF561" i="1"/>
  <c r="DD561" i="1"/>
  <c r="DB561" i="1"/>
  <c r="AK561" i="1"/>
  <c r="A561" i="1"/>
  <c r="GV560" i="1"/>
  <c r="GF560" i="1"/>
  <c r="GE560" i="1"/>
  <c r="GD560" i="1"/>
  <c r="GB560" i="1"/>
  <c r="FZ560" i="1"/>
  <c r="FX560" i="1"/>
  <c r="FV560" i="1"/>
  <c r="FT560" i="1"/>
  <c r="FR560" i="1"/>
  <c r="FP560" i="1"/>
  <c r="FO560" i="1"/>
  <c r="FN560" i="1"/>
  <c r="FL560" i="1"/>
  <c r="FJ560" i="1"/>
  <c r="FH560" i="1"/>
  <c r="FG560" i="1"/>
  <c r="FF560" i="1"/>
  <c r="FD560" i="1"/>
  <c r="FB560" i="1"/>
  <c r="EZ560" i="1"/>
  <c r="EY560" i="1"/>
  <c r="EX560" i="1"/>
  <c r="EV560" i="1"/>
  <c r="ET560" i="1"/>
  <c r="ER560" i="1"/>
  <c r="EP560" i="1"/>
  <c r="EO560" i="1"/>
  <c r="EN560" i="1"/>
  <c r="EL560" i="1"/>
  <c r="EJ560" i="1"/>
  <c r="EH560" i="1"/>
  <c r="EG560" i="1"/>
  <c r="EF560" i="1"/>
  <c r="ED560" i="1"/>
  <c r="EB560" i="1"/>
  <c r="DZ560" i="1"/>
  <c r="DY560" i="1"/>
  <c r="DX560" i="1"/>
  <c r="DV560" i="1"/>
  <c r="DT560" i="1"/>
  <c r="DR560" i="1"/>
  <c r="DP560" i="1"/>
  <c r="DN560" i="1"/>
  <c r="DL560" i="1"/>
  <c r="DJ560" i="1"/>
  <c r="DH560" i="1"/>
  <c r="DF560" i="1"/>
  <c r="DD560" i="1"/>
  <c r="DB560" i="1"/>
  <c r="AK560" i="1"/>
  <c r="A560" i="1"/>
  <c r="GV559" i="1"/>
  <c r="GF559" i="1"/>
  <c r="GE559" i="1"/>
  <c r="GD559" i="1"/>
  <c r="GB559" i="1"/>
  <c r="FZ559" i="1"/>
  <c r="FX559" i="1"/>
  <c r="FV559" i="1"/>
  <c r="FT559" i="1"/>
  <c r="FR559" i="1"/>
  <c r="FP559" i="1"/>
  <c r="FO559" i="1"/>
  <c r="FN559" i="1"/>
  <c r="FL559" i="1"/>
  <c r="FJ559" i="1"/>
  <c r="FH559" i="1"/>
  <c r="FG559" i="1"/>
  <c r="FF559" i="1"/>
  <c r="FD559" i="1"/>
  <c r="FB559" i="1"/>
  <c r="EZ559" i="1"/>
  <c r="EY559" i="1"/>
  <c r="EX559" i="1"/>
  <c r="EV559" i="1"/>
  <c r="ET559" i="1"/>
  <c r="ER559" i="1"/>
  <c r="EP559" i="1"/>
  <c r="EO559" i="1"/>
  <c r="EN559" i="1"/>
  <c r="EL559" i="1"/>
  <c r="EJ559" i="1"/>
  <c r="EH559" i="1"/>
  <c r="EG559" i="1"/>
  <c r="EF559" i="1"/>
  <c r="ED559" i="1"/>
  <c r="EB559" i="1"/>
  <c r="DZ559" i="1"/>
  <c r="DY559" i="1"/>
  <c r="DX559" i="1"/>
  <c r="DV559" i="1"/>
  <c r="DT559" i="1"/>
  <c r="DR559" i="1"/>
  <c r="DP559" i="1"/>
  <c r="DN559" i="1"/>
  <c r="DL559" i="1"/>
  <c r="DJ559" i="1"/>
  <c r="DH559" i="1"/>
  <c r="DF559" i="1"/>
  <c r="DD559" i="1"/>
  <c r="DB559" i="1"/>
  <c r="AK559" i="1"/>
  <c r="A559" i="1"/>
  <c r="GV558" i="1"/>
  <c r="GF558" i="1"/>
  <c r="GE558" i="1"/>
  <c r="GD558" i="1"/>
  <c r="GB558" i="1"/>
  <c r="FZ558" i="1"/>
  <c r="FX558" i="1"/>
  <c r="FV558" i="1"/>
  <c r="FT558" i="1"/>
  <c r="FR558" i="1"/>
  <c r="FP558" i="1"/>
  <c r="FO558" i="1"/>
  <c r="FN558" i="1"/>
  <c r="FL558" i="1"/>
  <c r="FJ558" i="1"/>
  <c r="FH558" i="1"/>
  <c r="FG558" i="1"/>
  <c r="FF558" i="1"/>
  <c r="FD558" i="1"/>
  <c r="FB558" i="1"/>
  <c r="EZ558" i="1"/>
  <c r="EY558" i="1"/>
  <c r="EX558" i="1"/>
  <c r="EV558" i="1"/>
  <c r="ET558" i="1"/>
  <c r="ER558" i="1"/>
  <c r="EP558" i="1"/>
  <c r="EO558" i="1"/>
  <c r="EN558" i="1"/>
  <c r="EL558" i="1"/>
  <c r="EJ558" i="1"/>
  <c r="EH558" i="1"/>
  <c r="EG558" i="1"/>
  <c r="EF558" i="1"/>
  <c r="ED558" i="1"/>
  <c r="EB558" i="1"/>
  <c r="DZ558" i="1"/>
  <c r="DY558" i="1"/>
  <c r="DX558" i="1"/>
  <c r="DV558" i="1"/>
  <c r="DT558" i="1"/>
  <c r="DR558" i="1"/>
  <c r="DP558" i="1"/>
  <c r="DN558" i="1"/>
  <c r="DL558" i="1"/>
  <c r="DJ558" i="1"/>
  <c r="DH558" i="1"/>
  <c r="DF558" i="1"/>
  <c r="DD558" i="1"/>
  <c r="DB558" i="1"/>
  <c r="AK558" i="1"/>
  <c r="A558" i="1"/>
  <c r="GV557" i="1"/>
  <c r="GF557" i="1"/>
  <c r="GE557" i="1"/>
  <c r="GD557" i="1"/>
  <c r="GB557" i="1"/>
  <c r="FZ557" i="1"/>
  <c r="FX557" i="1"/>
  <c r="FV557" i="1"/>
  <c r="FT557" i="1"/>
  <c r="FR557" i="1"/>
  <c r="FP557" i="1"/>
  <c r="FO557" i="1"/>
  <c r="FN557" i="1"/>
  <c r="FL557" i="1"/>
  <c r="FJ557" i="1"/>
  <c r="FH557" i="1"/>
  <c r="FG557" i="1"/>
  <c r="FF557" i="1"/>
  <c r="FD557" i="1"/>
  <c r="FB557" i="1"/>
  <c r="EZ557" i="1"/>
  <c r="EY557" i="1"/>
  <c r="EX557" i="1"/>
  <c r="EV557" i="1"/>
  <c r="ET557" i="1"/>
  <c r="ER557" i="1"/>
  <c r="EP557" i="1"/>
  <c r="EO557" i="1"/>
  <c r="EN557" i="1"/>
  <c r="EL557" i="1"/>
  <c r="EJ557" i="1"/>
  <c r="EH557" i="1"/>
  <c r="EG557" i="1"/>
  <c r="EF557" i="1"/>
  <c r="ED557" i="1"/>
  <c r="EB557" i="1"/>
  <c r="DZ557" i="1"/>
  <c r="DY557" i="1"/>
  <c r="DX557" i="1"/>
  <c r="DV557" i="1"/>
  <c r="DT557" i="1"/>
  <c r="DR557" i="1"/>
  <c r="DP557" i="1"/>
  <c r="DN557" i="1"/>
  <c r="DL557" i="1"/>
  <c r="DJ557" i="1"/>
  <c r="DH557" i="1"/>
  <c r="DF557" i="1"/>
  <c r="DD557" i="1"/>
  <c r="DB557" i="1"/>
  <c r="AK557" i="1"/>
  <c r="A557" i="1"/>
  <c r="GV556" i="1"/>
  <c r="GF556" i="1"/>
  <c r="GE556" i="1"/>
  <c r="GD556" i="1"/>
  <c r="GB556" i="1"/>
  <c r="FZ556" i="1"/>
  <c r="FX556" i="1"/>
  <c r="FV556" i="1"/>
  <c r="FT556" i="1"/>
  <c r="FR556" i="1"/>
  <c r="FP556" i="1"/>
  <c r="FO556" i="1"/>
  <c r="FN556" i="1"/>
  <c r="FL556" i="1"/>
  <c r="FJ556" i="1"/>
  <c r="FH556" i="1"/>
  <c r="FG556" i="1"/>
  <c r="FF556" i="1"/>
  <c r="FD556" i="1"/>
  <c r="FB556" i="1"/>
  <c r="EZ556" i="1"/>
  <c r="EY556" i="1"/>
  <c r="EX556" i="1"/>
  <c r="EV556" i="1"/>
  <c r="ET556" i="1"/>
  <c r="ER556" i="1"/>
  <c r="EP556" i="1"/>
  <c r="EO556" i="1"/>
  <c r="EN556" i="1"/>
  <c r="EL556" i="1"/>
  <c r="EJ556" i="1"/>
  <c r="EH556" i="1"/>
  <c r="EG556" i="1"/>
  <c r="EF556" i="1"/>
  <c r="ED556" i="1"/>
  <c r="EB556" i="1"/>
  <c r="DZ556" i="1"/>
  <c r="DY556" i="1"/>
  <c r="DX556" i="1"/>
  <c r="DV556" i="1"/>
  <c r="DT556" i="1"/>
  <c r="DR556" i="1"/>
  <c r="DP556" i="1"/>
  <c r="DN556" i="1"/>
  <c r="DL556" i="1"/>
  <c r="DJ556" i="1"/>
  <c r="DH556" i="1"/>
  <c r="DF556" i="1"/>
  <c r="DD556" i="1"/>
  <c r="DB556" i="1"/>
  <c r="AK556" i="1"/>
  <c r="A556" i="1"/>
  <c r="GV555" i="1"/>
  <c r="GF555" i="1"/>
  <c r="GE555" i="1"/>
  <c r="GD555" i="1"/>
  <c r="GB555" i="1"/>
  <c r="FZ555" i="1"/>
  <c r="FX555" i="1"/>
  <c r="FV555" i="1"/>
  <c r="FT555" i="1"/>
  <c r="FR555" i="1"/>
  <c r="FP555" i="1"/>
  <c r="FO555" i="1"/>
  <c r="FN555" i="1"/>
  <c r="FL555" i="1"/>
  <c r="FJ555" i="1"/>
  <c r="FH555" i="1"/>
  <c r="FG555" i="1"/>
  <c r="FF555" i="1"/>
  <c r="FD555" i="1"/>
  <c r="FB555" i="1"/>
  <c r="EZ555" i="1"/>
  <c r="EY555" i="1"/>
  <c r="EX555" i="1"/>
  <c r="EV555" i="1"/>
  <c r="ET555" i="1"/>
  <c r="ER555" i="1"/>
  <c r="EP555" i="1"/>
  <c r="EO555" i="1"/>
  <c r="EN555" i="1"/>
  <c r="EL555" i="1"/>
  <c r="EJ555" i="1"/>
  <c r="EH555" i="1"/>
  <c r="EG555" i="1"/>
  <c r="EF555" i="1"/>
  <c r="ED555" i="1"/>
  <c r="EB555" i="1"/>
  <c r="DZ555" i="1"/>
  <c r="DY555" i="1"/>
  <c r="DX555" i="1"/>
  <c r="DV555" i="1"/>
  <c r="DT555" i="1"/>
  <c r="DR555" i="1"/>
  <c r="DP555" i="1"/>
  <c r="DN555" i="1"/>
  <c r="DL555" i="1"/>
  <c r="DJ555" i="1"/>
  <c r="DH555" i="1"/>
  <c r="DF555" i="1"/>
  <c r="DD555" i="1"/>
  <c r="DB555" i="1"/>
  <c r="AK555" i="1"/>
  <c r="A555" i="1"/>
  <c r="GV554" i="1"/>
  <c r="GF554" i="1"/>
  <c r="GE554" i="1"/>
  <c r="GD554" i="1"/>
  <c r="GB554" i="1"/>
  <c r="FZ554" i="1"/>
  <c r="FX554" i="1"/>
  <c r="FV554" i="1"/>
  <c r="FT554" i="1"/>
  <c r="FR554" i="1"/>
  <c r="FP554" i="1"/>
  <c r="FO554" i="1"/>
  <c r="FN554" i="1"/>
  <c r="FL554" i="1"/>
  <c r="FJ554" i="1"/>
  <c r="FH554" i="1"/>
  <c r="FG554" i="1"/>
  <c r="FF554" i="1"/>
  <c r="FD554" i="1"/>
  <c r="FB554" i="1"/>
  <c r="EZ554" i="1"/>
  <c r="EY554" i="1"/>
  <c r="EX554" i="1"/>
  <c r="EV554" i="1"/>
  <c r="ET554" i="1"/>
  <c r="ER554" i="1"/>
  <c r="EP554" i="1"/>
  <c r="EO554" i="1"/>
  <c r="EN554" i="1"/>
  <c r="EL554" i="1"/>
  <c r="EJ554" i="1"/>
  <c r="EH554" i="1"/>
  <c r="EG554" i="1"/>
  <c r="EF554" i="1"/>
  <c r="ED554" i="1"/>
  <c r="EB554" i="1"/>
  <c r="DZ554" i="1"/>
  <c r="DY554" i="1"/>
  <c r="DX554" i="1"/>
  <c r="DV554" i="1"/>
  <c r="DT554" i="1"/>
  <c r="DR554" i="1"/>
  <c r="DP554" i="1"/>
  <c r="DN554" i="1"/>
  <c r="DL554" i="1"/>
  <c r="DJ554" i="1"/>
  <c r="DH554" i="1"/>
  <c r="DF554" i="1"/>
  <c r="DD554" i="1"/>
  <c r="DB554" i="1"/>
  <c r="AK554" i="1"/>
  <c r="A554" i="1"/>
  <c r="GV553" i="1"/>
  <c r="GF553" i="1"/>
  <c r="GE553" i="1"/>
  <c r="GD553" i="1"/>
  <c r="GB553" i="1"/>
  <c r="FZ553" i="1"/>
  <c r="FX553" i="1"/>
  <c r="FV553" i="1"/>
  <c r="FT553" i="1"/>
  <c r="FR553" i="1"/>
  <c r="FP553" i="1"/>
  <c r="FO553" i="1"/>
  <c r="FN553" i="1"/>
  <c r="FL553" i="1"/>
  <c r="FJ553" i="1"/>
  <c r="FH553" i="1"/>
  <c r="FG553" i="1"/>
  <c r="FF553" i="1"/>
  <c r="FD553" i="1"/>
  <c r="FB553" i="1"/>
  <c r="EZ553" i="1"/>
  <c r="EY553" i="1"/>
  <c r="EX553" i="1"/>
  <c r="EV553" i="1"/>
  <c r="ET553" i="1"/>
  <c r="ER553" i="1"/>
  <c r="EP553" i="1"/>
  <c r="EO553" i="1"/>
  <c r="EN553" i="1"/>
  <c r="EL553" i="1"/>
  <c r="EJ553" i="1"/>
  <c r="EH553" i="1"/>
  <c r="EG553" i="1"/>
  <c r="EF553" i="1"/>
  <c r="ED553" i="1"/>
  <c r="EB553" i="1"/>
  <c r="DZ553" i="1"/>
  <c r="DY553" i="1"/>
  <c r="DX553" i="1"/>
  <c r="DV553" i="1"/>
  <c r="DT553" i="1"/>
  <c r="DR553" i="1"/>
  <c r="DP553" i="1"/>
  <c r="DN553" i="1"/>
  <c r="DL553" i="1"/>
  <c r="DJ553" i="1"/>
  <c r="DH553" i="1"/>
  <c r="DF553" i="1"/>
  <c r="DD553" i="1"/>
  <c r="DB553" i="1"/>
  <c r="AK553" i="1"/>
  <c r="A553" i="1"/>
  <c r="GV552" i="1"/>
  <c r="GF552" i="1"/>
  <c r="GE552" i="1"/>
  <c r="GD552" i="1"/>
  <c r="GB552" i="1"/>
  <c r="FZ552" i="1"/>
  <c r="FX552" i="1"/>
  <c r="FV552" i="1"/>
  <c r="FT552" i="1"/>
  <c r="FR552" i="1"/>
  <c r="FP552" i="1"/>
  <c r="FO552" i="1"/>
  <c r="FN552" i="1"/>
  <c r="FL552" i="1"/>
  <c r="FJ552" i="1"/>
  <c r="FH552" i="1"/>
  <c r="FG552" i="1"/>
  <c r="FF552" i="1"/>
  <c r="FD552" i="1"/>
  <c r="FB552" i="1"/>
  <c r="EZ552" i="1"/>
  <c r="EY552" i="1"/>
  <c r="EX552" i="1"/>
  <c r="EV552" i="1"/>
  <c r="ET552" i="1"/>
  <c r="ER552" i="1"/>
  <c r="EP552" i="1"/>
  <c r="EO552" i="1"/>
  <c r="EN552" i="1"/>
  <c r="EL552" i="1"/>
  <c r="EJ552" i="1"/>
  <c r="EH552" i="1"/>
  <c r="EG552" i="1"/>
  <c r="EF552" i="1"/>
  <c r="ED552" i="1"/>
  <c r="EB552" i="1"/>
  <c r="DZ552" i="1"/>
  <c r="DY552" i="1"/>
  <c r="DX552" i="1"/>
  <c r="DV552" i="1"/>
  <c r="DT552" i="1"/>
  <c r="DR552" i="1"/>
  <c r="DP552" i="1"/>
  <c r="DN552" i="1"/>
  <c r="DL552" i="1"/>
  <c r="DJ552" i="1"/>
  <c r="DH552" i="1"/>
  <c r="DF552" i="1"/>
  <c r="DD552" i="1"/>
  <c r="DB552" i="1"/>
  <c r="AK552" i="1"/>
  <c r="A552" i="1"/>
  <c r="GV551" i="1"/>
  <c r="GF551" i="1"/>
  <c r="GE551" i="1"/>
  <c r="GD551" i="1"/>
  <c r="GB551" i="1"/>
  <c r="FZ551" i="1"/>
  <c r="FX551" i="1"/>
  <c r="FV551" i="1"/>
  <c r="FT551" i="1"/>
  <c r="FR551" i="1"/>
  <c r="FP551" i="1"/>
  <c r="FO551" i="1"/>
  <c r="FN551" i="1"/>
  <c r="FL551" i="1"/>
  <c r="FJ551" i="1"/>
  <c r="FH551" i="1"/>
  <c r="FG551" i="1"/>
  <c r="FF551" i="1"/>
  <c r="FD551" i="1"/>
  <c r="FB551" i="1"/>
  <c r="EZ551" i="1"/>
  <c r="EY551" i="1"/>
  <c r="EX551" i="1"/>
  <c r="EV551" i="1"/>
  <c r="ET551" i="1"/>
  <c r="ER551" i="1"/>
  <c r="EP551" i="1"/>
  <c r="EO551" i="1"/>
  <c r="EN551" i="1"/>
  <c r="EL551" i="1"/>
  <c r="EJ551" i="1"/>
  <c r="EH551" i="1"/>
  <c r="EG551" i="1"/>
  <c r="EF551" i="1"/>
  <c r="ED551" i="1"/>
  <c r="EB551" i="1"/>
  <c r="DZ551" i="1"/>
  <c r="DY551" i="1"/>
  <c r="DX551" i="1"/>
  <c r="DV551" i="1"/>
  <c r="DT551" i="1"/>
  <c r="DR551" i="1"/>
  <c r="DP551" i="1"/>
  <c r="DN551" i="1"/>
  <c r="DL551" i="1"/>
  <c r="DJ551" i="1"/>
  <c r="DH551" i="1"/>
  <c r="DF551" i="1"/>
  <c r="DD551" i="1"/>
  <c r="DB551" i="1"/>
  <c r="AK551" i="1"/>
  <c r="A551" i="1"/>
  <c r="GV550" i="1"/>
  <c r="GV549" i="1"/>
  <c r="GV548" i="1"/>
  <c r="GF548" i="1"/>
  <c r="GE548" i="1"/>
  <c r="GD548" i="1"/>
  <c r="GB548" i="1"/>
  <c r="FZ548" i="1"/>
  <c r="FX548" i="1"/>
  <c r="FV548" i="1"/>
  <c r="FT548" i="1"/>
  <c r="FR548" i="1"/>
  <c r="FP548" i="1"/>
  <c r="FO548" i="1"/>
  <c r="FN548" i="1"/>
  <c r="FL548" i="1"/>
  <c r="FJ548" i="1"/>
  <c r="FH548" i="1"/>
  <c r="FG548" i="1"/>
  <c r="FF548" i="1"/>
  <c r="FD548" i="1"/>
  <c r="FB548" i="1"/>
  <c r="EZ548" i="1"/>
  <c r="EY548" i="1"/>
  <c r="EX548" i="1"/>
  <c r="EV548" i="1"/>
  <c r="ET548" i="1"/>
  <c r="ER548" i="1"/>
  <c r="EP548" i="1"/>
  <c r="EO548" i="1"/>
  <c r="EN548" i="1"/>
  <c r="EL548" i="1"/>
  <c r="EJ548" i="1"/>
  <c r="EH548" i="1"/>
  <c r="EG548" i="1"/>
  <c r="EF548" i="1"/>
  <c r="ED548" i="1"/>
  <c r="EB548" i="1"/>
  <c r="DZ548" i="1"/>
  <c r="DY548" i="1"/>
  <c r="DX548" i="1"/>
  <c r="DV548" i="1"/>
  <c r="DT548" i="1"/>
  <c r="DR548" i="1"/>
  <c r="DP548" i="1"/>
  <c r="DN548" i="1"/>
  <c r="DL548" i="1"/>
  <c r="DJ548" i="1"/>
  <c r="DH548" i="1"/>
  <c r="DF548" i="1"/>
  <c r="DD548" i="1"/>
  <c r="DB548" i="1"/>
  <c r="AK548" i="1"/>
  <c r="A548" i="1"/>
  <c r="GV547" i="1"/>
  <c r="GF547" i="1"/>
  <c r="GE547" i="1"/>
  <c r="GD547" i="1"/>
  <c r="GB547" i="1"/>
  <c r="FZ547" i="1"/>
  <c r="FX547" i="1"/>
  <c r="FV547" i="1"/>
  <c r="FT547" i="1"/>
  <c r="FR547" i="1"/>
  <c r="FP547" i="1"/>
  <c r="FO547" i="1"/>
  <c r="FN547" i="1"/>
  <c r="FL547" i="1"/>
  <c r="FJ547" i="1"/>
  <c r="FH547" i="1"/>
  <c r="FG547" i="1"/>
  <c r="FF547" i="1"/>
  <c r="FD547" i="1"/>
  <c r="FB547" i="1"/>
  <c r="EZ547" i="1"/>
  <c r="EY547" i="1"/>
  <c r="EX547" i="1"/>
  <c r="EV547" i="1"/>
  <c r="ET547" i="1"/>
  <c r="ER547" i="1"/>
  <c r="EP547" i="1"/>
  <c r="EO547" i="1"/>
  <c r="EN547" i="1"/>
  <c r="EL547" i="1"/>
  <c r="EJ547" i="1"/>
  <c r="EH547" i="1"/>
  <c r="EG547" i="1"/>
  <c r="EF547" i="1"/>
  <c r="ED547" i="1"/>
  <c r="EB547" i="1"/>
  <c r="DZ547" i="1"/>
  <c r="DY547" i="1"/>
  <c r="DX547" i="1"/>
  <c r="DV547" i="1"/>
  <c r="DT547" i="1"/>
  <c r="DR547" i="1"/>
  <c r="DP547" i="1"/>
  <c r="DN547" i="1"/>
  <c r="DL547" i="1"/>
  <c r="DJ547" i="1"/>
  <c r="DH547" i="1"/>
  <c r="DF547" i="1"/>
  <c r="DD547" i="1"/>
  <c r="DB547" i="1"/>
  <c r="AK547" i="1"/>
  <c r="A547" i="1"/>
  <c r="GV546" i="1"/>
  <c r="GF546" i="1"/>
  <c r="GE546" i="1"/>
  <c r="GD546" i="1"/>
  <c r="GB546" i="1"/>
  <c r="FZ546" i="1"/>
  <c r="FX546" i="1"/>
  <c r="FV546" i="1"/>
  <c r="FT546" i="1"/>
  <c r="FR546" i="1"/>
  <c r="FP546" i="1"/>
  <c r="FO546" i="1"/>
  <c r="FN546" i="1"/>
  <c r="FL546" i="1"/>
  <c r="FJ546" i="1"/>
  <c r="FH546" i="1"/>
  <c r="FG546" i="1"/>
  <c r="FF546" i="1"/>
  <c r="FD546" i="1"/>
  <c r="FB546" i="1"/>
  <c r="EZ546" i="1"/>
  <c r="EY546" i="1"/>
  <c r="EX546" i="1"/>
  <c r="EV546" i="1"/>
  <c r="ET546" i="1"/>
  <c r="ER546" i="1"/>
  <c r="EP546" i="1"/>
  <c r="EO546" i="1"/>
  <c r="EN546" i="1"/>
  <c r="EL546" i="1"/>
  <c r="EJ546" i="1"/>
  <c r="EH546" i="1"/>
  <c r="EG546" i="1"/>
  <c r="EF546" i="1"/>
  <c r="ED546" i="1"/>
  <c r="EB546" i="1"/>
  <c r="DZ546" i="1"/>
  <c r="DY546" i="1"/>
  <c r="DX546" i="1"/>
  <c r="DV546" i="1"/>
  <c r="DT546" i="1"/>
  <c r="DR546" i="1"/>
  <c r="DP546" i="1"/>
  <c r="DN546" i="1"/>
  <c r="DL546" i="1"/>
  <c r="DJ546" i="1"/>
  <c r="DH546" i="1"/>
  <c r="DF546" i="1"/>
  <c r="DD546" i="1"/>
  <c r="DB546" i="1"/>
  <c r="AK546" i="1"/>
  <c r="A546" i="1"/>
  <c r="GV545" i="1"/>
  <c r="GF545" i="1"/>
  <c r="GE545" i="1"/>
  <c r="GD545" i="1"/>
  <c r="GB545" i="1"/>
  <c r="FZ545" i="1"/>
  <c r="FX545" i="1"/>
  <c r="FV545" i="1"/>
  <c r="FT545" i="1"/>
  <c r="FR545" i="1"/>
  <c r="FP545" i="1"/>
  <c r="FO545" i="1"/>
  <c r="FN545" i="1"/>
  <c r="FL545" i="1"/>
  <c r="FJ545" i="1"/>
  <c r="FH545" i="1"/>
  <c r="FG545" i="1"/>
  <c r="FF545" i="1"/>
  <c r="FD545" i="1"/>
  <c r="FB545" i="1"/>
  <c r="EZ545" i="1"/>
  <c r="EY545" i="1"/>
  <c r="EX545" i="1"/>
  <c r="EV545" i="1"/>
  <c r="ET545" i="1"/>
  <c r="ER545" i="1"/>
  <c r="EP545" i="1"/>
  <c r="EO545" i="1"/>
  <c r="EN545" i="1"/>
  <c r="EL545" i="1"/>
  <c r="EJ545" i="1"/>
  <c r="EH545" i="1"/>
  <c r="EG545" i="1"/>
  <c r="EF545" i="1"/>
  <c r="ED545" i="1"/>
  <c r="EB545" i="1"/>
  <c r="DZ545" i="1"/>
  <c r="DY545" i="1"/>
  <c r="DX545" i="1"/>
  <c r="DV545" i="1"/>
  <c r="DT545" i="1"/>
  <c r="DR545" i="1"/>
  <c r="DP545" i="1"/>
  <c r="DN545" i="1"/>
  <c r="DL545" i="1"/>
  <c r="DJ545" i="1"/>
  <c r="DH545" i="1"/>
  <c r="DF545" i="1"/>
  <c r="DD545" i="1"/>
  <c r="DB545" i="1"/>
  <c r="AK545" i="1"/>
  <c r="A545" i="1"/>
  <c r="GV544" i="1"/>
  <c r="GF544" i="1"/>
  <c r="GE544" i="1"/>
  <c r="GD544" i="1"/>
  <c r="GB544" i="1"/>
  <c r="FZ544" i="1"/>
  <c r="FX544" i="1"/>
  <c r="FV544" i="1"/>
  <c r="FT544" i="1"/>
  <c r="FR544" i="1"/>
  <c r="FP544" i="1"/>
  <c r="FO544" i="1"/>
  <c r="FN544" i="1"/>
  <c r="FL544" i="1"/>
  <c r="FJ544" i="1"/>
  <c r="FH544" i="1"/>
  <c r="FG544" i="1"/>
  <c r="FF544" i="1"/>
  <c r="FD544" i="1"/>
  <c r="FB544" i="1"/>
  <c r="EZ544" i="1"/>
  <c r="EY544" i="1"/>
  <c r="EX544" i="1"/>
  <c r="EV544" i="1"/>
  <c r="ET544" i="1"/>
  <c r="ER544" i="1"/>
  <c r="EP544" i="1"/>
  <c r="EO544" i="1"/>
  <c r="EN544" i="1"/>
  <c r="EL544" i="1"/>
  <c r="EJ544" i="1"/>
  <c r="EH544" i="1"/>
  <c r="EG544" i="1"/>
  <c r="EF544" i="1"/>
  <c r="ED544" i="1"/>
  <c r="EB544" i="1"/>
  <c r="DZ544" i="1"/>
  <c r="DY544" i="1"/>
  <c r="DX544" i="1"/>
  <c r="DV544" i="1"/>
  <c r="DT544" i="1"/>
  <c r="DR544" i="1"/>
  <c r="DP544" i="1"/>
  <c r="DN544" i="1"/>
  <c r="DL544" i="1"/>
  <c r="DJ544" i="1"/>
  <c r="DH544" i="1"/>
  <c r="DF544" i="1"/>
  <c r="DD544" i="1"/>
  <c r="DB544" i="1"/>
  <c r="AK544" i="1"/>
  <c r="A544" i="1"/>
  <c r="GV543" i="1"/>
  <c r="GF543" i="1"/>
  <c r="GE543" i="1"/>
  <c r="GD543" i="1"/>
  <c r="GB543" i="1"/>
  <c r="FZ543" i="1"/>
  <c r="FX543" i="1"/>
  <c r="FV543" i="1"/>
  <c r="FT543" i="1"/>
  <c r="FR543" i="1"/>
  <c r="FP543" i="1"/>
  <c r="FO543" i="1"/>
  <c r="FN543" i="1"/>
  <c r="FL543" i="1"/>
  <c r="FJ543" i="1"/>
  <c r="FH543" i="1"/>
  <c r="FG543" i="1"/>
  <c r="FF543" i="1"/>
  <c r="FD543" i="1"/>
  <c r="FB543" i="1"/>
  <c r="EZ543" i="1"/>
  <c r="EY543" i="1"/>
  <c r="EX543" i="1"/>
  <c r="EV543" i="1"/>
  <c r="ET543" i="1"/>
  <c r="ER543" i="1"/>
  <c r="EP543" i="1"/>
  <c r="EO543" i="1"/>
  <c r="EN543" i="1"/>
  <c r="EL543" i="1"/>
  <c r="EJ543" i="1"/>
  <c r="EH543" i="1"/>
  <c r="EG543" i="1"/>
  <c r="EF543" i="1"/>
  <c r="ED543" i="1"/>
  <c r="EB543" i="1"/>
  <c r="DZ543" i="1"/>
  <c r="DY543" i="1"/>
  <c r="DX543" i="1"/>
  <c r="DV543" i="1"/>
  <c r="DT543" i="1"/>
  <c r="DR543" i="1"/>
  <c r="DP543" i="1"/>
  <c r="DN543" i="1"/>
  <c r="DL543" i="1"/>
  <c r="DJ543" i="1"/>
  <c r="DH543" i="1"/>
  <c r="DF543" i="1"/>
  <c r="DD543" i="1"/>
  <c r="DB543" i="1"/>
  <c r="AK543" i="1"/>
  <c r="A543" i="1"/>
  <c r="GV542" i="1"/>
  <c r="GF542" i="1"/>
  <c r="GE542" i="1"/>
  <c r="GD542" i="1"/>
  <c r="GB542" i="1"/>
  <c r="FZ542" i="1"/>
  <c r="FX542" i="1"/>
  <c r="FV542" i="1"/>
  <c r="FT542" i="1"/>
  <c r="FR542" i="1"/>
  <c r="FP542" i="1"/>
  <c r="FO542" i="1"/>
  <c r="FN542" i="1"/>
  <c r="FL542" i="1"/>
  <c r="FJ542" i="1"/>
  <c r="FH542" i="1"/>
  <c r="FG542" i="1"/>
  <c r="FF542" i="1"/>
  <c r="FD542" i="1"/>
  <c r="FB542" i="1"/>
  <c r="EZ542" i="1"/>
  <c r="EY542" i="1"/>
  <c r="EX542" i="1"/>
  <c r="EV542" i="1"/>
  <c r="ET542" i="1"/>
  <c r="ER542" i="1"/>
  <c r="EP542" i="1"/>
  <c r="EO542" i="1"/>
  <c r="EN542" i="1"/>
  <c r="EL542" i="1"/>
  <c r="EJ542" i="1"/>
  <c r="EH542" i="1"/>
  <c r="EG542" i="1"/>
  <c r="EF542" i="1"/>
  <c r="ED542" i="1"/>
  <c r="EB542" i="1"/>
  <c r="DZ542" i="1"/>
  <c r="DY542" i="1"/>
  <c r="DX542" i="1"/>
  <c r="DV542" i="1"/>
  <c r="DT542" i="1"/>
  <c r="DR542" i="1"/>
  <c r="DP542" i="1"/>
  <c r="DN542" i="1"/>
  <c r="DL542" i="1"/>
  <c r="DJ542" i="1"/>
  <c r="DH542" i="1"/>
  <c r="DF542" i="1"/>
  <c r="DD542" i="1"/>
  <c r="DB542" i="1"/>
  <c r="AK542" i="1"/>
  <c r="A542" i="1"/>
  <c r="GV541" i="1"/>
  <c r="GV540" i="1"/>
  <c r="GF540" i="1"/>
  <c r="GE540" i="1"/>
  <c r="GD540" i="1"/>
  <c r="GB540" i="1"/>
  <c r="FZ540" i="1"/>
  <c r="FX540" i="1"/>
  <c r="FV540" i="1"/>
  <c r="FT540" i="1"/>
  <c r="FR540" i="1"/>
  <c r="FP540" i="1"/>
  <c r="FO540" i="1"/>
  <c r="FN540" i="1"/>
  <c r="FL540" i="1"/>
  <c r="FJ540" i="1"/>
  <c r="FH540" i="1"/>
  <c r="FG540" i="1"/>
  <c r="FF540" i="1"/>
  <c r="FD540" i="1"/>
  <c r="FB540" i="1"/>
  <c r="EZ540" i="1"/>
  <c r="EY540" i="1"/>
  <c r="EX540" i="1"/>
  <c r="EV540" i="1"/>
  <c r="ET540" i="1"/>
  <c r="ER540" i="1"/>
  <c r="EP540" i="1"/>
  <c r="EO540" i="1"/>
  <c r="EN540" i="1"/>
  <c r="EL540" i="1"/>
  <c r="EJ540" i="1"/>
  <c r="EH540" i="1"/>
  <c r="EG540" i="1"/>
  <c r="EF540" i="1"/>
  <c r="ED540" i="1"/>
  <c r="EB540" i="1"/>
  <c r="DZ540" i="1"/>
  <c r="DY540" i="1"/>
  <c r="DX540" i="1"/>
  <c r="DV540" i="1"/>
  <c r="DT540" i="1"/>
  <c r="DR540" i="1"/>
  <c r="DP540" i="1"/>
  <c r="DN540" i="1"/>
  <c r="DL540" i="1"/>
  <c r="DJ540" i="1"/>
  <c r="DH540" i="1"/>
  <c r="DF540" i="1"/>
  <c r="DD540" i="1"/>
  <c r="DB540" i="1"/>
  <c r="AK540" i="1"/>
  <c r="A540" i="1"/>
  <c r="GV539" i="1"/>
  <c r="GF539" i="1"/>
  <c r="GE539" i="1"/>
  <c r="GD539" i="1"/>
  <c r="GB539" i="1"/>
  <c r="FZ539" i="1"/>
  <c r="FX539" i="1"/>
  <c r="FV539" i="1"/>
  <c r="FT539" i="1"/>
  <c r="FR539" i="1"/>
  <c r="FP539" i="1"/>
  <c r="FO539" i="1"/>
  <c r="FN539" i="1"/>
  <c r="FL539" i="1"/>
  <c r="FJ539" i="1"/>
  <c r="FH539" i="1"/>
  <c r="FG539" i="1"/>
  <c r="FF539" i="1"/>
  <c r="FD539" i="1"/>
  <c r="FB539" i="1"/>
  <c r="EZ539" i="1"/>
  <c r="EY539" i="1"/>
  <c r="EX539" i="1"/>
  <c r="EV539" i="1"/>
  <c r="ET539" i="1"/>
  <c r="ER539" i="1"/>
  <c r="EP539" i="1"/>
  <c r="EO539" i="1"/>
  <c r="EN539" i="1"/>
  <c r="EL539" i="1"/>
  <c r="EJ539" i="1"/>
  <c r="EH539" i="1"/>
  <c r="EG539" i="1"/>
  <c r="EF539" i="1"/>
  <c r="ED539" i="1"/>
  <c r="EB539" i="1"/>
  <c r="DZ539" i="1"/>
  <c r="DY539" i="1"/>
  <c r="DX539" i="1"/>
  <c r="DV539" i="1"/>
  <c r="DT539" i="1"/>
  <c r="DR539" i="1"/>
  <c r="DP539" i="1"/>
  <c r="DN539" i="1"/>
  <c r="DL539" i="1"/>
  <c r="DJ539" i="1"/>
  <c r="DH539" i="1"/>
  <c r="DF539" i="1"/>
  <c r="DD539" i="1"/>
  <c r="DB539" i="1"/>
  <c r="AK539" i="1"/>
  <c r="A539" i="1"/>
  <c r="GV538" i="1"/>
  <c r="GF538" i="1"/>
  <c r="GE538" i="1"/>
  <c r="GD538" i="1"/>
  <c r="GB538" i="1"/>
  <c r="FZ538" i="1"/>
  <c r="FX538" i="1"/>
  <c r="FV538" i="1"/>
  <c r="FT538" i="1"/>
  <c r="FR538" i="1"/>
  <c r="FP538" i="1"/>
  <c r="FO538" i="1"/>
  <c r="FN538" i="1"/>
  <c r="FL538" i="1"/>
  <c r="FJ538" i="1"/>
  <c r="FH538" i="1"/>
  <c r="FG538" i="1"/>
  <c r="FF538" i="1"/>
  <c r="FD538" i="1"/>
  <c r="FB538" i="1"/>
  <c r="EZ538" i="1"/>
  <c r="EY538" i="1"/>
  <c r="EX538" i="1"/>
  <c r="EV538" i="1"/>
  <c r="ET538" i="1"/>
  <c r="ER538" i="1"/>
  <c r="EP538" i="1"/>
  <c r="EO538" i="1"/>
  <c r="EN538" i="1"/>
  <c r="EL538" i="1"/>
  <c r="EJ538" i="1"/>
  <c r="EH538" i="1"/>
  <c r="EG538" i="1"/>
  <c r="EF538" i="1"/>
  <c r="ED538" i="1"/>
  <c r="EB538" i="1"/>
  <c r="DZ538" i="1"/>
  <c r="DY538" i="1"/>
  <c r="DX538" i="1"/>
  <c r="DV538" i="1"/>
  <c r="DT538" i="1"/>
  <c r="DR538" i="1"/>
  <c r="DP538" i="1"/>
  <c r="DN538" i="1"/>
  <c r="DL538" i="1"/>
  <c r="DJ538" i="1"/>
  <c r="DH538" i="1"/>
  <c r="DF538" i="1"/>
  <c r="DD538" i="1"/>
  <c r="DB538" i="1"/>
  <c r="AK538" i="1"/>
  <c r="A538" i="1"/>
  <c r="GV537" i="1"/>
  <c r="GF537" i="1"/>
  <c r="GE537" i="1"/>
  <c r="GD537" i="1"/>
  <c r="GB537" i="1"/>
  <c r="FZ537" i="1"/>
  <c r="FX537" i="1"/>
  <c r="FV537" i="1"/>
  <c r="FT537" i="1"/>
  <c r="FR537" i="1"/>
  <c r="FP537" i="1"/>
  <c r="FO537" i="1"/>
  <c r="FN537" i="1"/>
  <c r="FL537" i="1"/>
  <c r="FJ537" i="1"/>
  <c r="FH537" i="1"/>
  <c r="FG537" i="1"/>
  <c r="FF537" i="1"/>
  <c r="FD537" i="1"/>
  <c r="FB537" i="1"/>
  <c r="EZ537" i="1"/>
  <c r="EY537" i="1"/>
  <c r="EX537" i="1"/>
  <c r="EV537" i="1"/>
  <c r="ET537" i="1"/>
  <c r="ER537" i="1"/>
  <c r="EP537" i="1"/>
  <c r="EO537" i="1"/>
  <c r="EN537" i="1"/>
  <c r="EL537" i="1"/>
  <c r="EJ537" i="1"/>
  <c r="EH537" i="1"/>
  <c r="EG537" i="1"/>
  <c r="EF537" i="1"/>
  <c r="ED537" i="1"/>
  <c r="EB537" i="1"/>
  <c r="DZ537" i="1"/>
  <c r="DY537" i="1"/>
  <c r="DX537" i="1"/>
  <c r="DV537" i="1"/>
  <c r="DT537" i="1"/>
  <c r="DR537" i="1"/>
  <c r="DP537" i="1"/>
  <c r="DN537" i="1"/>
  <c r="DL537" i="1"/>
  <c r="DJ537" i="1"/>
  <c r="DH537" i="1"/>
  <c r="DF537" i="1"/>
  <c r="DD537" i="1"/>
  <c r="DB537" i="1"/>
  <c r="AK537" i="1"/>
  <c r="A537" i="1"/>
  <c r="GV536" i="1"/>
  <c r="GV535" i="1"/>
  <c r="GF535" i="1"/>
  <c r="GE535" i="1"/>
  <c r="GD535" i="1"/>
  <c r="GB535" i="1"/>
  <c r="FZ535" i="1"/>
  <c r="FX535" i="1"/>
  <c r="FV535" i="1"/>
  <c r="FT535" i="1"/>
  <c r="FR535" i="1"/>
  <c r="FP535" i="1"/>
  <c r="FO535" i="1"/>
  <c r="FN535" i="1"/>
  <c r="FL535" i="1"/>
  <c r="FJ535" i="1"/>
  <c r="FH535" i="1"/>
  <c r="FG535" i="1"/>
  <c r="FF535" i="1"/>
  <c r="FD535" i="1"/>
  <c r="FB535" i="1"/>
  <c r="EZ535" i="1"/>
  <c r="EY535" i="1"/>
  <c r="EX535" i="1"/>
  <c r="EV535" i="1"/>
  <c r="ET535" i="1"/>
  <c r="ER535" i="1"/>
  <c r="EP535" i="1"/>
  <c r="EO535" i="1"/>
  <c r="EN535" i="1"/>
  <c r="EL535" i="1"/>
  <c r="EJ535" i="1"/>
  <c r="EH535" i="1"/>
  <c r="EG535" i="1"/>
  <c r="EF535" i="1"/>
  <c r="ED535" i="1"/>
  <c r="EB535" i="1"/>
  <c r="DZ535" i="1"/>
  <c r="DY535" i="1"/>
  <c r="DX535" i="1"/>
  <c r="DV535" i="1"/>
  <c r="DT535" i="1"/>
  <c r="DR535" i="1"/>
  <c r="DP535" i="1"/>
  <c r="DN535" i="1"/>
  <c r="DL535" i="1"/>
  <c r="DJ535" i="1"/>
  <c r="DH535" i="1"/>
  <c r="DF535" i="1"/>
  <c r="DD535" i="1"/>
  <c r="DB535" i="1"/>
  <c r="AK535" i="1"/>
  <c r="A535" i="1"/>
  <c r="GV534" i="1"/>
  <c r="GF534" i="1"/>
  <c r="GE534" i="1"/>
  <c r="GD534" i="1"/>
  <c r="GB534" i="1"/>
  <c r="FZ534" i="1"/>
  <c r="FX534" i="1"/>
  <c r="FV534" i="1"/>
  <c r="FT534" i="1"/>
  <c r="FR534" i="1"/>
  <c r="FP534" i="1"/>
  <c r="FO534" i="1"/>
  <c r="FN534" i="1"/>
  <c r="FL534" i="1"/>
  <c r="FJ534" i="1"/>
  <c r="FH534" i="1"/>
  <c r="FG534" i="1"/>
  <c r="FF534" i="1"/>
  <c r="FD534" i="1"/>
  <c r="FB534" i="1"/>
  <c r="EZ534" i="1"/>
  <c r="EY534" i="1"/>
  <c r="EX534" i="1"/>
  <c r="EV534" i="1"/>
  <c r="ET534" i="1"/>
  <c r="ER534" i="1"/>
  <c r="EP534" i="1"/>
  <c r="EO534" i="1"/>
  <c r="EN534" i="1"/>
  <c r="EL534" i="1"/>
  <c r="EJ534" i="1"/>
  <c r="EH534" i="1"/>
  <c r="EG534" i="1"/>
  <c r="EF534" i="1"/>
  <c r="ED534" i="1"/>
  <c r="EB534" i="1"/>
  <c r="DZ534" i="1"/>
  <c r="DY534" i="1"/>
  <c r="DX534" i="1"/>
  <c r="DV534" i="1"/>
  <c r="DT534" i="1"/>
  <c r="DR534" i="1"/>
  <c r="DP534" i="1"/>
  <c r="DN534" i="1"/>
  <c r="DL534" i="1"/>
  <c r="DJ534" i="1"/>
  <c r="DH534" i="1"/>
  <c r="DF534" i="1"/>
  <c r="DD534" i="1"/>
  <c r="DB534" i="1"/>
  <c r="AK534" i="1"/>
  <c r="A534" i="1"/>
  <c r="GV533" i="1"/>
  <c r="GV532" i="1"/>
  <c r="GF532" i="1"/>
  <c r="GE532" i="1"/>
  <c r="GD532" i="1"/>
  <c r="GB532" i="1"/>
  <c r="FZ532" i="1"/>
  <c r="FX532" i="1"/>
  <c r="FV532" i="1"/>
  <c r="FT532" i="1"/>
  <c r="FR532" i="1"/>
  <c r="FP532" i="1"/>
  <c r="FO532" i="1"/>
  <c r="FN532" i="1"/>
  <c r="FL532" i="1"/>
  <c r="FJ532" i="1"/>
  <c r="FH532" i="1"/>
  <c r="FG532" i="1"/>
  <c r="FF532" i="1"/>
  <c r="FD532" i="1"/>
  <c r="FB532" i="1"/>
  <c r="EZ532" i="1"/>
  <c r="EY532" i="1"/>
  <c r="EX532" i="1"/>
  <c r="EV532" i="1"/>
  <c r="ET532" i="1"/>
  <c r="ER532" i="1"/>
  <c r="EP532" i="1"/>
  <c r="EO532" i="1"/>
  <c r="EN532" i="1"/>
  <c r="EL532" i="1"/>
  <c r="EJ532" i="1"/>
  <c r="EH532" i="1"/>
  <c r="EG532" i="1"/>
  <c r="EF532" i="1"/>
  <c r="ED532" i="1"/>
  <c r="EB532" i="1"/>
  <c r="DZ532" i="1"/>
  <c r="DY532" i="1"/>
  <c r="DX532" i="1"/>
  <c r="DV532" i="1"/>
  <c r="DT532" i="1"/>
  <c r="DR532" i="1"/>
  <c r="DP532" i="1"/>
  <c r="DN532" i="1"/>
  <c r="DL532" i="1"/>
  <c r="DJ532" i="1"/>
  <c r="DH532" i="1"/>
  <c r="DF532" i="1"/>
  <c r="DD532" i="1"/>
  <c r="DB532" i="1"/>
  <c r="AK532" i="1"/>
  <c r="A532" i="1"/>
  <c r="GV531" i="1"/>
  <c r="GF531" i="1"/>
  <c r="GE531" i="1"/>
  <c r="GD531" i="1"/>
  <c r="GB531" i="1"/>
  <c r="FZ531" i="1"/>
  <c r="FX531" i="1"/>
  <c r="FV531" i="1"/>
  <c r="FT531" i="1"/>
  <c r="FR531" i="1"/>
  <c r="FP531" i="1"/>
  <c r="FO531" i="1"/>
  <c r="FN531" i="1"/>
  <c r="FL531" i="1"/>
  <c r="FJ531" i="1"/>
  <c r="FH531" i="1"/>
  <c r="FG531" i="1"/>
  <c r="FF531" i="1"/>
  <c r="FD531" i="1"/>
  <c r="FB531" i="1"/>
  <c r="EZ531" i="1"/>
  <c r="EY531" i="1"/>
  <c r="EX531" i="1"/>
  <c r="EV531" i="1"/>
  <c r="ET531" i="1"/>
  <c r="ER531" i="1"/>
  <c r="EP531" i="1"/>
  <c r="EO531" i="1"/>
  <c r="EN531" i="1"/>
  <c r="EL531" i="1"/>
  <c r="EJ531" i="1"/>
  <c r="EH531" i="1"/>
  <c r="EG531" i="1"/>
  <c r="EF531" i="1"/>
  <c r="ED531" i="1"/>
  <c r="EB531" i="1"/>
  <c r="DZ531" i="1"/>
  <c r="DY531" i="1"/>
  <c r="DX531" i="1"/>
  <c r="DV531" i="1"/>
  <c r="DT531" i="1"/>
  <c r="DR531" i="1"/>
  <c r="DP531" i="1"/>
  <c r="DN531" i="1"/>
  <c r="DL531" i="1"/>
  <c r="DJ531" i="1"/>
  <c r="DH531" i="1"/>
  <c r="DF531" i="1"/>
  <c r="DD531" i="1"/>
  <c r="DB531" i="1"/>
  <c r="AK531" i="1"/>
  <c r="A531" i="1"/>
  <c r="GV530" i="1"/>
  <c r="GF530" i="1"/>
  <c r="GE530" i="1"/>
  <c r="GD530" i="1"/>
  <c r="GB530" i="1"/>
  <c r="FZ530" i="1"/>
  <c r="FX530" i="1"/>
  <c r="FV530" i="1"/>
  <c r="FT530" i="1"/>
  <c r="FR530" i="1"/>
  <c r="FP530" i="1"/>
  <c r="FO530" i="1"/>
  <c r="FN530" i="1"/>
  <c r="FL530" i="1"/>
  <c r="FJ530" i="1"/>
  <c r="FH530" i="1"/>
  <c r="FG530" i="1"/>
  <c r="FF530" i="1"/>
  <c r="FD530" i="1"/>
  <c r="FB530" i="1"/>
  <c r="EZ530" i="1"/>
  <c r="EY530" i="1"/>
  <c r="EX530" i="1"/>
  <c r="EV530" i="1"/>
  <c r="ET530" i="1"/>
  <c r="ER530" i="1"/>
  <c r="EP530" i="1"/>
  <c r="EO530" i="1"/>
  <c r="EN530" i="1"/>
  <c r="EL530" i="1"/>
  <c r="EJ530" i="1"/>
  <c r="EH530" i="1"/>
  <c r="EG530" i="1"/>
  <c r="EF530" i="1"/>
  <c r="ED530" i="1"/>
  <c r="EB530" i="1"/>
  <c r="DZ530" i="1"/>
  <c r="DY530" i="1"/>
  <c r="DX530" i="1"/>
  <c r="DV530" i="1"/>
  <c r="DT530" i="1"/>
  <c r="DR530" i="1"/>
  <c r="DP530" i="1"/>
  <c r="DN530" i="1"/>
  <c r="DL530" i="1"/>
  <c r="DJ530" i="1"/>
  <c r="DH530" i="1"/>
  <c r="DF530" i="1"/>
  <c r="DD530" i="1"/>
  <c r="DB530" i="1"/>
  <c r="AK530" i="1"/>
  <c r="A530" i="1"/>
  <c r="GV529" i="1"/>
  <c r="GF529" i="1"/>
  <c r="GE529" i="1"/>
  <c r="GD529" i="1"/>
  <c r="GB529" i="1"/>
  <c r="FZ529" i="1"/>
  <c r="FX529" i="1"/>
  <c r="FV529" i="1"/>
  <c r="FT529" i="1"/>
  <c r="FR529" i="1"/>
  <c r="FP529" i="1"/>
  <c r="FO529" i="1"/>
  <c r="FN529" i="1"/>
  <c r="FL529" i="1"/>
  <c r="FJ529" i="1"/>
  <c r="FH529" i="1"/>
  <c r="FG529" i="1"/>
  <c r="FF529" i="1"/>
  <c r="FD529" i="1"/>
  <c r="FB529" i="1"/>
  <c r="EZ529" i="1"/>
  <c r="EY529" i="1"/>
  <c r="EX529" i="1"/>
  <c r="EV529" i="1"/>
  <c r="ET529" i="1"/>
  <c r="ER529" i="1"/>
  <c r="EP529" i="1"/>
  <c r="EO529" i="1"/>
  <c r="EN529" i="1"/>
  <c r="EL529" i="1"/>
  <c r="EJ529" i="1"/>
  <c r="EH529" i="1"/>
  <c r="EG529" i="1"/>
  <c r="EF529" i="1"/>
  <c r="ED529" i="1"/>
  <c r="EB529" i="1"/>
  <c r="DZ529" i="1"/>
  <c r="DY529" i="1"/>
  <c r="DX529" i="1"/>
  <c r="DV529" i="1"/>
  <c r="DT529" i="1"/>
  <c r="DR529" i="1"/>
  <c r="DP529" i="1"/>
  <c r="DN529" i="1"/>
  <c r="DL529" i="1"/>
  <c r="DJ529" i="1"/>
  <c r="DH529" i="1"/>
  <c r="DF529" i="1"/>
  <c r="DD529" i="1"/>
  <c r="DB529" i="1"/>
  <c r="AK529" i="1"/>
  <c r="A529" i="1"/>
  <c r="GV528" i="1"/>
  <c r="GF528" i="1"/>
  <c r="GE528" i="1"/>
  <c r="GD528" i="1"/>
  <c r="GB528" i="1"/>
  <c r="FZ528" i="1"/>
  <c r="FX528" i="1"/>
  <c r="FV528" i="1"/>
  <c r="FT528" i="1"/>
  <c r="FR528" i="1"/>
  <c r="FP528" i="1"/>
  <c r="FO528" i="1"/>
  <c r="FN528" i="1"/>
  <c r="FL528" i="1"/>
  <c r="FJ528" i="1"/>
  <c r="FH528" i="1"/>
  <c r="FG528" i="1"/>
  <c r="FF528" i="1"/>
  <c r="FD528" i="1"/>
  <c r="FB528" i="1"/>
  <c r="EZ528" i="1"/>
  <c r="EY528" i="1"/>
  <c r="EX528" i="1"/>
  <c r="EV528" i="1"/>
  <c r="ET528" i="1"/>
  <c r="ER528" i="1"/>
  <c r="EP528" i="1"/>
  <c r="EO528" i="1"/>
  <c r="EN528" i="1"/>
  <c r="EL528" i="1"/>
  <c r="EJ528" i="1"/>
  <c r="EH528" i="1"/>
  <c r="EG528" i="1"/>
  <c r="EF528" i="1"/>
  <c r="ED528" i="1"/>
  <c r="EB528" i="1"/>
  <c r="DZ528" i="1"/>
  <c r="DY528" i="1"/>
  <c r="DX528" i="1"/>
  <c r="DV528" i="1"/>
  <c r="DT528" i="1"/>
  <c r="DR528" i="1"/>
  <c r="DP528" i="1"/>
  <c r="DN528" i="1"/>
  <c r="DL528" i="1"/>
  <c r="DJ528" i="1"/>
  <c r="DH528" i="1"/>
  <c r="DF528" i="1"/>
  <c r="DD528" i="1"/>
  <c r="DB528" i="1"/>
  <c r="AK528" i="1"/>
  <c r="A528" i="1"/>
  <c r="GV527" i="1"/>
  <c r="GF527" i="1"/>
  <c r="GE527" i="1"/>
  <c r="GD527" i="1"/>
  <c r="GB527" i="1"/>
  <c r="FZ527" i="1"/>
  <c r="FX527" i="1"/>
  <c r="FV527" i="1"/>
  <c r="FT527" i="1"/>
  <c r="FR527" i="1"/>
  <c r="FP527" i="1"/>
  <c r="FO527" i="1"/>
  <c r="FN527" i="1"/>
  <c r="FL527" i="1"/>
  <c r="FJ527" i="1"/>
  <c r="FH527" i="1"/>
  <c r="FG527" i="1"/>
  <c r="FF527" i="1"/>
  <c r="FD527" i="1"/>
  <c r="FB527" i="1"/>
  <c r="EZ527" i="1"/>
  <c r="EY527" i="1"/>
  <c r="EX527" i="1"/>
  <c r="EV527" i="1"/>
  <c r="ET527" i="1"/>
  <c r="ER527" i="1"/>
  <c r="EP527" i="1"/>
  <c r="EO527" i="1"/>
  <c r="EN527" i="1"/>
  <c r="EL527" i="1"/>
  <c r="EJ527" i="1"/>
  <c r="EH527" i="1"/>
  <c r="EG527" i="1"/>
  <c r="EF527" i="1"/>
  <c r="ED527" i="1"/>
  <c r="EB527" i="1"/>
  <c r="DZ527" i="1"/>
  <c r="DY527" i="1"/>
  <c r="DX527" i="1"/>
  <c r="DV527" i="1"/>
  <c r="DT527" i="1"/>
  <c r="DR527" i="1"/>
  <c r="DP527" i="1"/>
  <c r="DN527" i="1"/>
  <c r="DL527" i="1"/>
  <c r="DJ527" i="1"/>
  <c r="DH527" i="1"/>
  <c r="DF527" i="1"/>
  <c r="DD527" i="1"/>
  <c r="DB527" i="1"/>
  <c r="AK527" i="1"/>
  <c r="A527" i="1"/>
  <c r="GV526" i="1"/>
  <c r="GF526" i="1"/>
  <c r="GE526" i="1"/>
  <c r="GD526" i="1"/>
  <c r="GB526" i="1"/>
  <c r="FZ526" i="1"/>
  <c r="FX526" i="1"/>
  <c r="FV526" i="1"/>
  <c r="FT526" i="1"/>
  <c r="FR526" i="1"/>
  <c r="FP526" i="1"/>
  <c r="FO526" i="1"/>
  <c r="FN526" i="1"/>
  <c r="FL526" i="1"/>
  <c r="FJ526" i="1"/>
  <c r="FH526" i="1"/>
  <c r="FG526" i="1"/>
  <c r="FF526" i="1"/>
  <c r="FD526" i="1"/>
  <c r="FB526" i="1"/>
  <c r="EZ526" i="1"/>
  <c r="EY526" i="1"/>
  <c r="EX526" i="1"/>
  <c r="EV526" i="1"/>
  <c r="ET526" i="1"/>
  <c r="ER526" i="1"/>
  <c r="EP526" i="1"/>
  <c r="EO526" i="1"/>
  <c r="EN526" i="1"/>
  <c r="EL526" i="1"/>
  <c r="EJ526" i="1"/>
  <c r="EH526" i="1"/>
  <c r="EG526" i="1"/>
  <c r="EF526" i="1"/>
  <c r="ED526" i="1"/>
  <c r="EB526" i="1"/>
  <c r="DZ526" i="1"/>
  <c r="DY526" i="1"/>
  <c r="DX526" i="1"/>
  <c r="DV526" i="1"/>
  <c r="DT526" i="1"/>
  <c r="DR526" i="1"/>
  <c r="DP526" i="1"/>
  <c r="DN526" i="1"/>
  <c r="DL526" i="1"/>
  <c r="DJ526" i="1"/>
  <c r="DH526" i="1"/>
  <c r="DF526" i="1"/>
  <c r="DD526" i="1"/>
  <c r="DB526" i="1"/>
  <c r="AK526" i="1"/>
  <c r="A526" i="1"/>
  <c r="GV525" i="1"/>
  <c r="GF525" i="1"/>
  <c r="GE525" i="1"/>
  <c r="GD525" i="1"/>
  <c r="GB525" i="1"/>
  <c r="FZ525" i="1"/>
  <c r="FX525" i="1"/>
  <c r="FV525" i="1"/>
  <c r="FT525" i="1"/>
  <c r="FR525" i="1"/>
  <c r="FP525" i="1"/>
  <c r="FO525" i="1"/>
  <c r="FN525" i="1"/>
  <c r="FL525" i="1"/>
  <c r="FJ525" i="1"/>
  <c r="FH525" i="1"/>
  <c r="FG525" i="1"/>
  <c r="FF525" i="1"/>
  <c r="FD525" i="1"/>
  <c r="FB525" i="1"/>
  <c r="EZ525" i="1"/>
  <c r="EY525" i="1"/>
  <c r="EX525" i="1"/>
  <c r="EV525" i="1"/>
  <c r="ET525" i="1"/>
  <c r="ER525" i="1"/>
  <c r="EP525" i="1"/>
  <c r="EO525" i="1"/>
  <c r="EN525" i="1"/>
  <c r="EL525" i="1"/>
  <c r="EJ525" i="1"/>
  <c r="EH525" i="1"/>
  <c r="EG525" i="1"/>
  <c r="EF525" i="1"/>
  <c r="ED525" i="1"/>
  <c r="EB525" i="1"/>
  <c r="DZ525" i="1"/>
  <c r="DY525" i="1"/>
  <c r="DX525" i="1"/>
  <c r="DV525" i="1"/>
  <c r="DT525" i="1"/>
  <c r="DR525" i="1"/>
  <c r="DP525" i="1"/>
  <c r="DN525" i="1"/>
  <c r="DL525" i="1"/>
  <c r="DJ525" i="1"/>
  <c r="DH525" i="1"/>
  <c r="DF525" i="1"/>
  <c r="DD525" i="1"/>
  <c r="DB525" i="1"/>
  <c r="AK525" i="1"/>
  <c r="A525" i="1"/>
  <c r="GV524" i="1"/>
  <c r="GF524" i="1"/>
  <c r="GE524" i="1"/>
  <c r="GD524" i="1"/>
  <c r="GB524" i="1"/>
  <c r="FZ524" i="1"/>
  <c r="FX524" i="1"/>
  <c r="FV524" i="1"/>
  <c r="FT524" i="1"/>
  <c r="FR524" i="1"/>
  <c r="FP524" i="1"/>
  <c r="FO524" i="1"/>
  <c r="FN524" i="1"/>
  <c r="FL524" i="1"/>
  <c r="FJ524" i="1"/>
  <c r="FH524" i="1"/>
  <c r="FG524" i="1"/>
  <c r="FF524" i="1"/>
  <c r="FD524" i="1"/>
  <c r="FB524" i="1"/>
  <c r="EZ524" i="1"/>
  <c r="EY524" i="1"/>
  <c r="EX524" i="1"/>
  <c r="EV524" i="1"/>
  <c r="ET524" i="1"/>
  <c r="ER524" i="1"/>
  <c r="EP524" i="1"/>
  <c r="EO524" i="1"/>
  <c r="EN524" i="1"/>
  <c r="EL524" i="1"/>
  <c r="EJ524" i="1"/>
  <c r="EH524" i="1"/>
  <c r="EG524" i="1"/>
  <c r="EF524" i="1"/>
  <c r="ED524" i="1"/>
  <c r="EB524" i="1"/>
  <c r="DZ524" i="1"/>
  <c r="DY524" i="1"/>
  <c r="DX524" i="1"/>
  <c r="DV524" i="1"/>
  <c r="DT524" i="1"/>
  <c r="DR524" i="1"/>
  <c r="DP524" i="1"/>
  <c r="DN524" i="1"/>
  <c r="DL524" i="1"/>
  <c r="DJ524" i="1"/>
  <c r="DH524" i="1"/>
  <c r="DF524" i="1"/>
  <c r="DD524" i="1"/>
  <c r="DB524" i="1"/>
  <c r="AK524" i="1"/>
  <c r="A524" i="1"/>
  <c r="GV523" i="1"/>
  <c r="GF523" i="1"/>
  <c r="GE523" i="1"/>
  <c r="GD523" i="1"/>
  <c r="GB523" i="1"/>
  <c r="FZ523" i="1"/>
  <c r="FX523" i="1"/>
  <c r="FV523" i="1"/>
  <c r="FT523" i="1"/>
  <c r="FR523" i="1"/>
  <c r="FP523" i="1"/>
  <c r="FO523" i="1"/>
  <c r="FN523" i="1"/>
  <c r="FL523" i="1"/>
  <c r="FJ523" i="1"/>
  <c r="FH523" i="1"/>
  <c r="FG523" i="1"/>
  <c r="FF523" i="1"/>
  <c r="FD523" i="1"/>
  <c r="FB523" i="1"/>
  <c r="EZ523" i="1"/>
  <c r="EY523" i="1"/>
  <c r="EX523" i="1"/>
  <c r="EV523" i="1"/>
  <c r="ET523" i="1"/>
  <c r="ER523" i="1"/>
  <c r="EP523" i="1"/>
  <c r="EO523" i="1"/>
  <c r="EN523" i="1"/>
  <c r="EL523" i="1"/>
  <c r="EJ523" i="1"/>
  <c r="EH523" i="1"/>
  <c r="EG523" i="1"/>
  <c r="EF523" i="1"/>
  <c r="ED523" i="1"/>
  <c r="EB523" i="1"/>
  <c r="DZ523" i="1"/>
  <c r="DY523" i="1"/>
  <c r="DX523" i="1"/>
  <c r="DV523" i="1"/>
  <c r="DT523" i="1"/>
  <c r="DR523" i="1"/>
  <c r="DP523" i="1"/>
  <c r="DN523" i="1"/>
  <c r="DL523" i="1"/>
  <c r="DJ523" i="1"/>
  <c r="DH523" i="1"/>
  <c r="DF523" i="1"/>
  <c r="DD523" i="1"/>
  <c r="DB523" i="1"/>
  <c r="AK523" i="1"/>
  <c r="A523" i="1"/>
  <c r="GV522" i="1"/>
  <c r="GV521" i="1"/>
  <c r="GF521" i="1"/>
  <c r="GE521" i="1"/>
  <c r="GD521" i="1"/>
  <c r="GB521" i="1"/>
  <c r="FZ521" i="1"/>
  <c r="FX521" i="1"/>
  <c r="FV521" i="1"/>
  <c r="FT521" i="1"/>
  <c r="FR521" i="1"/>
  <c r="FP521" i="1"/>
  <c r="FO521" i="1"/>
  <c r="FN521" i="1"/>
  <c r="FL521" i="1"/>
  <c r="FJ521" i="1"/>
  <c r="FH521" i="1"/>
  <c r="FG521" i="1"/>
  <c r="FF521" i="1"/>
  <c r="FD521" i="1"/>
  <c r="FB521" i="1"/>
  <c r="EZ521" i="1"/>
  <c r="EY521" i="1"/>
  <c r="EX521" i="1"/>
  <c r="EV521" i="1"/>
  <c r="ET521" i="1"/>
  <c r="ER521" i="1"/>
  <c r="EP521" i="1"/>
  <c r="EO521" i="1"/>
  <c r="EN521" i="1"/>
  <c r="EL521" i="1"/>
  <c r="EJ521" i="1"/>
  <c r="EH521" i="1"/>
  <c r="EG521" i="1"/>
  <c r="EF521" i="1"/>
  <c r="ED521" i="1"/>
  <c r="EB521" i="1"/>
  <c r="DZ521" i="1"/>
  <c r="DY521" i="1"/>
  <c r="DX521" i="1"/>
  <c r="DV521" i="1"/>
  <c r="DT521" i="1"/>
  <c r="DR521" i="1"/>
  <c r="DP521" i="1"/>
  <c r="DN521" i="1"/>
  <c r="DL521" i="1"/>
  <c r="DJ521" i="1"/>
  <c r="DH521" i="1"/>
  <c r="DF521" i="1"/>
  <c r="DD521" i="1"/>
  <c r="DB521" i="1"/>
  <c r="AK521" i="1"/>
  <c r="A521" i="1"/>
  <c r="GV520" i="1"/>
  <c r="GF520" i="1"/>
  <c r="GE520" i="1"/>
  <c r="GD520" i="1"/>
  <c r="GB520" i="1"/>
  <c r="FZ520" i="1"/>
  <c r="FX520" i="1"/>
  <c r="FV520" i="1"/>
  <c r="FT520" i="1"/>
  <c r="FR520" i="1"/>
  <c r="FP520" i="1"/>
  <c r="FO520" i="1"/>
  <c r="FN520" i="1"/>
  <c r="FL520" i="1"/>
  <c r="FJ520" i="1"/>
  <c r="FH520" i="1"/>
  <c r="FG520" i="1"/>
  <c r="FF520" i="1"/>
  <c r="FD520" i="1"/>
  <c r="FB520" i="1"/>
  <c r="EZ520" i="1"/>
  <c r="EY520" i="1"/>
  <c r="EX520" i="1"/>
  <c r="EV520" i="1"/>
  <c r="ET520" i="1"/>
  <c r="ER520" i="1"/>
  <c r="EP520" i="1"/>
  <c r="EO520" i="1"/>
  <c r="EN520" i="1"/>
  <c r="EL520" i="1"/>
  <c r="EJ520" i="1"/>
  <c r="EH520" i="1"/>
  <c r="EG520" i="1"/>
  <c r="EF520" i="1"/>
  <c r="ED520" i="1"/>
  <c r="EB520" i="1"/>
  <c r="DZ520" i="1"/>
  <c r="DY520" i="1"/>
  <c r="DX520" i="1"/>
  <c r="DV520" i="1"/>
  <c r="DT520" i="1"/>
  <c r="DR520" i="1"/>
  <c r="DP520" i="1"/>
  <c r="DN520" i="1"/>
  <c r="DL520" i="1"/>
  <c r="DJ520" i="1"/>
  <c r="DH520" i="1"/>
  <c r="DF520" i="1"/>
  <c r="DD520" i="1"/>
  <c r="DB520" i="1"/>
  <c r="AK520" i="1"/>
  <c r="A520" i="1"/>
  <c r="GV519" i="1"/>
  <c r="GF519" i="1"/>
  <c r="GE519" i="1"/>
  <c r="GD519" i="1"/>
  <c r="GB519" i="1"/>
  <c r="FZ519" i="1"/>
  <c r="FX519" i="1"/>
  <c r="FV519" i="1"/>
  <c r="FT519" i="1"/>
  <c r="FR519" i="1"/>
  <c r="FP519" i="1"/>
  <c r="FO519" i="1"/>
  <c r="FN519" i="1"/>
  <c r="FL519" i="1"/>
  <c r="FJ519" i="1"/>
  <c r="FH519" i="1"/>
  <c r="FG519" i="1"/>
  <c r="FF519" i="1"/>
  <c r="FD519" i="1"/>
  <c r="FB519" i="1"/>
  <c r="EZ519" i="1"/>
  <c r="EY519" i="1"/>
  <c r="EX519" i="1"/>
  <c r="EV519" i="1"/>
  <c r="ET519" i="1"/>
  <c r="ER519" i="1"/>
  <c r="EP519" i="1"/>
  <c r="EO519" i="1"/>
  <c r="EN519" i="1"/>
  <c r="EL519" i="1"/>
  <c r="EJ519" i="1"/>
  <c r="EH519" i="1"/>
  <c r="EG519" i="1"/>
  <c r="EF519" i="1"/>
  <c r="ED519" i="1"/>
  <c r="EB519" i="1"/>
  <c r="DZ519" i="1"/>
  <c r="DY519" i="1"/>
  <c r="DX519" i="1"/>
  <c r="DV519" i="1"/>
  <c r="DT519" i="1"/>
  <c r="DR519" i="1"/>
  <c r="DP519" i="1"/>
  <c r="DN519" i="1"/>
  <c r="DL519" i="1"/>
  <c r="DJ519" i="1"/>
  <c r="DH519" i="1"/>
  <c r="DF519" i="1"/>
  <c r="DD519" i="1"/>
  <c r="DB519" i="1"/>
  <c r="AK519" i="1"/>
  <c r="A519" i="1"/>
  <c r="GV518" i="1"/>
  <c r="GV517" i="1"/>
  <c r="GF517" i="1"/>
  <c r="GE517" i="1"/>
  <c r="GD517" i="1"/>
  <c r="GB517" i="1"/>
  <c r="FZ517" i="1"/>
  <c r="FX517" i="1"/>
  <c r="FV517" i="1"/>
  <c r="FT517" i="1"/>
  <c r="FR517" i="1"/>
  <c r="FP517" i="1"/>
  <c r="FO517" i="1"/>
  <c r="FN517" i="1"/>
  <c r="FL517" i="1"/>
  <c r="FJ517" i="1"/>
  <c r="FH517" i="1"/>
  <c r="FG517" i="1"/>
  <c r="FF517" i="1"/>
  <c r="FD517" i="1"/>
  <c r="FB517" i="1"/>
  <c r="EZ517" i="1"/>
  <c r="EY517" i="1"/>
  <c r="EX517" i="1"/>
  <c r="EV517" i="1"/>
  <c r="ET517" i="1"/>
  <c r="ER517" i="1"/>
  <c r="EP517" i="1"/>
  <c r="EO517" i="1"/>
  <c r="EN517" i="1"/>
  <c r="EL517" i="1"/>
  <c r="EJ517" i="1"/>
  <c r="EH517" i="1"/>
  <c r="EG517" i="1"/>
  <c r="EF517" i="1"/>
  <c r="ED517" i="1"/>
  <c r="EB517" i="1"/>
  <c r="DZ517" i="1"/>
  <c r="DY517" i="1"/>
  <c r="DX517" i="1"/>
  <c r="DV517" i="1"/>
  <c r="DT517" i="1"/>
  <c r="DR517" i="1"/>
  <c r="DP517" i="1"/>
  <c r="DN517" i="1"/>
  <c r="DL517" i="1"/>
  <c r="DJ517" i="1"/>
  <c r="DH517" i="1"/>
  <c r="DF517" i="1"/>
  <c r="DD517" i="1"/>
  <c r="DB517" i="1"/>
  <c r="AK517" i="1"/>
  <c r="A517" i="1"/>
  <c r="GV516" i="1"/>
  <c r="GV515" i="1"/>
  <c r="GF515" i="1"/>
  <c r="GE515" i="1"/>
  <c r="GD515" i="1"/>
  <c r="GB515" i="1"/>
  <c r="FZ515" i="1"/>
  <c r="FX515" i="1"/>
  <c r="FV515" i="1"/>
  <c r="FT515" i="1"/>
  <c r="FR515" i="1"/>
  <c r="FP515" i="1"/>
  <c r="FO515" i="1"/>
  <c r="FN515" i="1"/>
  <c r="FL515" i="1"/>
  <c r="FJ515" i="1"/>
  <c r="FH515" i="1"/>
  <c r="FG515" i="1"/>
  <c r="FF515" i="1"/>
  <c r="FD515" i="1"/>
  <c r="FB515" i="1"/>
  <c r="EZ515" i="1"/>
  <c r="EY515" i="1"/>
  <c r="EX515" i="1"/>
  <c r="EV515" i="1"/>
  <c r="ET515" i="1"/>
  <c r="ER515" i="1"/>
  <c r="EP515" i="1"/>
  <c r="EO515" i="1"/>
  <c r="EN515" i="1"/>
  <c r="EL515" i="1"/>
  <c r="EJ515" i="1"/>
  <c r="EH515" i="1"/>
  <c r="EG515" i="1"/>
  <c r="EF515" i="1"/>
  <c r="ED515" i="1"/>
  <c r="EB515" i="1"/>
  <c r="DZ515" i="1"/>
  <c r="DY515" i="1"/>
  <c r="DX515" i="1"/>
  <c r="DV515" i="1"/>
  <c r="DT515" i="1"/>
  <c r="DR515" i="1"/>
  <c r="DP515" i="1"/>
  <c r="DN515" i="1"/>
  <c r="DL515" i="1"/>
  <c r="DJ515" i="1"/>
  <c r="DH515" i="1"/>
  <c r="DF515" i="1"/>
  <c r="DD515" i="1"/>
  <c r="DB515" i="1"/>
  <c r="AK515" i="1"/>
  <c r="A515" i="1"/>
  <c r="GV514" i="1"/>
  <c r="GF514" i="1"/>
  <c r="GE514" i="1"/>
  <c r="GD514" i="1"/>
  <c r="GB514" i="1"/>
  <c r="FZ514" i="1"/>
  <c r="FX514" i="1"/>
  <c r="FV514" i="1"/>
  <c r="FT514" i="1"/>
  <c r="FR514" i="1"/>
  <c r="FP514" i="1"/>
  <c r="FO514" i="1"/>
  <c r="FN514" i="1"/>
  <c r="FL514" i="1"/>
  <c r="FJ514" i="1"/>
  <c r="FH514" i="1"/>
  <c r="FG514" i="1"/>
  <c r="FF514" i="1"/>
  <c r="FD514" i="1"/>
  <c r="FB514" i="1"/>
  <c r="EZ514" i="1"/>
  <c r="EY514" i="1"/>
  <c r="EX514" i="1"/>
  <c r="EV514" i="1"/>
  <c r="ET514" i="1"/>
  <c r="ER514" i="1"/>
  <c r="EP514" i="1"/>
  <c r="EO514" i="1"/>
  <c r="EN514" i="1"/>
  <c r="EL514" i="1"/>
  <c r="EJ514" i="1"/>
  <c r="EH514" i="1"/>
  <c r="EG514" i="1"/>
  <c r="EF514" i="1"/>
  <c r="ED514" i="1"/>
  <c r="EB514" i="1"/>
  <c r="DZ514" i="1"/>
  <c r="DY514" i="1"/>
  <c r="DX514" i="1"/>
  <c r="DV514" i="1"/>
  <c r="DT514" i="1"/>
  <c r="DR514" i="1"/>
  <c r="DP514" i="1"/>
  <c r="DN514" i="1"/>
  <c r="DL514" i="1"/>
  <c r="DJ514" i="1"/>
  <c r="DH514" i="1"/>
  <c r="DF514" i="1"/>
  <c r="DD514" i="1"/>
  <c r="DB514" i="1"/>
  <c r="AK514" i="1"/>
  <c r="A514" i="1"/>
  <c r="GV513" i="1"/>
  <c r="GF513" i="1"/>
  <c r="GE513" i="1"/>
  <c r="GD513" i="1"/>
  <c r="GB513" i="1"/>
  <c r="FZ513" i="1"/>
  <c r="FX513" i="1"/>
  <c r="FV513" i="1"/>
  <c r="FT513" i="1"/>
  <c r="FR513" i="1"/>
  <c r="FP513" i="1"/>
  <c r="FO513" i="1"/>
  <c r="FN513" i="1"/>
  <c r="FL513" i="1"/>
  <c r="FJ513" i="1"/>
  <c r="FH513" i="1"/>
  <c r="FG513" i="1"/>
  <c r="FF513" i="1"/>
  <c r="FD513" i="1"/>
  <c r="FB513" i="1"/>
  <c r="EZ513" i="1"/>
  <c r="EY513" i="1"/>
  <c r="EX513" i="1"/>
  <c r="EV513" i="1"/>
  <c r="ET513" i="1"/>
  <c r="ER513" i="1"/>
  <c r="EP513" i="1"/>
  <c r="EO513" i="1"/>
  <c r="EN513" i="1"/>
  <c r="EL513" i="1"/>
  <c r="EJ513" i="1"/>
  <c r="EH513" i="1"/>
  <c r="EG513" i="1"/>
  <c r="EF513" i="1"/>
  <c r="ED513" i="1"/>
  <c r="EB513" i="1"/>
  <c r="DZ513" i="1"/>
  <c r="DY513" i="1"/>
  <c r="DX513" i="1"/>
  <c r="DV513" i="1"/>
  <c r="DT513" i="1"/>
  <c r="DR513" i="1"/>
  <c r="DP513" i="1"/>
  <c r="DN513" i="1"/>
  <c r="DL513" i="1"/>
  <c r="DJ513" i="1"/>
  <c r="DH513" i="1"/>
  <c r="DF513" i="1"/>
  <c r="DD513" i="1"/>
  <c r="DB513" i="1"/>
  <c r="AK513" i="1"/>
  <c r="A513" i="1"/>
  <c r="GV512" i="1"/>
  <c r="GF512" i="1"/>
  <c r="GE512" i="1"/>
  <c r="GD512" i="1"/>
  <c r="GB512" i="1"/>
  <c r="FZ512" i="1"/>
  <c r="FX512" i="1"/>
  <c r="FV512" i="1"/>
  <c r="FT512" i="1"/>
  <c r="FR512" i="1"/>
  <c r="FP512" i="1"/>
  <c r="FO512" i="1"/>
  <c r="FN512" i="1"/>
  <c r="FL512" i="1"/>
  <c r="FJ512" i="1"/>
  <c r="FH512" i="1"/>
  <c r="FG512" i="1"/>
  <c r="FF512" i="1"/>
  <c r="FD512" i="1"/>
  <c r="FB512" i="1"/>
  <c r="EZ512" i="1"/>
  <c r="EY512" i="1"/>
  <c r="EX512" i="1"/>
  <c r="EV512" i="1"/>
  <c r="ET512" i="1"/>
  <c r="ER512" i="1"/>
  <c r="EP512" i="1"/>
  <c r="EO512" i="1"/>
  <c r="EN512" i="1"/>
  <c r="EL512" i="1"/>
  <c r="EJ512" i="1"/>
  <c r="EH512" i="1"/>
  <c r="EG512" i="1"/>
  <c r="EF512" i="1"/>
  <c r="ED512" i="1"/>
  <c r="EB512" i="1"/>
  <c r="DZ512" i="1"/>
  <c r="DY512" i="1"/>
  <c r="DX512" i="1"/>
  <c r="DV512" i="1"/>
  <c r="DT512" i="1"/>
  <c r="DR512" i="1"/>
  <c r="DP512" i="1"/>
  <c r="DN512" i="1"/>
  <c r="DL512" i="1"/>
  <c r="DJ512" i="1"/>
  <c r="DH512" i="1"/>
  <c r="DF512" i="1"/>
  <c r="DD512" i="1"/>
  <c r="DB512" i="1"/>
  <c r="AK512" i="1"/>
  <c r="A512" i="1"/>
  <c r="GV511" i="1"/>
  <c r="GF511" i="1"/>
  <c r="GE511" i="1"/>
  <c r="GD511" i="1"/>
  <c r="GB511" i="1"/>
  <c r="FZ511" i="1"/>
  <c r="FX511" i="1"/>
  <c r="FV511" i="1"/>
  <c r="FT511" i="1"/>
  <c r="FR511" i="1"/>
  <c r="FP511" i="1"/>
  <c r="FO511" i="1"/>
  <c r="FN511" i="1"/>
  <c r="FL511" i="1"/>
  <c r="FJ511" i="1"/>
  <c r="FH511" i="1"/>
  <c r="FG511" i="1"/>
  <c r="FF511" i="1"/>
  <c r="FD511" i="1"/>
  <c r="FB511" i="1"/>
  <c r="EZ511" i="1"/>
  <c r="EY511" i="1"/>
  <c r="EX511" i="1"/>
  <c r="EV511" i="1"/>
  <c r="ET511" i="1"/>
  <c r="ER511" i="1"/>
  <c r="EP511" i="1"/>
  <c r="EO511" i="1"/>
  <c r="EN511" i="1"/>
  <c r="EL511" i="1"/>
  <c r="EJ511" i="1"/>
  <c r="EH511" i="1"/>
  <c r="EG511" i="1"/>
  <c r="EF511" i="1"/>
  <c r="ED511" i="1"/>
  <c r="EB511" i="1"/>
  <c r="DZ511" i="1"/>
  <c r="DY511" i="1"/>
  <c r="DX511" i="1"/>
  <c r="DV511" i="1"/>
  <c r="DT511" i="1"/>
  <c r="DR511" i="1"/>
  <c r="DP511" i="1"/>
  <c r="DN511" i="1"/>
  <c r="DL511" i="1"/>
  <c r="DJ511" i="1"/>
  <c r="DH511" i="1"/>
  <c r="DF511" i="1"/>
  <c r="DD511" i="1"/>
  <c r="DB511" i="1"/>
  <c r="AK511" i="1"/>
  <c r="A511" i="1"/>
  <c r="GV510" i="1"/>
  <c r="GF510" i="1"/>
  <c r="GE510" i="1"/>
  <c r="GD510" i="1"/>
  <c r="GB510" i="1"/>
  <c r="FZ510" i="1"/>
  <c r="FX510" i="1"/>
  <c r="FV510" i="1"/>
  <c r="FT510" i="1"/>
  <c r="FR510" i="1"/>
  <c r="FP510" i="1"/>
  <c r="FO510" i="1"/>
  <c r="FN510" i="1"/>
  <c r="FL510" i="1"/>
  <c r="FJ510" i="1"/>
  <c r="FH510" i="1"/>
  <c r="FG510" i="1"/>
  <c r="FF510" i="1"/>
  <c r="FD510" i="1"/>
  <c r="FB510" i="1"/>
  <c r="EZ510" i="1"/>
  <c r="EY510" i="1"/>
  <c r="EX510" i="1"/>
  <c r="EV510" i="1"/>
  <c r="ET510" i="1"/>
  <c r="ER510" i="1"/>
  <c r="EP510" i="1"/>
  <c r="EO510" i="1"/>
  <c r="EN510" i="1"/>
  <c r="EL510" i="1"/>
  <c r="EJ510" i="1"/>
  <c r="EH510" i="1"/>
  <c r="EG510" i="1"/>
  <c r="EF510" i="1"/>
  <c r="ED510" i="1"/>
  <c r="EB510" i="1"/>
  <c r="DZ510" i="1"/>
  <c r="DY510" i="1"/>
  <c r="DX510" i="1"/>
  <c r="DV510" i="1"/>
  <c r="DT510" i="1"/>
  <c r="DR510" i="1"/>
  <c r="DP510" i="1"/>
  <c r="DN510" i="1"/>
  <c r="DL510" i="1"/>
  <c r="DJ510" i="1"/>
  <c r="DH510" i="1"/>
  <c r="DF510" i="1"/>
  <c r="DD510" i="1"/>
  <c r="DB510" i="1"/>
  <c r="AK510" i="1"/>
  <c r="A510" i="1"/>
  <c r="GV509" i="1"/>
  <c r="GF509" i="1"/>
  <c r="GE509" i="1"/>
  <c r="GD509" i="1"/>
  <c r="GB509" i="1"/>
  <c r="FZ509" i="1"/>
  <c r="FX509" i="1"/>
  <c r="FV509" i="1"/>
  <c r="FT509" i="1"/>
  <c r="FR509" i="1"/>
  <c r="FP509" i="1"/>
  <c r="FO509" i="1"/>
  <c r="FN509" i="1"/>
  <c r="FL509" i="1"/>
  <c r="FJ509" i="1"/>
  <c r="FH509" i="1"/>
  <c r="FG509" i="1"/>
  <c r="FF509" i="1"/>
  <c r="FD509" i="1"/>
  <c r="FB509" i="1"/>
  <c r="EZ509" i="1"/>
  <c r="EY509" i="1"/>
  <c r="EX509" i="1"/>
  <c r="EV509" i="1"/>
  <c r="ET509" i="1"/>
  <c r="ER509" i="1"/>
  <c r="EP509" i="1"/>
  <c r="EO509" i="1"/>
  <c r="EN509" i="1"/>
  <c r="EL509" i="1"/>
  <c r="EJ509" i="1"/>
  <c r="EH509" i="1"/>
  <c r="EG509" i="1"/>
  <c r="EF509" i="1"/>
  <c r="ED509" i="1"/>
  <c r="EB509" i="1"/>
  <c r="DZ509" i="1"/>
  <c r="DY509" i="1"/>
  <c r="DX509" i="1"/>
  <c r="DV509" i="1"/>
  <c r="DT509" i="1"/>
  <c r="DR509" i="1"/>
  <c r="DP509" i="1"/>
  <c r="DN509" i="1"/>
  <c r="DL509" i="1"/>
  <c r="DJ509" i="1"/>
  <c r="DH509" i="1"/>
  <c r="DF509" i="1"/>
  <c r="DD509" i="1"/>
  <c r="DB509" i="1"/>
  <c r="AK509" i="1"/>
  <c r="A509" i="1"/>
  <c r="GV508" i="1"/>
  <c r="GF508" i="1"/>
  <c r="GE508" i="1"/>
  <c r="GD508" i="1"/>
  <c r="GB508" i="1"/>
  <c r="FZ508" i="1"/>
  <c r="FX508" i="1"/>
  <c r="FV508" i="1"/>
  <c r="FT508" i="1"/>
  <c r="FR508" i="1"/>
  <c r="FP508" i="1"/>
  <c r="FO508" i="1"/>
  <c r="FN508" i="1"/>
  <c r="FL508" i="1"/>
  <c r="FJ508" i="1"/>
  <c r="FH508" i="1"/>
  <c r="FG508" i="1"/>
  <c r="FF508" i="1"/>
  <c r="FD508" i="1"/>
  <c r="FB508" i="1"/>
  <c r="EZ508" i="1"/>
  <c r="EY508" i="1"/>
  <c r="EX508" i="1"/>
  <c r="EV508" i="1"/>
  <c r="ET508" i="1"/>
  <c r="ER508" i="1"/>
  <c r="EP508" i="1"/>
  <c r="EO508" i="1"/>
  <c r="EN508" i="1"/>
  <c r="EL508" i="1"/>
  <c r="EJ508" i="1"/>
  <c r="EH508" i="1"/>
  <c r="EG508" i="1"/>
  <c r="EF508" i="1"/>
  <c r="ED508" i="1"/>
  <c r="EB508" i="1"/>
  <c r="DZ508" i="1"/>
  <c r="DY508" i="1"/>
  <c r="DX508" i="1"/>
  <c r="DV508" i="1"/>
  <c r="DT508" i="1"/>
  <c r="DR508" i="1"/>
  <c r="DP508" i="1"/>
  <c r="DN508" i="1"/>
  <c r="DL508" i="1"/>
  <c r="DJ508" i="1"/>
  <c r="DH508" i="1"/>
  <c r="DF508" i="1"/>
  <c r="DD508" i="1"/>
  <c r="DB508" i="1"/>
  <c r="AK508" i="1"/>
  <c r="A508" i="1"/>
  <c r="GV507" i="1"/>
  <c r="GF507" i="1"/>
  <c r="GE507" i="1"/>
  <c r="GD507" i="1"/>
  <c r="GB507" i="1"/>
  <c r="FZ507" i="1"/>
  <c r="FX507" i="1"/>
  <c r="FV507" i="1"/>
  <c r="FT507" i="1"/>
  <c r="FR507" i="1"/>
  <c r="FP507" i="1"/>
  <c r="FO507" i="1"/>
  <c r="FN507" i="1"/>
  <c r="FL507" i="1"/>
  <c r="FJ507" i="1"/>
  <c r="FH507" i="1"/>
  <c r="FG507" i="1"/>
  <c r="FF507" i="1"/>
  <c r="FD507" i="1"/>
  <c r="FB507" i="1"/>
  <c r="EZ507" i="1"/>
  <c r="EY507" i="1"/>
  <c r="EX507" i="1"/>
  <c r="EV507" i="1"/>
  <c r="ET507" i="1"/>
  <c r="ER507" i="1"/>
  <c r="EP507" i="1"/>
  <c r="EO507" i="1"/>
  <c r="EN507" i="1"/>
  <c r="EL507" i="1"/>
  <c r="EJ507" i="1"/>
  <c r="EH507" i="1"/>
  <c r="EG507" i="1"/>
  <c r="EF507" i="1"/>
  <c r="ED507" i="1"/>
  <c r="EB507" i="1"/>
  <c r="DZ507" i="1"/>
  <c r="DY507" i="1"/>
  <c r="DX507" i="1"/>
  <c r="DV507" i="1"/>
  <c r="DT507" i="1"/>
  <c r="DR507" i="1"/>
  <c r="DP507" i="1"/>
  <c r="DN507" i="1"/>
  <c r="DL507" i="1"/>
  <c r="DJ507" i="1"/>
  <c r="DH507" i="1"/>
  <c r="DF507" i="1"/>
  <c r="DD507" i="1"/>
  <c r="DB507" i="1"/>
  <c r="AK507" i="1"/>
  <c r="A507" i="1"/>
  <c r="GV506" i="1"/>
  <c r="GF506" i="1"/>
  <c r="GE506" i="1"/>
  <c r="GD506" i="1"/>
  <c r="GB506" i="1"/>
  <c r="FZ506" i="1"/>
  <c r="FX506" i="1"/>
  <c r="FV506" i="1"/>
  <c r="FT506" i="1"/>
  <c r="FR506" i="1"/>
  <c r="FP506" i="1"/>
  <c r="FO506" i="1"/>
  <c r="FN506" i="1"/>
  <c r="FL506" i="1"/>
  <c r="FJ506" i="1"/>
  <c r="FH506" i="1"/>
  <c r="FG506" i="1"/>
  <c r="FF506" i="1"/>
  <c r="FD506" i="1"/>
  <c r="FB506" i="1"/>
  <c r="EZ506" i="1"/>
  <c r="EY506" i="1"/>
  <c r="EX506" i="1"/>
  <c r="EV506" i="1"/>
  <c r="ET506" i="1"/>
  <c r="ER506" i="1"/>
  <c r="EP506" i="1"/>
  <c r="EO506" i="1"/>
  <c r="EN506" i="1"/>
  <c r="EL506" i="1"/>
  <c r="EJ506" i="1"/>
  <c r="EH506" i="1"/>
  <c r="EG506" i="1"/>
  <c r="EF506" i="1"/>
  <c r="ED506" i="1"/>
  <c r="EB506" i="1"/>
  <c r="DZ506" i="1"/>
  <c r="DY506" i="1"/>
  <c r="DX506" i="1"/>
  <c r="DV506" i="1"/>
  <c r="DT506" i="1"/>
  <c r="DR506" i="1"/>
  <c r="DP506" i="1"/>
  <c r="DN506" i="1"/>
  <c r="DL506" i="1"/>
  <c r="DJ506" i="1"/>
  <c r="DH506" i="1"/>
  <c r="DF506" i="1"/>
  <c r="DD506" i="1"/>
  <c r="DB506" i="1"/>
  <c r="AK506" i="1"/>
  <c r="A506" i="1"/>
  <c r="GV505" i="1"/>
  <c r="GF505" i="1"/>
  <c r="GE505" i="1"/>
  <c r="GD505" i="1"/>
  <c r="GB505" i="1"/>
  <c r="FZ505" i="1"/>
  <c r="FX505" i="1"/>
  <c r="FV505" i="1"/>
  <c r="FT505" i="1"/>
  <c r="FR505" i="1"/>
  <c r="FP505" i="1"/>
  <c r="FO505" i="1"/>
  <c r="FN505" i="1"/>
  <c r="FL505" i="1"/>
  <c r="FJ505" i="1"/>
  <c r="FH505" i="1"/>
  <c r="FG505" i="1"/>
  <c r="FF505" i="1"/>
  <c r="FD505" i="1"/>
  <c r="FB505" i="1"/>
  <c r="EZ505" i="1"/>
  <c r="EY505" i="1"/>
  <c r="EX505" i="1"/>
  <c r="EV505" i="1"/>
  <c r="ET505" i="1"/>
  <c r="ER505" i="1"/>
  <c r="EP505" i="1"/>
  <c r="EO505" i="1"/>
  <c r="EN505" i="1"/>
  <c r="EL505" i="1"/>
  <c r="EJ505" i="1"/>
  <c r="EH505" i="1"/>
  <c r="EG505" i="1"/>
  <c r="EF505" i="1"/>
  <c r="ED505" i="1"/>
  <c r="EB505" i="1"/>
  <c r="DZ505" i="1"/>
  <c r="DY505" i="1"/>
  <c r="DX505" i="1"/>
  <c r="DV505" i="1"/>
  <c r="DT505" i="1"/>
  <c r="DR505" i="1"/>
  <c r="DP505" i="1"/>
  <c r="DN505" i="1"/>
  <c r="DL505" i="1"/>
  <c r="DJ505" i="1"/>
  <c r="DH505" i="1"/>
  <c r="DF505" i="1"/>
  <c r="DD505" i="1"/>
  <c r="DB505" i="1"/>
  <c r="AK505" i="1"/>
  <c r="A505" i="1"/>
  <c r="GV504" i="1"/>
  <c r="GF504" i="1"/>
  <c r="GE504" i="1"/>
  <c r="GD504" i="1"/>
  <c r="GB504" i="1"/>
  <c r="FZ504" i="1"/>
  <c r="FX504" i="1"/>
  <c r="FV504" i="1"/>
  <c r="FT504" i="1"/>
  <c r="FR504" i="1"/>
  <c r="FP504" i="1"/>
  <c r="FO504" i="1"/>
  <c r="FN504" i="1"/>
  <c r="FL504" i="1"/>
  <c r="FJ504" i="1"/>
  <c r="FH504" i="1"/>
  <c r="FG504" i="1"/>
  <c r="FF504" i="1"/>
  <c r="FD504" i="1"/>
  <c r="FB504" i="1"/>
  <c r="EZ504" i="1"/>
  <c r="EY504" i="1"/>
  <c r="EX504" i="1"/>
  <c r="EV504" i="1"/>
  <c r="ET504" i="1"/>
  <c r="ER504" i="1"/>
  <c r="EP504" i="1"/>
  <c r="EO504" i="1"/>
  <c r="EN504" i="1"/>
  <c r="EL504" i="1"/>
  <c r="EJ504" i="1"/>
  <c r="EH504" i="1"/>
  <c r="EG504" i="1"/>
  <c r="EF504" i="1"/>
  <c r="ED504" i="1"/>
  <c r="EB504" i="1"/>
  <c r="DZ504" i="1"/>
  <c r="DY504" i="1"/>
  <c r="DX504" i="1"/>
  <c r="DV504" i="1"/>
  <c r="DT504" i="1"/>
  <c r="DR504" i="1"/>
  <c r="DP504" i="1"/>
  <c r="DN504" i="1"/>
  <c r="DL504" i="1"/>
  <c r="DJ504" i="1"/>
  <c r="DH504" i="1"/>
  <c r="DF504" i="1"/>
  <c r="DD504" i="1"/>
  <c r="DB504" i="1"/>
  <c r="AK504" i="1"/>
  <c r="A504" i="1"/>
  <c r="GV503" i="1"/>
  <c r="GV502" i="1"/>
  <c r="GF502" i="1"/>
  <c r="GE502" i="1"/>
  <c r="GD502" i="1"/>
  <c r="GB502" i="1"/>
  <c r="FZ502" i="1"/>
  <c r="FX502" i="1"/>
  <c r="FV502" i="1"/>
  <c r="FT502" i="1"/>
  <c r="FR502" i="1"/>
  <c r="FP502" i="1"/>
  <c r="FO502" i="1"/>
  <c r="FN502" i="1"/>
  <c r="FL502" i="1"/>
  <c r="FJ502" i="1"/>
  <c r="FH502" i="1"/>
  <c r="FG502" i="1"/>
  <c r="FF502" i="1"/>
  <c r="FD502" i="1"/>
  <c r="FB502" i="1"/>
  <c r="EZ502" i="1"/>
  <c r="EY502" i="1"/>
  <c r="EX502" i="1"/>
  <c r="EV502" i="1"/>
  <c r="ET502" i="1"/>
  <c r="ER502" i="1"/>
  <c r="EP502" i="1"/>
  <c r="EO502" i="1"/>
  <c r="EN502" i="1"/>
  <c r="EL502" i="1"/>
  <c r="EJ502" i="1"/>
  <c r="EH502" i="1"/>
  <c r="EG502" i="1"/>
  <c r="EF502" i="1"/>
  <c r="ED502" i="1"/>
  <c r="EB502" i="1"/>
  <c r="DZ502" i="1"/>
  <c r="DY502" i="1"/>
  <c r="DX502" i="1"/>
  <c r="DV502" i="1"/>
  <c r="DT502" i="1"/>
  <c r="DR502" i="1"/>
  <c r="DP502" i="1"/>
  <c r="DN502" i="1"/>
  <c r="DL502" i="1"/>
  <c r="DJ502" i="1"/>
  <c r="DH502" i="1"/>
  <c r="DF502" i="1"/>
  <c r="DD502" i="1"/>
  <c r="DB502" i="1"/>
  <c r="AK502" i="1"/>
  <c r="A502" i="1"/>
  <c r="GV501" i="1"/>
  <c r="GF501" i="1"/>
  <c r="GE501" i="1"/>
  <c r="GD501" i="1"/>
  <c r="GB501" i="1"/>
  <c r="FZ501" i="1"/>
  <c r="FX501" i="1"/>
  <c r="FV501" i="1"/>
  <c r="FT501" i="1"/>
  <c r="FR501" i="1"/>
  <c r="FP501" i="1"/>
  <c r="FO501" i="1"/>
  <c r="FN501" i="1"/>
  <c r="FL501" i="1"/>
  <c r="FJ501" i="1"/>
  <c r="FH501" i="1"/>
  <c r="FG501" i="1"/>
  <c r="FF501" i="1"/>
  <c r="FD501" i="1"/>
  <c r="FB501" i="1"/>
  <c r="EZ501" i="1"/>
  <c r="EY501" i="1"/>
  <c r="EX501" i="1"/>
  <c r="EV501" i="1"/>
  <c r="ET501" i="1"/>
  <c r="ER501" i="1"/>
  <c r="EP501" i="1"/>
  <c r="EO501" i="1"/>
  <c r="EN501" i="1"/>
  <c r="EL501" i="1"/>
  <c r="EJ501" i="1"/>
  <c r="EH501" i="1"/>
  <c r="EG501" i="1"/>
  <c r="EF501" i="1"/>
  <c r="ED501" i="1"/>
  <c r="EB501" i="1"/>
  <c r="DZ501" i="1"/>
  <c r="DY501" i="1"/>
  <c r="DX501" i="1"/>
  <c r="DV501" i="1"/>
  <c r="DT501" i="1"/>
  <c r="DR501" i="1"/>
  <c r="DP501" i="1"/>
  <c r="DN501" i="1"/>
  <c r="DL501" i="1"/>
  <c r="DJ501" i="1"/>
  <c r="DH501" i="1"/>
  <c r="DF501" i="1"/>
  <c r="DD501" i="1"/>
  <c r="DB501" i="1"/>
  <c r="AK501" i="1"/>
  <c r="A501" i="1"/>
  <c r="GV500" i="1"/>
  <c r="GF500" i="1"/>
  <c r="GE500" i="1"/>
  <c r="GD500" i="1"/>
  <c r="GB500" i="1"/>
  <c r="FZ500" i="1"/>
  <c r="FX500" i="1"/>
  <c r="FV500" i="1"/>
  <c r="FT500" i="1"/>
  <c r="FR500" i="1"/>
  <c r="FP500" i="1"/>
  <c r="FO500" i="1"/>
  <c r="FN500" i="1"/>
  <c r="FL500" i="1"/>
  <c r="FJ500" i="1"/>
  <c r="FH500" i="1"/>
  <c r="FG500" i="1"/>
  <c r="FF500" i="1"/>
  <c r="FD500" i="1"/>
  <c r="FB500" i="1"/>
  <c r="EZ500" i="1"/>
  <c r="EY500" i="1"/>
  <c r="EX500" i="1"/>
  <c r="EV500" i="1"/>
  <c r="ET500" i="1"/>
  <c r="ER500" i="1"/>
  <c r="EP500" i="1"/>
  <c r="EO500" i="1"/>
  <c r="EN500" i="1"/>
  <c r="EL500" i="1"/>
  <c r="EJ500" i="1"/>
  <c r="EH500" i="1"/>
  <c r="EG500" i="1"/>
  <c r="EF500" i="1"/>
  <c r="ED500" i="1"/>
  <c r="EB500" i="1"/>
  <c r="DZ500" i="1"/>
  <c r="DY500" i="1"/>
  <c r="DX500" i="1"/>
  <c r="DV500" i="1"/>
  <c r="DT500" i="1"/>
  <c r="DR500" i="1"/>
  <c r="DP500" i="1"/>
  <c r="DN500" i="1"/>
  <c r="DL500" i="1"/>
  <c r="DJ500" i="1"/>
  <c r="DH500" i="1"/>
  <c r="DF500" i="1"/>
  <c r="DD500" i="1"/>
  <c r="DB500" i="1"/>
  <c r="AK500" i="1"/>
  <c r="A500" i="1"/>
  <c r="GV499" i="1"/>
  <c r="GF499" i="1"/>
  <c r="GE499" i="1"/>
  <c r="GD499" i="1"/>
  <c r="GB499" i="1"/>
  <c r="FZ499" i="1"/>
  <c r="FX499" i="1"/>
  <c r="FV499" i="1"/>
  <c r="FT499" i="1"/>
  <c r="FR499" i="1"/>
  <c r="FP499" i="1"/>
  <c r="FO499" i="1"/>
  <c r="FN499" i="1"/>
  <c r="FL499" i="1"/>
  <c r="FJ499" i="1"/>
  <c r="FH499" i="1"/>
  <c r="FG499" i="1"/>
  <c r="FF499" i="1"/>
  <c r="FD499" i="1"/>
  <c r="FB499" i="1"/>
  <c r="EZ499" i="1"/>
  <c r="EY499" i="1"/>
  <c r="EX499" i="1"/>
  <c r="EV499" i="1"/>
  <c r="ET499" i="1"/>
  <c r="ER499" i="1"/>
  <c r="EP499" i="1"/>
  <c r="EO499" i="1"/>
  <c r="EN499" i="1"/>
  <c r="EL499" i="1"/>
  <c r="EJ499" i="1"/>
  <c r="EH499" i="1"/>
  <c r="EG499" i="1"/>
  <c r="EF499" i="1"/>
  <c r="ED499" i="1"/>
  <c r="EB499" i="1"/>
  <c r="DZ499" i="1"/>
  <c r="DY499" i="1"/>
  <c r="DX499" i="1"/>
  <c r="DV499" i="1"/>
  <c r="DT499" i="1"/>
  <c r="DR499" i="1"/>
  <c r="DP499" i="1"/>
  <c r="DN499" i="1"/>
  <c r="DL499" i="1"/>
  <c r="DJ499" i="1"/>
  <c r="DH499" i="1"/>
  <c r="DF499" i="1"/>
  <c r="DD499" i="1"/>
  <c r="DB499" i="1"/>
  <c r="AK499" i="1"/>
  <c r="A499" i="1"/>
  <c r="GV498" i="1"/>
  <c r="GF498" i="1"/>
  <c r="GE498" i="1"/>
  <c r="GD498" i="1"/>
  <c r="GB498" i="1"/>
  <c r="FZ498" i="1"/>
  <c r="FX498" i="1"/>
  <c r="FV498" i="1"/>
  <c r="FT498" i="1"/>
  <c r="FR498" i="1"/>
  <c r="FP498" i="1"/>
  <c r="FO498" i="1"/>
  <c r="FN498" i="1"/>
  <c r="FL498" i="1"/>
  <c r="FJ498" i="1"/>
  <c r="FH498" i="1"/>
  <c r="FG498" i="1"/>
  <c r="FF498" i="1"/>
  <c r="FD498" i="1"/>
  <c r="FB498" i="1"/>
  <c r="EZ498" i="1"/>
  <c r="EY498" i="1"/>
  <c r="EX498" i="1"/>
  <c r="EV498" i="1"/>
  <c r="ET498" i="1"/>
  <c r="ER498" i="1"/>
  <c r="EP498" i="1"/>
  <c r="EO498" i="1"/>
  <c r="EN498" i="1"/>
  <c r="EL498" i="1"/>
  <c r="EJ498" i="1"/>
  <c r="EH498" i="1"/>
  <c r="EG498" i="1"/>
  <c r="EF498" i="1"/>
  <c r="ED498" i="1"/>
  <c r="EB498" i="1"/>
  <c r="DZ498" i="1"/>
  <c r="DY498" i="1"/>
  <c r="DX498" i="1"/>
  <c r="DV498" i="1"/>
  <c r="DT498" i="1"/>
  <c r="DR498" i="1"/>
  <c r="DP498" i="1"/>
  <c r="DN498" i="1"/>
  <c r="DL498" i="1"/>
  <c r="DJ498" i="1"/>
  <c r="DH498" i="1"/>
  <c r="DF498" i="1"/>
  <c r="DD498" i="1"/>
  <c r="DB498" i="1"/>
  <c r="AK498" i="1"/>
  <c r="A498" i="1"/>
  <c r="GV497" i="1"/>
  <c r="GF497" i="1"/>
  <c r="GE497" i="1"/>
  <c r="GD497" i="1"/>
  <c r="GB497" i="1"/>
  <c r="FZ497" i="1"/>
  <c r="FX497" i="1"/>
  <c r="FV497" i="1"/>
  <c r="FT497" i="1"/>
  <c r="FR497" i="1"/>
  <c r="FP497" i="1"/>
  <c r="FO497" i="1"/>
  <c r="FN497" i="1"/>
  <c r="FL497" i="1"/>
  <c r="FJ497" i="1"/>
  <c r="FH497" i="1"/>
  <c r="FG497" i="1"/>
  <c r="FF497" i="1"/>
  <c r="FD497" i="1"/>
  <c r="FB497" i="1"/>
  <c r="EZ497" i="1"/>
  <c r="EY497" i="1"/>
  <c r="EX497" i="1"/>
  <c r="EV497" i="1"/>
  <c r="ET497" i="1"/>
  <c r="ER497" i="1"/>
  <c r="EP497" i="1"/>
  <c r="EO497" i="1"/>
  <c r="EN497" i="1"/>
  <c r="EL497" i="1"/>
  <c r="EJ497" i="1"/>
  <c r="EH497" i="1"/>
  <c r="EG497" i="1"/>
  <c r="EF497" i="1"/>
  <c r="ED497" i="1"/>
  <c r="EB497" i="1"/>
  <c r="DZ497" i="1"/>
  <c r="DY497" i="1"/>
  <c r="DX497" i="1"/>
  <c r="DV497" i="1"/>
  <c r="DT497" i="1"/>
  <c r="DR497" i="1"/>
  <c r="DP497" i="1"/>
  <c r="DN497" i="1"/>
  <c r="DL497" i="1"/>
  <c r="DJ497" i="1"/>
  <c r="DH497" i="1"/>
  <c r="DF497" i="1"/>
  <c r="DD497" i="1"/>
  <c r="DB497" i="1"/>
  <c r="AK497" i="1"/>
  <c r="A497" i="1"/>
  <c r="GV496" i="1"/>
  <c r="GF496" i="1"/>
  <c r="GE496" i="1"/>
  <c r="GD496" i="1"/>
  <c r="GB496" i="1"/>
  <c r="FZ496" i="1"/>
  <c r="FX496" i="1"/>
  <c r="FV496" i="1"/>
  <c r="FT496" i="1"/>
  <c r="FR496" i="1"/>
  <c r="FP496" i="1"/>
  <c r="FO496" i="1"/>
  <c r="FN496" i="1"/>
  <c r="FL496" i="1"/>
  <c r="FJ496" i="1"/>
  <c r="FH496" i="1"/>
  <c r="FG496" i="1"/>
  <c r="FF496" i="1"/>
  <c r="FD496" i="1"/>
  <c r="FB496" i="1"/>
  <c r="EZ496" i="1"/>
  <c r="EY496" i="1"/>
  <c r="EX496" i="1"/>
  <c r="EV496" i="1"/>
  <c r="ET496" i="1"/>
  <c r="ER496" i="1"/>
  <c r="EP496" i="1"/>
  <c r="EO496" i="1"/>
  <c r="EN496" i="1"/>
  <c r="EL496" i="1"/>
  <c r="EJ496" i="1"/>
  <c r="EH496" i="1"/>
  <c r="EG496" i="1"/>
  <c r="EF496" i="1"/>
  <c r="ED496" i="1"/>
  <c r="EB496" i="1"/>
  <c r="DZ496" i="1"/>
  <c r="DY496" i="1"/>
  <c r="DX496" i="1"/>
  <c r="DV496" i="1"/>
  <c r="DT496" i="1"/>
  <c r="DR496" i="1"/>
  <c r="DP496" i="1"/>
  <c r="DN496" i="1"/>
  <c r="DL496" i="1"/>
  <c r="DJ496" i="1"/>
  <c r="DH496" i="1"/>
  <c r="DF496" i="1"/>
  <c r="DD496" i="1"/>
  <c r="DB496" i="1"/>
  <c r="AK496" i="1"/>
  <c r="A496" i="1"/>
  <c r="GV495" i="1"/>
  <c r="GF495" i="1"/>
  <c r="GE495" i="1"/>
  <c r="GD495" i="1"/>
  <c r="GB495" i="1"/>
  <c r="FZ495" i="1"/>
  <c r="FX495" i="1"/>
  <c r="FV495" i="1"/>
  <c r="FT495" i="1"/>
  <c r="FR495" i="1"/>
  <c r="FP495" i="1"/>
  <c r="FO495" i="1"/>
  <c r="FN495" i="1"/>
  <c r="FL495" i="1"/>
  <c r="FJ495" i="1"/>
  <c r="FH495" i="1"/>
  <c r="FG495" i="1"/>
  <c r="FF495" i="1"/>
  <c r="FD495" i="1"/>
  <c r="FB495" i="1"/>
  <c r="EZ495" i="1"/>
  <c r="EY495" i="1"/>
  <c r="EX495" i="1"/>
  <c r="EV495" i="1"/>
  <c r="ET495" i="1"/>
  <c r="ER495" i="1"/>
  <c r="EP495" i="1"/>
  <c r="EO495" i="1"/>
  <c r="EN495" i="1"/>
  <c r="EL495" i="1"/>
  <c r="EJ495" i="1"/>
  <c r="EH495" i="1"/>
  <c r="EG495" i="1"/>
  <c r="EF495" i="1"/>
  <c r="ED495" i="1"/>
  <c r="EB495" i="1"/>
  <c r="DZ495" i="1"/>
  <c r="DY495" i="1"/>
  <c r="DX495" i="1"/>
  <c r="DV495" i="1"/>
  <c r="DT495" i="1"/>
  <c r="DR495" i="1"/>
  <c r="DP495" i="1"/>
  <c r="DN495" i="1"/>
  <c r="DL495" i="1"/>
  <c r="DJ495" i="1"/>
  <c r="DH495" i="1"/>
  <c r="DF495" i="1"/>
  <c r="DD495" i="1"/>
  <c r="DB495" i="1"/>
  <c r="AK495" i="1"/>
  <c r="A495" i="1"/>
  <c r="GV494" i="1"/>
  <c r="GF494" i="1"/>
  <c r="GE494" i="1"/>
  <c r="GD494" i="1"/>
  <c r="GB494" i="1"/>
  <c r="FZ494" i="1"/>
  <c r="FX494" i="1"/>
  <c r="FV494" i="1"/>
  <c r="FT494" i="1"/>
  <c r="FR494" i="1"/>
  <c r="FP494" i="1"/>
  <c r="FO494" i="1"/>
  <c r="FN494" i="1"/>
  <c r="FL494" i="1"/>
  <c r="FJ494" i="1"/>
  <c r="FH494" i="1"/>
  <c r="FG494" i="1"/>
  <c r="FF494" i="1"/>
  <c r="FD494" i="1"/>
  <c r="FB494" i="1"/>
  <c r="EZ494" i="1"/>
  <c r="EY494" i="1"/>
  <c r="EX494" i="1"/>
  <c r="EV494" i="1"/>
  <c r="ET494" i="1"/>
  <c r="ER494" i="1"/>
  <c r="EP494" i="1"/>
  <c r="EO494" i="1"/>
  <c r="EN494" i="1"/>
  <c r="EL494" i="1"/>
  <c r="EJ494" i="1"/>
  <c r="EH494" i="1"/>
  <c r="EG494" i="1"/>
  <c r="EF494" i="1"/>
  <c r="ED494" i="1"/>
  <c r="EB494" i="1"/>
  <c r="DZ494" i="1"/>
  <c r="DY494" i="1"/>
  <c r="DX494" i="1"/>
  <c r="DV494" i="1"/>
  <c r="DT494" i="1"/>
  <c r="DR494" i="1"/>
  <c r="DP494" i="1"/>
  <c r="DN494" i="1"/>
  <c r="DL494" i="1"/>
  <c r="DJ494" i="1"/>
  <c r="DH494" i="1"/>
  <c r="DF494" i="1"/>
  <c r="DD494" i="1"/>
  <c r="DB494" i="1"/>
  <c r="AK494" i="1"/>
  <c r="A494" i="1"/>
  <c r="GV493" i="1"/>
  <c r="GF493" i="1"/>
  <c r="GE493" i="1"/>
  <c r="GD493" i="1"/>
  <c r="GB493" i="1"/>
  <c r="FZ493" i="1"/>
  <c r="FX493" i="1"/>
  <c r="FV493" i="1"/>
  <c r="FT493" i="1"/>
  <c r="FR493" i="1"/>
  <c r="FP493" i="1"/>
  <c r="FO493" i="1"/>
  <c r="FN493" i="1"/>
  <c r="FL493" i="1"/>
  <c r="FJ493" i="1"/>
  <c r="FH493" i="1"/>
  <c r="FG493" i="1"/>
  <c r="FF493" i="1"/>
  <c r="FD493" i="1"/>
  <c r="FB493" i="1"/>
  <c r="EZ493" i="1"/>
  <c r="EY493" i="1"/>
  <c r="EX493" i="1"/>
  <c r="EV493" i="1"/>
  <c r="ET493" i="1"/>
  <c r="ER493" i="1"/>
  <c r="EP493" i="1"/>
  <c r="EO493" i="1"/>
  <c r="EN493" i="1"/>
  <c r="EL493" i="1"/>
  <c r="EJ493" i="1"/>
  <c r="EH493" i="1"/>
  <c r="EG493" i="1"/>
  <c r="EF493" i="1"/>
  <c r="ED493" i="1"/>
  <c r="EB493" i="1"/>
  <c r="DZ493" i="1"/>
  <c r="DY493" i="1"/>
  <c r="DX493" i="1"/>
  <c r="DV493" i="1"/>
  <c r="DT493" i="1"/>
  <c r="DR493" i="1"/>
  <c r="DP493" i="1"/>
  <c r="DN493" i="1"/>
  <c r="DL493" i="1"/>
  <c r="DJ493" i="1"/>
  <c r="DH493" i="1"/>
  <c r="DF493" i="1"/>
  <c r="DD493" i="1"/>
  <c r="DB493" i="1"/>
  <c r="AK493" i="1"/>
  <c r="A493" i="1"/>
  <c r="GV492" i="1"/>
  <c r="GF492" i="1"/>
  <c r="GE492" i="1"/>
  <c r="GD492" i="1"/>
  <c r="GB492" i="1"/>
  <c r="FZ492" i="1"/>
  <c r="FX492" i="1"/>
  <c r="FV492" i="1"/>
  <c r="FT492" i="1"/>
  <c r="FR492" i="1"/>
  <c r="FP492" i="1"/>
  <c r="FO492" i="1"/>
  <c r="FN492" i="1"/>
  <c r="FL492" i="1"/>
  <c r="FJ492" i="1"/>
  <c r="FH492" i="1"/>
  <c r="FG492" i="1"/>
  <c r="FF492" i="1"/>
  <c r="FD492" i="1"/>
  <c r="FB492" i="1"/>
  <c r="EZ492" i="1"/>
  <c r="EY492" i="1"/>
  <c r="EX492" i="1"/>
  <c r="EV492" i="1"/>
  <c r="ET492" i="1"/>
  <c r="ER492" i="1"/>
  <c r="EP492" i="1"/>
  <c r="EO492" i="1"/>
  <c r="EN492" i="1"/>
  <c r="EL492" i="1"/>
  <c r="EJ492" i="1"/>
  <c r="EH492" i="1"/>
  <c r="EG492" i="1"/>
  <c r="EF492" i="1"/>
  <c r="ED492" i="1"/>
  <c r="EB492" i="1"/>
  <c r="DZ492" i="1"/>
  <c r="DY492" i="1"/>
  <c r="DX492" i="1"/>
  <c r="DV492" i="1"/>
  <c r="DT492" i="1"/>
  <c r="DR492" i="1"/>
  <c r="DP492" i="1"/>
  <c r="DN492" i="1"/>
  <c r="DL492" i="1"/>
  <c r="DJ492" i="1"/>
  <c r="DH492" i="1"/>
  <c r="DF492" i="1"/>
  <c r="DD492" i="1"/>
  <c r="DB492" i="1"/>
  <c r="AK492" i="1"/>
  <c r="A492" i="1"/>
  <c r="GV491" i="1"/>
  <c r="GF491" i="1"/>
  <c r="GE491" i="1"/>
  <c r="GD491" i="1"/>
  <c r="GB491" i="1"/>
  <c r="FZ491" i="1"/>
  <c r="FX491" i="1"/>
  <c r="FV491" i="1"/>
  <c r="FT491" i="1"/>
  <c r="FR491" i="1"/>
  <c r="FP491" i="1"/>
  <c r="FO491" i="1"/>
  <c r="FN491" i="1"/>
  <c r="FL491" i="1"/>
  <c r="FJ491" i="1"/>
  <c r="FH491" i="1"/>
  <c r="FG491" i="1"/>
  <c r="FF491" i="1"/>
  <c r="FD491" i="1"/>
  <c r="FB491" i="1"/>
  <c r="EZ491" i="1"/>
  <c r="EY491" i="1"/>
  <c r="EX491" i="1"/>
  <c r="EV491" i="1"/>
  <c r="ET491" i="1"/>
  <c r="ER491" i="1"/>
  <c r="EP491" i="1"/>
  <c r="EO491" i="1"/>
  <c r="EN491" i="1"/>
  <c r="EL491" i="1"/>
  <c r="EJ491" i="1"/>
  <c r="EH491" i="1"/>
  <c r="EG491" i="1"/>
  <c r="EF491" i="1"/>
  <c r="ED491" i="1"/>
  <c r="EB491" i="1"/>
  <c r="DZ491" i="1"/>
  <c r="DY491" i="1"/>
  <c r="DX491" i="1"/>
  <c r="DV491" i="1"/>
  <c r="DT491" i="1"/>
  <c r="DR491" i="1"/>
  <c r="DP491" i="1"/>
  <c r="DN491" i="1"/>
  <c r="DL491" i="1"/>
  <c r="DJ491" i="1"/>
  <c r="DH491" i="1"/>
  <c r="DF491" i="1"/>
  <c r="DD491" i="1"/>
  <c r="DB491" i="1"/>
  <c r="AK491" i="1"/>
  <c r="A491" i="1"/>
  <c r="GV490" i="1"/>
  <c r="GF490" i="1"/>
  <c r="GE490" i="1"/>
  <c r="GD490" i="1"/>
  <c r="GB490" i="1"/>
  <c r="FZ490" i="1"/>
  <c r="FX490" i="1"/>
  <c r="FV490" i="1"/>
  <c r="FT490" i="1"/>
  <c r="FR490" i="1"/>
  <c r="FP490" i="1"/>
  <c r="FO490" i="1"/>
  <c r="FN490" i="1"/>
  <c r="FL490" i="1"/>
  <c r="FJ490" i="1"/>
  <c r="FH490" i="1"/>
  <c r="FG490" i="1"/>
  <c r="FF490" i="1"/>
  <c r="FD490" i="1"/>
  <c r="FB490" i="1"/>
  <c r="EZ490" i="1"/>
  <c r="EY490" i="1"/>
  <c r="EX490" i="1"/>
  <c r="EV490" i="1"/>
  <c r="ET490" i="1"/>
  <c r="ER490" i="1"/>
  <c r="EP490" i="1"/>
  <c r="EO490" i="1"/>
  <c r="EN490" i="1"/>
  <c r="EL490" i="1"/>
  <c r="EJ490" i="1"/>
  <c r="EH490" i="1"/>
  <c r="EG490" i="1"/>
  <c r="EF490" i="1"/>
  <c r="ED490" i="1"/>
  <c r="EB490" i="1"/>
  <c r="DZ490" i="1"/>
  <c r="DY490" i="1"/>
  <c r="DX490" i="1"/>
  <c r="DV490" i="1"/>
  <c r="DT490" i="1"/>
  <c r="DR490" i="1"/>
  <c r="DP490" i="1"/>
  <c r="DN490" i="1"/>
  <c r="DL490" i="1"/>
  <c r="DJ490" i="1"/>
  <c r="DH490" i="1"/>
  <c r="DF490" i="1"/>
  <c r="DD490" i="1"/>
  <c r="DB490" i="1"/>
  <c r="AK490" i="1"/>
  <c r="A490" i="1"/>
  <c r="GV489" i="1"/>
  <c r="GF489" i="1"/>
  <c r="GE489" i="1"/>
  <c r="GD489" i="1"/>
  <c r="GB489" i="1"/>
  <c r="FZ489" i="1"/>
  <c r="FX489" i="1"/>
  <c r="FV489" i="1"/>
  <c r="FT489" i="1"/>
  <c r="FR489" i="1"/>
  <c r="FP489" i="1"/>
  <c r="FO489" i="1"/>
  <c r="FN489" i="1"/>
  <c r="FL489" i="1"/>
  <c r="FJ489" i="1"/>
  <c r="FH489" i="1"/>
  <c r="FG489" i="1"/>
  <c r="FF489" i="1"/>
  <c r="FD489" i="1"/>
  <c r="FB489" i="1"/>
  <c r="EZ489" i="1"/>
  <c r="EY489" i="1"/>
  <c r="EX489" i="1"/>
  <c r="EV489" i="1"/>
  <c r="ET489" i="1"/>
  <c r="ER489" i="1"/>
  <c r="EP489" i="1"/>
  <c r="EO489" i="1"/>
  <c r="EN489" i="1"/>
  <c r="EL489" i="1"/>
  <c r="EJ489" i="1"/>
  <c r="EH489" i="1"/>
  <c r="EG489" i="1"/>
  <c r="EF489" i="1"/>
  <c r="ED489" i="1"/>
  <c r="EB489" i="1"/>
  <c r="DZ489" i="1"/>
  <c r="DY489" i="1"/>
  <c r="DX489" i="1"/>
  <c r="DV489" i="1"/>
  <c r="DT489" i="1"/>
  <c r="DR489" i="1"/>
  <c r="DP489" i="1"/>
  <c r="DN489" i="1"/>
  <c r="DL489" i="1"/>
  <c r="DJ489" i="1"/>
  <c r="DH489" i="1"/>
  <c r="DF489" i="1"/>
  <c r="DD489" i="1"/>
  <c r="DB489" i="1"/>
  <c r="AK489" i="1"/>
  <c r="A489" i="1"/>
  <c r="GV488" i="1"/>
  <c r="GF488" i="1"/>
  <c r="GE488" i="1"/>
  <c r="GD488" i="1"/>
  <c r="GB488" i="1"/>
  <c r="FZ488" i="1"/>
  <c r="FX488" i="1"/>
  <c r="FV488" i="1"/>
  <c r="FT488" i="1"/>
  <c r="FR488" i="1"/>
  <c r="FP488" i="1"/>
  <c r="FO488" i="1"/>
  <c r="FN488" i="1"/>
  <c r="FL488" i="1"/>
  <c r="FJ488" i="1"/>
  <c r="FH488" i="1"/>
  <c r="FG488" i="1"/>
  <c r="FF488" i="1"/>
  <c r="FD488" i="1"/>
  <c r="FB488" i="1"/>
  <c r="EZ488" i="1"/>
  <c r="EY488" i="1"/>
  <c r="EX488" i="1"/>
  <c r="EV488" i="1"/>
  <c r="ET488" i="1"/>
  <c r="ER488" i="1"/>
  <c r="EP488" i="1"/>
  <c r="EO488" i="1"/>
  <c r="EN488" i="1"/>
  <c r="EL488" i="1"/>
  <c r="EJ488" i="1"/>
  <c r="EH488" i="1"/>
  <c r="EG488" i="1"/>
  <c r="EF488" i="1"/>
  <c r="ED488" i="1"/>
  <c r="EB488" i="1"/>
  <c r="DZ488" i="1"/>
  <c r="DY488" i="1"/>
  <c r="DX488" i="1"/>
  <c r="DV488" i="1"/>
  <c r="DT488" i="1"/>
  <c r="DR488" i="1"/>
  <c r="DP488" i="1"/>
  <c r="DN488" i="1"/>
  <c r="DL488" i="1"/>
  <c r="DJ488" i="1"/>
  <c r="DH488" i="1"/>
  <c r="DF488" i="1"/>
  <c r="DD488" i="1"/>
  <c r="DB488" i="1"/>
  <c r="AK488" i="1"/>
  <c r="A488" i="1"/>
  <c r="GV487" i="1"/>
  <c r="GF487" i="1"/>
  <c r="GE487" i="1"/>
  <c r="GD487" i="1"/>
  <c r="GB487" i="1"/>
  <c r="FZ487" i="1"/>
  <c r="FX487" i="1"/>
  <c r="FV487" i="1"/>
  <c r="FT487" i="1"/>
  <c r="FR487" i="1"/>
  <c r="FP487" i="1"/>
  <c r="FO487" i="1"/>
  <c r="FN487" i="1"/>
  <c r="FL487" i="1"/>
  <c r="FJ487" i="1"/>
  <c r="FH487" i="1"/>
  <c r="FG487" i="1"/>
  <c r="FF487" i="1"/>
  <c r="FD487" i="1"/>
  <c r="FB487" i="1"/>
  <c r="EZ487" i="1"/>
  <c r="EY487" i="1"/>
  <c r="EX487" i="1"/>
  <c r="EV487" i="1"/>
  <c r="ET487" i="1"/>
  <c r="ER487" i="1"/>
  <c r="EP487" i="1"/>
  <c r="EO487" i="1"/>
  <c r="EN487" i="1"/>
  <c r="EL487" i="1"/>
  <c r="EJ487" i="1"/>
  <c r="EH487" i="1"/>
  <c r="EG487" i="1"/>
  <c r="EF487" i="1"/>
  <c r="ED487" i="1"/>
  <c r="EB487" i="1"/>
  <c r="DZ487" i="1"/>
  <c r="DY487" i="1"/>
  <c r="DX487" i="1"/>
  <c r="DV487" i="1"/>
  <c r="DT487" i="1"/>
  <c r="DR487" i="1"/>
  <c r="DP487" i="1"/>
  <c r="DN487" i="1"/>
  <c r="DL487" i="1"/>
  <c r="DJ487" i="1"/>
  <c r="DH487" i="1"/>
  <c r="DF487" i="1"/>
  <c r="DD487" i="1"/>
  <c r="DB487" i="1"/>
  <c r="AK487" i="1"/>
  <c r="A487" i="1"/>
  <c r="GV486" i="1"/>
  <c r="GV485" i="1"/>
  <c r="GF485" i="1"/>
  <c r="GE485" i="1"/>
  <c r="GD485" i="1"/>
  <c r="GB485" i="1"/>
  <c r="FZ485" i="1"/>
  <c r="FX485" i="1"/>
  <c r="FV485" i="1"/>
  <c r="FT485" i="1"/>
  <c r="FR485" i="1"/>
  <c r="FP485" i="1"/>
  <c r="FO485" i="1"/>
  <c r="FN485" i="1"/>
  <c r="FL485" i="1"/>
  <c r="FJ485" i="1"/>
  <c r="FH485" i="1"/>
  <c r="FG485" i="1"/>
  <c r="FF485" i="1"/>
  <c r="FD485" i="1"/>
  <c r="FB485" i="1"/>
  <c r="EZ485" i="1"/>
  <c r="EY485" i="1"/>
  <c r="EX485" i="1"/>
  <c r="EV485" i="1"/>
  <c r="ET485" i="1"/>
  <c r="ER485" i="1"/>
  <c r="EP485" i="1"/>
  <c r="EO485" i="1"/>
  <c r="EN485" i="1"/>
  <c r="EL485" i="1"/>
  <c r="EJ485" i="1"/>
  <c r="EH485" i="1"/>
  <c r="EG485" i="1"/>
  <c r="EF485" i="1"/>
  <c r="ED485" i="1"/>
  <c r="EB485" i="1"/>
  <c r="DZ485" i="1"/>
  <c r="DY485" i="1"/>
  <c r="DX485" i="1"/>
  <c r="DV485" i="1"/>
  <c r="DT485" i="1"/>
  <c r="DR485" i="1"/>
  <c r="DP485" i="1"/>
  <c r="DN485" i="1"/>
  <c r="DL485" i="1"/>
  <c r="DJ485" i="1"/>
  <c r="DH485" i="1"/>
  <c r="DF485" i="1"/>
  <c r="DD485" i="1"/>
  <c r="DB485" i="1"/>
  <c r="AK485" i="1"/>
  <c r="A485" i="1"/>
  <c r="GV484" i="1"/>
  <c r="GF484" i="1"/>
  <c r="GE484" i="1"/>
  <c r="GD484" i="1"/>
  <c r="GB484" i="1"/>
  <c r="FZ484" i="1"/>
  <c r="FX484" i="1"/>
  <c r="FV484" i="1"/>
  <c r="FT484" i="1"/>
  <c r="FR484" i="1"/>
  <c r="FP484" i="1"/>
  <c r="FO484" i="1"/>
  <c r="FN484" i="1"/>
  <c r="FL484" i="1"/>
  <c r="FJ484" i="1"/>
  <c r="FH484" i="1"/>
  <c r="FG484" i="1"/>
  <c r="FF484" i="1"/>
  <c r="FD484" i="1"/>
  <c r="FB484" i="1"/>
  <c r="EZ484" i="1"/>
  <c r="EY484" i="1"/>
  <c r="EX484" i="1"/>
  <c r="EV484" i="1"/>
  <c r="ET484" i="1"/>
  <c r="ER484" i="1"/>
  <c r="EP484" i="1"/>
  <c r="EO484" i="1"/>
  <c r="EN484" i="1"/>
  <c r="EL484" i="1"/>
  <c r="EJ484" i="1"/>
  <c r="EH484" i="1"/>
  <c r="EG484" i="1"/>
  <c r="EF484" i="1"/>
  <c r="ED484" i="1"/>
  <c r="EB484" i="1"/>
  <c r="DZ484" i="1"/>
  <c r="DY484" i="1"/>
  <c r="DX484" i="1"/>
  <c r="DV484" i="1"/>
  <c r="DT484" i="1"/>
  <c r="DR484" i="1"/>
  <c r="DP484" i="1"/>
  <c r="DN484" i="1"/>
  <c r="DL484" i="1"/>
  <c r="DJ484" i="1"/>
  <c r="DH484" i="1"/>
  <c r="DF484" i="1"/>
  <c r="DD484" i="1"/>
  <c r="DB484" i="1"/>
  <c r="AK484" i="1"/>
  <c r="A484" i="1"/>
  <c r="GV483" i="1"/>
  <c r="GF483" i="1"/>
  <c r="GE483" i="1"/>
  <c r="GD483" i="1"/>
  <c r="GB483" i="1"/>
  <c r="FZ483" i="1"/>
  <c r="FX483" i="1"/>
  <c r="FV483" i="1"/>
  <c r="FT483" i="1"/>
  <c r="FR483" i="1"/>
  <c r="FP483" i="1"/>
  <c r="FO483" i="1"/>
  <c r="FN483" i="1"/>
  <c r="FL483" i="1"/>
  <c r="FJ483" i="1"/>
  <c r="FH483" i="1"/>
  <c r="FG483" i="1"/>
  <c r="FF483" i="1"/>
  <c r="FD483" i="1"/>
  <c r="FB483" i="1"/>
  <c r="EZ483" i="1"/>
  <c r="EY483" i="1"/>
  <c r="EX483" i="1"/>
  <c r="EV483" i="1"/>
  <c r="ET483" i="1"/>
  <c r="ER483" i="1"/>
  <c r="EP483" i="1"/>
  <c r="EO483" i="1"/>
  <c r="EN483" i="1"/>
  <c r="EL483" i="1"/>
  <c r="EJ483" i="1"/>
  <c r="EH483" i="1"/>
  <c r="EG483" i="1"/>
  <c r="EF483" i="1"/>
  <c r="ED483" i="1"/>
  <c r="EB483" i="1"/>
  <c r="DZ483" i="1"/>
  <c r="DY483" i="1"/>
  <c r="DX483" i="1"/>
  <c r="DV483" i="1"/>
  <c r="DT483" i="1"/>
  <c r="DR483" i="1"/>
  <c r="DP483" i="1"/>
  <c r="DN483" i="1"/>
  <c r="DL483" i="1"/>
  <c r="DJ483" i="1"/>
  <c r="DH483" i="1"/>
  <c r="DF483" i="1"/>
  <c r="DD483" i="1"/>
  <c r="DB483" i="1"/>
  <c r="AK483" i="1"/>
  <c r="A483" i="1"/>
  <c r="GV482" i="1"/>
  <c r="GF482" i="1"/>
  <c r="GE482" i="1"/>
  <c r="GD482" i="1"/>
  <c r="GB482" i="1"/>
  <c r="FZ482" i="1"/>
  <c r="FX482" i="1"/>
  <c r="FV482" i="1"/>
  <c r="FT482" i="1"/>
  <c r="FR482" i="1"/>
  <c r="FP482" i="1"/>
  <c r="FO482" i="1"/>
  <c r="FN482" i="1"/>
  <c r="FL482" i="1"/>
  <c r="FJ482" i="1"/>
  <c r="FH482" i="1"/>
  <c r="FG482" i="1"/>
  <c r="FF482" i="1"/>
  <c r="FD482" i="1"/>
  <c r="FB482" i="1"/>
  <c r="EZ482" i="1"/>
  <c r="EY482" i="1"/>
  <c r="EX482" i="1"/>
  <c r="EV482" i="1"/>
  <c r="ET482" i="1"/>
  <c r="ER482" i="1"/>
  <c r="EP482" i="1"/>
  <c r="EO482" i="1"/>
  <c r="EN482" i="1"/>
  <c r="EL482" i="1"/>
  <c r="EJ482" i="1"/>
  <c r="EH482" i="1"/>
  <c r="EG482" i="1"/>
  <c r="EF482" i="1"/>
  <c r="ED482" i="1"/>
  <c r="EB482" i="1"/>
  <c r="DZ482" i="1"/>
  <c r="DY482" i="1"/>
  <c r="DX482" i="1"/>
  <c r="DV482" i="1"/>
  <c r="DT482" i="1"/>
  <c r="DR482" i="1"/>
  <c r="DP482" i="1"/>
  <c r="DN482" i="1"/>
  <c r="DL482" i="1"/>
  <c r="DJ482" i="1"/>
  <c r="DH482" i="1"/>
  <c r="DF482" i="1"/>
  <c r="DD482" i="1"/>
  <c r="DB482" i="1"/>
  <c r="AK482" i="1"/>
  <c r="A482" i="1"/>
  <c r="GV481" i="1"/>
  <c r="GF481" i="1"/>
  <c r="GE481" i="1"/>
  <c r="GD481" i="1"/>
  <c r="GB481" i="1"/>
  <c r="FZ481" i="1"/>
  <c r="FX481" i="1"/>
  <c r="FV481" i="1"/>
  <c r="FT481" i="1"/>
  <c r="FR481" i="1"/>
  <c r="FP481" i="1"/>
  <c r="FO481" i="1"/>
  <c r="FN481" i="1"/>
  <c r="FL481" i="1"/>
  <c r="FJ481" i="1"/>
  <c r="FH481" i="1"/>
  <c r="FG481" i="1"/>
  <c r="FF481" i="1"/>
  <c r="FD481" i="1"/>
  <c r="FB481" i="1"/>
  <c r="EZ481" i="1"/>
  <c r="EY481" i="1"/>
  <c r="EX481" i="1"/>
  <c r="EV481" i="1"/>
  <c r="ET481" i="1"/>
  <c r="ER481" i="1"/>
  <c r="EP481" i="1"/>
  <c r="EO481" i="1"/>
  <c r="EN481" i="1"/>
  <c r="EL481" i="1"/>
  <c r="EJ481" i="1"/>
  <c r="EH481" i="1"/>
  <c r="EG481" i="1"/>
  <c r="EF481" i="1"/>
  <c r="ED481" i="1"/>
  <c r="EB481" i="1"/>
  <c r="DZ481" i="1"/>
  <c r="DY481" i="1"/>
  <c r="DX481" i="1"/>
  <c r="DV481" i="1"/>
  <c r="DT481" i="1"/>
  <c r="DR481" i="1"/>
  <c r="DP481" i="1"/>
  <c r="DN481" i="1"/>
  <c r="DL481" i="1"/>
  <c r="DJ481" i="1"/>
  <c r="DH481" i="1"/>
  <c r="DF481" i="1"/>
  <c r="DD481" i="1"/>
  <c r="DB481" i="1"/>
  <c r="AK481" i="1"/>
  <c r="A481" i="1"/>
  <c r="GV480" i="1"/>
  <c r="GF480" i="1"/>
  <c r="GE480" i="1"/>
  <c r="GD480" i="1"/>
  <c r="GB480" i="1"/>
  <c r="FZ480" i="1"/>
  <c r="FX480" i="1"/>
  <c r="FV480" i="1"/>
  <c r="FT480" i="1"/>
  <c r="FR480" i="1"/>
  <c r="FP480" i="1"/>
  <c r="FO480" i="1"/>
  <c r="FN480" i="1"/>
  <c r="FL480" i="1"/>
  <c r="FJ480" i="1"/>
  <c r="FH480" i="1"/>
  <c r="FG480" i="1"/>
  <c r="FF480" i="1"/>
  <c r="FD480" i="1"/>
  <c r="FB480" i="1"/>
  <c r="EZ480" i="1"/>
  <c r="EY480" i="1"/>
  <c r="EX480" i="1"/>
  <c r="EV480" i="1"/>
  <c r="ET480" i="1"/>
  <c r="ER480" i="1"/>
  <c r="EP480" i="1"/>
  <c r="EO480" i="1"/>
  <c r="EN480" i="1"/>
  <c r="EL480" i="1"/>
  <c r="EJ480" i="1"/>
  <c r="EH480" i="1"/>
  <c r="EG480" i="1"/>
  <c r="EF480" i="1"/>
  <c r="ED480" i="1"/>
  <c r="EB480" i="1"/>
  <c r="DZ480" i="1"/>
  <c r="DY480" i="1"/>
  <c r="DX480" i="1"/>
  <c r="DV480" i="1"/>
  <c r="DT480" i="1"/>
  <c r="DR480" i="1"/>
  <c r="DP480" i="1"/>
  <c r="DN480" i="1"/>
  <c r="DL480" i="1"/>
  <c r="DJ480" i="1"/>
  <c r="DH480" i="1"/>
  <c r="DF480" i="1"/>
  <c r="DD480" i="1"/>
  <c r="DB480" i="1"/>
  <c r="AK480" i="1"/>
  <c r="A480" i="1"/>
  <c r="GV479" i="1"/>
  <c r="GF479" i="1"/>
  <c r="GE479" i="1"/>
  <c r="GD479" i="1"/>
  <c r="GB479" i="1"/>
  <c r="FZ479" i="1"/>
  <c r="FX479" i="1"/>
  <c r="FV479" i="1"/>
  <c r="FT479" i="1"/>
  <c r="FR479" i="1"/>
  <c r="FP479" i="1"/>
  <c r="FO479" i="1"/>
  <c r="FN479" i="1"/>
  <c r="FL479" i="1"/>
  <c r="FJ479" i="1"/>
  <c r="FH479" i="1"/>
  <c r="FG479" i="1"/>
  <c r="FF479" i="1"/>
  <c r="FD479" i="1"/>
  <c r="FB479" i="1"/>
  <c r="EZ479" i="1"/>
  <c r="EY479" i="1"/>
  <c r="EX479" i="1"/>
  <c r="EV479" i="1"/>
  <c r="ET479" i="1"/>
  <c r="ER479" i="1"/>
  <c r="EP479" i="1"/>
  <c r="EO479" i="1"/>
  <c r="EN479" i="1"/>
  <c r="EL479" i="1"/>
  <c r="EJ479" i="1"/>
  <c r="EH479" i="1"/>
  <c r="EG479" i="1"/>
  <c r="EF479" i="1"/>
  <c r="ED479" i="1"/>
  <c r="EB479" i="1"/>
  <c r="DZ479" i="1"/>
  <c r="DY479" i="1"/>
  <c r="DX479" i="1"/>
  <c r="DV479" i="1"/>
  <c r="DT479" i="1"/>
  <c r="DR479" i="1"/>
  <c r="DP479" i="1"/>
  <c r="DN479" i="1"/>
  <c r="DL479" i="1"/>
  <c r="DJ479" i="1"/>
  <c r="DH479" i="1"/>
  <c r="DF479" i="1"/>
  <c r="DD479" i="1"/>
  <c r="DB479" i="1"/>
  <c r="AK479" i="1"/>
  <c r="A479" i="1"/>
  <c r="GV478" i="1"/>
  <c r="GF478" i="1"/>
  <c r="GE478" i="1"/>
  <c r="GD478" i="1"/>
  <c r="GB478" i="1"/>
  <c r="FZ478" i="1"/>
  <c r="FX478" i="1"/>
  <c r="FV478" i="1"/>
  <c r="FT478" i="1"/>
  <c r="FR478" i="1"/>
  <c r="FP478" i="1"/>
  <c r="FO478" i="1"/>
  <c r="FN478" i="1"/>
  <c r="FL478" i="1"/>
  <c r="FJ478" i="1"/>
  <c r="FH478" i="1"/>
  <c r="FG478" i="1"/>
  <c r="FF478" i="1"/>
  <c r="FD478" i="1"/>
  <c r="FB478" i="1"/>
  <c r="EZ478" i="1"/>
  <c r="EY478" i="1"/>
  <c r="EX478" i="1"/>
  <c r="EV478" i="1"/>
  <c r="ET478" i="1"/>
  <c r="ER478" i="1"/>
  <c r="EP478" i="1"/>
  <c r="EO478" i="1"/>
  <c r="EN478" i="1"/>
  <c r="EL478" i="1"/>
  <c r="EJ478" i="1"/>
  <c r="EH478" i="1"/>
  <c r="EG478" i="1"/>
  <c r="EF478" i="1"/>
  <c r="ED478" i="1"/>
  <c r="EB478" i="1"/>
  <c r="DZ478" i="1"/>
  <c r="DY478" i="1"/>
  <c r="DX478" i="1"/>
  <c r="DV478" i="1"/>
  <c r="DT478" i="1"/>
  <c r="DR478" i="1"/>
  <c r="DP478" i="1"/>
  <c r="DN478" i="1"/>
  <c r="DL478" i="1"/>
  <c r="DJ478" i="1"/>
  <c r="DH478" i="1"/>
  <c r="DF478" i="1"/>
  <c r="DD478" i="1"/>
  <c r="DB478" i="1"/>
  <c r="AK478" i="1"/>
  <c r="A478" i="1"/>
  <c r="GV477" i="1"/>
  <c r="GF477" i="1"/>
  <c r="GE477" i="1"/>
  <c r="GD477" i="1"/>
  <c r="GB477" i="1"/>
  <c r="FZ477" i="1"/>
  <c r="FX477" i="1"/>
  <c r="FV477" i="1"/>
  <c r="FT477" i="1"/>
  <c r="FR477" i="1"/>
  <c r="FP477" i="1"/>
  <c r="FO477" i="1"/>
  <c r="FN477" i="1"/>
  <c r="FL477" i="1"/>
  <c r="FJ477" i="1"/>
  <c r="FH477" i="1"/>
  <c r="FG477" i="1"/>
  <c r="FF477" i="1"/>
  <c r="FD477" i="1"/>
  <c r="FB477" i="1"/>
  <c r="EZ477" i="1"/>
  <c r="EY477" i="1"/>
  <c r="EX477" i="1"/>
  <c r="EV477" i="1"/>
  <c r="ET477" i="1"/>
  <c r="ER477" i="1"/>
  <c r="EP477" i="1"/>
  <c r="EO477" i="1"/>
  <c r="EN477" i="1"/>
  <c r="EL477" i="1"/>
  <c r="EJ477" i="1"/>
  <c r="EH477" i="1"/>
  <c r="EG477" i="1"/>
  <c r="EF477" i="1"/>
  <c r="ED477" i="1"/>
  <c r="EB477" i="1"/>
  <c r="DZ477" i="1"/>
  <c r="DY477" i="1"/>
  <c r="DX477" i="1"/>
  <c r="DV477" i="1"/>
  <c r="DT477" i="1"/>
  <c r="DR477" i="1"/>
  <c r="DP477" i="1"/>
  <c r="DN477" i="1"/>
  <c r="DL477" i="1"/>
  <c r="DJ477" i="1"/>
  <c r="DH477" i="1"/>
  <c r="DF477" i="1"/>
  <c r="DD477" i="1"/>
  <c r="DB477" i="1"/>
  <c r="AK477" i="1"/>
  <c r="A477" i="1"/>
  <c r="GV476" i="1"/>
  <c r="GF476" i="1"/>
  <c r="GE476" i="1"/>
  <c r="GD476" i="1"/>
  <c r="GB476" i="1"/>
  <c r="FZ476" i="1"/>
  <c r="FX476" i="1"/>
  <c r="FV476" i="1"/>
  <c r="FT476" i="1"/>
  <c r="FR476" i="1"/>
  <c r="FP476" i="1"/>
  <c r="FO476" i="1"/>
  <c r="FN476" i="1"/>
  <c r="FL476" i="1"/>
  <c r="FJ476" i="1"/>
  <c r="FH476" i="1"/>
  <c r="FG476" i="1"/>
  <c r="FF476" i="1"/>
  <c r="FD476" i="1"/>
  <c r="FB476" i="1"/>
  <c r="EZ476" i="1"/>
  <c r="EY476" i="1"/>
  <c r="EX476" i="1"/>
  <c r="EV476" i="1"/>
  <c r="ET476" i="1"/>
  <c r="ER476" i="1"/>
  <c r="EP476" i="1"/>
  <c r="EO476" i="1"/>
  <c r="EN476" i="1"/>
  <c r="EL476" i="1"/>
  <c r="EJ476" i="1"/>
  <c r="EH476" i="1"/>
  <c r="EG476" i="1"/>
  <c r="EF476" i="1"/>
  <c r="ED476" i="1"/>
  <c r="EB476" i="1"/>
  <c r="DZ476" i="1"/>
  <c r="DY476" i="1"/>
  <c r="DX476" i="1"/>
  <c r="DV476" i="1"/>
  <c r="DT476" i="1"/>
  <c r="DR476" i="1"/>
  <c r="DP476" i="1"/>
  <c r="DN476" i="1"/>
  <c r="DL476" i="1"/>
  <c r="DJ476" i="1"/>
  <c r="DH476" i="1"/>
  <c r="DF476" i="1"/>
  <c r="DD476" i="1"/>
  <c r="DB476" i="1"/>
  <c r="AK476" i="1"/>
  <c r="A476" i="1"/>
  <c r="GV475" i="1"/>
  <c r="GF475" i="1"/>
  <c r="GE475" i="1"/>
  <c r="GD475" i="1"/>
  <c r="GB475" i="1"/>
  <c r="FZ475" i="1"/>
  <c r="FX475" i="1"/>
  <c r="FV475" i="1"/>
  <c r="FT475" i="1"/>
  <c r="FR475" i="1"/>
  <c r="FP475" i="1"/>
  <c r="FO475" i="1"/>
  <c r="FN475" i="1"/>
  <c r="FL475" i="1"/>
  <c r="FJ475" i="1"/>
  <c r="FH475" i="1"/>
  <c r="FG475" i="1"/>
  <c r="FF475" i="1"/>
  <c r="FD475" i="1"/>
  <c r="FB475" i="1"/>
  <c r="EZ475" i="1"/>
  <c r="EY475" i="1"/>
  <c r="EX475" i="1"/>
  <c r="EV475" i="1"/>
  <c r="ET475" i="1"/>
  <c r="ER475" i="1"/>
  <c r="EP475" i="1"/>
  <c r="EO475" i="1"/>
  <c r="EN475" i="1"/>
  <c r="EL475" i="1"/>
  <c r="EJ475" i="1"/>
  <c r="EH475" i="1"/>
  <c r="EG475" i="1"/>
  <c r="EF475" i="1"/>
  <c r="ED475" i="1"/>
  <c r="EB475" i="1"/>
  <c r="DZ475" i="1"/>
  <c r="DY475" i="1"/>
  <c r="DX475" i="1"/>
  <c r="DV475" i="1"/>
  <c r="DT475" i="1"/>
  <c r="DR475" i="1"/>
  <c r="DP475" i="1"/>
  <c r="DN475" i="1"/>
  <c r="DL475" i="1"/>
  <c r="DJ475" i="1"/>
  <c r="DH475" i="1"/>
  <c r="DF475" i="1"/>
  <c r="DD475" i="1"/>
  <c r="DB475" i="1"/>
  <c r="AK475" i="1"/>
  <c r="A475" i="1"/>
  <c r="GV474" i="1"/>
  <c r="GF474" i="1"/>
  <c r="GE474" i="1"/>
  <c r="GD474" i="1"/>
  <c r="GB474" i="1"/>
  <c r="FZ474" i="1"/>
  <c r="FX474" i="1"/>
  <c r="FV474" i="1"/>
  <c r="FT474" i="1"/>
  <c r="FR474" i="1"/>
  <c r="FP474" i="1"/>
  <c r="FO474" i="1"/>
  <c r="FN474" i="1"/>
  <c r="FL474" i="1"/>
  <c r="FJ474" i="1"/>
  <c r="FH474" i="1"/>
  <c r="FG474" i="1"/>
  <c r="FF474" i="1"/>
  <c r="FD474" i="1"/>
  <c r="FB474" i="1"/>
  <c r="EZ474" i="1"/>
  <c r="EY474" i="1"/>
  <c r="EX474" i="1"/>
  <c r="EV474" i="1"/>
  <c r="ET474" i="1"/>
  <c r="ER474" i="1"/>
  <c r="EP474" i="1"/>
  <c r="EO474" i="1"/>
  <c r="EN474" i="1"/>
  <c r="EL474" i="1"/>
  <c r="EJ474" i="1"/>
  <c r="EH474" i="1"/>
  <c r="EG474" i="1"/>
  <c r="EF474" i="1"/>
  <c r="ED474" i="1"/>
  <c r="EB474" i="1"/>
  <c r="DZ474" i="1"/>
  <c r="DY474" i="1"/>
  <c r="DX474" i="1"/>
  <c r="DV474" i="1"/>
  <c r="DT474" i="1"/>
  <c r="DR474" i="1"/>
  <c r="DP474" i="1"/>
  <c r="DN474" i="1"/>
  <c r="DL474" i="1"/>
  <c r="DJ474" i="1"/>
  <c r="DH474" i="1"/>
  <c r="DF474" i="1"/>
  <c r="DD474" i="1"/>
  <c r="DB474" i="1"/>
  <c r="AK474" i="1"/>
  <c r="A474" i="1"/>
  <c r="GV473" i="1"/>
  <c r="GF473" i="1"/>
  <c r="GE473" i="1"/>
  <c r="GD473" i="1"/>
  <c r="GB473" i="1"/>
  <c r="FZ473" i="1"/>
  <c r="FX473" i="1"/>
  <c r="FV473" i="1"/>
  <c r="FT473" i="1"/>
  <c r="FR473" i="1"/>
  <c r="FP473" i="1"/>
  <c r="FO473" i="1"/>
  <c r="FN473" i="1"/>
  <c r="FL473" i="1"/>
  <c r="FJ473" i="1"/>
  <c r="FH473" i="1"/>
  <c r="FG473" i="1"/>
  <c r="FF473" i="1"/>
  <c r="FD473" i="1"/>
  <c r="FB473" i="1"/>
  <c r="EZ473" i="1"/>
  <c r="EY473" i="1"/>
  <c r="EX473" i="1"/>
  <c r="EV473" i="1"/>
  <c r="ET473" i="1"/>
  <c r="ER473" i="1"/>
  <c r="EP473" i="1"/>
  <c r="EO473" i="1"/>
  <c r="EN473" i="1"/>
  <c r="EL473" i="1"/>
  <c r="EJ473" i="1"/>
  <c r="EH473" i="1"/>
  <c r="EG473" i="1"/>
  <c r="EF473" i="1"/>
  <c r="ED473" i="1"/>
  <c r="EB473" i="1"/>
  <c r="DZ473" i="1"/>
  <c r="DY473" i="1"/>
  <c r="DX473" i="1"/>
  <c r="DV473" i="1"/>
  <c r="DT473" i="1"/>
  <c r="DR473" i="1"/>
  <c r="DP473" i="1"/>
  <c r="DN473" i="1"/>
  <c r="DL473" i="1"/>
  <c r="DJ473" i="1"/>
  <c r="DH473" i="1"/>
  <c r="DF473" i="1"/>
  <c r="DD473" i="1"/>
  <c r="DB473" i="1"/>
  <c r="AK473" i="1"/>
  <c r="A473" i="1"/>
  <c r="GV472" i="1"/>
  <c r="GF472" i="1"/>
  <c r="GE472" i="1"/>
  <c r="GD472" i="1"/>
  <c r="GB472" i="1"/>
  <c r="FZ472" i="1"/>
  <c r="FX472" i="1"/>
  <c r="FV472" i="1"/>
  <c r="FT472" i="1"/>
  <c r="FR472" i="1"/>
  <c r="FP472" i="1"/>
  <c r="FO472" i="1"/>
  <c r="FN472" i="1"/>
  <c r="FL472" i="1"/>
  <c r="FJ472" i="1"/>
  <c r="FH472" i="1"/>
  <c r="FG472" i="1"/>
  <c r="FF472" i="1"/>
  <c r="FD472" i="1"/>
  <c r="FB472" i="1"/>
  <c r="EZ472" i="1"/>
  <c r="EY472" i="1"/>
  <c r="EX472" i="1"/>
  <c r="EV472" i="1"/>
  <c r="ET472" i="1"/>
  <c r="ER472" i="1"/>
  <c r="EP472" i="1"/>
  <c r="EO472" i="1"/>
  <c r="EN472" i="1"/>
  <c r="EL472" i="1"/>
  <c r="EJ472" i="1"/>
  <c r="EH472" i="1"/>
  <c r="EG472" i="1"/>
  <c r="EF472" i="1"/>
  <c r="ED472" i="1"/>
  <c r="EB472" i="1"/>
  <c r="DZ472" i="1"/>
  <c r="DY472" i="1"/>
  <c r="DX472" i="1"/>
  <c r="DV472" i="1"/>
  <c r="DT472" i="1"/>
  <c r="DR472" i="1"/>
  <c r="DP472" i="1"/>
  <c r="DN472" i="1"/>
  <c r="DL472" i="1"/>
  <c r="DJ472" i="1"/>
  <c r="DH472" i="1"/>
  <c r="DF472" i="1"/>
  <c r="DD472" i="1"/>
  <c r="DB472" i="1"/>
  <c r="AK472" i="1"/>
  <c r="A472" i="1"/>
  <c r="GV471" i="1"/>
  <c r="GF471" i="1"/>
  <c r="GE471" i="1"/>
  <c r="GD471" i="1"/>
  <c r="GB471" i="1"/>
  <c r="FZ471" i="1"/>
  <c r="FX471" i="1"/>
  <c r="FV471" i="1"/>
  <c r="FT471" i="1"/>
  <c r="FR471" i="1"/>
  <c r="FP471" i="1"/>
  <c r="FO471" i="1"/>
  <c r="FN471" i="1"/>
  <c r="FL471" i="1"/>
  <c r="FJ471" i="1"/>
  <c r="FH471" i="1"/>
  <c r="FG471" i="1"/>
  <c r="FF471" i="1"/>
  <c r="FD471" i="1"/>
  <c r="FB471" i="1"/>
  <c r="EZ471" i="1"/>
  <c r="EY471" i="1"/>
  <c r="EX471" i="1"/>
  <c r="EV471" i="1"/>
  <c r="ET471" i="1"/>
  <c r="ER471" i="1"/>
  <c r="EP471" i="1"/>
  <c r="EO471" i="1"/>
  <c r="EN471" i="1"/>
  <c r="EL471" i="1"/>
  <c r="EJ471" i="1"/>
  <c r="EH471" i="1"/>
  <c r="EG471" i="1"/>
  <c r="EF471" i="1"/>
  <c r="ED471" i="1"/>
  <c r="EB471" i="1"/>
  <c r="DZ471" i="1"/>
  <c r="DY471" i="1"/>
  <c r="DX471" i="1"/>
  <c r="DV471" i="1"/>
  <c r="DT471" i="1"/>
  <c r="DR471" i="1"/>
  <c r="DP471" i="1"/>
  <c r="DN471" i="1"/>
  <c r="DL471" i="1"/>
  <c r="DJ471" i="1"/>
  <c r="DH471" i="1"/>
  <c r="DF471" i="1"/>
  <c r="DD471" i="1"/>
  <c r="DB471" i="1"/>
  <c r="AK471" i="1"/>
  <c r="A471" i="1"/>
  <c r="GV470" i="1"/>
  <c r="GF470" i="1"/>
  <c r="GE470" i="1"/>
  <c r="GD470" i="1"/>
  <c r="GB470" i="1"/>
  <c r="FZ470" i="1"/>
  <c r="FX470" i="1"/>
  <c r="FV470" i="1"/>
  <c r="FT470" i="1"/>
  <c r="FR470" i="1"/>
  <c r="FP470" i="1"/>
  <c r="FO470" i="1"/>
  <c r="FN470" i="1"/>
  <c r="FL470" i="1"/>
  <c r="FJ470" i="1"/>
  <c r="FH470" i="1"/>
  <c r="FG470" i="1"/>
  <c r="FF470" i="1"/>
  <c r="FD470" i="1"/>
  <c r="FB470" i="1"/>
  <c r="EZ470" i="1"/>
  <c r="EY470" i="1"/>
  <c r="EX470" i="1"/>
  <c r="EV470" i="1"/>
  <c r="ET470" i="1"/>
  <c r="ER470" i="1"/>
  <c r="EP470" i="1"/>
  <c r="EO470" i="1"/>
  <c r="EN470" i="1"/>
  <c r="EL470" i="1"/>
  <c r="EJ470" i="1"/>
  <c r="EH470" i="1"/>
  <c r="EG470" i="1"/>
  <c r="EF470" i="1"/>
  <c r="ED470" i="1"/>
  <c r="EB470" i="1"/>
  <c r="DZ470" i="1"/>
  <c r="DY470" i="1"/>
  <c r="DX470" i="1"/>
  <c r="DV470" i="1"/>
  <c r="DT470" i="1"/>
  <c r="DR470" i="1"/>
  <c r="DP470" i="1"/>
  <c r="DN470" i="1"/>
  <c r="DL470" i="1"/>
  <c r="DJ470" i="1"/>
  <c r="DH470" i="1"/>
  <c r="DF470" i="1"/>
  <c r="DD470" i="1"/>
  <c r="DB470" i="1"/>
  <c r="AK470" i="1"/>
  <c r="A470" i="1"/>
  <c r="GV469" i="1"/>
  <c r="GF469" i="1"/>
  <c r="GE469" i="1"/>
  <c r="GD469" i="1"/>
  <c r="GB469" i="1"/>
  <c r="FZ469" i="1"/>
  <c r="FX469" i="1"/>
  <c r="FV469" i="1"/>
  <c r="FT469" i="1"/>
  <c r="FR469" i="1"/>
  <c r="FP469" i="1"/>
  <c r="FO469" i="1"/>
  <c r="FN469" i="1"/>
  <c r="FL469" i="1"/>
  <c r="FJ469" i="1"/>
  <c r="FH469" i="1"/>
  <c r="FG469" i="1"/>
  <c r="FF469" i="1"/>
  <c r="FD469" i="1"/>
  <c r="FB469" i="1"/>
  <c r="EZ469" i="1"/>
  <c r="EY469" i="1"/>
  <c r="EX469" i="1"/>
  <c r="EV469" i="1"/>
  <c r="ET469" i="1"/>
  <c r="ER469" i="1"/>
  <c r="EP469" i="1"/>
  <c r="EO469" i="1"/>
  <c r="EN469" i="1"/>
  <c r="EL469" i="1"/>
  <c r="EJ469" i="1"/>
  <c r="EH469" i="1"/>
  <c r="EG469" i="1"/>
  <c r="EF469" i="1"/>
  <c r="ED469" i="1"/>
  <c r="EB469" i="1"/>
  <c r="DZ469" i="1"/>
  <c r="DY469" i="1"/>
  <c r="DX469" i="1"/>
  <c r="DV469" i="1"/>
  <c r="DT469" i="1"/>
  <c r="DR469" i="1"/>
  <c r="DP469" i="1"/>
  <c r="DN469" i="1"/>
  <c r="DL469" i="1"/>
  <c r="DJ469" i="1"/>
  <c r="DH469" i="1"/>
  <c r="DF469" i="1"/>
  <c r="DD469" i="1"/>
  <c r="DB469" i="1"/>
  <c r="AK469" i="1"/>
  <c r="A469" i="1"/>
  <c r="GV468" i="1"/>
  <c r="GF468" i="1"/>
  <c r="GE468" i="1"/>
  <c r="GD468" i="1"/>
  <c r="GB468" i="1"/>
  <c r="FZ468" i="1"/>
  <c r="FX468" i="1"/>
  <c r="FV468" i="1"/>
  <c r="FT468" i="1"/>
  <c r="FR468" i="1"/>
  <c r="FP468" i="1"/>
  <c r="FO468" i="1"/>
  <c r="FN468" i="1"/>
  <c r="FL468" i="1"/>
  <c r="FJ468" i="1"/>
  <c r="FH468" i="1"/>
  <c r="FG468" i="1"/>
  <c r="FF468" i="1"/>
  <c r="FD468" i="1"/>
  <c r="FB468" i="1"/>
  <c r="EZ468" i="1"/>
  <c r="EY468" i="1"/>
  <c r="EX468" i="1"/>
  <c r="EV468" i="1"/>
  <c r="ET468" i="1"/>
  <c r="ER468" i="1"/>
  <c r="EP468" i="1"/>
  <c r="EO468" i="1"/>
  <c r="EN468" i="1"/>
  <c r="EL468" i="1"/>
  <c r="EJ468" i="1"/>
  <c r="EH468" i="1"/>
  <c r="EG468" i="1"/>
  <c r="EF468" i="1"/>
  <c r="ED468" i="1"/>
  <c r="EB468" i="1"/>
  <c r="DZ468" i="1"/>
  <c r="DY468" i="1"/>
  <c r="DX468" i="1"/>
  <c r="DV468" i="1"/>
  <c r="DT468" i="1"/>
  <c r="DR468" i="1"/>
  <c r="DP468" i="1"/>
  <c r="DN468" i="1"/>
  <c r="DL468" i="1"/>
  <c r="DJ468" i="1"/>
  <c r="DH468" i="1"/>
  <c r="DF468" i="1"/>
  <c r="DD468" i="1"/>
  <c r="DB468" i="1"/>
  <c r="AK468" i="1"/>
  <c r="A468" i="1"/>
  <c r="GV467" i="1"/>
  <c r="GV466" i="1"/>
  <c r="GV465" i="1"/>
  <c r="GF465" i="1"/>
  <c r="GE465" i="1"/>
  <c r="GD465" i="1"/>
  <c r="GB465" i="1"/>
  <c r="FZ465" i="1"/>
  <c r="FX465" i="1"/>
  <c r="FV465" i="1"/>
  <c r="FT465" i="1"/>
  <c r="FR465" i="1"/>
  <c r="FP465" i="1"/>
  <c r="FO465" i="1"/>
  <c r="FN465" i="1"/>
  <c r="FL465" i="1"/>
  <c r="FJ465" i="1"/>
  <c r="FH465" i="1"/>
  <c r="FG465" i="1"/>
  <c r="FF465" i="1"/>
  <c r="FD465" i="1"/>
  <c r="FB465" i="1"/>
  <c r="EZ465" i="1"/>
  <c r="EY465" i="1"/>
  <c r="EX465" i="1"/>
  <c r="EV465" i="1"/>
  <c r="ET465" i="1"/>
  <c r="ER465" i="1"/>
  <c r="EP465" i="1"/>
  <c r="EO465" i="1"/>
  <c r="EN465" i="1"/>
  <c r="EL465" i="1"/>
  <c r="EJ465" i="1"/>
  <c r="EH465" i="1"/>
  <c r="EG465" i="1"/>
  <c r="EF465" i="1"/>
  <c r="ED465" i="1"/>
  <c r="EB465" i="1"/>
  <c r="DZ465" i="1"/>
  <c r="DY465" i="1"/>
  <c r="DX465" i="1"/>
  <c r="DV465" i="1"/>
  <c r="DT465" i="1"/>
  <c r="DR465" i="1"/>
  <c r="DP465" i="1"/>
  <c r="DN465" i="1"/>
  <c r="DL465" i="1"/>
  <c r="DJ465" i="1"/>
  <c r="DH465" i="1"/>
  <c r="DF465" i="1"/>
  <c r="DD465" i="1"/>
  <c r="DB465" i="1"/>
  <c r="AK465" i="1"/>
  <c r="A465" i="1"/>
  <c r="GV464" i="1"/>
  <c r="GF464" i="1"/>
  <c r="GE464" i="1"/>
  <c r="GD464" i="1"/>
  <c r="GB464" i="1"/>
  <c r="FZ464" i="1"/>
  <c r="FX464" i="1"/>
  <c r="FV464" i="1"/>
  <c r="FT464" i="1"/>
  <c r="FR464" i="1"/>
  <c r="FP464" i="1"/>
  <c r="FO464" i="1"/>
  <c r="FN464" i="1"/>
  <c r="FL464" i="1"/>
  <c r="FJ464" i="1"/>
  <c r="FH464" i="1"/>
  <c r="FG464" i="1"/>
  <c r="FF464" i="1"/>
  <c r="FD464" i="1"/>
  <c r="FB464" i="1"/>
  <c r="EZ464" i="1"/>
  <c r="EY464" i="1"/>
  <c r="EX464" i="1"/>
  <c r="EV464" i="1"/>
  <c r="ET464" i="1"/>
  <c r="ER464" i="1"/>
  <c r="EP464" i="1"/>
  <c r="EO464" i="1"/>
  <c r="EN464" i="1"/>
  <c r="EL464" i="1"/>
  <c r="EJ464" i="1"/>
  <c r="EH464" i="1"/>
  <c r="EG464" i="1"/>
  <c r="EF464" i="1"/>
  <c r="ED464" i="1"/>
  <c r="EB464" i="1"/>
  <c r="DZ464" i="1"/>
  <c r="DY464" i="1"/>
  <c r="DX464" i="1"/>
  <c r="DV464" i="1"/>
  <c r="DT464" i="1"/>
  <c r="DR464" i="1"/>
  <c r="DP464" i="1"/>
  <c r="DN464" i="1"/>
  <c r="DL464" i="1"/>
  <c r="DJ464" i="1"/>
  <c r="DH464" i="1"/>
  <c r="DF464" i="1"/>
  <c r="DD464" i="1"/>
  <c r="DB464" i="1"/>
  <c r="AK464" i="1"/>
  <c r="A464" i="1"/>
  <c r="GV463" i="1"/>
  <c r="GF463" i="1"/>
  <c r="GE463" i="1"/>
  <c r="GD463" i="1"/>
  <c r="GB463" i="1"/>
  <c r="FZ463" i="1"/>
  <c r="FX463" i="1"/>
  <c r="FV463" i="1"/>
  <c r="FT463" i="1"/>
  <c r="FR463" i="1"/>
  <c r="FP463" i="1"/>
  <c r="FO463" i="1"/>
  <c r="FN463" i="1"/>
  <c r="FL463" i="1"/>
  <c r="FJ463" i="1"/>
  <c r="FH463" i="1"/>
  <c r="FG463" i="1"/>
  <c r="FF463" i="1"/>
  <c r="FD463" i="1"/>
  <c r="FB463" i="1"/>
  <c r="EZ463" i="1"/>
  <c r="EY463" i="1"/>
  <c r="EX463" i="1"/>
  <c r="EV463" i="1"/>
  <c r="ET463" i="1"/>
  <c r="ER463" i="1"/>
  <c r="EP463" i="1"/>
  <c r="EO463" i="1"/>
  <c r="EN463" i="1"/>
  <c r="EL463" i="1"/>
  <c r="EJ463" i="1"/>
  <c r="EH463" i="1"/>
  <c r="EG463" i="1"/>
  <c r="EF463" i="1"/>
  <c r="ED463" i="1"/>
  <c r="EB463" i="1"/>
  <c r="DZ463" i="1"/>
  <c r="DY463" i="1"/>
  <c r="DX463" i="1"/>
  <c r="DV463" i="1"/>
  <c r="DT463" i="1"/>
  <c r="DR463" i="1"/>
  <c r="DP463" i="1"/>
  <c r="DN463" i="1"/>
  <c r="DL463" i="1"/>
  <c r="DJ463" i="1"/>
  <c r="DH463" i="1"/>
  <c r="DF463" i="1"/>
  <c r="DD463" i="1"/>
  <c r="DB463" i="1"/>
  <c r="AK463" i="1"/>
  <c r="A463" i="1"/>
  <c r="GV462" i="1"/>
  <c r="GF462" i="1"/>
  <c r="GE462" i="1"/>
  <c r="GD462" i="1"/>
  <c r="GB462" i="1"/>
  <c r="FZ462" i="1"/>
  <c r="FX462" i="1"/>
  <c r="FV462" i="1"/>
  <c r="FT462" i="1"/>
  <c r="FR462" i="1"/>
  <c r="FP462" i="1"/>
  <c r="FO462" i="1"/>
  <c r="FN462" i="1"/>
  <c r="FL462" i="1"/>
  <c r="FJ462" i="1"/>
  <c r="FH462" i="1"/>
  <c r="FG462" i="1"/>
  <c r="FF462" i="1"/>
  <c r="FD462" i="1"/>
  <c r="FB462" i="1"/>
  <c r="EZ462" i="1"/>
  <c r="EY462" i="1"/>
  <c r="EX462" i="1"/>
  <c r="EV462" i="1"/>
  <c r="ET462" i="1"/>
  <c r="ER462" i="1"/>
  <c r="EP462" i="1"/>
  <c r="EO462" i="1"/>
  <c r="EN462" i="1"/>
  <c r="EL462" i="1"/>
  <c r="EJ462" i="1"/>
  <c r="EH462" i="1"/>
  <c r="EG462" i="1"/>
  <c r="EF462" i="1"/>
  <c r="ED462" i="1"/>
  <c r="EB462" i="1"/>
  <c r="DZ462" i="1"/>
  <c r="DY462" i="1"/>
  <c r="DX462" i="1"/>
  <c r="DV462" i="1"/>
  <c r="DT462" i="1"/>
  <c r="DR462" i="1"/>
  <c r="DP462" i="1"/>
  <c r="DN462" i="1"/>
  <c r="DL462" i="1"/>
  <c r="DJ462" i="1"/>
  <c r="DH462" i="1"/>
  <c r="DF462" i="1"/>
  <c r="DD462" i="1"/>
  <c r="DB462" i="1"/>
  <c r="AK462" i="1"/>
  <c r="A462" i="1"/>
  <c r="GV461" i="1"/>
  <c r="GF461" i="1"/>
  <c r="GE461" i="1"/>
  <c r="GD461" i="1"/>
  <c r="GB461" i="1"/>
  <c r="FZ461" i="1"/>
  <c r="FX461" i="1"/>
  <c r="FV461" i="1"/>
  <c r="FT461" i="1"/>
  <c r="FR461" i="1"/>
  <c r="FP461" i="1"/>
  <c r="FO461" i="1"/>
  <c r="FN461" i="1"/>
  <c r="FL461" i="1"/>
  <c r="FJ461" i="1"/>
  <c r="FH461" i="1"/>
  <c r="FG461" i="1"/>
  <c r="FF461" i="1"/>
  <c r="FD461" i="1"/>
  <c r="FB461" i="1"/>
  <c r="EZ461" i="1"/>
  <c r="EY461" i="1"/>
  <c r="EX461" i="1"/>
  <c r="EV461" i="1"/>
  <c r="ET461" i="1"/>
  <c r="ER461" i="1"/>
  <c r="EP461" i="1"/>
  <c r="EO461" i="1"/>
  <c r="EN461" i="1"/>
  <c r="EL461" i="1"/>
  <c r="EJ461" i="1"/>
  <c r="EH461" i="1"/>
  <c r="EG461" i="1"/>
  <c r="EF461" i="1"/>
  <c r="ED461" i="1"/>
  <c r="EB461" i="1"/>
  <c r="DZ461" i="1"/>
  <c r="DY461" i="1"/>
  <c r="DX461" i="1"/>
  <c r="DV461" i="1"/>
  <c r="DT461" i="1"/>
  <c r="DR461" i="1"/>
  <c r="DP461" i="1"/>
  <c r="DN461" i="1"/>
  <c r="DL461" i="1"/>
  <c r="DJ461" i="1"/>
  <c r="DH461" i="1"/>
  <c r="DF461" i="1"/>
  <c r="DD461" i="1"/>
  <c r="DB461" i="1"/>
  <c r="AK461" i="1"/>
  <c r="A461" i="1"/>
  <c r="GV460" i="1"/>
  <c r="GF460" i="1"/>
  <c r="GE460" i="1"/>
  <c r="GD460" i="1"/>
  <c r="GB460" i="1"/>
  <c r="FZ460" i="1"/>
  <c r="FX460" i="1"/>
  <c r="FV460" i="1"/>
  <c r="FT460" i="1"/>
  <c r="FR460" i="1"/>
  <c r="FP460" i="1"/>
  <c r="FO460" i="1"/>
  <c r="FN460" i="1"/>
  <c r="FL460" i="1"/>
  <c r="FJ460" i="1"/>
  <c r="FH460" i="1"/>
  <c r="FG460" i="1"/>
  <c r="FF460" i="1"/>
  <c r="FD460" i="1"/>
  <c r="FB460" i="1"/>
  <c r="EZ460" i="1"/>
  <c r="EY460" i="1"/>
  <c r="EX460" i="1"/>
  <c r="EV460" i="1"/>
  <c r="ET460" i="1"/>
  <c r="ER460" i="1"/>
  <c r="EP460" i="1"/>
  <c r="EO460" i="1"/>
  <c r="EN460" i="1"/>
  <c r="EL460" i="1"/>
  <c r="EJ460" i="1"/>
  <c r="EH460" i="1"/>
  <c r="EG460" i="1"/>
  <c r="EF460" i="1"/>
  <c r="ED460" i="1"/>
  <c r="EB460" i="1"/>
  <c r="DZ460" i="1"/>
  <c r="DY460" i="1"/>
  <c r="DX460" i="1"/>
  <c r="DV460" i="1"/>
  <c r="DT460" i="1"/>
  <c r="DR460" i="1"/>
  <c r="DP460" i="1"/>
  <c r="DN460" i="1"/>
  <c r="DL460" i="1"/>
  <c r="DJ460" i="1"/>
  <c r="DH460" i="1"/>
  <c r="DF460" i="1"/>
  <c r="DD460" i="1"/>
  <c r="DB460" i="1"/>
  <c r="AK460" i="1"/>
  <c r="A460" i="1"/>
  <c r="GV459" i="1"/>
  <c r="GF459" i="1"/>
  <c r="GE459" i="1"/>
  <c r="GD459" i="1"/>
  <c r="GB459" i="1"/>
  <c r="FZ459" i="1"/>
  <c r="FX459" i="1"/>
  <c r="FV459" i="1"/>
  <c r="FT459" i="1"/>
  <c r="FR459" i="1"/>
  <c r="FP459" i="1"/>
  <c r="FO459" i="1"/>
  <c r="FN459" i="1"/>
  <c r="FL459" i="1"/>
  <c r="FJ459" i="1"/>
  <c r="FH459" i="1"/>
  <c r="FG459" i="1"/>
  <c r="FF459" i="1"/>
  <c r="FD459" i="1"/>
  <c r="FB459" i="1"/>
  <c r="EZ459" i="1"/>
  <c r="EY459" i="1"/>
  <c r="EX459" i="1"/>
  <c r="EV459" i="1"/>
  <c r="ET459" i="1"/>
  <c r="ER459" i="1"/>
  <c r="EP459" i="1"/>
  <c r="EO459" i="1"/>
  <c r="EN459" i="1"/>
  <c r="EL459" i="1"/>
  <c r="EJ459" i="1"/>
  <c r="EH459" i="1"/>
  <c r="EG459" i="1"/>
  <c r="EF459" i="1"/>
  <c r="ED459" i="1"/>
  <c r="EB459" i="1"/>
  <c r="DZ459" i="1"/>
  <c r="DY459" i="1"/>
  <c r="DX459" i="1"/>
  <c r="DV459" i="1"/>
  <c r="DT459" i="1"/>
  <c r="DR459" i="1"/>
  <c r="DP459" i="1"/>
  <c r="DN459" i="1"/>
  <c r="DL459" i="1"/>
  <c r="DJ459" i="1"/>
  <c r="DH459" i="1"/>
  <c r="DF459" i="1"/>
  <c r="DD459" i="1"/>
  <c r="DB459" i="1"/>
  <c r="AK459" i="1"/>
  <c r="A459" i="1"/>
  <c r="GV458" i="1"/>
  <c r="GV457" i="1"/>
  <c r="GF457" i="1"/>
  <c r="GE457" i="1"/>
  <c r="GD457" i="1"/>
  <c r="GB457" i="1"/>
  <c r="FZ457" i="1"/>
  <c r="FX457" i="1"/>
  <c r="FV457" i="1"/>
  <c r="FT457" i="1"/>
  <c r="FR457" i="1"/>
  <c r="FP457" i="1"/>
  <c r="FO457" i="1"/>
  <c r="FN457" i="1"/>
  <c r="FL457" i="1"/>
  <c r="FJ457" i="1"/>
  <c r="FH457" i="1"/>
  <c r="FG457" i="1"/>
  <c r="FF457" i="1"/>
  <c r="FD457" i="1"/>
  <c r="FB457" i="1"/>
  <c r="EZ457" i="1"/>
  <c r="EY457" i="1"/>
  <c r="EX457" i="1"/>
  <c r="EV457" i="1"/>
  <c r="ET457" i="1"/>
  <c r="ER457" i="1"/>
  <c r="EP457" i="1"/>
  <c r="EO457" i="1"/>
  <c r="EN457" i="1"/>
  <c r="EL457" i="1"/>
  <c r="EJ457" i="1"/>
  <c r="EH457" i="1"/>
  <c r="EG457" i="1"/>
  <c r="EF457" i="1"/>
  <c r="ED457" i="1"/>
  <c r="EB457" i="1"/>
  <c r="DZ457" i="1"/>
  <c r="DY457" i="1"/>
  <c r="DX457" i="1"/>
  <c r="DV457" i="1"/>
  <c r="DT457" i="1"/>
  <c r="DR457" i="1"/>
  <c r="DP457" i="1"/>
  <c r="DN457" i="1"/>
  <c r="DL457" i="1"/>
  <c r="DJ457" i="1"/>
  <c r="DH457" i="1"/>
  <c r="DF457" i="1"/>
  <c r="DD457" i="1"/>
  <c r="DB457" i="1"/>
  <c r="AK457" i="1"/>
  <c r="A457" i="1"/>
  <c r="GV456" i="1"/>
  <c r="GF456" i="1"/>
  <c r="GE456" i="1"/>
  <c r="GD456" i="1"/>
  <c r="GB456" i="1"/>
  <c r="FZ456" i="1"/>
  <c r="FX456" i="1"/>
  <c r="FV456" i="1"/>
  <c r="FT456" i="1"/>
  <c r="FR456" i="1"/>
  <c r="FP456" i="1"/>
  <c r="FO456" i="1"/>
  <c r="FN456" i="1"/>
  <c r="FL456" i="1"/>
  <c r="FJ456" i="1"/>
  <c r="FH456" i="1"/>
  <c r="FG456" i="1"/>
  <c r="FF456" i="1"/>
  <c r="FD456" i="1"/>
  <c r="FB456" i="1"/>
  <c r="EZ456" i="1"/>
  <c r="EY456" i="1"/>
  <c r="EX456" i="1"/>
  <c r="EV456" i="1"/>
  <c r="ET456" i="1"/>
  <c r="ER456" i="1"/>
  <c r="EP456" i="1"/>
  <c r="EO456" i="1"/>
  <c r="EN456" i="1"/>
  <c r="EL456" i="1"/>
  <c r="EJ456" i="1"/>
  <c r="EH456" i="1"/>
  <c r="EG456" i="1"/>
  <c r="EF456" i="1"/>
  <c r="ED456" i="1"/>
  <c r="EB456" i="1"/>
  <c r="DZ456" i="1"/>
  <c r="DY456" i="1"/>
  <c r="DX456" i="1"/>
  <c r="DV456" i="1"/>
  <c r="DT456" i="1"/>
  <c r="DR456" i="1"/>
  <c r="DP456" i="1"/>
  <c r="DN456" i="1"/>
  <c r="DL456" i="1"/>
  <c r="DJ456" i="1"/>
  <c r="DH456" i="1"/>
  <c r="DF456" i="1"/>
  <c r="DD456" i="1"/>
  <c r="DB456" i="1"/>
  <c r="AK456" i="1"/>
  <c r="A456" i="1"/>
  <c r="GV455" i="1"/>
  <c r="GF455" i="1"/>
  <c r="GE455" i="1"/>
  <c r="GD455" i="1"/>
  <c r="GB455" i="1"/>
  <c r="FZ455" i="1"/>
  <c r="FX455" i="1"/>
  <c r="FV455" i="1"/>
  <c r="FT455" i="1"/>
  <c r="FR455" i="1"/>
  <c r="FP455" i="1"/>
  <c r="FO455" i="1"/>
  <c r="FN455" i="1"/>
  <c r="FL455" i="1"/>
  <c r="FJ455" i="1"/>
  <c r="FH455" i="1"/>
  <c r="FG455" i="1"/>
  <c r="FF455" i="1"/>
  <c r="FD455" i="1"/>
  <c r="FB455" i="1"/>
  <c r="EZ455" i="1"/>
  <c r="EY455" i="1"/>
  <c r="EX455" i="1"/>
  <c r="EV455" i="1"/>
  <c r="ET455" i="1"/>
  <c r="ER455" i="1"/>
  <c r="EP455" i="1"/>
  <c r="EO455" i="1"/>
  <c r="EN455" i="1"/>
  <c r="EL455" i="1"/>
  <c r="EJ455" i="1"/>
  <c r="EH455" i="1"/>
  <c r="EG455" i="1"/>
  <c r="EF455" i="1"/>
  <c r="ED455" i="1"/>
  <c r="EB455" i="1"/>
  <c r="DZ455" i="1"/>
  <c r="DY455" i="1"/>
  <c r="DX455" i="1"/>
  <c r="DV455" i="1"/>
  <c r="DT455" i="1"/>
  <c r="DR455" i="1"/>
  <c r="DP455" i="1"/>
  <c r="DN455" i="1"/>
  <c r="DL455" i="1"/>
  <c r="DJ455" i="1"/>
  <c r="DH455" i="1"/>
  <c r="DF455" i="1"/>
  <c r="DD455" i="1"/>
  <c r="DB455" i="1"/>
  <c r="AK455" i="1"/>
  <c r="A455" i="1"/>
  <c r="GV454" i="1"/>
  <c r="GF454" i="1"/>
  <c r="GE454" i="1"/>
  <c r="GD454" i="1"/>
  <c r="GB454" i="1"/>
  <c r="FZ454" i="1"/>
  <c r="FX454" i="1"/>
  <c r="FV454" i="1"/>
  <c r="FT454" i="1"/>
  <c r="FR454" i="1"/>
  <c r="FP454" i="1"/>
  <c r="FO454" i="1"/>
  <c r="FN454" i="1"/>
  <c r="FL454" i="1"/>
  <c r="FJ454" i="1"/>
  <c r="FH454" i="1"/>
  <c r="FG454" i="1"/>
  <c r="FF454" i="1"/>
  <c r="FD454" i="1"/>
  <c r="FB454" i="1"/>
  <c r="EZ454" i="1"/>
  <c r="EY454" i="1"/>
  <c r="EX454" i="1"/>
  <c r="EV454" i="1"/>
  <c r="ET454" i="1"/>
  <c r="ER454" i="1"/>
  <c r="EP454" i="1"/>
  <c r="EO454" i="1"/>
  <c r="EN454" i="1"/>
  <c r="EL454" i="1"/>
  <c r="EJ454" i="1"/>
  <c r="EH454" i="1"/>
  <c r="EG454" i="1"/>
  <c r="EF454" i="1"/>
  <c r="ED454" i="1"/>
  <c r="EB454" i="1"/>
  <c r="DZ454" i="1"/>
  <c r="DY454" i="1"/>
  <c r="DX454" i="1"/>
  <c r="DV454" i="1"/>
  <c r="DT454" i="1"/>
  <c r="DR454" i="1"/>
  <c r="DP454" i="1"/>
  <c r="DN454" i="1"/>
  <c r="DL454" i="1"/>
  <c r="DJ454" i="1"/>
  <c r="DH454" i="1"/>
  <c r="DF454" i="1"/>
  <c r="DD454" i="1"/>
  <c r="DB454" i="1"/>
  <c r="AK454" i="1"/>
  <c r="A454" i="1"/>
  <c r="GV453" i="1"/>
  <c r="GF453" i="1"/>
  <c r="GE453" i="1"/>
  <c r="GD453" i="1"/>
  <c r="GB453" i="1"/>
  <c r="FZ453" i="1"/>
  <c r="FX453" i="1"/>
  <c r="FV453" i="1"/>
  <c r="FT453" i="1"/>
  <c r="FR453" i="1"/>
  <c r="FP453" i="1"/>
  <c r="FO453" i="1"/>
  <c r="FN453" i="1"/>
  <c r="FL453" i="1"/>
  <c r="FJ453" i="1"/>
  <c r="FH453" i="1"/>
  <c r="FG453" i="1"/>
  <c r="FF453" i="1"/>
  <c r="FD453" i="1"/>
  <c r="FB453" i="1"/>
  <c r="EZ453" i="1"/>
  <c r="EY453" i="1"/>
  <c r="EX453" i="1"/>
  <c r="EV453" i="1"/>
  <c r="ET453" i="1"/>
  <c r="ER453" i="1"/>
  <c r="EP453" i="1"/>
  <c r="EO453" i="1"/>
  <c r="EN453" i="1"/>
  <c r="EL453" i="1"/>
  <c r="EJ453" i="1"/>
  <c r="EH453" i="1"/>
  <c r="EG453" i="1"/>
  <c r="EF453" i="1"/>
  <c r="ED453" i="1"/>
  <c r="EB453" i="1"/>
  <c r="DZ453" i="1"/>
  <c r="DY453" i="1"/>
  <c r="DX453" i="1"/>
  <c r="DV453" i="1"/>
  <c r="DT453" i="1"/>
  <c r="DR453" i="1"/>
  <c r="DP453" i="1"/>
  <c r="DN453" i="1"/>
  <c r="DL453" i="1"/>
  <c r="DJ453" i="1"/>
  <c r="DH453" i="1"/>
  <c r="DF453" i="1"/>
  <c r="DD453" i="1"/>
  <c r="DB453" i="1"/>
  <c r="AK453" i="1"/>
  <c r="A453" i="1"/>
  <c r="GV452" i="1"/>
  <c r="GV451" i="1"/>
  <c r="GF451" i="1"/>
  <c r="GE451" i="1"/>
  <c r="GD451" i="1"/>
  <c r="GB451" i="1"/>
  <c r="FZ451" i="1"/>
  <c r="FX451" i="1"/>
  <c r="FV451" i="1"/>
  <c r="FT451" i="1"/>
  <c r="FR451" i="1"/>
  <c r="FP451" i="1"/>
  <c r="FO451" i="1"/>
  <c r="FN451" i="1"/>
  <c r="FL451" i="1"/>
  <c r="FJ451" i="1"/>
  <c r="FH451" i="1"/>
  <c r="FG451" i="1"/>
  <c r="FF451" i="1"/>
  <c r="FD451" i="1"/>
  <c r="FB451" i="1"/>
  <c r="EZ451" i="1"/>
  <c r="EY451" i="1"/>
  <c r="EX451" i="1"/>
  <c r="EV451" i="1"/>
  <c r="ET451" i="1"/>
  <c r="ER451" i="1"/>
  <c r="EP451" i="1"/>
  <c r="EO451" i="1"/>
  <c r="EN451" i="1"/>
  <c r="EL451" i="1"/>
  <c r="EJ451" i="1"/>
  <c r="EH451" i="1"/>
  <c r="EG451" i="1"/>
  <c r="EF451" i="1"/>
  <c r="ED451" i="1"/>
  <c r="EB451" i="1"/>
  <c r="DZ451" i="1"/>
  <c r="DY451" i="1"/>
  <c r="DX451" i="1"/>
  <c r="DV451" i="1"/>
  <c r="DT451" i="1"/>
  <c r="DR451" i="1"/>
  <c r="DP451" i="1"/>
  <c r="DN451" i="1"/>
  <c r="DL451" i="1"/>
  <c r="DJ451" i="1"/>
  <c r="DH451" i="1"/>
  <c r="DF451" i="1"/>
  <c r="DD451" i="1"/>
  <c r="DB451" i="1"/>
  <c r="AK451" i="1"/>
  <c r="A451" i="1"/>
  <c r="GV450" i="1"/>
  <c r="GF450" i="1"/>
  <c r="GE450" i="1"/>
  <c r="GD450" i="1"/>
  <c r="GB450" i="1"/>
  <c r="FZ450" i="1"/>
  <c r="FX450" i="1"/>
  <c r="FV450" i="1"/>
  <c r="FT450" i="1"/>
  <c r="FR450" i="1"/>
  <c r="FP450" i="1"/>
  <c r="FO450" i="1"/>
  <c r="FN450" i="1"/>
  <c r="FL450" i="1"/>
  <c r="FJ450" i="1"/>
  <c r="FH450" i="1"/>
  <c r="FG450" i="1"/>
  <c r="FF450" i="1"/>
  <c r="FD450" i="1"/>
  <c r="FB450" i="1"/>
  <c r="EZ450" i="1"/>
  <c r="EY450" i="1"/>
  <c r="EX450" i="1"/>
  <c r="EV450" i="1"/>
  <c r="ET450" i="1"/>
  <c r="ER450" i="1"/>
  <c r="EP450" i="1"/>
  <c r="EO450" i="1"/>
  <c r="EN450" i="1"/>
  <c r="EL450" i="1"/>
  <c r="EJ450" i="1"/>
  <c r="EH450" i="1"/>
  <c r="EG450" i="1"/>
  <c r="EF450" i="1"/>
  <c r="ED450" i="1"/>
  <c r="EB450" i="1"/>
  <c r="DZ450" i="1"/>
  <c r="DY450" i="1"/>
  <c r="DX450" i="1"/>
  <c r="DV450" i="1"/>
  <c r="DT450" i="1"/>
  <c r="DR450" i="1"/>
  <c r="DP450" i="1"/>
  <c r="DN450" i="1"/>
  <c r="DL450" i="1"/>
  <c r="DJ450" i="1"/>
  <c r="DH450" i="1"/>
  <c r="DF450" i="1"/>
  <c r="DD450" i="1"/>
  <c r="DB450" i="1"/>
  <c r="AK450" i="1"/>
  <c r="A450" i="1"/>
  <c r="GV449" i="1"/>
  <c r="GF449" i="1"/>
  <c r="GE449" i="1"/>
  <c r="GD449" i="1"/>
  <c r="GB449" i="1"/>
  <c r="FZ449" i="1"/>
  <c r="FX449" i="1"/>
  <c r="FV449" i="1"/>
  <c r="FT449" i="1"/>
  <c r="FR449" i="1"/>
  <c r="FP449" i="1"/>
  <c r="FO449" i="1"/>
  <c r="FN449" i="1"/>
  <c r="FL449" i="1"/>
  <c r="FJ449" i="1"/>
  <c r="FH449" i="1"/>
  <c r="FG449" i="1"/>
  <c r="FF449" i="1"/>
  <c r="FD449" i="1"/>
  <c r="FB449" i="1"/>
  <c r="EZ449" i="1"/>
  <c r="EY449" i="1"/>
  <c r="EX449" i="1"/>
  <c r="EV449" i="1"/>
  <c r="ET449" i="1"/>
  <c r="ER449" i="1"/>
  <c r="EP449" i="1"/>
  <c r="EO449" i="1"/>
  <c r="EN449" i="1"/>
  <c r="EL449" i="1"/>
  <c r="EJ449" i="1"/>
  <c r="EH449" i="1"/>
  <c r="EG449" i="1"/>
  <c r="EF449" i="1"/>
  <c r="ED449" i="1"/>
  <c r="EB449" i="1"/>
  <c r="DZ449" i="1"/>
  <c r="DY449" i="1"/>
  <c r="DX449" i="1"/>
  <c r="DV449" i="1"/>
  <c r="DT449" i="1"/>
  <c r="DR449" i="1"/>
  <c r="DP449" i="1"/>
  <c r="DN449" i="1"/>
  <c r="DL449" i="1"/>
  <c r="DJ449" i="1"/>
  <c r="DH449" i="1"/>
  <c r="DF449" i="1"/>
  <c r="DD449" i="1"/>
  <c r="DB449" i="1"/>
  <c r="AK449" i="1"/>
  <c r="A449" i="1"/>
  <c r="GV448" i="1"/>
  <c r="GF448" i="1"/>
  <c r="GE448" i="1"/>
  <c r="GD448" i="1"/>
  <c r="GB448" i="1"/>
  <c r="FZ448" i="1"/>
  <c r="FX448" i="1"/>
  <c r="FV448" i="1"/>
  <c r="FT448" i="1"/>
  <c r="FR448" i="1"/>
  <c r="FP448" i="1"/>
  <c r="FO448" i="1"/>
  <c r="FN448" i="1"/>
  <c r="FL448" i="1"/>
  <c r="FJ448" i="1"/>
  <c r="FH448" i="1"/>
  <c r="FG448" i="1"/>
  <c r="FF448" i="1"/>
  <c r="FD448" i="1"/>
  <c r="FB448" i="1"/>
  <c r="EZ448" i="1"/>
  <c r="EY448" i="1"/>
  <c r="EX448" i="1"/>
  <c r="EV448" i="1"/>
  <c r="ET448" i="1"/>
  <c r="ER448" i="1"/>
  <c r="EP448" i="1"/>
  <c r="EO448" i="1"/>
  <c r="EN448" i="1"/>
  <c r="EL448" i="1"/>
  <c r="EJ448" i="1"/>
  <c r="EH448" i="1"/>
  <c r="EG448" i="1"/>
  <c r="EF448" i="1"/>
  <c r="ED448" i="1"/>
  <c r="EB448" i="1"/>
  <c r="DZ448" i="1"/>
  <c r="DY448" i="1"/>
  <c r="DX448" i="1"/>
  <c r="DV448" i="1"/>
  <c r="DT448" i="1"/>
  <c r="DR448" i="1"/>
  <c r="DP448" i="1"/>
  <c r="DN448" i="1"/>
  <c r="DL448" i="1"/>
  <c r="DJ448" i="1"/>
  <c r="DH448" i="1"/>
  <c r="DF448" i="1"/>
  <c r="DD448" i="1"/>
  <c r="DB448" i="1"/>
  <c r="AK448" i="1"/>
  <c r="A448" i="1"/>
  <c r="GV447" i="1"/>
  <c r="GF447" i="1"/>
  <c r="GE447" i="1"/>
  <c r="GD447" i="1"/>
  <c r="GB447" i="1"/>
  <c r="FZ447" i="1"/>
  <c r="FX447" i="1"/>
  <c r="FV447" i="1"/>
  <c r="FT447" i="1"/>
  <c r="FR447" i="1"/>
  <c r="FP447" i="1"/>
  <c r="FO447" i="1"/>
  <c r="FN447" i="1"/>
  <c r="FL447" i="1"/>
  <c r="FJ447" i="1"/>
  <c r="FH447" i="1"/>
  <c r="FG447" i="1"/>
  <c r="FF447" i="1"/>
  <c r="FD447" i="1"/>
  <c r="FB447" i="1"/>
  <c r="EZ447" i="1"/>
  <c r="EY447" i="1"/>
  <c r="EX447" i="1"/>
  <c r="EV447" i="1"/>
  <c r="ET447" i="1"/>
  <c r="ER447" i="1"/>
  <c r="EP447" i="1"/>
  <c r="EO447" i="1"/>
  <c r="EN447" i="1"/>
  <c r="EL447" i="1"/>
  <c r="EJ447" i="1"/>
  <c r="EH447" i="1"/>
  <c r="EG447" i="1"/>
  <c r="EF447" i="1"/>
  <c r="ED447" i="1"/>
  <c r="EB447" i="1"/>
  <c r="DZ447" i="1"/>
  <c r="DY447" i="1"/>
  <c r="DX447" i="1"/>
  <c r="DV447" i="1"/>
  <c r="DT447" i="1"/>
  <c r="DR447" i="1"/>
  <c r="DP447" i="1"/>
  <c r="DN447" i="1"/>
  <c r="DL447" i="1"/>
  <c r="DJ447" i="1"/>
  <c r="DH447" i="1"/>
  <c r="DF447" i="1"/>
  <c r="DD447" i="1"/>
  <c r="DB447" i="1"/>
  <c r="AK447" i="1"/>
  <c r="A447" i="1"/>
  <c r="GV446" i="1"/>
  <c r="GF446" i="1"/>
  <c r="GE446" i="1"/>
  <c r="GD446" i="1"/>
  <c r="GB446" i="1"/>
  <c r="FZ446" i="1"/>
  <c r="FX446" i="1"/>
  <c r="FV446" i="1"/>
  <c r="FT446" i="1"/>
  <c r="FR446" i="1"/>
  <c r="FP446" i="1"/>
  <c r="FO446" i="1"/>
  <c r="FN446" i="1"/>
  <c r="FL446" i="1"/>
  <c r="FJ446" i="1"/>
  <c r="FH446" i="1"/>
  <c r="FG446" i="1"/>
  <c r="FF446" i="1"/>
  <c r="FD446" i="1"/>
  <c r="FB446" i="1"/>
  <c r="EZ446" i="1"/>
  <c r="EY446" i="1"/>
  <c r="EX446" i="1"/>
  <c r="EV446" i="1"/>
  <c r="ET446" i="1"/>
  <c r="ER446" i="1"/>
  <c r="EP446" i="1"/>
  <c r="EO446" i="1"/>
  <c r="EN446" i="1"/>
  <c r="EL446" i="1"/>
  <c r="EJ446" i="1"/>
  <c r="EH446" i="1"/>
  <c r="EG446" i="1"/>
  <c r="EF446" i="1"/>
  <c r="ED446" i="1"/>
  <c r="EB446" i="1"/>
  <c r="DZ446" i="1"/>
  <c r="DY446" i="1"/>
  <c r="DX446" i="1"/>
  <c r="DV446" i="1"/>
  <c r="DT446" i="1"/>
  <c r="DR446" i="1"/>
  <c r="DP446" i="1"/>
  <c r="DN446" i="1"/>
  <c r="DL446" i="1"/>
  <c r="DJ446" i="1"/>
  <c r="DH446" i="1"/>
  <c r="DF446" i="1"/>
  <c r="DD446" i="1"/>
  <c r="DB446" i="1"/>
  <c r="AK446" i="1"/>
  <c r="A446" i="1"/>
  <c r="GV445" i="1"/>
  <c r="GF445" i="1"/>
  <c r="GE445" i="1"/>
  <c r="GD445" i="1"/>
  <c r="GB445" i="1"/>
  <c r="FZ445" i="1"/>
  <c r="FX445" i="1"/>
  <c r="FV445" i="1"/>
  <c r="FT445" i="1"/>
  <c r="FR445" i="1"/>
  <c r="FP445" i="1"/>
  <c r="FO445" i="1"/>
  <c r="FN445" i="1"/>
  <c r="FL445" i="1"/>
  <c r="FJ445" i="1"/>
  <c r="FH445" i="1"/>
  <c r="FG445" i="1"/>
  <c r="FF445" i="1"/>
  <c r="FD445" i="1"/>
  <c r="FB445" i="1"/>
  <c r="EZ445" i="1"/>
  <c r="EY445" i="1"/>
  <c r="EX445" i="1"/>
  <c r="EV445" i="1"/>
  <c r="ET445" i="1"/>
  <c r="ER445" i="1"/>
  <c r="EP445" i="1"/>
  <c r="EO445" i="1"/>
  <c r="EN445" i="1"/>
  <c r="EL445" i="1"/>
  <c r="EJ445" i="1"/>
  <c r="EH445" i="1"/>
  <c r="EG445" i="1"/>
  <c r="EF445" i="1"/>
  <c r="ED445" i="1"/>
  <c r="EB445" i="1"/>
  <c r="DZ445" i="1"/>
  <c r="DY445" i="1"/>
  <c r="DX445" i="1"/>
  <c r="DV445" i="1"/>
  <c r="DT445" i="1"/>
  <c r="DR445" i="1"/>
  <c r="DP445" i="1"/>
  <c r="DN445" i="1"/>
  <c r="DL445" i="1"/>
  <c r="DJ445" i="1"/>
  <c r="DH445" i="1"/>
  <c r="DF445" i="1"/>
  <c r="DD445" i="1"/>
  <c r="DB445" i="1"/>
  <c r="AK445" i="1"/>
  <c r="A445" i="1"/>
  <c r="GV444" i="1"/>
  <c r="GV443" i="1"/>
  <c r="GF443" i="1"/>
  <c r="GE443" i="1"/>
  <c r="GD443" i="1"/>
  <c r="GB443" i="1"/>
  <c r="FZ443" i="1"/>
  <c r="FX443" i="1"/>
  <c r="FV443" i="1"/>
  <c r="FT443" i="1"/>
  <c r="FR443" i="1"/>
  <c r="FP443" i="1"/>
  <c r="FO443" i="1"/>
  <c r="FN443" i="1"/>
  <c r="FL443" i="1"/>
  <c r="FJ443" i="1"/>
  <c r="FH443" i="1"/>
  <c r="FG443" i="1"/>
  <c r="FF443" i="1"/>
  <c r="FD443" i="1"/>
  <c r="FB443" i="1"/>
  <c r="EZ443" i="1"/>
  <c r="EY443" i="1"/>
  <c r="EX443" i="1"/>
  <c r="EV443" i="1"/>
  <c r="ET443" i="1"/>
  <c r="ER443" i="1"/>
  <c r="EP443" i="1"/>
  <c r="EO443" i="1"/>
  <c r="EN443" i="1"/>
  <c r="EL443" i="1"/>
  <c r="EJ443" i="1"/>
  <c r="EH443" i="1"/>
  <c r="EG443" i="1"/>
  <c r="EF443" i="1"/>
  <c r="ED443" i="1"/>
  <c r="EB443" i="1"/>
  <c r="DZ443" i="1"/>
  <c r="DY443" i="1"/>
  <c r="DX443" i="1"/>
  <c r="DV443" i="1"/>
  <c r="DT443" i="1"/>
  <c r="DR443" i="1"/>
  <c r="DP443" i="1"/>
  <c r="DN443" i="1"/>
  <c r="DL443" i="1"/>
  <c r="DJ443" i="1"/>
  <c r="DH443" i="1"/>
  <c r="DF443" i="1"/>
  <c r="DD443" i="1"/>
  <c r="DB443" i="1"/>
  <c r="AK443" i="1"/>
  <c r="A443" i="1"/>
  <c r="GV442" i="1"/>
  <c r="GF442" i="1"/>
  <c r="GE442" i="1"/>
  <c r="GD442" i="1"/>
  <c r="GB442" i="1"/>
  <c r="FZ442" i="1"/>
  <c r="FX442" i="1"/>
  <c r="FV442" i="1"/>
  <c r="FT442" i="1"/>
  <c r="FR442" i="1"/>
  <c r="FP442" i="1"/>
  <c r="FO442" i="1"/>
  <c r="FN442" i="1"/>
  <c r="FL442" i="1"/>
  <c r="FJ442" i="1"/>
  <c r="FH442" i="1"/>
  <c r="FG442" i="1"/>
  <c r="FF442" i="1"/>
  <c r="FD442" i="1"/>
  <c r="FB442" i="1"/>
  <c r="EZ442" i="1"/>
  <c r="EY442" i="1"/>
  <c r="EX442" i="1"/>
  <c r="EV442" i="1"/>
  <c r="ET442" i="1"/>
  <c r="ER442" i="1"/>
  <c r="EP442" i="1"/>
  <c r="EO442" i="1"/>
  <c r="EN442" i="1"/>
  <c r="EL442" i="1"/>
  <c r="EJ442" i="1"/>
  <c r="EH442" i="1"/>
  <c r="EG442" i="1"/>
  <c r="EF442" i="1"/>
  <c r="ED442" i="1"/>
  <c r="EB442" i="1"/>
  <c r="DZ442" i="1"/>
  <c r="DY442" i="1"/>
  <c r="DX442" i="1"/>
  <c r="DV442" i="1"/>
  <c r="DT442" i="1"/>
  <c r="DR442" i="1"/>
  <c r="DP442" i="1"/>
  <c r="DN442" i="1"/>
  <c r="DL442" i="1"/>
  <c r="DJ442" i="1"/>
  <c r="DH442" i="1"/>
  <c r="DF442" i="1"/>
  <c r="DD442" i="1"/>
  <c r="DB442" i="1"/>
  <c r="AK442" i="1"/>
  <c r="A442" i="1"/>
  <c r="GV441" i="1"/>
  <c r="GF441" i="1"/>
  <c r="GE441" i="1"/>
  <c r="GD441" i="1"/>
  <c r="GB441" i="1"/>
  <c r="FZ441" i="1"/>
  <c r="FX441" i="1"/>
  <c r="FV441" i="1"/>
  <c r="FT441" i="1"/>
  <c r="FR441" i="1"/>
  <c r="FP441" i="1"/>
  <c r="FO441" i="1"/>
  <c r="FN441" i="1"/>
  <c r="FL441" i="1"/>
  <c r="FJ441" i="1"/>
  <c r="FH441" i="1"/>
  <c r="FG441" i="1"/>
  <c r="FF441" i="1"/>
  <c r="FD441" i="1"/>
  <c r="FB441" i="1"/>
  <c r="EZ441" i="1"/>
  <c r="EY441" i="1"/>
  <c r="EX441" i="1"/>
  <c r="EV441" i="1"/>
  <c r="ET441" i="1"/>
  <c r="ER441" i="1"/>
  <c r="EP441" i="1"/>
  <c r="EO441" i="1"/>
  <c r="EN441" i="1"/>
  <c r="EL441" i="1"/>
  <c r="EJ441" i="1"/>
  <c r="EH441" i="1"/>
  <c r="EG441" i="1"/>
  <c r="EF441" i="1"/>
  <c r="ED441" i="1"/>
  <c r="EB441" i="1"/>
  <c r="DZ441" i="1"/>
  <c r="DY441" i="1"/>
  <c r="DX441" i="1"/>
  <c r="DV441" i="1"/>
  <c r="DT441" i="1"/>
  <c r="DR441" i="1"/>
  <c r="DP441" i="1"/>
  <c r="DN441" i="1"/>
  <c r="DL441" i="1"/>
  <c r="DJ441" i="1"/>
  <c r="DH441" i="1"/>
  <c r="DF441" i="1"/>
  <c r="DD441" i="1"/>
  <c r="DB441" i="1"/>
  <c r="AK441" i="1"/>
  <c r="A441" i="1"/>
  <c r="GV440" i="1"/>
  <c r="GF440" i="1"/>
  <c r="GE440" i="1"/>
  <c r="GD440" i="1"/>
  <c r="GB440" i="1"/>
  <c r="FZ440" i="1"/>
  <c r="FX440" i="1"/>
  <c r="FV440" i="1"/>
  <c r="FT440" i="1"/>
  <c r="FR440" i="1"/>
  <c r="FP440" i="1"/>
  <c r="FO440" i="1"/>
  <c r="FN440" i="1"/>
  <c r="FL440" i="1"/>
  <c r="FJ440" i="1"/>
  <c r="FH440" i="1"/>
  <c r="FG440" i="1"/>
  <c r="FF440" i="1"/>
  <c r="FD440" i="1"/>
  <c r="FB440" i="1"/>
  <c r="EZ440" i="1"/>
  <c r="EY440" i="1"/>
  <c r="EX440" i="1"/>
  <c r="EV440" i="1"/>
  <c r="ET440" i="1"/>
  <c r="ER440" i="1"/>
  <c r="EP440" i="1"/>
  <c r="EO440" i="1"/>
  <c r="EN440" i="1"/>
  <c r="EL440" i="1"/>
  <c r="EJ440" i="1"/>
  <c r="EH440" i="1"/>
  <c r="EG440" i="1"/>
  <c r="EF440" i="1"/>
  <c r="ED440" i="1"/>
  <c r="EB440" i="1"/>
  <c r="DZ440" i="1"/>
  <c r="DY440" i="1"/>
  <c r="DX440" i="1"/>
  <c r="DV440" i="1"/>
  <c r="DT440" i="1"/>
  <c r="DR440" i="1"/>
  <c r="DP440" i="1"/>
  <c r="DN440" i="1"/>
  <c r="DL440" i="1"/>
  <c r="DJ440" i="1"/>
  <c r="DH440" i="1"/>
  <c r="DF440" i="1"/>
  <c r="DD440" i="1"/>
  <c r="DB440" i="1"/>
  <c r="AK440" i="1"/>
  <c r="A440" i="1"/>
  <c r="GV439" i="1"/>
  <c r="GF439" i="1"/>
  <c r="GE439" i="1"/>
  <c r="GD439" i="1"/>
  <c r="GB439" i="1"/>
  <c r="FZ439" i="1"/>
  <c r="FX439" i="1"/>
  <c r="FV439" i="1"/>
  <c r="FT439" i="1"/>
  <c r="FR439" i="1"/>
  <c r="FP439" i="1"/>
  <c r="FO439" i="1"/>
  <c r="FN439" i="1"/>
  <c r="FL439" i="1"/>
  <c r="FJ439" i="1"/>
  <c r="FH439" i="1"/>
  <c r="FG439" i="1"/>
  <c r="FF439" i="1"/>
  <c r="FD439" i="1"/>
  <c r="FB439" i="1"/>
  <c r="EZ439" i="1"/>
  <c r="EY439" i="1"/>
  <c r="EX439" i="1"/>
  <c r="EV439" i="1"/>
  <c r="ET439" i="1"/>
  <c r="ER439" i="1"/>
  <c r="EP439" i="1"/>
  <c r="EO439" i="1"/>
  <c r="EN439" i="1"/>
  <c r="EL439" i="1"/>
  <c r="EJ439" i="1"/>
  <c r="EH439" i="1"/>
  <c r="EG439" i="1"/>
  <c r="EF439" i="1"/>
  <c r="ED439" i="1"/>
  <c r="EB439" i="1"/>
  <c r="DZ439" i="1"/>
  <c r="DY439" i="1"/>
  <c r="DX439" i="1"/>
  <c r="DV439" i="1"/>
  <c r="DT439" i="1"/>
  <c r="DR439" i="1"/>
  <c r="DP439" i="1"/>
  <c r="DN439" i="1"/>
  <c r="DL439" i="1"/>
  <c r="DJ439" i="1"/>
  <c r="DH439" i="1"/>
  <c r="DF439" i="1"/>
  <c r="DD439" i="1"/>
  <c r="DB439" i="1"/>
  <c r="AK439" i="1"/>
  <c r="A439" i="1"/>
  <c r="GV438" i="1"/>
  <c r="GF438" i="1"/>
  <c r="GE438" i="1"/>
  <c r="GD438" i="1"/>
  <c r="GB438" i="1"/>
  <c r="FZ438" i="1"/>
  <c r="FX438" i="1"/>
  <c r="FV438" i="1"/>
  <c r="FT438" i="1"/>
  <c r="FR438" i="1"/>
  <c r="FP438" i="1"/>
  <c r="FO438" i="1"/>
  <c r="FN438" i="1"/>
  <c r="FL438" i="1"/>
  <c r="FJ438" i="1"/>
  <c r="FH438" i="1"/>
  <c r="FG438" i="1"/>
  <c r="FF438" i="1"/>
  <c r="FD438" i="1"/>
  <c r="FB438" i="1"/>
  <c r="EZ438" i="1"/>
  <c r="EY438" i="1"/>
  <c r="EX438" i="1"/>
  <c r="EV438" i="1"/>
  <c r="ET438" i="1"/>
  <c r="ER438" i="1"/>
  <c r="EP438" i="1"/>
  <c r="EO438" i="1"/>
  <c r="EN438" i="1"/>
  <c r="EL438" i="1"/>
  <c r="EJ438" i="1"/>
  <c r="EH438" i="1"/>
  <c r="EG438" i="1"/>
  <c r="EF438" i="1"/>
  <c r="ED438" i="1"/>
  <c r="EB438" i="1"/>
  <c r="DZ438" i="1"/>
  <c r="DY438" i="1"/>
  <c r="DX438" i="1"/>
  <c r="DV438" i="1"/>
  <c r="DT438" i="1"/>
  <c r="DR438" i="1"/>
  <c r="DP438" i="1"/>
  <c r="DN438" i="1"/>
  <c r="DL438" i="1"/>
  <c r="DJ438" i="1"/>
  <c r="DH438" i="1"/>
  <c r="DF438" i="1"/>
  <c r="DD438" i="1"/>
  <c r="DB438" i="1"/>
  <c r="AK438" i="1"/>
  <c r="A438" i="1"/>
  <c r="GV437" i="1"/>
  <c r="GF437" i="1"/>
  <c r="GE437" i="1"/>
  <c r="GD437" i="1"/>
  <c r="GB437" i="1"/>
  <c r="FZ437" i="1"/>
  <c r="FX437" i="1"/>
  <c r="FV437" i="1"/>
  <c r="FT437" i="1"/>
  <c r="FR437" i="1"/>
  <c r="FP437" i="1"/>
  <c r="FO437" i="1"/>
  <c r="FN437" i="1"/>
  <c r="FL437" i="1"/>
  <c r="FJ437" i="1"/>
  <c r="FH437" i="1"/>
  <c r="FG437" i="1"/>
  <c r="FF437" i="1"/>
  <c r="FD437" i="1"/>
  <c r="FB437" i="1"/>
  <c r="EZ437" i="1"/>
  <c r="EY437" i="1"/>
  <c r="EX437" i="1"/>
  <c r="EV437" i="1"/>
  <c r="ET437" i="1"/>
  <c r="ER437" i="1"/>
  <c r="EP437" i="1"/>
  <c r="EO437" i="1"/>
  <c r="EN437" i="1"/>
  <c r="EL437" i="1"/>
  <c r="EJ437" i="1"/>
  <c r="EH437" i="1"/>
  <c r="EG437" i="1"/>
  <c r="EF437" i="1"/>
  <c r="ED437" i="1"/>
  <c r="EB437" i="1"/>
  <c r="DZ437" i="1"/>
  <c r="DY437" i="1"/>
  <c r="DX437" i="1"/>
  <c r="DV437" i="1"/>
  <c r="DT437" i="1"/>
  <c r="DR437" i="1"/>
  <c r="DP437" i="1"/>
  <c r="DN437" i="1"/>
  <c r="DL437" i="1"/>
  <c r="DJ437" i="1"/>
  <c r="DH437" i="1"/>
  <c r="DF437" i="1"/>
  <c r="DD437" i="1"/>
  <c r="DB437" i="1"/>
  <c r="AK437" i="1"/>
  <c r="A437" i="1"/>
  <c r="GV436" i="1"/>
  <c r="GF436" i="1"/>
  <c r="GE436" i="1"/>
  <c r="GD436" i="1"/>
  <c r="GB436" i="1"/>
  <c r="FZ436" i="1"/>
  <c r="FX436" i="1"/>
  <c r="FV436" i="1"/>
  <c r="FT436" i="1"/>
  <c r="FR436" i="1"/>
  <c r="FP436" i="1"/>
  <c r="FO436" i="1"/>
  <c r="FN436" i="1"/>
  <c r="FL436" i="1"/>
  <c r="FJ436" i="1"/>
  <c r="FH436" i="1"/>
  <c r="FG436" i="1"/>
  <c r="FF436" i="1"/>
  <c r="FD436" i="1"/>
  <c r="FB436" i="1"/>
  <c r="EZ436" i="1"/>
  <c r="EY436" i="1"/>
  <c r="EX436" i="1"/>
  <c r="EV436" i="1"/>
  <c r="ET436" i="1"/>
  <c r="ER436" i="1"/>
  <c r="EP436" i="1"/>
  <c r="EO436" i="1"/>
  <c r="EN436" i="1"/>
  <c r="EL436" i="1"/>
  <c r="EJ436" i="1"/>
  <c r="EH436" i="1"/>
  <c r="EG436" i="1"/>
  <c r="EF436" i="1"/>
  <c r="ED436" i="1"/>
  <c r="EB436" i="1"/>
  <c r="DZ436" i="1"/>
  <c r="DY436" i="1"/>
  <c r="DX436" i="1"/>
  <c r="DV436" i="1"/>
  <c r="DT436" i="1"/>
  <c r="DR436" i="1"/>
  <c r="DP436" i="1"/>
  <c r="DN436" i="1"/>
  <c r="DL436" i="1"/>
  <c r="DJ436" i="1"/>
  <c r="DH436" i="1"/>
  <c r="DF436" i="1"/>
  <c r="DD436" i="1"/>
  <c r="DB436" i="1"/>
  <c r="AK436" i="1"/>
  <c r="A436" i="1"/>
  <c r="GV435" i="1"/>
  <c r="GF435" i="1"/>
  <c r="GE435" i="1"/>
  <c r="GD435" i="1"/>
  <c r="GB435" i="1"/>
  <c r="FZ435" i="1"/>
  <c r="FX435" i="1"/>
  <c r="FV435" i="1"/>
  <c r="FT435" i="1"/>
  <c r="FR435" i="1"/>
  <c r="FP435" i="1"/>
  <c r="FO435" i="1"/>
  <c r="FN435" i="1"/>
  <c r="FL435" i="1"/>
  <c r="FJ435" i="1"/>
  <c r="FH435" i="1"/>
  <c r="FG435" i="1"/>
  <c r="FF435" i="1"/>
  <c r="FD435" i="1"/>
  <c r="FB435" i="1"/>
  <c r="EZ435" i="1"/>
  <c r="EY435" i="1"/>
  <c r="EX435" i="1"/>
  <c r="EV435" i="1"/>
  <c r="ET435" i="1"/>
  <c r="ER435" i="1"/>
  <c r="EP435" i="1"/>
  <c r="EO435" i="1"/>
  <c r="EN435" i="1"/>
  <c r="EL435" i="1"/>
  <c r="EJ435" i="1"/>
  <c r="EH435" i="1"/>
  <c r="EG435" i="1"/>
  <c r="EF435" i="1"/>
  <c r="ED435" i="1"/>
  <c r="EB435" i="1"/>
  <c r="DZ435" i="1"/>
  <c r="DY435" i="1"/>
  <c r="DX435" i="1"/>
  <c r="DV435" i="1"/>
  <c r="DT435" i="1"/>
  <c r="DR435" i="1"/>
  <c r="DP435" i="1"/>
  <c r="DN435" i="1"/>
  <c r="DL435" i="1"/>
  <c r="DJ435" i="1"/>
  <c r="DH435" i="1"/>
  <c r="DF435" i="1"/>
  <c r="DD435" i="1"/>
  <c r="DB435" i="1"/>
  <c r="AK435" i="1"/>
  <c r="A435" i="1"/>
  <c r="GV434" i="1"/>
  <c r="GF434" i="1"/>
  <c r="GE434" i="1"/>
  <c r="GD434" i="1"/>
  <c r="GB434" i="1"/>
  <c r="FZ434" i="1"/>
  <c r="FX434" i="1"/>
  <c r="FV434" i="1"/>
  <c r="FT434" i="1"/>
  <c r="FR434" i="1"/>
  <c r="FP434" i="1"/>
  <c r="FO434" i="1"/>
  <c r="FN434" i="1"/>
  <c r="FL434" i="1"/>
  <c r="FJ434" i="1"/>
  <c r="FH434" i="1"/>
  <c r="FG434" i="1"/>
  <c r="FF434" i="1"/>
  <c r="FD434" i="1"/>
  <c r="FB434" i="1"/>
  <c r="EZ434" i="1"/>
  <c r="EY434" i="1"/>
  <c r="EX434" i="1"/>
  <c r="EV434" i="1"/>
  <c r="ET434" i="1"/>
  <c r="ER434" i="1"/>
  <c r="EP434" i="1"/>
  <c r="EO434" i="1"/>
  <c r="EN434" i="1"/>
  <c r="EL434" i="1"/>
  <c r="EJ434" i="1"/>
  <c r="EH434" i="1"/>
  <c r="EG434" i="1"/>
  <c r="EF434" i="1"/>
  <c r="ED434" i="1"/>
  <c r="EB434" i="1"/>
  <c r="DZ434" i="1"/>
  <c r="DY434" i="1"/>
  <c r="DX434" i="1"/>
  <c r="DV434" i="1"/>
  <c r="DT434" i="1"/>
  <c r="DR434" i="1"/>
  <c r="DP434" i="1"/>
  <c r="DN434" i="1"/>
  <c r="DL434" i="1"/>
  <c r="DJ434" i="1"/>
  <c r="DH434" i="1"/>
  <c r="DF434" i="1"/>
  <c r="DD434" i="1"/>
  <c r="DB434" i="1"/>
  <c r="AK434" i="1"/>
  <c r="A434" i="1"/>
  <c r="GV433" i="1"/>
  <c r="GF433" i="1"/>
  <c r="GE433" i="1"/>
  <c r="GD433" i="1"/>
  <c r="GB433" i="1"/>
  <c r="FZ433" i="1"/>
  <c r="FX433" i="1"/>
  <c r="FV433" i="1"/>
  <c r="FT433" i="1"/>
  <c r="FR433" i="1"/>
  <c r="FP433" i="1"/>
  <c r="FO433" i="1"/>
  <c r="FN433" i="1"/>
  <c r="FL433" i="1"/>
  <c r="FJ433" i="1"/>
  <c r="FH433" i="1"/>
  <c r="FG433" i="1"/>
  <c r="FF433" i="1"/>
  <c r="FD433" i="1"/>
  <c r="FB433" i="1"/>
  <c r="EZ433" i="1"/>
  <c r="EY433" i="1"/>
  <c r="EX433" i="1"/>
  <c r="EV433" i="1"/>
  <c r="ET433" i="1"/>
  <c r="ER433" i="1"/>
  <c r="EP433" i="1"/>
  <c r="EO433" i="1"/>
  <c r="EN433" i="1"/>
  <c r="EL433" i="1"/>
  <c r="EJ433" i="1"/>
  <c r="EH433" i="1"/>
  <c r="EG433" i="1"/>
  <c r="EF433" i="1"/>
  <c r="ED433" i="1"/>
  <c r="EB433" i="1"/>
  <c r="DZ433" i="1"/>
  <c r="DY433" i="1"/>
  <c r="DX433" i="1"/>
  <c r="DV433" i="1"/>
  <c r="DT433" i="1"/>
  <c r="DR433" i="1"/>
  <c r="DP433" i="1"/>
  <c r="DN433" i="1"/>
  <c r="DL433" i="1"/>
  <c r="DJ433" i="1"/>
  <c r="DH433" i="1"/>
  <c r="DF433" i="1"/>
  <c r="DD433" i="1"/>
  <c r="DB433" i="1"/>
  <c r="AK433" i="1"/>
  <c r="A433" i="1"/>
  <c r="GV432" i="1"/>
  <c r="GV431" i="1"/>
  <c r="GF431" i="1"/>
  <c r="GE431" i="1"/>
  <c r="GD431" i="1"/>
  <c r="GB431" i="1"/>
  <c r="FZ431" i="1"/>
  <c r="FX431" i="1"/>
  <c r="FV431" i="1"/>
  <c r="FT431" i="1"/>
  <c r="FR431" i="1"/>
  <c r="FP431" i="1"/>
  <c r="FO431" i="1"/>
  <c r="FN431" i="1"/>
  <c r="FL431" i="1"/>
  <c r="FJ431" i="1"/>
  <c r="FH431" i="1"/>
  <c r="FG431" i="1"/>
  <c r="FF431" i="1"/>
  <c r="FD431" i="1"/>
  <c r="FB431" i="1"/>
  <c r="EZ431" i="1"/>
  <c r="EY431" i="1"/>
  <c r="EX431" i="1"/>
  <c r="EV431" i="1"/>
  <c r="ET431" i="1"/>
  <c r="ER431" i="1"/>
  <c r="EP431" i="1"/>
  <c r="EO431" i="1"/>
  <c r="EN431" i="1"/>
  <c r="EL431" i="1"/>
  <c r="EJ431" i="1"/>
  <c r="EH431" i="1"/>
  <c r="EG431" i="1"/>
  <c r="EF431" i="1"/>
  <c r="ED431" i="1"/>
  <c r="EB431" i="1"/>
  <c r="DZ431" i="1"/>
  <c r="DY431" i="1"/>
  <c r="DX431" i="1"/>
  <c r="DV431" i="1"/>
  <c r="DT431" i="1"/>
  <c r="DR431" i="1"/>
  <c r="DP431" i="1"/>
  <c r="DN431" i="1"/>
  <c r="DL431" i="1"/>
  <c r="DJ431" i="1"/>
  <c r="DH431" i="1"/>
  <c r="DF431" i="1"/>
  <c r="DD431" i="1"/>
  <c r="DB431" i="1"/>
  <c r="AK431" i="1"/>
  <c r="A431" i="1"/>
  <c r="GV430" i="1"/>
  <c r="GF430" i="1"/>
  <c r="GE430" i="1"/>
  <c r="GD430" i="1"/>
  <c r="GB430" i="1"/>
  <c r="FZ430" i="1"/>
  <c r="FX430" i="1"/>
  <c r="FV430" i="1"/>
  <c r="FT430" i="1"/>
  <c r="FR430" i="1"/>
  <c r="FP430" i="1"/>
  <c r="FO430" i="1"/>
  <c r="FN430" i="1"/>
  <c r="FL430" i="1"/>
  <c r="FJ430" i="1"/>
  <c r="FH430" i="1"/>
  <c r="FG430" i="1"/>
  <c r="FF430" i="1"/>
  <c r="FD430" i="1"/>
  <c r="FB430" i="1"/>
  <c r="EZ430" i="1"/>
  <c r="EY430" i="1"/>
  <c r="EX430" i="1"/>
  <c r="EV430" i="1"/>
  <c r="ET430" i="1"/>
  <c r="ER430" i="1"/>
  <c r="EP430" i="1"/>
  <c r="EO430" i="1"/>
  <c r="EN430" i="1"/>
  <c r="EL430" i="1"/>
  <c r="EJ430" i="1"/>
  <c r="EH430" i="1"/>
  <c r="EG430" i="1"/>
  <c r="EF430" i="1"/>
  <c r="ED430" i="1"/>
  <c r="EB430" i="1"/>
  <c r="DZ430" i="1"/>
  <c r="DY430" i="1"/>
  <c r="DX430" i="1"/>
  <c r="DV430" i="1"/>
  <c r="DT430" i="1"/>
  <c r="DR430" i="1"/>
  <c r="DP430" i="1"/>
  <c r="DN430" i="1"/>
  <c r="DL430" i="1"/>
  <c r="DJ430" i="1"/>
  <c r="DH430" i="1"/>
  <c r="DF430" i="1"/>
  <c r="DD430" i="1"/>
  <c r="DB430" i="1"/>
  <c r="AK430" i="1"/>
  <c r="A430" i="1"/>
  <c r="GV429" i="1"/>
  <c r="GF429" i="1"/>
  <c r="GE429" i="1"/>
  <c r="GD429" i="1"/>
  <c r="GB429" i="1"/>
  <c r="FZ429" i="1"/>
  <c r="FX429" i="1"/>
  <c r="FV429" i="1"/>
  <c r="FT429" i="1"/>
  <c r="FR429" i="1"/>
  <c r="FP429" i="1"/>
  <c r="FO429" i="1"/>
  <c r="FN429" i="1"/>
  <c r="FL429" i="1"/>
  <c r="FJ429" i="1"/>
  <c r="FH429" i="1"/>
  <c r="FG429" i="1"/>
  <c r="FF429" i="1"/>
  <c r="FD429" i="1"/>
  <c r="FB429" i="1"/>
  <c r="EZ429" i="1"/>
  <c r="EY429" i="1"/>
  <c r="EX429" i="1"/>
  <c r="EV429" i="1"/>
  <c r="ET429" i="1"/>
  <c r="ER429" i="1"/>
  <c r="EP429" i="1"/>
  <c r="EO429" i="1"/>
  <c r="EN429" i="1"/>
  <c r="EL429" i="1"/>
  <c r="EJ429" i="1"/>
  <c r="EH429" i="1"/>
  <c r="EG429" i="1"/>
  <c r="EF429" i="1"/>
  <c r="ED429" i="1"/>
  <c r="EB429" i="1"/>
  <c r="DZ429" i="1"/>
  <c r="DY429" i="1"/>
  <c r="DX429" i="1"/>
  <c r="DV429" i="1"/>
  <c r="DT429" i="1"/>
  <c r="DR429" i="1"/>
  <c r="DP429" i="1"/>
  <c r="DN429" i="1"/>
  <c r="DL429" i="1"/>
  <c r="DJ429" i="1"/>
  <c r="DH429" i="1"/>
  <c r="DF429" i="1"/>
  <c r="DD429" i="1"/>
  <c r="DB429" i="1"/>
  <c r="AK429" i="1"/>
  <c r="A429" i="1"/>
  <c r="GV428" i="1"/>
  <c r="GF428" i="1"/>
  <c r="GE428" i="1"/>
  <c r="GD428" i="1"/>
  <c r="GB428" i="1"/>
  <c r="FZ428" i="1"/>
  <c r="FX428" i="1"/>
  <c r="FV428" i="1"/>
  <c r="FT428" i="1"/>
  <c r="FR428" i="1"/>
  <c r="FP428" i="1"/>
  <c r="FO428" i="1"/>
  <c r="FN428" i="1"/>
  <c r="FL428" i="1"/>
  <c r="FJ428" i="1"/>
  <c r="FH428" i="1"/>
  <c r="FG428" i="1"/>
  <c r="FF428" i="1"/>
  <c r="FD428" i="1"/>
  <c r="FB428" i="1"/>
  <c r="EZ428" i="1"/>
  <c r="EY428" i="1"/>
  <c r="EX428" i="1"/>
  <c r="EV428" i="1"/>
  <c r="ET428" i="1"/>
  <c r="ER428" i="1"/>
  <c r="EP428" i="1"/>
  <c r="EO428" i="1"/>
  <c r="EN428" i="1"/>
  <c r="EL428" i="1"/>
  <c r="EJ428" i="1"/>
  <c r="EH428" i="1"/>
  <c r="EG428" i="1"/>
  <c r="EF428" i="1"/>
  <c r="ED428" i="1"/>
  <c r="EB428" i="1"/>
  <c r="DZ428" i="1"/>
  <c r="DY428" i="1"/>
  <c r="DX428" i="1"/>
  <c r="DV428" i="1"/>
  <c r="DT428" i="1"/>
  <c r="DR428" i="1"/>
  <c r="DP428" i="1"/>
  <c r="DN428" i="1"/>
  <c r="DL428" i="1"/>
  <c r="DJ428" i="1"/>
  <c r="DH428" i="1"/>
  <c r="DF428" i="1"/>
  <c r="DD428" i="1"/>
  <c r="DB428" i="1"/>
  <c r="AK428" i="1"/>
  <c r="A428" i="1"/>
  <c r="GV427" i="1"/>
  <c r="GF427" i="1"/>
  <c r="GE427" i="1"/>
  <c r="GD427" i="1"/>
  <c r="GB427" i="1"/>
  <c r="FZ427" i="1"/>
  <c r="FX427" i="1"/>
  <c r="FV427" i="1"/>
  <c r="FT427" i="1"/>
  <c r="FR427" i="1"/>
  <c r="FP427" i="1"/>
  <c r="FO427" i="1"/>
  <c r="FN427" i="1"/>
  <c r="FL427" i="1"/>
  <c r="FJ427" i="1"/>
  <c r="FH427" i="1"/>
  <c r="FG427" i="1"/>
  <c r="FF427" i="1"/>
  <c r="FD427" i="1"/>
  <c r="FB427" i="1"/>
  <c r="EZ427" i="1"/>
  <c r="EY427" i="1"/>
  <c r="EX427" i="1"/>
  <c r="EV427" i="1"/>
  <c r="ET427" i="1"/>
  <c r="ER427" i="1"/>
  <c r="EP427" i="1"/>
  <c r="EO427" i="1"/>
  <c r="EN427" i="1"/>
  <c r="EL427" i="1"/>
  <c r="EJ427" i="1"/>
  <c r="EH427" i="1"/>
  <c r="EG427" i="1"/>
  <c r="EF427" i="1"/>
  <c r="ED427" i="1"/>
  <c r="EB427" i="1"/>
  <c r="DZ427" i="1"/>
  <c r="DY427" i="1"/>
  <c r="DX427" i="1"/>
  <c r="DV427" i="1"/>
  <c r="DT427" i="1"/>
  <c r="DR427" i="1"/>
  <c r="DP427" i="1"/>
  <c r="DN427" i="1"/>
  <c r="DL427" i="1"/>
  <c r="DJ427" i="1"/>
  <c r="DH427" i="1"/>
  <c r="DF427" i="1"/>
  <c r="DD427" i="1"/>
  <c r="DB427" i="1"/>
  <c r="AK427" i="1"/>
  <c r="A427" i="1"/>
  <c r="GV426" i="1"/>
  <c r="GF426" i="1"/>
  <c r="GE426" i="1"/>
  <c r="GD426" i="1"/>
  <c r="GB426" i="1"/>
  <c r="FZ426" i="1"/>
  <c r="FX426" i="1"/>
  <c r="FV426" i="1"/>
  <c r="FT426" i="1"/>
  <c r="FR426" i="1"/>
  <c r="FP426" i="1"/>
  <c r="FO426" i="1"/>
  <c r="FN426" i="1"/>
  <c r="FL426" i="1"/>
  <c r="FJ426" i="1"/>
  <c r="FH426" i="1"/>
  <c r="FG426" i="1"/>
  <c r="FF426" i="1"/>
  <c r="FD426" i="1"/>
  <c r="FB426" i="1"/>
  <c r="EZ426" i="1"/>
  <c r="EY426" i="1"/>
  <c r="EX426" i="1"/>
  <c r="EV426" i="1"/>
  <c r="ET426" i="1"/>
  <c r="ER426" i="1"/>
  <c r="EP426" i="1"/>
  <c r="EO426" i="1"/>
  <c r="EN426" i="1"/>
  <c r="EL426" i="1"/>
  <c r="EJ426" i="1"/>
  <c r="EH426" i="1"/>
  <c r="EG426" i="1"/>
  <c r="EF426" i="1"/>
  <c r="ED426" i="1"/>
  <c r="EB426" i="1"/>
  <c r="DZ426" i="1"/>
  <c r="DY426" i="1"/>
  <c r="DX426" i="1"/>
  <c r="DV426" i="1"/>
  <c r="DT426" i="1"/>
  <c r="DR426" i="1"/>
  <c r="DP426" i="1"/>
  <c r="DN426" i="1"/>
  <c r="DL426" i="1"/>
  <c r="DJ426" i="1"/>
  <c r="DH426" i="1"/>
  <c r="DF426" i="1"/>
  <c r="DD426" i="1"/>
  <c r="DB426" i="1"/>
  <c r="AK426" i="1"/>
  <c r="A426" i="1"/>
  <c r="GV425" i="1"/>
  <c r="GF425" i="1"/>
  <c r="GE425" i="1"/>
  <c r="GD425" i="1"/>
  <c r="GB425" i="1"/>
  <c r="FZ425" i="1"/>
  <c r="FX425" i="1"/>
  <c r="FV425" i="1"/>
  <c r="FT425" i="1"/>
  <c r="FR425" i="1"/>
  <c r="FP425" i="1"/>
  <c r="FO425" i="1"/>
  <c r="FN425" i="1"/>
  <c r="FL425" i="1"/>
  <c r="FJ425" i="1"/>
  <c r="FH425" i="1"/>
  <c r="FG425" i="1"/>
  <c r="FF425" i="1"/>
  <c r="FD425" i="1"/>
  <c r="FB425" i="1"/>
  <c r="EZ425" i="1"/>
  <c r="EY425" i="1"/>
  <c r="EX425" i="1"/>
  <c r="EV425" i="1"/>
  <c r="ET425" i="1"/>
  <c r="ER425" i="1"/>
  <c r="EP425" i="1"/>
  <c r="EO425" i="1"/>
  <c r="EN425" i="1"/>
  <c r="EL425" i="1"/>
  <c r="EJ425" i="1"/>
  <c r="EH425" i="1"/>
  <c r="EG425" i="1"/>
  <c r="EF425" i="1"/>
  <c r="ED425" i="1"/>
  <c r="EB425" i="1"/>
  <c r="DZ425" i="1"/>
  <c r="DY425" i="1"/>
  <c r="DX425" i="1"/>
  <c r="DV425" i="1"/>
  <c r="DT425" i="1"/>
  <c r="DR425" i="1"/>
  <c r="DP425" i="1"/>
  <c r="DN425" i="1"/>
  <c r="DL425" i="1"/>
  <c r="DJ425" i="1"/>
  <c r="DH425" i="1"/>
  <c r="DF425" i="1"/>
  <c r="DD425" i="1"/>
  <c r="DB425" i="1"/>
  <c r="AK425" i="1"/>
  <c r="A425" i="1"/>
  <c r="GV424" i="1"/>
  <c r="GF424" i="1"/>
  <c r="GE424" i="1"/>
  <c r="GD424" i="1"/>
  <c r="GB424" i="1"/>
  <c r="FZ424" i="1"/>
  <c r="FX424" i="1"/>
  <c r="FV424" i="1"/>
  <c r="FT424" i="1"/>
  <c r="FR424" i="1"/>
  <c r="FP424" i="1"/>
  <c r="FO424" i="1"/>
  <c r="FN424" i="1"/>
  <c r="FL424" i="1"/>
  <c r="FJ424" i="1"/>
  <c r="FH424" i="1"/>
  <c r="FG424" i="1"/>
  <c r="FF424" i="1"/>
  <c r="FD424" i="1"/>
  <c r="FB424" i="1"/>
  <c r="EZ424" i="1"/>
  <c r="EY424" i="1"/>
  <c r="EX424" i="1"/>
  <c r="EV424" i="1"/>
  <c r="ET424" i="1"/>
  <c r="ER424" i="1"/>
  <c r="EP424" i="1"/>
  <c r="EO424" i="1"/>
  <c r="EN424" i="1"/>
  <c r="EL424" i="1"/>
  <c r="EJ424" i="1"/>
  <c r="EH424" i="1"/>
  <c r="EG424" i="1"/>
  <c r="EF424" i="1"/>
  <c r="ED424" i="1"/>
  <c r="EB424" i="1"/>
  <c r="DZ424" i="1"/>
  <c r="DY424" i="1"/>
  <c r="DX424" i="1"/>
  <c r="DV424" i="1"/>
  <c r="DT424" i="1"/>
  <c r="DR424" i="1"/>
  <c r="DP424" i="1"/>
  <c r="DN424" i="1"/>
  <c r="DL424" i="1"/>
  <c r="DJ424" i="1"/>
  <c r="DH424" i="1"/>
  <c r="DF424" i="1"/>
  <c r="DD424" i="1"/>
  <c r="DB424" i="1"/>
  <c r="AK424" i="1"/>
  <c r="A424" i="1"/>
  <c r="GV423" i="1"/>
  <c r="GV422" i="1"/>
  <c r="GF422" i="1"/>
  <c r="GE422" i="1"/>
  <c r="GD422" i="1"/>
  <c r="GB422" i="1"/>
  <c r="FZ422" i="1"/>
  <c r="FX422" i="1"/>
  <c r="FV422" i="1"/>
  <c r="FT422" i="1"/>
  <c r="FR422" i="1"/>
  <c r="FP422" i="1"/>
  <c r="FO422" i="1"/>
  <c r="FN422" i="1"/>
  <c r="FL422" i="1"/>
  <c r="FJ422" i="1"/>
  <c r="FH422" i="1"/>
  <c r="FG422" i="1"/>
  <c r="FF422" i="1"/>
  <c r="FD422" i="1"/>
  <c r="FB422" i="1"/>
  <c r="EZ422" i="1"/>
  <c r="EY422" i="1"/>
  <c r="EX422" i="1"/>
  <c r="EV422" i="1"/>
  <c r="ET422" i="1"/>
  <c r="ER422" i="1"/>
  <c r="EP422" i="1"/>
  <c r="EO422" i="1"/>
  <c r="EN422" i="1"/>
  <c r="EL422" i="1"/>
  <c r="EJ422" i="1"/>
  <c r="EH422" i="1"/>
  <c r="EG422" i="1"/>
  <c r="EF422" i="1"/>
  <c r="ED422" i="1"/>
  <c r="EB422" i="1"/>
  <c r="DZ422" i="1"/>
  <c r="DY422" i="1"/>
  <c r="DX422" i="1"/>
  <c r="DV422" i="1"/>
  <c r="DT422" i="1"/>
  <c r="DR422" i="1"/>
  <c r="DP422" i="1"/>
  <c r="DN422" i="1"/>
  <c r="DL422" i="1"/>
  <c r="DJ422" i="1"/>
  <c r="DH422" i="1"/>
  <c r="DF422" i="1"/>
  <c r="DD422" i="1"/>
  <c r="DB422" i="1"/>
  <c r="AK422" i="1"/>
  <c r="A422" i="1"/>
  <c r="GV421" i="1"/>
  <c r="GF421" i="1"/>
  <c r="GE421" i="1"/>
  <c r="GD421" i="1"/>
  <c r="GB421" i="1"/>
  <c r="FZ421" i="1"/>
  <c r="FX421" i="1"/>
  <c r="FV421" i="1"/>
  <c r="FT421" i="1"/>
  <c r="FR421" i="1"/>
  <c r="FP421" i="1"/>
  <c r="FO421" i="1"/>
  <c r="FN421" i="1"/>
  <c r="FL421" i="1"/>
  <c r="FJ421" i="1"/>
  <c r="FH421" i="1"/>
  <c r="FG421" i="1"/>
  <c r="FF421" i="1"/>
  <c r="FD421" i="1"/>
  <c r="FB421" i="1"/>
  <c r="EZ421" i="1"/>
  <c r="EY421" i="1"/>
  <c r="EX421" i="1"/>
  <c r="EV421" i="1"/>
  <c r="ET421" i="1"/>
  <c r="ER421" i="1"/>
  <c r="EP421" i="1"/>
  <c r="EO421" i="1"/>
  <c r="EN421" i="1"/>
  <c r="EL421" i="1"/>
  <c r="EJ421" i="1"/>
  <c r="EH421" i="1"/>
  <c r="EG421" i="1"/>
  <c r="EF421" i="1"/>
  <c r="ED421" i="1"/>
  <c r="EB421" i="1"/>
  <c r="DZ421" i="1"/>
  <c r="DY421" i="1"/>
  <c r="DX421" i="1"/>
  <c r="DV421" i="1"/>
  <c r="DT421" i="1"/>
  <c r="DR421" i="1"/>
  <c r="DP421" i="1"/>
  <c r="DN421" i="1"/>
  <c r="DL421" i="1"/>
  <c r="DJ421" i="1"/>
  <c r="DH421" i="1"/>
  <c r="DF421" i="1"/>
  <c r="DD421" i="1"/>
  <c r="DB421" i="1"/>
  <c r="AK421" i="1"/>
  <c r="A421" i="1"/>
  <c r="GV420" i="1"/>
  <c r="GF420" i="1"/>
  <c r="GE420" i="1"/>
  <c r="GD420" i="1"/>
  <c r="GB420" i="1"/>
  <c r="FZ420" i="1"/>
  <c r="FX420" i="1"/>
  <c r="FV420" i="1"/>
  <c r="FT420" i="1"/>
  <c r="FR420" i="1"/>
  <c r="FP420" i="1"/>
  <c r="FO420" i="1"/>
  <c r="FN420" i="1"/>
  <c r="FL420" i="1"/>
  <c r="FJ420" i="1"/>
  <c r="FH420" i="1"/>
  <c r="FG420" i="1"/>
  <c r="FF420" i="1"/>
  <c r="FD420" i="1"/>
  <c r="FB420" i="1"/>
  <c r="EZ420" i="1"/>
  <c r="EY420" i="1"/>
  <c r="EX420" i="1"/>
  <c r="EV420" i="1"/>
  <c r="ET420" i="1"/>
  <c r="ER420" i="1"/>
  <c r="EP420" i="1"/>
  <c r="EO420" i="1"/>
  <c r="EN420" i="1"/>
  <c r="EL420" i="1"/>
  <c r="EJ420" i="1"/>
  <c r="EH420" i="1"/>
  <c r="EG420" i="1"/>
  <c r="EF420" i="1"/>
  <c r="ED420" i="1"/>
  <c r="EB420" i="1"/>
  <c r="DZ420" i="1"/>
  <c r="DY420" i="1"/>
  <c r="DX420" i="1"/>
  <c r="DV420" i="1"/>
  <c r="DT420" i="1"/>
  <c r="DR420" i="1"/>
  <c r="DP420" i="1"/>
  <c r="DN420" i="1"/>
  <c r="DL420" i="1"/>
  <c r="DJ420" i="1"/>
  <c r="DH420" i="1"/>
  <c r="DF420" i="1"/>
  <c r="DD420" i="1"/>
  <c r="DB420" i="1"/>
  <c r="AK420" i="1"/>
  <c r="A420" i="1"/>
  <c r="GV419" i="1"/>
  <c r="GF419" i="1"/>
  <c r="GE419" i="1"/>
  <c r="GD419" i="1"/>
  <c r="GB419" i="1"/>
  <c r="FZ419" i="1"/>
  <c r="FX419" i="1"/>
  <c r="FV419" i="1"/>
  <c r="FT419" i="1"/>
  <c r="FR419" i="1"/>
  <c r="FP419" i="1"/>
  <c r="FO419" i="1"/>
  <c r="FN419" i="1"/>
  <c r="FL419" i="1"/>
  <c r="FJ419" i="1"/>
  <c r="FH419" i="1"/>
  <c r="FG419" i="1"/>
  <c r="FF419" i="1"/>
  <c r="FD419" i="1"/>
  <c r="FB419" i="1"/>
  <c r="EZ419" i="1"/>
  <c r="EY419" i="1"/>
  <c r="EX419" i="1"/>
  <c r="EV419" i="1"/>
  <c r="ET419" i="1"/>
  <c r="ER419" i="1"/>
  <c r="EP419" i="1"/>
  <c r="EO419" i="1"/>
  <c r="EN419" i="1"/>
  <c r="EL419" i="1"/>
  <c r="EJ419" i="1"/>
  <c r="EH419" i="1"/>
  <c r="EG419" i="1"/>
  <c r="EF419" i="1"/>
  <c r="ED419" i="1"/>
  <c r="EB419" i="1"/>
  <c r="DZ419" i="1"/>
  <c r="DY419" i="1"/>
  <c r="DX419" i="1"/>
  <c r="DV419" i="1"/>
  <c r="DT419" i="1"/>
  <c r="DR419" i="1"/>
  <c r="DP419" i="1"/>
  <c r="DN419" i="1"/>
  <c r="DL419" i="1"/>
  <c r="DJ419" i="1"/>
  <c r="DH419" i="1"/>
  <c r="DF419" i="1"/>
  <c r="DD419" i="1"/>
  <c r="DB419" i="1"/>
  <c r="AK419" i="1"/>
  <c r="A419" i="1"/>
  <c r="GV418" i="1"/>
  <c r="GF418" i="1"/>
  <c r="GE418" i="1"/>
  <c r="GD418" i="1"/>
  <c r="GB418" i="1"/>
  <c r="FZ418" i="1"/>
  <c r="FX418" i="1"/>
  <c r="FV418" i="1"/>
  <c r="FT418" i="1"/>
  <c r="FR418" i="1"/>
  <c r="FP418" i="1"/>
  <c r="FO418" i="1"/>
  <c r="FN418" i="1"/>
  <c r="FL418" i="1"/>
  <c r="FJ418" i="1"/>
  <c r="FH418" i="1"/>
  <c r="FG418" i="1"/>
  <c r="FF418" i="1"/>
  <c r="FD418" i="1"/>
  <c r="FB418" i="1"/>
  <c r="EZ418" i="1"/>
  <c r="EY418" i="1"/>
  <c r="EX418" i="1"/>
  <c r="EV418" i="1"/>
  <c r="ET418" i="1"/>
  <c r="ER418" i="1"/>
  <c r="EP418" i="1"/>
  <c r="EO418" i="1"/>
  <c r="EN418" i="1"/>
  <c r="EL418" i="1"/>
  <c r="EJ418" i="1"/>
  <c r="EH418" i="1"/>
  <c r="EG418" i="1"/>
  <c r="EF418" i="1"/>
  <c r="ED418" i="1"/>
  <c r="EB418" i="1"/>
  <c r="DZ418" i="1"/>
  <c r="DY418" i="1"/>
  <c r="DX418" i="1"/>
  <c r="DV418" i="1"/>
  <c r="DT418" i="1"/>
  <c r="DR418" i="1"/>
  <c r="DP418" i="1"/>
  <c r="DN418" i="1"/>
  <c r="DL418" i="1"/>
  <c r="DJ418" i="1"/>
  <c r="DH418" i="1"/>
  <c r="DF418" i="1"/>
  <c r="DD418" i="1"/>
  <c r="DB418" i="1"/>
  <c r="AK418" i="1"/>
  <c r="A418" i="1"/>
  <c r="GV417" i="1"/>
  <c r="GF417" i="1"/>
  <c r="GE417" i="1"/>
  <c r="GD417" i="1"/>
  <c r="GB417" i="1"/>
  <c r="FZ417" i="1"/>
  <c r="FX417" i="1"/>
  <c r="FV417" i="1"/>
  <c r="FT417" i="1"/>
  <c r="FR417" i="1"/>
  <c r="FP417" i="1"/>
  <c r="FO417" i="1"/>
  <c r="FN417" i="1"/>
  <c r="FL417" i="1"/>
  <c r="FJ417" i="1"/>
  <c r="FH417" i="1"/>
  <c r="FG417" i="1"/>
  <c r="FF417" i="1"/>
  <c r="FD417" i="1"/>
  <c r="FB417" i="1"/>
  <c r="EZ417" i="1"/>
  <c r="EY417" i="1"/>
  <c r="EX417" i="1"/>
  <c r="EV417" i="1"/>
  <c r="ET417" i="1"/>
  <c r="ER417" i="1"/>
  <c r="EP417" i="1"/>
  <c r="EO417" i="1"/>
  <c r="EN417" i="1"/>
  <c r="EL417" i="1"/>
  <c r="EJ417" i="1"/>
  <c r="EH417" i="1"/>
  <c r="EG417" i="1"/>
  <c r="EF417" i="1"/>
  <c r="ED417" i="1"/>
  <c r="EB417" i="1"/>
  <c r="DZ417" i="1"/>
  <c r="DY417" i="1"/>
  <c r="DX417" i="1"/>
  <c r="DV417" i="1"/>
  <c r="DT417" i="1"/>
  <c r="DR417" i="1"/>
  <c r="DP417" i="1"/>
  <c r="DN417" i="1"/>
  <c r="DL417" i="1"/>
  <c r="DJ417" i="1"/>
  <c r="DH417" i="1"/>
  <c r="DF417" i="1"/>
  <c r="DD417" i="1"/>
  <c r="DB417" i="1"/>
  <c r="AK417" i="1"/>
  <c r="A417" i="1"/>
  <c r="GV416" i="1"/>
  <c r="GF416" i="1"/>
  <c r="GE416" i="1"/>
  <c r="GD416" i="1"/>
  <c r="GB416" i="1"/>
  <c r="FZ416" i="1"/>
  <c r="FX416" i="1"/>
  <c r="FV416" i="1"/>
  <c r="FT416" i="1"/>
  <c r="FR416" i="1"/>
  <c r="FP416" i="1"/>
  <c r="FO416" i="1"/>
  <c r="FN416" i="1"/>
  <c r="FL416" i="1"/>
  <c r="FJ416" i="1"/>
  <c r="FH416" i="1"/>
  <c r="FG416" i="1"/>
  <c r="FF416" i="1"/>
  <c r="FD416" i="1"/>
  <c r="FB416" i="1"/>
  <c r="EZ416" i="1"/>
  <c r="EY416" i="1"/>
  <c r="EX416" i="1"/>
  <c r="EV416" i="1"/>
  <c r="ET416" i="1"/>
  <c r="ER416" i="1"/>
  <c r="EP416" i="1"/>
  <c r="EO416" i="1"/>
  <c r="EN416" i="1"/>
  <c r="EL416" i="1"/>
  <c r="EJ416" i="1"/>
  <c r="EH416" i="1"/>
  <c r="EG416" i="1"/>
  <c r="EF416" i="1"/>
  <c r="ED416" i="1"/>
  <c r="EB416" i="1"/>
  <c r="DZ416" i="1"/>
  <c r="DY416" i="1"/>
  <c r="DX416" i="1"/>
  <c r="DV416" i="1"/>
  <c r="DT416" i="1"/>
  <c r="DR416" i="1"/>
  <c r="DP416" i="1"/>
  <c r="DN416" i="1"/>
  <c r="DL416" i="1"/>
  <c r="DJ416" i="1"/>
  <c r="DH416" i="1"/>
  <c r="DF416" i="1"/>
  <c r="DD416" i="1"/>
  <c r="DB416" i="1"/>
  <c r="AK416" i="1"/>
  <c r="A416" i="1"/>
  <c r="GV415" i="1"/>
  <c r="GF415" i="1"/>
  <c r="GE415" i="1"/>
  <c r="GD415" i="1"/>
  <c r="GB415" i="1"/>
  <c r="FZ415" i="1"/>
  <c r="FX415" i="1"/>
  <c r="FV415" i="1"/>
  <c r="FT415" i="1"/>
  <c r="FR415" i="1"/>
  <c r="FP415" i="1"/>
  <c r="FO415" i="1"/>
  <c r="FN415" i="1"/>
  <c r="FL415" i="1"/>
  <c r="FJ415" i="1"/>
  <c r="FH415" i="1"/>
  <c r="FG415" i="1"/>
  <c r="FF415" i="1"/>
  <c r="FD415" i="1"/>
  <c r="FB415" i="1"/>
  <c r="EZ415" i="1"/>
  <c r="EY415" i="1"/>
  <c r="EX415" i="1"/>
  <c r="EV415" i="1"/>
  <c r="ET415" i="1"/>
  <c r="ER415" i="1"/>
  <c r="EP415" i="1"/>
  <c r="EO415" i="1"/>
  <c r="EN415" i="1"/>
  <c r="EL415" i="1"/>
  <c r="EJ415" i="1"/>
  <c r="EH415" i="1"/>
  <c r="EG415" i="1"/>
  <c r="EF415" i="1"/>
  <c r="ED415" i="1"/>
  <c r="EB415" i="1"/>
  <c r="DZ415" i="1"/>
  <c r="DY415" i="1"/>
  <c r="DX415" i="1"/>
  <c r="DV415" i="1"/>
  <c r="DT415" i="1"/>
  <c r="DR415" i="1"/>
  <c r="DP415" i="1"/>
  <c r="DN415" i="1"/>
  <c r="DL415" i="1"/>
  <c r="DJ415" i="1"/>
  <c r="DH415" i="1"/>
  <c r="DF415" i="1"/>
  <c r="DD415" i="1"/>
  <c r="DB415" i="1"/>
  <c r="AK415" i="1"/>
  <c r="A415" i="1"/>
  <c r="GV414" i="1"/>
  <c r="GF414" i="1"/>
  <c r="GE414" i="1"/>
  <c r="GD414" i="1"/>
  <c r="GB414" i="1"/>
  <c r="FZ414" i="1"/>
  <c r="FX414" i="1"/>
  <c r="FV414" i="1"/>
  <c r="FT414" i="1"/>
  <c r="FR414" i="1"/>
  <c r="FP414" i="1"/>
  <c r="FO414" i="1"/>
  <c r="FN414" i="1"/>
  <c r="FL414" i="1"/>
  <c r="FJ414" i="1"/>
  <c r="FH414" i="1"/>
  <c r="FG414" i="1"/>
  <c r="FF414" i="1"/>
  <c r="FD414" i="1"/>
  <c r="FB414" i="1"/>
  <c r="EZ414" i="1"/>
  <c r="EY414" i="1"/>
  <c r="EX414" i="1"/>
  <c r="EV414" i="1"/>
  <c r="ET414" i="1"/>
  <c r="ER414" i="1"/>
  <c r="EP414" i="1"/>
  <c r="EO414" i="1"/>
  <c r="EN414" i="1"/>
  <c r="EL414" i="1"/>
  <c r="EJ414" i="1"/>
  <c r="EH414" i="1"/>
  <c r="EG414" i="1"/>
  <c r="EF414" i="1"/>
  <c r="ED414" i="1"/>
  <c r="EB414" i="1"/>
  <c r="DZ414" i="1"/>
  <c r="DY414" i="1"/>
  <c r="DX414" i="1"/>
  <c r="DV414" i="1"/>
  <c r="DT414" i="1"/>
  <c r="DR414" i="1"/>
  <c r="DP414" i="1"/>
  <c r="DN414" i="1"/>
  <c r="DL414" i="1"/>
  <c r="DJ414" i="1"/>
  <c r="DH414" i="1"/>
  <c r="DF414" i="1"/>
  <c r="DD414" i="1"/>
  <c r="DB414" i="1"/>
  <c r="AK414" i="1"/>
  <c r="A414" i="1"/>
  <c r="GV413" i="1"/>
  <c r="GV412" i="1"/>
  <c r="GF412" i="1"/>
  <c r="GE412" i="1"/>
  <c r="GD412" i="1"/>
  <c r="GB412" i="1"/>
  <c r="FZ412" i="1"/>
  <c r="FX412" i="1"/>
  <c r="FV412" i="1"/>
  <c r="FT412" i="1"/>
  <c r="FR412" i="1"/>
  <c r="FP412" i="1"/>
  <c r="FO412" i="1"/>
  <c r="FN412" i="1"/>
  <c r="FL412" i="1"/>
  <c r="FJ412" i="1"/>
  <c r="FH412" i="1"/>
  <c r="FG412" i="1"/>
  <c r="FF412" i="1"/>
  <c r="FD412" i="1"/>
  <c r="FB412" i="1"/>
  <c r="EZ412" i="1"/>
  <c r="EY412" i="1"/>
  <c r="EX412" i="1"/>
  <c r="EV412" i="1"/>
  <c r="ET412" i="1"/>
  <c r="ER412" i="1"/>
  <c r="EP412" i="1"/>
  <c r="EO412" i="1"/>
  <c r="EN412" i="1"/>
  <c r="EL412" i="1"/>
  <c r="EJ412" i="1"/>
  <c r="EH412" i="1"/>
  <c r="EG412" i="1"/>
  <c r="EF412" i="1"/>
  <c r="ED412" i="1"/>
  <c r="EB412" i="1"/>
  <c r="DZ412" i="1"/>
  <c r="DY412" i="1"/>
  <c r="DX412" i="1"/>
  <c r="DV412" i="1"/>
  <c r="DT412" i="1"/>
  <c r="DR412" i="1"/>
  <c r="DP412" i="1"/>
  <c r="DN412" i="1"/>
  <c r="DL412" i="1"/>
  <c r="DJ412" i="1"/>
  <c r="DH412" i="1"/>
  <c r="DF412" i="1"/>
  <c r="DD412" i="1"/>
  <c r="DB412" i="1"/>
  <c r="AK412" i="1"/>
  <c r="A412" i="1"/>
  <c r="GV411" i="1"/>
  <c r="GF411" i="1"/>
  <c r="GE411" i="1"/>
  <c r="GD411" i="1"/>
  <c r="GB411" i="1"/>
  <c r="FZ411" i="1"/>
  <c r="FX411" i="1"/>
  <c r="FV411" i="1"/>
  <c r="FT411" i="1"/>
  <c r="FR411" i="1"/>
  <c r="FP411" i="1"/>
  <c r="FO411" i="1"/>
  <c r="FN411" i="1"/>
  <c r="FL411" i="1"/>
  <c r="FJ411" i="1"/>
  <c r="FH411" i="1"/>
  <c r="FG411" i="1"/>
  <c r="FF411" i="1"/>
  <c r="FD411" i="1"/>
  <c r="FB411" i="1"/>
  <c r="EZ411" i="1"/>
  <c r="EY411" i="1"/>
  <c r="EX411" i="1"/>
  <c r="EV411" i="1"/>
  <c r="ET411" i="1"/>
  <c r="ER411" i="1"/>
  <c r="EP411" i="1"/>
  <c r="EO411" i="1"/>
  <c r="EN411" i="1"/>
  <c r="EL411" i="1"/>
  <c r="EJ411" i="1"/>
  <c r="EH411" i="1"/>
  <c r="EG411" i="1"/>
  <c r="EF411" i="1"/>
  <c r="ED411" i="1"/>
  <c r="EB411" i="1"/>
  <c r="DZ411" i="1"/>
  <c r="DY411" i="1"/>
  <c r="DX411" i="1"/>
  <c r="DV411" i="1"/>
  <c r="DT411" i="1"/>
  <c r="DR411" i="1"/>
  <c r="DP411" i="1"/>
  <c r="DN411" i="1"/>
  <c r="DL411" i="1"/>
  <c r="DJ411" i="1"/>
  <c r="DH411" i="1"/>
  <c r="DF411" i="1"/>
  <c r="DD411" i="1"/>
  <c r="DB411" i="1"/>
  <c r="AK411" i="1"/>
  <c r="A411" i="1"/>
  <c r="GV410" i="1"/>
  <c r="GF410" i="1"/>
  <c r="GE410" i="1"/>
  <c r="GD410" i="1"/>
  <c r="GB410" i="1"/>
  <c r="FZ410" i="1"/>
  <c r="FX410" i="1"/>
  <c r="FV410" i="1"/>
  <c r="FT410" i="1"/>
  <c r="FR410" i="1"/>
  <c r="FP410" i="1"/>
  <c r="FO410" i="1"/>
  <c r="FN410" i="1"/>
  <c r="FL410" i="1"/>
  <c r="FJ410" i="1"/>
  <c r="FH410" i="1"/>
  <c r="FG410" i="1"/>
  <c r="FF410" i="1"/>
  <c r="FD410" i="1"/>
  <c r="FB410" i="1"/>
  <c r="EZ410" i="1"/>
  <c r="EY410" i="1"/>
  <c r="EX410" i="1"/>
  <c r="EV410" i="1"/>
  <c r="ET410" i="1"/>
  <c r="ER410" i="1"/>
  <c r="EP410" i="1"/>
  <c r="EO410" i="1"/>
  <c r="EN410" i="1"/>
  <c r="EL410" i="1"/>
  <c r="EJ410" i="1"/>
  <c r="EH410" i="1"/>
  <c r="EG410" i="1"/>
  <c r="EF410" i="1"/>
  <c r="ED410" i="1"/>
  <c r="EB410" i="1"/>
  <c r="DZ410" i="1"/>
  <c r="DY410" i="1"/>
  <c r="DX410" i="1"/>
  <c r="DV410" i="1"/>
  <c r="DT410" i="1"/>
  <c r="DR410" i="1"/>
  <c r="DP410" i="1"/>
  <c r="DN410" i="1"/>
  <c r="DL410" i="1"/>
  <c r="DJ410" i="1"/>
  <c r="DH410" i="1"/>
  <c r="DF410" i="1"/>
  <c r="DD410" i="1"/>
  <c r="DB410" i="1"/>
  <c r="AK410" i="1"/>
  <c r="A410" i="1"/>
  <c r="GV409" i="1"/>
  <c r="GF409" i="1"/>
  <c r="GE409" i="1"/>
  <c r="GD409" i="1"/>
  <c r="GB409" i="1"/>
  <c r="FZ409" i="1"/>
  <c r="FX409" i="1"/>
  <c r="FV409" i="1"/>
  <c r="FT409" i="1"/>
  <c r="FR409" i="1"/>
  <c r="FP409" i="1"/>
  <c r="FO409" i="1"/>
  <c r="FN409" i="1"/>
  <c r="FL409" i="1"/>
  <c r="FJ409" i="1"/>
  <c r="FH409" i="1"/>
  <c r="FG409" i="1"/>
  <c r="FF409" i="1"/>
  <c r="FD409" i="1"/>
  <c r="FB409" i="1"/>
  <c r="EZ409" i="1"/>
  <c r="EY409" i="1"/>
  <c r="EX409" i="1"/>
  <c r="EV409" i="1"/>
  <c r="ET409" i="1"/>
  <c r="ER409" i="1"/>
  <c r="EP409" i="1"/>
  <c r="EO409" i="1"/>
  <c r="EN409" i="1"/>
  <c r="EL409" i="1"/>
  <c r="EJ409" i="1"/>
  <c r="EH409" i="1"/>
  <c r="EG409" i="1"/>
  <c r="EF409" i="1"/>
  <c r="ED409" i="1"/>
  <c r="EB409" i="1"/>
  <c r="DZ409" i="1"/>
  <c r="DY409" i="1"/>
  <c r="DX409" i="1"/>
  <c r="DV409" i="1"/>
  <c r="DT409" i="1"/>
  <c r="DR409" i="1"/>
  <c r="DP409" i="1"/>
  <c r="DN409" i="1"/>
  <c r="DL409" i="1"/>
  <c r="DJ409" i="1"/>
  <c r="DH409" i="1"/>
  <c r="DF409" i="1"/>
  <c r="DD409" i="1"/>
  <c r="DB409" i="1"/>
  <c r="AK409" i="1"/>
  <c r="A409" i="1"/>
  <c r="GV408" i="1"/>
  <c r="GF408" i="1"/>
  <c r="GE408" i="1"/>
  <c r="GD408" i="1"/>
  <c r="GB408" i="1"/>
  <c r="FZ408" i="1"/>
  <c r="FX408" i="1"/>
  <c r="FV408" i="1"/>
  <c r="FT408" i="1"/>
  <c r="FR408" i="1"/>
  <c r="FP408" i="1"/>
  <c r="FO408" i="1"/>
  <c r="FN408" i="1"/>
  <c r="FL408" i="1"/>
  <c r="FJ408" i="1"/>
  <c r="FH408" i="1"/>
  <c r="FG408" i="1"/>
  <c r="FF408" i="1"/>
  <c r="FD408" i="1"/>
  <c r="FB408" i="1"/>
  <c r="EZ408" i="1"/>
  <c r="EY408" i="1"/>
  <c r="EX408" i="1"/>
  <c r="EV408" i="1"/>
  <c r="ET408" i="1"/>
  <c r="ER408" i="1"/>
  <c r="EP408" i="1"/>
  <c r="EO408" i="1"/>
  <c r="EN408" i="1"/>
  <c r="EL408" i="1"/>
  <c r="EJ408" i="1"/>
  <c r="EH408" i="1"/>
  <c r="EG408" i="1"/>
  <c r="EF408" i="1"/>
  <c r="ED408" i="1"/>
  <c r="EB408" i="1"/>
  <c r="DZ408" i="1"/>
  <c r="DY408" i="1"/>
  <c r="DX408" i="1"/>
  <c r="DV408" i="1"/>
  <c r="DT408" i="1"/>
  <c r="DR408" i="1"/>
  <c r="DP408" i="1"/>
  <c r="DN408" i="1"/>
  <c r="DL408" i="1"/>
  <c r="DJ408" i="1"/>
  <c r="DH408" i="1"/>
  <c r="DF408" i="1"/>
  <c r="DD408" i="1"/>
  <c r="DB408" i="1"/>
  <c r="AK408" i="1"/>
  <c r="A408" i="1"/>
  <c r="GV407" i="1"/>
  <c r="GF407" i="1"/>
  <c r="GE407" i="1"/>
  <c r="GD407" i="1"/>
  <c r="GB407" i="1"/>
  <c r="FZ407" i="1"/>
  <c r="FX407" i="1"/>
  <c r="FV407" i="1"/>
  <c r="FT407" i="1"/>
  <c r="FR407" i="1"/>
  <c r="FP407" i="1"/>
  <c r="FO407" i="1"/>
  <c r="FN407" i="1"/>
  <c r="FL407" i="1"/>
  <c r="FJ407" i="1"/>
  <c r="FH407" i="1"/>
  <c r="FG407" i="1"/>
  <c r="FF407" i="1"/>
  <c r="FD407" i="1"/>
  <c r="FB407" i="1"/>
  <c r="EZ407" i="1"/>
  <c r="EY407" i="1"/>
  <c r="EX407" i="1"/>
  <c r="EV407" i="1"/>
  <c r="ET407" i="1"/>
  <c r="ER407" i="1"/>
  <c r="EP407" i="1"/>
  <c r="EO407" i="1"/>
  <c r="EN407" i="1"/>
  <c r="EL407" i="1"/>
  <c r="EJ407" i="1"/>
  <c r="EH407" i="1"/>
  <c r="EG407" i="1"/>
  <c r="EF407" i="1"/>
  <c r="ED407" i="1"/>
  <c r="EB407" i="1"/>
  <c r="DZ407" i="1"/>
  <c r="DY407" i="1"/>
  <c r="DX407" i="1"/>
  <c r="DV407" i="1"/>
  <c r="DT407" i="1"/>
  <c r="DR407" i="1"/>
  <c r="DP407" i="1"/>
  <c r="DN407" i="1"/>
  <c r="DL407" i="1"/>
  <c r="DJ407" i="1"/>
  <c r="DH407" i="1"/>
  <c r="DF407" i="1"/>
  <c r="DD407" i="1"/>
  <c r="DB407" i="1"/>
  <c r="AK407" i="1"/>
  <c r="A407" i="1"/>
  <c r="GV406" i="1"/>
  <c r="GF406" i="1"/>
  <c r="GE406" i="1"/>
  <c r="GD406" i="1"/>
  <c r="GB406" i="1"/>
  <c r="FZ406" i="1"/>
  <c r="FX406" i="1"/>
  <c r="FV406" i="1"/>
  <c r="FT406" i="1"/>
  <c r="FR406" i="1"/>
  <c r="FP406" i="1"/>
  <c r="FO406" i="1"/>
  <c r="FN406" i="1"/>
  <c r="FL406" i="1"/>
  <c r="FJ406" i="1"/>
  <c r="FH406" i="1"/>
  <c r="FG406" i="1"/>
  <c r="FF406" i="1"/>
  <c r="FD406" i="1"/>
  <c r="FB406" i="1"/>
  <c r="EZ406" i="1"/>
  <c r="EY406" i="1"/>
  <c r="EX406" i="1"/>
  <c r="EV406" i="1"/>
  <c r="ET406" i="1"/>
  <c r="ER406" i="1"/>
  <c r="EP406" i="1"/>
  <c r="EO406" i="1"/>
  <c r="EN406" i="1"/>
  <c r="EL406" i="1"/>
  <c r="EJ406" i="1"/>
  <c r="EH406" i="1"/>
  <c r="EG406" i="1"/>
  <c r="EF406" i="1"/>
  <c r="ED406" i="1"/>
  <c r="EB406" i="1"/>
  <c r="DZ406" i="1"/>
  <c r="DY406" i="1"/>
  <c r="DX406" i="1"/>
  <c r="DV406" i="1"/>
  <c r="DT406" i="1"/>
  <c r="DR406" i="1"/>
  <c r="DP406" i="1"/>
  <c r="DN406" i="1"/>
  <c r="DL406" i="1"/>
  <c r="DJ406" i="1"/>
  <c r="DH406" i="1"/>
  <c r="DF406" i="1"/>
  <c r="DD406" i="1"/>
  <c r="DB406" i="1"/>
  <c r="AK406" i="1"/>
  <c r="A406" i="1"/>
  <c r="GV405" i="1"/>
  <c r="GF405" i="1"/>
  <c r="GE405" i="1"/>
  <c r="GD405" i="1"/>
  <c r="GB405" i="1"/>
  <c r="FZ405" i="1"/>
  <c r="FX405" i="1"/>
  <c r="FV405" i="1"/>
  <c r="FT405" i="1"/>
  <c r="FR405" i="1"/>
  <c r="FP405" i="1"/>
  <c r="FO405" i="1"/>
  <c r="FN405" i="1"/>
  <c r="FL405" i="1"/>
  <c r="FJ405" i="1"/>
  <c r="FH405" i="1"/>
  <c r="FG405" i="1"/>
  <c r="FF405" i="1"/>
  <c r="FD405" i="1"/>
  <c r="FB405" i="1"/>
  <c r="EZ405" i="1"/>
  <c r="EY405" i="1"/>
  <c r="EX405" i="1"/>
  <c r="EV405" i="1"/>
  <c r="ET405" i="1"/>
  <c r="ER405" i="1"/>
  <c r="EP405" i="1"/>
  <c r="EO405" i="1"/>
  <c r="EN405" i="1"/>
  <c r="EL405" i="1"/>
  <c r="EJ405" i="1"/>
  <c r="EH405" i="1"/>
  <c r="EG405" i="1"/>
  <c r="EF405" i="1"/>
  <c r="ED405" i="1"/>
  <c r="EB405" i="1"/>
  <c r="DZ405" i="1"/>
  <c r="DY405" i="1"/>
  <c r="DX405" i="1"/>
  <c r="DV405" i="1"/>
  <c r="DT405" i="1"/>
  <c r="DR405" i="1"/>
  <c r="DP405" i="1"/>
  <c r="DN405" i="1"/>
  <c r="DL405" i="1"/>
  <c r="DJ405" i="1"/>
  <c r="DH405" i="1"/>
  <c r="DF405" i="1"/>
  <c r="DD405" i="1"/>
  <c r="DB405" i="1"/>
  <c r="AK405" i="1"/>
  <c r="A405" i="1"/>
  <c r="GV404" i="1"/>
  <c r="GF404" i="1"/>
  <c r="GE404" i="1"/>
  <c r="GD404" i="1"/>
  <c r="GB404" i="1"/>
  <c r="FZ404" i="1"/>
  <c r="FX404" i="1"/>
  <c r="FV404" i="1"/>
  <c r="FT404" i="1"/>
  <c r="FR404" i="1"/>
  <c r="FP404" i="1"/>
  <c r="FO404" i="1"/>
  <c r="FN404" i="1"/>
  <c r="FL404" i="1"/>
  <c r="FJ404" i="1"/>
  <c r="FH404" i="1"/>
  <c r="FG404" i="1"/>
  <c r="FF404" i="1"/>
  <c r="FD404" i="1"/>
  <c r="FB404" i="1"/>
  <c r="EZ404" i="1"/>
  <c r="EY404" i="1"/>
  <c r="EX404" i="1"/>
  <c r="EV404" i="1"/>
  <c r="ET404" i="1"/>
  <c r="ER404" i="1"/>
  <c r="EP404" i="1"/>
  <c r="EO404" i="1"/>
  <c r="EN404" i="1"/>
  <c r="EL404" i="1"/>
  <c r="EJ404" i="1"/>
  <c r="EH404" i="1"/>
  <c r="EG404" i="1"/>
  <c r="EF404" i="1"/>
  <c r="ED404" i="1"/>
  <c r="EB404" i="1"/>
  <c r="DZ404" i="1"/>
  <c r="DY404" i="1"/>
  <c r="DX404" i="1"/>
  <c r="DV404" i="1"/>
  <c r="DT404" i="1"/>
  <c r="DR404" i="1"/>
  <c r="DP404" i="1"/>
  <c r="DN404" i="1"/>
  <c r="DL404" i="1"/>
  <c r="DJ404" i="1"/>
  <c r="DH404" i="1"/>
  <c r="DF404" i="1"/>
  <c r="DD404" i="1"/>
  <c r="DB404" i="1"/>
  <c r="AK404" i="1"/>
  <c r="A404" i="1"/>
  <c r="GV403" i="1"/>
  <c r="GF403" i="1"/>
  <c r="GE403" i="1"/>
  <c r="GD403" i="1"/>
  <c r="GB403" i="1"/>
  <c r="FZ403" i="1"/>
  <c r="FX403" i="1"/>
  <c r="FV403" i="1"/>
  <c r="FT403" i="1"/>
  <c r="FR403" i="1"/>
  <c r="FP403" i="1"/>
  <c r="FO403" i="1"/>
  <c r="FN403" i="1"/>
  <c r="FL403" i="1"/>
  <c r="FJ403" i="1"/>
  <c r="FH403" i="1"/>
  <c r="FG403" i="1"/>
  <c r="FF403" i="1"/>
  <c r="FD403" i="1"/>
  <c r="FB403" i="1"/>
  <c r="EZ403" i="1"/>
  <c r="EY403" i="1"/>
  <c r="EX403" i="1"/>
  <c r="EV403" i="1"/>
  <c r="ET403" i="1"/>
  <c r="ER403" i="1"/>
  <c r="EP403" i="1"/>
  <c r="EO403" i="1"/>
  <c r="EN403" i="1"/>
  <c r="EL403" i="1"/>
  <c r="EJ403" i="1"/>
  <c r="EH403" i="1"/>
  <c r="EG403" i="1"/>
  <c r="EF403" i="1"/>
  <c r="ED403" i="1"/>
  <c r="EB403" i="1"/>
  <c r="DZ403" i="1"/>
  <c r="DY403" i="1"/>
  <c r="DX403" i="1"/>
  <c r="DV403" i="1"/>
  <c r="DT403" i="1"/>
  <c r="DR403" i="1"/>
  <c r="DP403" i="1"/>
  <c r="DN403" i="1"/>
  <c r="DL403" i="1"/>
  <c r="DJ403" i="1"/>
  <c r="DH403" i="1"/>
  <c r="DF403" i="1"/>
  <c r="DD403" i="1"/>
  <c r="DB403" i="1"/>
  <c r="AK403" i="1"/>
  <c r="A403" i="1"/>
  <c r="GV402" i="1"/>
  <c r="GF402" i="1"/>
  <c r="GE402" i="1"/>
  <c r="GD402" i="1"/>
  <c r="GB402" i="1"/>
  <c r="FZ402" i="1"/>
  <c r="FX402" i="1"/>
  <c r="FV402" i="1"/>
  <c r="FT402" i="1"/>
  <c r="FR402" i="1"/>
  <c r="FP402" i="1"/>
  <c r="FO402" i="1"/>
  <c r="FN402" i="1"/>
  <c r="FL402" i="1"/>
  <c r="FJ402" i="1"/>
  <c r="FH402" i="1"/>
  <c r="FG402" i="1"/>
  <c r="FF402" i="1"/>
  <c r="FD402" i="1"/>
  <c r="FB402" i="1"/>
  <c r="EZ402" i="1"/>
  <c r="EY402" i="1"/>
  <c r="EX402" i="1"/>
  <c r="EV402" i="1"/>
  <c r="ET402" i="1"/>
  <c r="ER402" i="1"/>
  <c r="EP402" i="1"/>
  <c r="EO402" i="1"/>
  <c r="EN402" i="1"/>
  <c r="EL402" i="1"/>
  <c r="EJ402" i="1"/>
  <c r="EH402" i="1"/>
  <c r="EG402" i="1"/>
  <c r="EF402" i="1"/>
  <c r="ED402" i="1"/>
  <c r="EB402" i="1"/>
  <c r="DZ402" i="1"/>
  <c r="DY402" i="1"/>
  <c r="DX402" i="1"/>
  <c r="DV402" i="1"/>
  <c r="DT402" i="1"/>
  <c r="DR402" i="1"/>
  <c r="DP402" i="1"/>
  <c r="DN402" i="1"/>
  <c r="DL402" i="1"/>
  <c r="DJ402" i="1"/>
  <c r="DH402" i="1"/>
  <c r="DF402" i="1"/>
  <c r="DD402" i="1"/>
  <c r="DB402" i="1"/>
  <c r="AK402" i="1"/>
  <c r="A402" i="1"/>
  <c r="GV401" i="1"/>
  <c r="GF401" i="1"/>
  <c r="GE401" i="1"/>
  <c r="GD401" i="1"/>
  <c r="GB401" i="1"/>
  <c r="FZ401" i="1"/>
  <c r="FX401" i="1"/>
  <c r="FV401" i="1"/>
  <c r="FT401" i="1"/>
  <c r="FR401" i="1"/>
  <c r="FP401" i="1"/>
  <c r="FO401" i="1"/>
  <c r="FN401" i="1"/>
  <c r="FL401" i="1"/>
  <c r="FJ401" i="1"/>
  <c r="FH401" i="1"/>
  <c r="FG401" i="1"/>
  <c r="FF401" i="1"/>
  <c r="FD401" i="1"/>
  <c r="FB401" i="1"/>
  <c r="EZ401" i="1"/>
  <c r="EY401" i="1"/>
  <c r="EX401" i="1"/>
  <c r="EV401" i="1"/>
  <c r="ET401" i="1"/>
  <c r="ER401" i="1"/>
  <c r="EP401" i="1"/>
  <c r="EO401" i="1"/>
  <c r="EN401" i="1"/>
  <c r="EL401" i="1"/>
  <c r="EJ401" i="1"/>
  <c r="EH401" i="1"/>
  <c r="EG401" i="1"/>
  <c r="EF401" i="1"/>
  <c r="ED401" i="1"/>
  <c r="EB401" i="1"/>
  <c r="DZ401" i="1"/>
  <c r="DY401" i="1"/>
  <c r="DX401" i="1"/>
  <c r="DV401" i="1"/>
  <c r="DT401" i="1"/>
  <c r="DR401" i="1"/>
  <c r="DP401" i="1"/>
  <c r="DN401" i="1"/>
  <c r="DL401" i="1"/>
  <c r="DJ401" i="1"/>
  <c r="DH401" i="1"/>
  <c r="DF401" i="1"/>
  <c r="DD401" i="1"/>
  <c r="DB401" i="1"/>
  <c r="AK401" i="1"/>
  <c r="A401" i="1"/>
  <c r="GV400" i="1"/>
  <c r="GF400" i="1"/>
  <c r="GE400" i="1"/>
  <c r="GD400" i="1"/>
  <c r="GB400" i="1"/>
  <c r="FZ400" i="1"/>
  <c r="FX400" i="1"/>
  <c r="FV400" i="1"/>
  <c r="FT400" i="1"/>
  <c r="FR400" i="1"/>
  <c r="FP400" i="1"/>
  <c r="FO400" i="1"/>
  <c r="FN400" i="1"/>
  <c r="FL400" i="1"/>
  <c r="FJ400" i="1"/>
  <c r="FH400" i="1"/>
  <c r="FG400" i="1"/>
  <c r="FF400" i="1"/>
  <c r="FD400" i="1"/>
  <c r="FB400" i="1"/>
  <c r="EZ400" i="1"/>
  <c r="EY400" i="1"/>
  <c r="EX400" i="1"/>
  <c r="EV400" i="1"/>
  <c r="ET400" i="1"/>
  <c r="ER400" i="1"/>
  <c r="EP400" i="1"/>
  <c r="EO400" i="1"/>
  <c r="EN400" i="1"/>
  <c r="EL400" i="1"/>
  <c r="EJ400" i="1"/>
  <c r="EH400" i="1"/>
  <c r="EG400" i="1"/>
  <c r="EF400" i="1"/>
  <c r="ED400" i="1"/>
  <c r="EB400" i="1"/>
  <c r="DZ400" i="1"/>
  <c r="DY400" i="1"/>
  <c r="DX400" i="1"/>
  <c r="DV400" i="1"/>
  <c r="DT400" i="1"/>
  <c r="DR400" i="1"/>
  <c r="DP400" i="1"/>
  <c r="DN400" i="1"/>
  <c r="DL400" i="1"/>
  <c r="DJ400" i="1"/>
  <c r="DH400" i="1"/>
  <c r="DF400" i="1"/>
  <c r="DD400" i="1"/>
  <c r="DB400" i="1"/>
  <c r="AK400" i="1"/>
  <c r="A400" i="1"/>
  <c r="GV399" i="1"/>
  <c r="GF399" i="1"/>
  <c r="GE399" i="1"/>
  <c r="GD399" i="1"/>
  <c r="GB399" i="1"/>
  <c r="FZ399" i="1"/>
  <c r="FX399" i="1"/>
  <c r="FV399" i="1"/>
  <c r="FT399" i="1"/>
  <c r="FR399" i="1"/>
  <c r="FP399" i="1"/>
  <c r="FO399" i="1"/>
  <c r="FN399" i="1"/>
  <c r="FL399" i="1"/>
  <c r="FJ399" i="1"/>
  <c r="FH399" i="1"/>
  <c r="FG399" i="1"/>
  <c r="FF399" i="1"/>
  <c r="FD399" i="1"/>
  <c r="FB399" i="1"/>
  <c r="EZ399" i="1"/>
  <c r="EY399" i="1"/>
  <c r="EX399" i="1"/>
  <c r="EV399" i="1"/>
  <c r="ET399" i="1"/>
  <c r="ER399" i="1"/>
  <c r="EP399" i="1"/>
  <c r="EO399" i="1"/>
  <c r="EN399" i="1"/>
  <c r="EL399" i="1"/>
  <c r="EJ399" i="1"/>
  <c r="EH399" i="1"/>
  <c r="EG399" i="1"/>
  <c r="EF399" i="1"/>
  <c r="ED399" i="1"/>
  <c r="EB399" i="1"/>
  <c r="DZ399" i="1"/>
  <c r="DY399" i="1"/>
  <c r="DX399" i="1"/>
  <c r="DV399" i="1"/>
  <c r="DT399" i="1"/>
  <c r="DR399" i="1"/>
  <c r="DP399" i="1"/>
  <c r="DN399" i="1"/>
  <c r="DL399" i="1"/>
  <c r="DJ399" i="1"/>
  <c r="DH399" i="1"/>
  <c r="DF399" i="1"/>
  <c r="DD399" i="1"/>
  <c r="DB399" i="1"/>
  <c r="AK399" i="1"/>
  <c r="A399" i="1"/>
  <c r="GV398" i="1"/>
  <c r="GV397" i="1"/>
  <c r="GV396" i="1"/>
  <c r="GV395" i="1"/>
  <c r="GF395" i="1"/>
  <c r="GE395" i="1"/>
  <c r="GD395" i="1"/>
  <c r="GB395" i="1"/>
  <c r="FZ395" i="1"/>
  <c r="FX395" i="1"/>
  <c r="FV395" i="1"/>
  <c r="FT395" i="1"/>
  <c r="FR395" i="1"/>
  <c r="FP395" i="1"/>
  <c r="FO395" i="1"/>
  <c r="FN395" i="1"/>
  <c r="FL395" i="1"/>
  <c r="FJ395" i="1"/>
  <c r="FH395" i="1"/>
  <c r="FG395" i="1"/>
  <c r="FF395" i="1"/>
  <c r="FD395" i="1"/>
  <c r="FB395" i="1"/>
  <c r="EZ395" i="1"/>
  <c r="EY395" i="1"/>
  <c r="EX395" i="1"/>
  <c r="EV395" i="1"/>
  <c r="ET395" i="1"/>
  <c r="ER395" i="1"/>
  <c r="EP395" i="1"/>
  <c r="EO395" i="1"/>
  <c r="EN395" i="1"/>
  <c r="EL395" i="1"/>
  <c r="EJ395" i="1"/>
  <c r="EH395" i="1"/>
  <c r="EG395" i="1"/>
  <c r="EF395" i="1"/>
  <c r="ED395" i="1"/>
  <c r="EB395" i="1"/>
  <c r="DZ395" i="1"/>
  <c r="DY395" i="1"/>
  <c r="DX395" i="1"/>
  <c r="DV395" i="1"/>
  <c r="DT395" i="1"/>
  <c r="DR395" i="1"/>
  <c r="DP395" i="1"/>
  <c r="DN395" i="1"/>
  <c r="DL395" i="1"/>
  <c r="DJ395" i="1"/>
  <c r="DH395" i="1"/>
  <c r="DF395" i="1"/>
  <c r="DD395" i="1"/>
  <c r="DB395" i="1"/>
  <c r="AK395" i="1"/>
  <c r="A395" i="1"/>
  <c r="GV394" i="1"/>
  <c r="GF394" i="1"/>
  <c r="GE394" i="1"/>
  <c r="GD394" i="1"/>
  <c r="GB394" i="1"/>
  <c r="FZ394" i="1"/>
  <c r="FX394" i="1"/>
  <c r="FV394" i="1"/>
  <c r="FT394" i="1"/>
  <c r="FR394" i="1"/>
  <c r="FP394" i="1"/>
  <c r="FO394" i="1"/>
  <c r="FN394" i="1"/>
  <c r="FL394" i="1"/>
  <c r="FJ394" i="1"/>
  <c r="FH394" i="1"/>
  <c r="FG394" i="1"/>
  <c r="FF394" i="1"/>
  <c r="FD394" i="1"/>
  <c r="FB394" i="1"/>
  <c r="EZ394" i="1"/>
  <c r="EY394" i="1"/>
  <c r="EX394" i="1"/>
  <c r="EV394" i="1"/>
  <c r="ET394" i="1"/>
  <c r="ER394" i="1"/>
  <c r="EP394" i="1"/>
  <c r="EO394" i="1"/>
  <c r="EN394" i="1"/>
  <c r="EL394" i="1"/>
  <c r="EJ394" i="1"/>
  <c r="EH394" i="1"/>
  <c r="EG394" i="1"/>
  <c r="EF394" i="1"/>
  <c r="ED394" i="1"/>
  <c r="EB394" i="1"/>
  <c r="DZ394" i="1"/>
  <c r="DY394" i="1"/>
  <c r="DX394" i="1"/>
  <c r="DV394" i="1"/>
  <c r="DT394" i="1"/>
  <c r="DR394" i="1"/>
  <c r="DP394" i="1"/>
  <c r="DN394" i="1"/>
  <c r="DL394" i="1"/>
  <c r="DJ394" i="1"/>
  <c r="DH394" i="1"/>
  <c r="DF394" i="1"/>
  <c r="DD394" i="1"/>
  <c r="DB394" i="1"/>
  <c r="AK394" i="1"/>
  <c r="A394" i="1"/>
  <c r="GV393" i="1"/>
  <c r="GF393" i="1"/>
  <c r="GE393" i="1"/>
  <c r="GD393" i="1"/>
  <c r="GB393" i="1"/>
  <c r="FZ393" i="1"/>
  <c r="FX393" i="1"/>
  <c r="FV393" i="1"/>
  <c r="FT393" i="1"/>
  <c r="FR393" i="1"/>
  <c r="FP393" i="1"/>
  <c r="FO393" i="1"/>
  <c r="FN393" i="1"/>
  <c r="FL393" i="1"/>
  <c r="FJ393" i="1"/>
  <c r="FH393" i="1"/>
  <c r="FG393" i="1"/>
  <c r="FF393" i="1"/>
  <c r="FD393" i="1"/>
  <c r="FB393" i="1"/>
  <c r="EZ393" i="1"/>
  <c r="EY393" i="1"/>
  <c r="EX393" i="1"/>
  <c r="EV393" i="1"/>
  <c r="ET393" i="1"/>
  <c r="ER393" i="1"/>
  <c r="EP393" i="1"/>
  <c r="EO393" i="1"/>
  <c r="EN393" i="1"/>
  <c r="EL393" i="1"/>
  <c r="EJ393" i="1"/>
  <c r="EH393" i="1"/>
  <c r="EG393" i="1"/>
  <c r="EF393" i="1"/>
  <c r="ED393" i="1"/>
  <c r="EB393" i="1"/>
  <c r="DZ393" i="1"/>
  <c r="DY393" i="1"/>
  <c r="DX393" i="1"/>
  <c r="DV393" i="1"/>
  <c r="DT393" i="1"/>
  <c r="DR393" i="1"/>
  <c r="DP393" i="1"/>
  <c r="DN393" i="1"/>
  <c r="DL393" i="1"/>
  <c r="DJ393" i="1"/>
  <c r="DH393" i="1"/>
  <c r="DF393" i="1"/>
  <c r="DD393" i="1"/>
  <c r="DB393" i="1"/>
  <c r="AK393" i="1"/>
  <c r="A393" i="1"/>
  <c r="GV392" i="1"/>
  <c r="GV391" i="1"/>
  <c r="GF391" i="1"/>
  <c r="GE391" i="1"/>
  <c r="GD391" i="1"/>
  <c r="GB391" i="1"/>
  <c r="FZ391" i="1"/>
  <c r="FX391" i="1"/>
  <c r="FV391" i="1"/>
  <c r="FT391" i="1"/>
  <c r="FR391" i="1"/>
  <c r="FP391" i="1"/>
  <c r="FO391" i="1"/>
  <c r="FN391" i="1"/>
  <c r="FL391" i="1"/>
  <c r="FJ391" i="1"/>
  <c r="FH391" i="1"/>
  <c r="FG391" i="1"/>
  <c r="FF391" i="1"/>
  <c r="FD391" i="1"/>
  <c r="FB391" i="1"/>
  <c r="EZ391" i="1"/>
  <c r="EY391" i="1"/>
  <c r="EX391" i="1"/>
  <c r="EV391" i="1"/>
  <c r="ET391" i="1"/>
  <c r="ER391" i="1"/>
  <c r="EP391" i="1"/>
  <c r="EO391" i="1"/>
  <c r="EN391" i="1"/>
  <c r="EL391" i="1"/>
  <c r="EJ391" i="1"/>
  <c r="EH391" i="1"/>
  <c r="EG391" i="1"/>
  <c r="EF391" i="1"/>
  <c r="ED391" i="1"/>
  <c r="EB391" i="1"/>
  <c r="DZ391" i="1"/>
  <c r="DY391" i="1"/>
  <c r="DX391" i="1"/>
  <c r="DV391" i="1"/>
  <c r="DT391" i="1"/>
  <c r="DR391" i="1"/>
  <c r="DP391" i="1"/>
  <c r="DN391" i="1"/>
  <c r="DL391" i="1"/>
  <c r="DJ391" i="1"/>
  <c r="DH391" i="1"/>
  <c r="DF391" i="1"/>
  <c r="DD391" i="1"/>
  <c r="DB391" i="1"/>
  <c r="AK391" i="1"/>
  <c r="A391" i="1"/>
  <c r="GV390" i="1"/>
  <c r="GF390" i="1"/>
  <c r="GE390" i="1"/>
  <c r="GD390" i="1"/>
  <c r="GB390" i="1"/>
  <c r="FZ390" i="1"/>
  <c r="FX390" i="1"/>
  <c r="FV390" i="1"/>
  <c r="FT390" i="1"/>
  <c r="FR390" i="1"/>
  <c r="FP390" i="1"/>
  <c r="FO390" i="1"/>
  <c r="FN390" i="1"/>
  <c r="FL390" i="1"/>
  <c r="FJ390" i="1"/>
  <c r="FH390" i="1"/>
  <c r="FG390" i="1"/>
  <c r="FF390" i="1"/>
  <c r="FD390" i="1"/>
  <c r="FB390" i="1"/>
  <c r="EZ390" i="1"/>
  <c r="EY390" i="1"/>
  <c r="EX390" i="1"/>
  <c r="EV390" i="1"/>
  <c r="ET390" i="1"/>
  <c r="ER390" i="1"/>
  <c r="EP390" i="1"/>
  <c r="EO390" i="1"/>
  <c r="EN390" i="1"/>
  <c r="EL390" i="1"/>
  <c r="EJ390" i="1"/>
  <c r="EH390" i="1"/>
  <c r="EG390" i="1"/>
  <c r="EF390" i="1"/>
  <c r="ED390" i="1"/>
  <c r="EB390" i="1"/>
  <c r="DZ390" i="1"/>
  <c r="DY390" i="1"/>
  <c r="DX390" i="1"/>
  <c r="DV390" i="1"/>
  <c r="DT390" i="1"/>
  <c r="DR390" i="1"/>
  <c r="DP390" i="1"/>
  <c r="DN390" i="1"/>
  <c r="DL390" i="1"/>
  <c r="DJ390" i="1"/>
  <c r="DH390" i="1"/>
  <c r="DF390" i="1"/>
  <c r="DD390" i="1"/>
  <c r="DB390" i="1"/>
  <c r="AK390" i="1"/>
  <c r="A390" i="1"/>
  <c r="GV389" i="1"/>
  <c r="GF389" i="1"/>
  <c r="GE389" i="1"/>
  <c r="GD389" i="1"/>
  <c r="GB389" i="1"/>
  <c r="FZ389" i="1"/>
  <c r="FX389" i="1"/>
  <c r="FV389" i="1"/>
  <c r="FT389" i="1"/>
  <c r="FR389" i="1"/>
  <c r="FP389" i="1"/>
  <c r="FO389" i="1"/>
  <c r="FN389" i="1"/>
  <c r="FL389" i="1"/>
  <c r="FJ389" i="1"/>
  <c r="FH389" i="1"/>
  <c r="FG389" i="1"/>
  <c r="FF389" i="1"/>
  <c r="FD389" i="1"/>
  <c r="FB389" i="1"/>
  <c r="EZ389" i="1"/>
  <c r="EY389" i="1"/>
  <c r="EX389" i="1"/>
  <c r="EV389" i="1"/>
  <c r="ET389" i="1"/>
  <c r="ER389" i="1"/>
  <c r="EP389" i="1"/>
  <c r="EO389" i="1"/>
  <c r="EN389" i="1"/>
  <c r="EL389" i="1"/>
  <c r="EJ389" i="1"/>
  <c r="EH389" i="1"/>
  <c r="EG389" i="1"/>
  <c r="EF389" i="1"/>
  <c r="ED389" i="1"/>
  <c r="EB389" i="1"/>
  <c r="DZ389" i="1"/>
  <c r="DY389" i="1"/>
  <c r="DX389" i="1"/>
  <c r="DV389" i="1"/>
  <c r="DT389" i="1"/>
  <c r="DR389" i="1"/>
  <c r="DP389" i="1"/>
  <c r="DN389" i="1"/>
  <c r="DL389" i="1"/>
  <c r="DJ389" i="1"/>
  <c r="DH389" i="1"/>
  <c r="DF389" i="1"/>
  <c r="DD389" i="1"/>
  <c r="DB389" i="1"/>
  <c r="AK389" i="1"/>
  <c r="A389" i="1"/>
  <c r="GV388" i="1"/>
  <c r="GF388" i="1"/>
  <c r="GE388" i="1"/>
  <c r="GD388" i="1"/>
  <c r="GB388" i="1"/>
  <c r="FZ388" i="1"/>
  <c r="FX388" i="1"/>
  <c r="FV388" i="1"/>
  <c r="FT388" i="1"/>
  <c r="FR388" i="1"/>
  <c r="FP388" i="1"/>
  <c r="FO388" i="1"/>
  <c r="FN388" i="1"/>
  <c r="FL388" i="1"/>
  <c r="FJ388" i="1"/>
  <c r="FH388" i="1"/>
  <c r="FG388" i="1"/>
  <c r="FF388" i="1"/>
  <c r="FD388" i="1"/>
  <c r="FB388" i="1"/>
  <c r="EZ388" i="1"/>
  <c r="EY388" i="1"/>
  <c r="EX388" i="1"/>
  <c r="EV388" i="1"/>
  <c r="ET388" i="1"/>
  <c r="ER388" i="1"/>
  <c r="EP388" i="1"/>
  <c r="EO388" i="1"/>
  <c r="EN388" i="1"/>
  <c r="EL388" i="1"/>
  <c r="EJ388" i="1"/>
  <c r="EH388" i="1"/>
  <c r="EG388" i="1"/>
  <c r="EF388" i="1"/>
  <c r="ED388" i="1"/>
  <c r="EB388" i="1"/>
  <c r="DZ388" i="1"/>
  <c r="DY388" i="1"/>
  <c r="DX388" i="1"/>
  <c r="DV388" i="1"/>
  <c r="DT388" i="1"/>
  <c r="DR388" i="1"/>
  <c r="DP388" i="1"/>
  <c r="DN388" i="1"/>
  <c r="DL388" i="1"/>
  <c r="DJ388" i="1"/>
  <c r="DH388" i="1"/>
  <c r="DF388" i="1"/>
  <c r="DD388" i="1"/>
  <c r="DB388" i="1"/>
  <c r="AK388" i="1"/>
  <c r="A388" i="1"/>
  <c r="GV387" i="1"/>
  <c r="GF387" i="1"/>
  <c r="GE387" i="1"/>
  <c r="GD387" i="1"/>
  <c r="GB387" i="1"/>
  <c r="FZ387" i="1"/>
  <c r="FX387" i="1"/>
  <c r="FV387" i="1"/>
  <c r="FT387" i="1"/>
  <c r="FR387" i="1"/>
  <c r="FP387" i="1"/>
  <c r="FO387" i="1"/>
  <c r="FN387" i="1"/>
  <c r="FL387" i="1"/>
  <c r="FJ387" i="1"/>
  <c r="FH387" i="1"/>
  <c r="FG387" i="1"/>
  <c r="FF387" i="1"/>
  <c r="FD387" i="1"/>
  <c r="FB387" i="1"/>
  <c r="EZ387" i="1"/>
  <c r="EY387" i="1"/>
  <c r="EX387" i="1"/>
  <c r="EV387" i="1"/>
  <c r="ET387" i="1"/>
  <c r="ER387" i="1"/>
  <c r="EP387" i="1"/>
  <c r="EO387" i="1"/>
  <c r="EN387" i="1"/>
  <c r="EL387" i="1"/>
  <c r="EJ387" i="1"/>
  <c r="EH387" i="1"/>
  <c r="EG387" i="1"/>
  <c r="EF387" i="1"/>
  <c r="ED387" i="1"/>
  <c r="EB387" i="1"/>
  <c r="DZ387" i="1"/>
  <c r="DY387" i="1"/>
  <c r="DX387" i="1"/>
  <c r="DV387" i="1"/>
  <c r="DT387" i="1"/>
  <c r="DR387" i="1"/>
  <c r="DP387" i="1"/>
  <c r="DN387" i="1"/>
  <c r="DL387" i="1"/>
  <c r="DJ387" i="1"/>
  <c r="DH387" i="1"/>
  <c r="DF387" i="1"/>
  <c r="DD387" i="1"/>
  <c r="DB387" i="1"/>
  <c r="AK387" i="1"/>
  <c r="A387" i="1"/>
  <c r="GV386" i="1"/>
  <c r="GV385" i="1"/>
  <c r="GV384" i="1"/>
  <c r="GF384" i="1"/>
  <c r="GE384" i="1"/>
  <c r="GD384" i="1"/>
  <c r="GB384" i="1"/>
  <c r="FZ384" i="1"/>
  <c r="FX384" i="1"/>
  <c r="FV384" i="1"/>
  <c r="FT384" i="1"/>
  <c r="FR384" i="1"/>
  <c r="FP384" i="1"/>
  <c r="FO384" i="1"/>
  <c r="FN384" i="1"/>
  <c r="FL384" i="1"/>
  <c r="FJ384" i="1"/>
  <c r="FH384" i="1"/>
  <c r="FG384" i="1"/>
  <c r="FF384" i="1"/>
  <c r="FD384" i="1"/>
  <c r="FB384" i="1"/>
  <c r="EZ384" i="1"/>
  <c r="EY384" i="1"/>
  <c r="EX384" i="1"/>
  <c r="EV384" i="1"/>
  <c r="ET384" i="1"/>
  <c r="ER384" i="1"/>
  <c r="EP384" i="1"/>
  <c r="EO384" i="1"/>
  <c r="EN384" i="1"/>
  <c r="EL384" i="1"/>
  <c r="EJ384" i="1"/>
  <c r="EH384" i="1"/>
  <c r="EG384" i="1"/>
  <c r="EF384" i="1"/>
  <c r="ED384" i="1"/>
  <c r="EB384" i="1"/>
  <c r="DZ384" i="1"/>
  <c r="DY384" i="1"/>
  <c r="DX384" i="1"/>
  <c r="DV384" i="1"/>
  <c r="DT384" i="1"/>
  <c r="DR384" i="1"/>
  <c r="DP384" i="1"/>
  <c r="DN384" i="1"/>
  <c r="DL384" i="1"/>
  <c r="DJ384" i="1"/>
  <c r="DH384" i="1"/>
  <c r="DF384" i="1"/>
  <c r="DD384" i="1"/>
  <c r="DB384" i="1"/>
  <c r="AK384" i="1"/>
  <c r="A384" i="1"/>
  <c r="GV383" i="1"/>
  <c r="GF383" i="1"/>
  <c r="GE383" i="1"/>
  <c r="GD383" i="1"/>
  <c r="GB383" i="1"/>
  <c r="FZ383" i="1"/>
  <c r="FX383" i="1"/>
  <c r="FV383" i="1"/>
  <c r="FT383" i="1"/>
  <c r="FR383" i="1"/>
  <c r="FP383" i="1"/>
  <c r="FO383" i="1"/>
  <c r="FN383" i="1"/>
  <c r="FL383" i="1"/>
  <c r="FJ383" i="1"/>
  <c r="FH383" i="1"/>
  <c r="FG383" i="1"/>
  <c r="FF383" i="1"/>
  <c r="FD383" i="1"/>
  <c r="FB383" i="1"/>
  <c r="EZ383" i="1"/>
  <c r="EY383" i="1"/>
  <c r="EX383" i="1"/>
  <c r="EV383" i="1"/>
  <c r="ET383" i="1"/>
  <c r="ER383" i="1"/>
  <c r="EP383" i="1"/>
  <c r="EO383" i="1"/>
  <c r="EN383" i="1"/>
  <c r="EL383" i="1"/>
  <c r="EJ383" i="1"/>
  <c r="EH383" i="1"/>
  <c r="EG383" i="1"/>
  <c r="EF383" i="1"/>
  <c r="ED383" i="1"/>
  <c r="EB383" i="1"/>
  <c r="DZ383" i="1"/>
  <c r="DY383" i="1"/>
  <c r="DX383" i="1"/>
  <c r="DV383" i="1"/>
  <c r="DT383" i="1"/>
  <c r="DR383" i="1"/>
  <c r="DP383" i="1"/>
  <c r="DN383" i="1"/>
  <c r="DL383" i="1"/>
  <c r="DJ383" i="1"/>
  <c r="DH383" i="1"/>
  <c r="DF383" i="1"/>
  <c r="DD383" i="1"/>
  <c r="DB383" i="1"/>
  <c r="AK383" i="1"/>
  <c r="A383" i="1"/>
  <c r="GV382" i="1"/>
  <c r="GF382" i="1"/>
  <c r="GE382" i="1"/>
  <c r="GD382" i="1"/>
  <c r="GB382" i="1"/>
  <c r="FZ382" i="1"/>
  <c r="FX382" i="1"/>
  <c r="FV382" i="1"/>
  <c r="FT382" i="1"/>
  <c r="FR382" i="1"/>
  <c r="FP382" i="1"/>
  <c r="FO382" i="1"/>
  <c r="FN382" i="1"/>
  <c r="FL382" i="1"/>
  <c r="FJ382" i="1"/>
  <c r="FH382" i="1"/>
  <c r="FG382" i="1"/>
  <c r="FF382" i="1"/>
  <c r="FD382" i="1"/>
  <c r="FB382" i="1"/>
  <c r="EZ382" i="1"/>
  <c r="EY382" i="1"/>
  <c r="EX382" i="1"/>
  <c r="EV382" i="1"/>
  <c r="ET382" i="1"/>
  <c r="ER382" i="1"/>
  <c r="EP382" i="1"/>
  <c r="EO382" i="1"/>
  <c r="EN382" i="1"/>
  <c r="EL382" i="1"/>
  <c r="EJ382" i="1"/>
  <c r="EH382" i="1"/>
  <c r="EG382" i="1"/>
  <c r="EF382" i="1"/>
  <c r="ED382" i="1"/>
  <c r="EB382" i="1"/>
  <c r="DZ382" i="1"/>
  <c r="DY382" i="1"/>
  <c r="DX382" i="1"/>
  <c r="DV382" i="1"/>
  <c r="DT382" i="1"/>
  <c r="DR382" i="1"/>
  <c r="DP382" i="1"/>
  <c r="DN382" i="1"/>
  <c r="DL382" i="1"/>
  <c r="DJ382" i="1"/>
  <c r="DH382" i="1"/>
  <c r="DF382" i="1"/>
  <c r="DD382" i="1"/>
  <c r="DB382" i="1"/>
  <c r="AK382" i="1"/>
  <c r="A382" i="1"/>
  <c r="GV381" i="1"/>
  <c r="GF381" i="1"/>
  <c r="GE381" i="1"/>
  <c r="GD381" i="1"/>
  <c r="GB381" i="1"/>
  <c r="FZ381" i="1"/>
  <c r="FX381" i="1"/>
  <c r="FV381" i="1"/>
  <c r="FT381" i="1"/>
  <c r="FR381" i="1"/>
  <c r="FP381" i="1"/>
  <c r="FO381" i="1"/>
  <c r="FN381" i="1"/>
  <c r="FL381" i="1"/>
  <c r="FJ381" i="1"/>
  <c r="FH381" i="1"/>
  <c r="FG381" i="1"/>
  <c r="FF381" i="1"/>
  <c r="FD381" i="1"/>
  <c r="FB381" i="1"/>
  <c r="EZ381" i="1"/>
  <c r="EY381" i="1"/>
  <c r="EX381" i="1"/>
  <c r="EV381" i="1"/>
  <c r="ET381" i="1"/>
  <c r="ER381" i="1"/>
  <c r="EP381" i="1"/>
  <c r="EO381" i="1"/>
  <c r="EN381" i="1"/>
  <c r="EL381" i="1"/>
  <c r="EJ381" i="1"/>
  <c r="EH381" i="1"/>
  <c r="EG381" i="1"/>
  <c r="EF381" i="1"/>
  <c r="ED381" i="1"/>
  <c r="EB381" i="1"/>
  <c r="DZ381" i="1"/>
  <c r="DY381" i="1"/>
  <c r="DX381" i="1"/>
  <c r="DV381" i="1"/>
  <c r="DT381" i="1"/>
  <c r="DR381" i="1"/>
  <c r="DP381" i="1"/>
  <c r="DN381" i="1"/>
  <c r="DL381" i="1"/>
  <c r="DJ381" i="1"/>
  <c r="DH381" i="1"/>
  <c r="DF381" i="1"/>
  <c r="DD381" i="1"/>
  <c r="DB381" i="1"/>
  <c r="AK381" i="1"/>
  <c r="A381" i="1"/>
  <c r="GV380" i="1"/>
  <c r="GF380" i="1"/>
  <c r="GE380" i="1"/>
  <c r="GD380" i="1"/>
  <c r="GB380" i="1"/>
  <c r="FZ380" i="1"/>
  <c r="FX380" i="1"/>
  <c r="FV380" i="1"/>
  <c r="FT380" i="1"/>
  <c r="FR380" i="1"/>
  <c r="FP380" i="1"/>
  <c r="FO380" i="1"/>
  <c r="FN380" i="1"/>
  <c r="FL380" i="1"/>
  <c r="FJ380" i="1"/>
  <c r="FH380" i="1"/>
  <c r="FG380" i="1"/>
  <c r="FF380" i="1"/>
  <c r="FD380" i="1"/>
  <c r="FB380" i="1"/>
  <c r="EZ380" i="1"/>
  <c r="EY380" i="1"/>
  <c r="EX380" i="1"/>
  <c r="EV380" i="1"/>
  <c r="ET380" i="1"/>
  <c r="ER380" i="1"/>
  <c r="EP380" i="1"/>
  <c r="EO380" i="1"/>
  <c r="EN380" i="1"/>
  <c r="EL380" i="1"/>
  <c r="EJ380" i="1"/>
  <c r="EH380" i="1"/>
  <c r="EG380" i="1"/>
  <c r="EF380" i="1"/>
  <c r="ED380" i="1"/>
  <c r="EB380" i="1"/>
  <c r="DZ380" i="1"/>
  <c r="DY380" i="1"/>
  <c r="DX380" i="1"/>
  <c r="DV380" i="1"/>
  <c r="DT380" i="1"/>
  <c r="DR380" i="1"/>
  <c r="DP380" i="1"/>
  <c r="DN380" i="1"/>
  <c r="DL380" i="1"/>
  <c r="DJ380" i="1"/>
  <c r="DH380" i="1"/>
  <c r="DF380" i="1"/>
  <c r="DD380" i="1"/>
  <c r="DB380" i="1"/>
  <c r="AK380" i="1"/>
  <c r="A380" i="1"/>
  <c r="GV379" i="1"/>
  <c r="GF379" i="1"/>
  <c r="GE379" i="1"/>
  <c r="GD379" i="1"/>
  <c r="GB379" i="1"/>
  <c r="FZ379" i="1"/>
  <c r="FX379" i="1"/>
  <c r="FV379" i="1"/>
  <c r="FT379" i="1"/>
  <c r="FR379" i="1"/>
  <c r="FP379" i="1"/>
  <c r="FO379" i="1"/>
  <c r="FN379" i="1"/>
  <c r="FL379" i="1"/>
  <c r="FJ379" i="1"/>
  <c r="FH379" i="1"/>
  <c r="FG379" i="1"/>
  <c r="FF379" i="1"/>
  <c r="FD379" i="1"/>
  <c r="FB379" i="1"/>
  <c r="EZ379" i="1"/>
  <c r="EY379" i="1"/>
  <c r="EX379" i="1"/>
  <c r="EV379" i="1"/>
  <c r="ET379" i="1"/>
  <c r="ER379" i="1"/>
  <c r="EP379" i="1"/>
  <c r="EO379" i="1"/>
  <c r="EN379" i="1"/>
  <c r="EL379" i="1"/>
  <c r="EJ379" i="1"/>
  <c r="EH379" i="1"/>
  <c r="EG379" i="1"/>
  <c r="EF379" i="1"/>
  <c r="ED379" i="1"/>
  <c r="EB379" i="1"/>
  <c r="DZ379" i="1"/>
  <c r="DY379" i="1"/>
  <c r="DX379" i="1"/>
  <c r="DV379" i="1"/>
  <c r="DT379" i="1"/>
  <c r="DR379" i="1"/>
  <c r="DP379" i="1"/>
  <c r="DN379" i="1"/>
  <c r="DL379" i="1"/>
  <c r="DJ379" i="1"/>
  <c r="DH379" i="1"/>
  <c r="DF379" i="1"/>
  <c r="DD379" i="1"/>
  <c r="DB379" i="1"/>
  <c r="AK379" i="1"/>
  <c r="A379" i="1"/>
  <c r="GV378" i="1"/>
  <c r="GF378" i="1"/>
  <c r="GE378" i="1"/>
  <c r="GD378" i="1"/>
  <c r="GB378" i="1"/>
  <c r="FZ378" i="1"/>
  <c r="FX378" i="1"/>
  <c r="FV378" i="1"/>
  <c r="FT378" i="1"/>
  <c r="FR378" i="1"/>
  <c r="FP378" i="1"/>
  <c r="FO378" i="1"/>
  <c r="FN378" i="1"/>
  <c r="FL378" i="1"/>
  <c r="FJ378" i="1"/>
  <c r="FH378" i="1"/>
  <c r="FG378" i="1"/>
  <c r="FF378" i="1"/>
  <c r="FD378" i="1"/>
  <c r="FB378" i="1"/>
  <c r="EZ378" i="1"/>
  <c r="EY378" i="1"/>
  <c r="EX378" i="1"/>
  <c r="EV378" i="1"/>
  <c r="ET378" i="1"/>
  <c r="ER378" i="1"/>
  <c r="EP378" i="1"/>
  <c r="EO378" i="1"/>
  <c r="EN378" i="1"/>
  <c r="EL378" i="1"/>
  <c r="EJ378" i="1"/>
  <c r="EH378" i="1"/>
  <c r="EG378" i="1"/>
  <c r="EF378" i="1"/>
  <c r="ED378" i="1"/>
  <c r="EB378" i="1"/>
  <c r="DZ378" i="1"/>
  <c r="DY378" i="1"/>
  <c r="DX378" i="1"/>
  <c r="DV378" i="1"/>
  <c r="DT378" i="1"/>
  <c r="DR378" i="1"/>
  <c r="DP378" i="1"/>
  <c r="DN378" i="1"/>
  <c r="DL378" i="1"/>
  <c r="DJ378" i="1"/>
  <c r="DH378" i="1"/>
  <c r="DF378" i="1"/>
  <c r="DD378" i="1"/>
  <c r="DB378" i="1"/>
  <c r="AK378" i="1"/>
  <c r="A378" i="1"/>
  <c r="GV377" i="1"/>
  <c r="GF377" i="1"/>
  <c r="GE377" i="1"/>
  <c r="GD377" i="1"/>
  <c r="GB377" i="1"/>
  <c r="FZ377" i="1"/>
  <c r="FX377" i="1"/>
  <c r="FV377" i="1"/>
  <c r="FT377" i="1"/>
  <c r="FR377" i="1"/>
  <c r="FP377" i="1"/>
  <c r="FO377" i="1"/>
  <c r="FN377" i="1"/>
  <c r="FL377" i="1"/>
  <c r="FJ377" i="1"/>
  <c r="FH377" i="1"/>
  <c r="FG377" i="1"/>
  <c r="FF377" i="1"/>
  <c r="FD377" i="1"/>
  <c r="FB377" i="1"/>
  <c r="EZ377" i="1"/>
  <c r="EY377" i="1"/>
  <c r="EX377" i="1"/>
  <c r="EV377" i="1"/>
  <c r="ET377" i="1"/>
  <c r="ER377" i="1"/>
  <c r="EP377" i="1"/>
  <c r="EO377" i="1"/>
  <c r="EN377" i="1"/>
  <c r="EL377" i="1"/>
  <c r="EJ377" i="1"/>
  <c r="EH377" i="1"/>
  <c r="EG377" i="1"/>
  <c r="EF377" i="1"/>
  <c r="ED377" i="1"/>
  <c r="EB377" i="1"/>
  <c r="DZ377" i="1"/>
  <c r="DY377" i="1"/>
  <c r="DX377" i="1"/>
  <c r="DV377" i="1"/>
  <c r="DT377" i="1"/>
  <c r="DR377" i="1"/>
  <c r="DP377" i="1"/>
  <c r="DN377" i="1"/>
  <c r="DL377" i="1"/>
  <c r="DJ377" i="1"/>
  <c r="DH377" i="1"/>
  <c r="DF377" i="1"/>
  <c r="DD377" i="1"/>
  <c r="DB377" i="1"/>
  <c r="AK377" i="1"/>
  <c r="A377" i="1"/>
  <c r="GV376" i="1"/>
  <c r="GF376" i="1"/>
  <c r="GE376" i="1"/>
  <c r="GD376" i="1"/>
  <c r="GB376" i="1"/>
  <c r="FZ376" i="1"/>
  <c r="FX376" i="1"/>
  <c r="FV376" i="1"/>
  <c r="FT376" i="1"/>
  <c r="FR376" i="1"/>
  <c r="FP376" i="1"/>
  <c r="FO376" i="1"/>
  <c r="FN376" i="1"/>
  <c r="FL376" i="1"/>
  <c r="FJ376" i="1"/>
  <c r="FH376" i="1"/>
  <c r="FG376" i="1"/>
  <c r="FF376" i="1"/>
  <c r="FD376" i="1"/>
  <c r="FB376" i="1"/>
  <c r="EZ376" i="1"/>
  <c r="EY376" i="1"/>
  <c r="EX376" i="1"/>
  <c r="EV376" i="1"/>
  <c r="ET376" i="1"/>
  <c r="ER376" i="1"/>
  <c r="EP376" i="1"/>
  <c r="EO376" i="1"/>
  <c r="EN376" i="1"/>
  <c r="EL376" i="1"/>
  <c r="EJ376" i="1"/>
  <c r="EH376" i="1"/>
  <c r="EG376" i="1"/>
  <c r="EF376" i="1"/>
  <c r="ED376" i="1"/>
  <c r="EB376" i="1"/>
  <c r="DZ376" i="1"/>
  <c r="DY376" i="1"/>
  <c r="DX376" i="1"/>
  <c r="DV376" i="1"/>
  <c r="DT376" i="1"/>
  <c r="DR376" i="1"/>
  <c r="DP376" i="1"/>
  <c r="DN376" i="1"/>
  <c r="DL376" i="1"/>
  <c r="DJ376" i="1"/>
  <c r="DH376" i="1"/>
  <c r="DF376" i="1"/>
  <c r="DD376" i="1"/>
  <c r="DB376" i="1"/>
  <c r="AK376" i="1"/>
  <c r="A376" i="1"/>
  <c r="GV375" i="1"/>
  <c r="GV374" i="1"/>
  <c r="GF374" i="1"/>
  <c r="GE374" i="1"/>
  <c r="GD374" i="1"/>
  <c r="GB374" i="1"/>
  <c r="FZ374" i="1"/>
  <c r="FX374" i="1"/>
  <c r="FV374" i="1"/>
  <c r="FT374" i="1"/>
  <c r="FR374" i="1"/>
  <c r="FP374" i="1"/>
  <c r="FO374" i="1"/>
  <c r="FN374" i="1"/>
  <c r="FL374" i="1"/>
  <c r="FJ374" i="1"/>
  <c r="FH374" i="1"/>
  <c r="FG374" i="1"/>
  <c r="FF374" i="1"/>
  <c r="FD374" i="1"/>
  <c r="FB374" i="1"/>
  <c r="EZ374" i="1"/>
  <c r="EY374" i="1"/>
  <c r="EX374" i="1"/>
  <c r="EV374" i="1"/>
  <c r="ET374" i="1"/>
  <c r="ER374" i="1"/>
  <c r="EP374" i="1"/>
  <c r="EO374" i="1"/>
  <c r="EN374" i="1"/>
  <c r="EL374" i="1"/>
  <c r="EJ374" i="1"/>
  <c r="EH374" i="1"/>
  <c r="EG374" i="1"/>
  <c r="EF374" i="1"/>
  <c r="ED374" i="1"/>
  <c r="EB374" i="1"/>
  <c r="DZ374" i="1"/>
  <c r="DY374" i="1"/>
  <c r="DX374" i="1"/>
  <c r="DV374" i="1"/>
  <c r="DT374" i="1"/>
  <c r="DR374" i="1"/>
  <c r="DP374" i="1"/>
  <c r="DN374" i="1"/>
  <c r="DL374" i="1"/>
  <c r="DJ374" i="1"/>
  <c r="DH374" i="1"/>
  <c r="DF374" i="1"/>
  <c r="DD374" i="1"/>
  <c r="DB374" i="1"/>
  <c r="AK374" i="1"/>
  <c r="A374" i="1"/>
  <c r="GV373" i="1"/>
  <c r="GF373" i="1"/>
  <c r="GE373" i="1"/>
  <c r="GD373" i="1"/>
  <c r="GB373" i="1"/>
  <c r="FZ373" i="1"/>
  <c r="FX373" i="1"/>
  <c r="FV373" i="1"/>
  <c r="FT373" i="1"/>
  <c r="FR373" i="1"/>
  <c r="FP373" i="1"/>
  <c r="FO373" i="1"/>
  <c r="FN373" i="1"/>
  <c r="FL373" i="1"/>
  <c r="FJ373" i="1"/>
  <c r="FH373" i="1"/>
  <c r="FG373" i="1"/>
  <c r="FF373" i="1"/>
  <c r="FD373" i="1"/>
  <c r="FB373" i="1"/>
  <c r="EZ373" i="1"/>
  <c r="EY373" i="1"/>
  <c r="EX373" i="1"/>
  <c r="EV373" i="1"/>
  <c r="ET373" i="1"/>
  <c r="ER373" i="1"/>
  <c r="EP373" i="1"/>
  <c r="EO373" i="1"/>
  <c r="EN373" i="1"/>
  <c r="EL373" i="1"/>
  <c r="EJ373" i="1"/>
  <c r="EH373" i="1"/>
  <c r="EG373" i="1"/>
  <c r="EF373" i="1"/>
  <c r="ED373" i="1"/>
  <c r="EB373" i="1"/>
  <c r="DZ373" i="1"/>
  <c r="DY373" i="1"/>
  <c r="DX373" i="1"/>
  <c r="DV373" i="1"/>
  <c r="DT373" i="1"/>
  <c r="DR373" i="1"/>
  <c r="DP373" i="1"/>
  <c r="DN373" i="1"/>
  <c r="DL373" i="1"/>
  <c r="DJ373" i="1"/>
  <c r="DH373" i="1"/>
  <c r="DF373" i="1"/>
  <c r="DD373" i="1"/>
  <c r="DB373" i="1"/>
  <c r="AK373" i="1"/>
  <c r="A373" i="1"/>
  <c r="GV372" i="1"/>
  <c r="GF372" i="1"/>
  <c r="GE372" i="1"/>
  <c r="GD372" i="1"/>
  <c r="GB372" i="1"/>
  <c r="FZ372" i="1"/>
  <c r="FX372" i="1"/>
  <c r="FV372" i="1"/>
  <c r="FT372" i="1"/>
  <c r="FR372" i="1"/>
  <c r="FP372" i="1"/>
  <c r="FO372" i="1"/>
  <c r="FN372" i="1"/>
  <c r="FL372" i="1"/>
  <c r="FJ372" i="1"/>
  <c r="FH372" i="1"/>
  <c r="FG372" i="1"/>
  <c r="FF372" i="1"/>
  <c r="FD372" i="1"/>
  <c r="FB372" i="1"/>
  <c r="EZ372" i="1"/>
  <c r="EY372" i="1"/>
  <c r="EX372" i="1"/>
  <c r="EV372" i="1"/>
  <c r="ET372" i="1"/>
  <c r="ER372" i="1"/>
  <c r="EP372" i="1"/>
  <c r="EO372" i="1"/>
  <c r="EN372" i="1"/>
  <c r="EL372" i="1"/>
  <c r="EJ372" i="1"/>
  <c r="EH372" i="1"/>
  <c r="EG372" i="1"/>
  <c r="EF372" i="1"/>
  <c r="ED372" i="1"/>
  <c r="EB372" i="1"/>
  <c r="DZ372" i="1"/>
  <c r="DY372" i="1"/>
  <c r="DX372" i="1"/>
  <c r="DV372" i="1"/>
  <c r="DT372" i="1"/>
  <c r="DR372" i="1"/>
  <c r="DP372" i="1"/>
  <c r="DN372" i="1"/>
  <c r="DL372" i="1"/>
  <c r="DJ372" i="1"/>
  <c r="DH372" i="1"/>
  <c r="DF372" i="1"/>
  <c r="DD372" i="1"/>
  <c r="DB372" i="1"/>
  <c r="AK372" i="1"/>
  <c r="A372" i="1"/>
  <c r="GV371" i="1"/>
  <c r="GF371" i="1"/>
  <c r="GE371" i="1"/>
  <c r="GD371" i="1"/>
  <c r="GB371" i="1"/>
  <c r="FZ371" i="1"/>
  <c r="FX371" i="1"/>
  <c r="FV371" i="1"/>
  <c r="FT371" i="1"/>
  <c r="FR371" i="1"/>
  <c r="FP371" i="1"/>
  <c r="FO371" i="1"/>
  <c r="FN371" i="1"/>
  <c r="FL371" i="1"/>
  <c r="FJ371" i="1"/>
  <c r="FH371" i="1"/>
  <c r="FG371" i="1"/>
  <c r="FF371" i="1"/>
  <c r="FD371" i="1"/>
  <c r="FB371" i="1"/>
  <c r="EZ371" i="1"/>
  <c r="EY371" i="1"/>
  <c r="EX371" i="1"/>
  <c r="EV371" i="1"/>
  <c r="ET371" i="1"/>
  <c r="ER371" i="1"/>
  <c r="EP371" i="1"/>
  <c r="EO371" i="1"/>
  <c r="EN371" i="1"/>
  <c r="EL371" i="1"/>
  <c r="EJ371" i="1"/>
  <c r="EH371" i="1"/>
  <c r="EG371" i="1"/>
  <c r="EF371" i="1"/>
  <c r="ED371" i="1"/>
  <c r="EB371" i="1"/>
  <c r="DZ371" i="1"/>
  <c r="DY371" i="1"/>
  <c r="DX371" i="1"/>
  <c r="DV371" i="1"/>
  <c r="DT371" i="1"/>
  <c r="DR371" i="1"/>
  <c r="DP371" i="1"/>
  <c r="DN371" i="1"/>
  <c r="DL371" i="1"/>
  <c r="DJ371" i="1"/>
  <c r="DH371" i="1"/>
  <c r="DF371" i="1"/>
  <c r="DD371" i="1"/>
  <c r="DB371" i="1"/>
  <c r="AK371" i="1"/>
  <c r="A371" i="1"/>
  <c r="GV370" i="1"/>
  <c r="GF370" i="1"/>
  <c r="GE370" i="1"/>
  <c r="GD370" i="1"/>
  <c r="GB370" i="1"/>
  <c r="FZ370" i="1"/>
  <c r="FX370" i="1"/>
  <c r="FV370" i="1"/>
  <c r="FT370" i="1"/>
  <c r="FR370" i="1"/>
  <c r="FP370" i="1"/>
  <c r="FO370" i="1"/>
  <c r="FN370" i="1"/>
  <c r="FL370" i="1"/>
  <c r="FJ370" i="1"/>
  <c r="FH370" i="1"/>
  <c r="FG370" i="1"/>
  <c r="FF370" i="1"/>
  <c r="FD370" i="1"/>
  <c r="FB370" i="1"/>
  <c r="EZ370" i="1"/>
  <c r="EY370" i="1"/>
  <c r="EX370" i="1"/>
  <c r="EV370" i="1"/>
  <c r="ET370" i="1"/>
  <c r="ER370" i="1"/>
  <c r="EP370" i="1"/>
  <c r="EO370" i="1"/>
  <c r="EN370" i="1"/>
  <c r="EL370" i="1"/>
  <c r="EJ370" i="1"/>
  <c r="EH370" i="1"/>
  <c r="EG370" i="1"/>
  <c r="EF370" i="1"/>
  <c r="ED370" i="1"/>
  <c r="EB370" i="1"/>
  <c r="DZ370" i="1"/>
  <c r="DY370" i="1"/>
  <c r="DX370" i="1"/>
  <c r="DV370" i="1"/>
  <c r="DT370" i="1"/>
  <c r="DR370" i="1"/>
  <c r="DP370" i="1"/>
  <c r="DN370" i="1"/>
  <c r="DL370" i="1"/>
  <c r="DJ370" i="1"/>
  <c r="DH370" i="1"/>
  <c r="DF370" i="1"/>
  <c r="DD370" i="1"/>
  <c r="DB370" i="1"/>
  <c r="AK370" i="1"/>
  <c r="A370" i="1"/>
  <c r="GV369" i="1"/>
  <c r="GV368" i="1"/>
  <c r="GF368" i="1"/>
  <c r="GE368" i="1"/>
  <c r="GD368" i="1"/>
  <c r="GB368" i="1"/>
  <c r="FZ368" i="1"/>
  <c r="FX368" i="1"/>
  <c r="FV368" i="1"/>
  <c r="FT368" i="1"/>
  <c r="FR368" i="1"/>
  <c r="FP368" i="1"/>
  <c r="FO368" i="1"/>
  <c r="FN368" i="1"/>
  <c r="FL368" i="1"/>
  <c r="FJ368" i="1"/>
  <c r="FH368" i="1"/>
  <c r="FG368" i="1"/>
  <c r="FF368" i="1"/>
  <c r="FD368" i="1"/>
  <c r="FB368" i="1"/>
  <c r="EZ368" i="1"/>
  <c r="EY368" i="1"/>
  <c r="EX368" i="1"/>
  <c r="EV368" i="1"/>
  <c r="ET368" i="1"/>
  <c r="ER368" i="1"/>
  <c r="EP368" i="1"/>
  <c r="EO368" i="1"/>
  <c r="EN368" i="1"/>
  <c r="EL368" i="1"/>
  <c r="EJ368" i="1"/>
  <c r="EH368" i="1"/>
  <c r="EG368" i="1"/>
  <c r="EF368" i="1"/>
  <c r="ED368" i="1"/>
  <c r="EB368" i="1"/>
  <c r="DZ368" i="1"/>
  <c r="DY368" i="1"/>
  <c r="DX368" i="1"/>
  <c r="DV368" i="1"/>
  <c r="DT368" i="1"/>
  <c r="DR368" i="1"/>
  <c r="DP368" i="1"/>
  <c r="DN368" i="1"/>
  <c r="DL368" i="1"/>
  <c r="DJ368" i="1"/>
  <c r="DH368" i="1"/>
  <c r="DF368" i="1"/>
  <c r="DD368" i="1"/>
  <c r="DB368" i="1"/>
  <c r="AK368" i="1"/>
  <c r="A368" i="1"/>
  <c r="GV367" i="1"/>
  <c r="GF367" i="1"/>
  <c r="GE367" i="1"/>
  <c r="GD367" i="1"/>
  <c r="GB367" i="1"/>
  <c r="FZ367" i="1"/>
  <c r="FX367" i="1"/>
  <c r="FV367" i="1"/>
  <c r="FT367" i="1"/>
  <c r="FR367" i="1"/>
  <c r="FP367" i="1"/>
  <c r="FO367" i="1"/>
  <c r="FN367" i="1"/>
  <c r="FL367" i="1"/>
  <c r="FJ367" i="1"/>
  <c r="FH367" i="1"/>
  <c r="FG367" i="1"/>
  <c r="FF367" i="1"/>
  <c r="FD367" i="1"/>
  <c r="FB367" i="1"/>
  <c r="EZ367" i="1"/>
  <c r="EY367" i="1"/>
  <c r="EX367" i="1"/>
  <c r="EV367" i="1"/>
  <c r="ET367" i="1"/>
  <c r="ER367" i="1"/>
  <c r="EP367" i="1"/>
  <c r="EO367" i="1"/>
  <c r="EN367" i="1"/>
  <c r="EL367" i="1"/>
  <c r="EJ367" i="1"/>
  <c r="EH367" i="1"/>
  <c r="EG367" i="1"/>
  <c r="EF367" i="1"/>
  <c r="ED367" i="1"/>
  <c r="EB367" i="1"/>
  <c r="DZ367" i="1"/>
  <c r="DY367" i="1"/>
  <c r="DX367" i="1"/>
  <c r="DV367" i="1"/>
  <c r="DT367" i="1"/>
  <c r="DR367" i="1"/>
  <c r="DP367" i="1"/>
  <c r="DN367" i="1"/>
  <c r="DL367" i="1"/>
  <c r="DJ367" i="1"/>
  <c r="DH367" i="1"/>
  <c r="DF367" i="1"/>
  <c r="DD367" i="1"/>
  <c r="DB367" i="1"/>
  <c r="AK367" i="1"/>
  <c r="A367" i="1"/>
  <c r="GV366" i="1"/>
  <c r="GF366" i="1"/>
  <c r="GE366" i="1"/>
  <c r="GD366" i="1"/>
  <c r="GB366" i="1"/>
  <c r="FZ366" i="1"/>
  <c r="FX366" i="1"/>
  <c r="FV366" i="1"/>
  <c r="FT366" i="1"/>
  <c r="FR366" i="1"/>
  <c r="FP366" i="1"/>
  <c r="FO366" i="1"/>
  <c r="FN366" i="1"/>
  <c r="FL366" i="1"/>
  <c r="FJ366" i="1"/>
  <c r="FH366" i="1"/>
  <c r="FG366" i="1"/>
  <c r="FF366" i="1"/>
  <c r="FD366" i="1"/>
  <c r="FB366" i="1"/>
  <c r="EZ366" i="1"/>
  <c r="EY366" i="1"/>
  <c r="EX366" i="1"/>
  <c r="EV366" i="1"/>
  <c r="ET366" i="1"/>
  <c r="ER366" i="1"/>
  <c r="EP366" i="1"/>
  <c r="EO366" i="1"/>
  <c r="EN366" i="1"/>
  <c r="EL366" i="1"/>
  <c r="EJ366" i="1"/>
  <c r="EH366" i="1"/>
  <c r="EG366" i="1"/>
  <c r="EF366" i="1"/>
  <c r="ED366" i="1"/>
  <c r="EB366" i="1"/>
  <c r="DZ366" i="1"/>
  <c r="DY366" i="1"/>
  <c r="DX366" i="1"/>
  <c r="DV366" i="1"/>
  <c r="DT366" i="1"/>
  <c r="DR366" i="1"/>
  <c r="DP366" i="1"/>
  <c r="DN366" i="1"/>
  <c r="DL366" i="1"/>
  <c r="DJ366" i="1"/>
  <c r="DH366" i="1"/>
  <c r="DF366" i="1"/>
  <c r="DD366" i="1"/>
  <c r="DB366" i="1"/>
  <c r="AK366" i="1"/>
  <c r="A366" i="1"/>
  <c r="GV365" i="1"/>
  <c r="GF365" i="1"/>
  <c r="GE365" i="1"/>
  <c r="GD365" i="1"/>
  <c r="GB365" i="1"/>
  <c r="FZ365" i="1"/>
  <c r="FX365" i="1"/>
  <c r="FV365" i="1"/>
  <c r="FT365" i="1"/>
  <c r="FR365" i="1"/>
  <c r="FP365" i="1"/>
  <c r="FO365" i="1"/>
  <c r="FN365" i="1"/>
  <c r="FL365" i="1"/>
  <c r="FJ365" i="1"/>
  <c r="FH365" i="1"/>
  <c r="FG365" i="1"/>
  <c r="FF365" i="1"/>
  <c r="FD365" i="1"/>
  <c r="FB365" i="1"/>
  <c r="EZ365" i="1"/>
  <c r="EY365" i="1"/>
  <c r="EX365" i="1"/>
  <c r="EV365" i="1"/>
  <c r="ET365" i="1"/>
  <c r="ER365" i="1"/>
  <c r="EP365" i="1"/>
  <c r="EO365" i="1"/>
  <c r="EN365" i="1"/>
  <c r="EL365" i="1"/>
  <c r="EJ365" i="1"/>
  <c r="EH365" i="1"/>
  <c r="EG365" i="1"/>
  <c r="EF365" i="1"/>
  <c r="ED365" i="1"/>
  <c r="EB365" i="1"/>
  <c r="DZ365" i="1"/>
  <c r="DY365" i="1"/>
  <c r="DX365" i="1"/>
  <c r="DV365" i="1"/>
  <c r="DT365" i="1"/>
  <c r="DR365" i="1"/>
  <c r="DP365" i="1"/>
  <c r="DN365" i="1"/>
  <c r="DL365" i="1"/>
  <c r="DJ365" i="1"/>
  <c r="DH365" i="1"/>
  <c r="DF365" i="1"/>
  <c r="DD365" i="1"/>
  <c r="DB365" i="1"/>
  <c r="AK365" i="1"/>
  <c r="A365" i="1"/>
  <c r="GV364" i="1"/>
  <c r="GF364" i="1"/>
  <c r="GE364" i="1"/>
  <c r="GD364" i="1"/>
  <c r="GB364" i="1"/>
  <c r="FZ364" i="1"/>
  <c r="FX364" i="1"/>
  <c r="FV364" i="1"/>
  <c r="FT364" i="1"/>
  <c r="FR364" i="1"/>
  <c r="FP364" i="1"/>
  <c r="FO364" i="1"/>
  <c r="FN364" i="1"/>
  <c r="FL364" i="1"/>
  <c r="FJ364" i="1"/>
  <c r="FH364" i="1"/>
  <c r="FG364" i="1"/>
  <c r="FF364" i="1"/>
  <c r="FD364" i="1"/>
  <c r="FB364" i="1"/>
  <c r="EZ364" i="1"/>
  <c r="EY364" i="1"/>
  <c r="EX364" i="1"/>
  <c r="EV364" i="1"/>
  <c r="ET364" i="1"/>
  <c r="ER364" i="1"/>
  <c r="EP364" i="1"/>
  <c r="EO364" i="1"/>
  <c r="EN364" i="1"/>
  <c r="EL364" i="1"/>
  <c r="EJ364" i="1"/>
  <c r="EH364" i="1"/>
  <c r="EG364" i="1"/>
  <c r="EF364" i="1"/>
  <c r="ED364" i="1"/>
  <c r="EB364" i="1"/>
  <c r="DZ364" i="1"/>
  <c r="DY364" i="1"/>
  <c r="DX364" i="1"/>
  <c r="DV364" i="1"/>
  <c r="DT364" i="1"/>
  <c r="DR364" i="1"/>
  <c r="DP364" i="1"/>
  <c r="DN364" i="1"/>
  <c r="DL364" i="1"/>
  <c r="DJ364" i="1"/>
  <c r="DH364" i="1"/>
  <c r="DF364" i="1"/>
  <c r="DD364" i="1"/>
  <c r="DB364" i="1"/>
  <c r="AK364" i="1"/>
  <c r="A364" i="1"/>
  <c r="GV363" i="1"/>
  <c r="GF363" i="1"/>
  <c r="GE363" i="1"/>
  <c r="GD363" i="1"/>
  <c r="GB363" i="1"/>
  <c r="FZ363" i="1"/>
  <c r="FX363" i="1"/>
  <c r="FV363" i="1"/>
  <c r="FT363" i="1"/>
  <c r="FR363" i="1"/>
  <c r="FP363" i="1"/>
  <c r="FO363" i="1"/>
  <c r="FN363" i="1"/>
  <c r="FL363" i="1"/>
  <c r="FJ363" i="1"/>
  <c r="FH363" i="1"/>
  <c r="FG363" i="1"/>
  <c r="FF363" i="1"/>
  <c r="FD363" i="1"/>
  <c r="FB363" i="1"/>
  <c r="EZ363" i="1"/>
  <c r="EY363" i="1"/>
  <c r="EX363" i="1"/>
  <c r="EV363" i="1"/>
  <c r="ET363" i="1"/>
  <c r="ER363" i="1"/>
  <c r="EP363" i="1"/>
  <c r="EO363" i="1"/>
  <c r="EN363" i="1"/>
  <c r="EL363" i="1"/>
  <c r="EJ363" i="1"/>
  <c r="EH363" i="1"/>
  <c r="EG363" i="1"/>
  <c r="EF363" i="1"/>
  <c r="ED363" i="1"/>
  <c r="EB363" i="1"/>
  <c r="DZ363" i="1"/>
  <c r="DY363" i="1"/>
  <c r="DX363" i="1"/>
  <c r="DV363" i="1"/>
  <c r="DT363" i="1"/>
  <c r="DR363" i="1"/>
  <c r="DP363" i="1"/>
  <c r="DN363" i="1"/>
  <c r="DL363" i="1"/>
  <c r="DJ363" i="1"/>
  <c r="DH363" i="1"/>
  <c r="DF363" i="1"/>
  <c r="DD363" i="1"/>
  <c r="DB363" i="1"/>
  <c r="AK363" i="1"/>
  <c r="A363" i="1"/>
  <c r="GV362" i="1"/>
  <c r="GF362" i="1"/>
  <c r="GE362" i="1"/>
  <c r="GD362" i="1"/>
  <c r="GB362" i="1"/>
  <c r="FZ362" i="1"/>
  <c r="FX362" i="1"/>
  <c r="FV362" i="1"/>
  <c r="FT362" i="1"/>
  <c r="FR362" i="1"/>
  <c r="FP362" i="1"/>
  <c r="FO362" i="1"/>
  <c r="FN362" i="1"/>
  <c r="FL362" i="1"/>
  <c r="FJ362" i="1"/>
  <c r="FH362" i="1"/>
  <c r="FG362" i="1"/>
  <c r="FF362" i="1"/>
  <c r="FD362" i="1"/>
  <c r="FB362" i="1"/>
  <c r="EZ362" i="1"/>
  <c r="EY362" i="1"/>
  <c r="EX362" i="1"/>
  <c r="EV362" i="1"/>
  <c r="ET362" i="1"/>
  <c r="ER362" i="1"/>
  <c r="EP362" i="1"/>
  <c r="EO362" i="1"/>
  <c r="EN362" i="1"/>
  <c r="EL362" i="1"/>
  <c r="EJ362" i="1"/>
  <c r="EH362" i="1"/>
  <c r="EG362" i="1"/>
  <c r="EF362" i="1"/>
  <c r="ED362" i="1"/>
  <c r="EB362" i="1"/>
  <c r="DZ362" i="1"/>
  <c r="DY362" i="1"/>
  <c r="DX362" i="1"/>
  <c r="DV362" i="1"/>
  <c r="DT362" i="1"/>
  <c r="DR362" i="1"/>
  <c r="DP362" i="1"/>
  <c r="DN362" i="1"/>
  <c r="DL362" i="1"/>
  <c r="DJ362" i="1"/>
  <c r="DH362" i="1"/>
  <c r="DF362" i="1"/>
  <c r="DD362" i="1"/>
  <c r="DB362" i="1"/>
  <c r="AK362" i="1"/>
  <c r="A362" i="1"/>
  <c r="GV361" i="1"/>
  <c r="GF361" i="1"/>
  <c r="GE361" i="1"/>
  <c r="GD361" i="1"/>
  <c r="GB361" i="1"/>
  <c r="FZ361" i="1"/>
  <c r="FX361" i="1"/>
  <c r="FV361" i="1"/>
  <c r="FT361" i="1"/>
  <c r="FR361" i="1"/>
  <c r="FP361" i="1"/>
  <c r="FO361" i="1"/>
  <c r="FN361" i="1"/>
  <c r="FL361" i="1"/>
  <c r="FJ361" i="1"/>
  <c r="FH361" i="1"/>
  <c r="FG361" i="1"/>
  <c r="FF361" i="1"/>
  <c r="FD361" i="1"/>
  <c r="FB361" i="1"/>
  <c r="EZ361" i="1"/>
  <c r="EY361" i="1"/>
  <c r="EX361" i="1"/>
  <c r="EV361" i="1"/>
  <c r="ET361" i="1"/>
  <c r="ER361" i="1"/>
  <c r="EP361" i="1"/>
  <c r="EO361" i="1"/>
  <c r="EN361" i="1"/>
  <c r="EL361" i="1"/>
  <c r="EJ361" i="1"/>
  <c r="EH361" i="1"/>
  <c r="EG361" i="1"/>
  <c r="EF361" i="1"/>
  <c r="ED361" i="1"/>
  <c r="EB361" i="1"/>
  <c r="DZ361" i="1"/>
  <c r="DY361" i="1"/>
  <c r="DX361" i="1"/>
  <c r="DV361" i="1"/>
  <c r="DT361" i="1"/>
  <c r="DR361" i="1"/>
  <c r="DP361" i="1"/>
  <c r="DN361" i="1"/>
  <c r="DL361" i="1"/>
  <c r="DJ361" i="1"/>
  <c r="DH361" i="1"/>
  <c r="DF361" i="1"/>
  <c r="DD361" i="1"/>
  <c r="DB361" i="1"/>
  <c r="AK361" i="1"/>
  <c r="A361" i="1"/>
  <c r="GV360" i="1"/>
  <c r="GF360" i="1"/>
  <c r="GE360" i="1"/>
  <c r="GD360" i="1"/>
  <c r="GB360" i="1"/>
  <c r="FZ360" i="1"/>
  <c r="FX360" i="1"/>
  <c r="FV360" i="1"/>
  <c r="FT360" i="1"/>
  <c r="FR360" i="1"/>
  <c r="FP360" i="1"/>
  <c r="FO360" i="1"/>
  <c r="FN360" i="1"/>
  <c r="FL360" i="1"/>
  <c r="FJ360" i="1"/>
  <c r="FH360" i="1"/>
  <c r="FG360" i="1"/>
  <c r="FF360" i="1"/>
  <c r="FD360" i="1"/>
  <c r="FB360" i="1"/>
  <c r="EZ360" i="1"/>
  <c r="EY360" i="1"/>
  <c r="EX360" i="1"/>
  <c r="EV360" i="1"/>
  <c r="ET360" i="1"/>
  <c r="ER360" i="1"/>
  <c r="EP360" i="1"/>
  <c r="EO360" i="1"/>
  <c r="EN360" i="1"/>
  <c r="EL360" i="1"/>
  <c r="EJ360" i="1"/>
  <c r="EH360" i="1"/>
  <c r="EG360" i="1"/>
  <c r="EF360" i="1"/>
  <c r="ED360" i="1"/>
  <c r="EB360" i="1"/>
  <c r="DZ360" i="1"/>
  <c r="DY360" i="1"/>
  <c r="DX360" i="1"/>
  <c r="DV360" i="1"/>
  <c r="DT360" i="1"/>
  <c r="DR360" i="1"/>
  <c r="DP360" i="1"/>
  <c r="DN360" i="1"/>
  <c r="DL360" i="1"/>
  <c r="DJ360" i="1"/>
  <c r="DH360" i="1"/>
  <c r="DF360" i="1"/>
  <c r="DD360" i="1"/>
  <c r="DB360" i="1"/>
  <c r="AK360" i="1"/>
  <c r="A360" i="1"/>
  <c r="GV359" i="1"/>
  <c r="GF359" i="1"/>
  <c r="GE359" i="1"/>
  <c r="GD359" i="1"/>
  <c r="GB359" i="1"/>
  <c r="FZ359" i="1"/>
  <c r="FX359" i="1"/>
  <c r="FV359" i="1"/>
  <c r="FT359" i="1"/>
  <c r="FR359" i="1"/>
  <c r="FP359" i="1"/>
  <c r="FO359" i="1"/>
  <c r="FN359" i="1"/>
  <c r="FL359" i="1"/>
  <c r="FJ359" i="1"/>
  <c r="FH359" i="1"/>
  <c r="FG359" i="1"/>
  <c r="FF359" i="1"/>
  <c r="FD359" i="1"/>
  <c r="FB359" i="1"/>
  <c r="EZ359" i="1"/>
  <c r="EY359" i="1"/>
  <c r="EX359" i="1"/>
  <c r="EV359" i="1"/>
  <c r="ET359" i="1"/>
  <c r="ER359" i="1"/>
  <c r="EP359" i="1"/>
  <c r="EO359" i="1"/>
  <c r="EN359" i="1"/>
  <c r="EL359" i="1"/>
  <c r="EJ359" i="1"/>
  <c r="EH359" i="1"/>
  <c r="EG359" i="1"/>
  <c r="EF359" i="1"/>
  <c r="ED359" i="1"/>
  <c r="EB359" i="1"/>
  <c r="DZ359" i="1"/>
  <c r="DY359" i="1"/>
  <c r="DX359" i="1"/>
  <c r="DV359" i="1"/>
  <c r="DT359" i="1"/>
  <c r="DR359" i="1"/>
  <c r="DP359" i="1"/>
  <c r="DN359" i="1"/>
  <c r="DL359" i="1"/>
  <c r="DJ359" i="1"/>
  <c r="DH359" i="1"/>
  <c r="DF359" i="1"/>
  <c r="DD359" i="1"/>
  <c r="DB359" i="1"/>
  <c r="AK359" i="1"/>
  <c r="A359" i="1"/>
  <c r="GV358" i="1"/>
  <c r="GF358" i="1"/>
  <c r="GE358" i="1"/>
  <c r="GD358" i="1"/>
  <c r="GB358" i="1"/>
  <c r="FZ358" i="1"/>
  <c r="FX358" i="1"/>
  <c r="FV358" i="1"/>
  <c r="FT358" i="1"/>
  <c r="FR358" i="1"/>
  <c r="FP358" i="1"/>
  <c r="FO358" i="1"/>
  <c r="FN358" i="1"/>
  <c r="FL358" i="1"/>
  <c r="FJ358" i="1"/>
  <c r="FH358" i="1"/>
  <c r="FG358" i="1"/>
  <c r="FF358" i="1"/>
  <c r="FD358" i="1"/>
  <c r="FB358" i="1"/>
  <c r="EZ358" i="1"/>
  <c r="EY358" i="1"/>
  <c r="EX358" i="1"/>
  <c r="EV358" i="1"/>
  <c r="ET358" i="1"/>
  <c r="ER358" i="1"/>
  <c r="EP358" i="1"/>
  <c r="EO358" i="1"/>
  <c r="EN358" i="1"/>
  <c r="EL358" i="1"/>
  <c r="EJ358" i="1"/>
  <c r="EH358" i="1"/>
  <c r="EG358" i="1"/>
  <c r="EF358" i="1"/>
  <c r="ED358" i="1"/>
  <c r="EB358" i="1"/>
  <c r="DZ358" i="1"/>
  <c r="DY358" i="1"/>
  <c r="DX358" i="1"/>
  <c r="DV358" i="1"/>
  <c r="DT358" i="1"/>
  <c r="DR358" i="1"/>
  <c r="DP358" i="1"/>
  <c r="DN358" i="1"/>
  <c r="DL358" i="1"/>
  <c r="DJ358" i="1"/>
  <c r="DH358" i="1"/>
  <c r="DF358" i="1"/>
  <c r="DD358" i="1"/>
  <c r="DB358" i="1"/>
  <c r="AK358" i="1"/>
  <c r="A358" i="1"/>
  <c r="GV357" i="1"/>
  <c r="GV356" i="1"/>
  <c r="GF356" i="1"/>
  <c r="GE356" i="1"/>
  <c r="GD356" i="1"/>
  <c r="GB356" i="1"/>
  <c r="FZ356" i="1"/>
  <c r="FX356" i="1"/>
  <c r="FV356" i="1"/>
  <c r="FT356" i="1"/>
  <c r="FR356" i="1"/>
  <c r="FP356" i="1"/>
  <c r="FO356" i="1"/>
  <c r="FN356" i="1"/>
  <c r="FL356" i="1"/>
  <c r="FJ356" i="1"/>
  <c r="FH356" i="1"/>
  <c r="FG356" i="1"/>
  <c r="FF356" i="1"/>
  <c r="FD356" i="1"/>
  <c r="FB356" i="1"/>
  <c r="EZ356" i="1"/>
  <c r="EY356" i="1"/>
  <c r="EX356" i="1"/>
  <c r="EV356" i="1"/>
  <c r="ET356" i="1"/>
  <c r="ER356" i="1"/>
  <c r="EP356" i="1"/>
  <c r="EO356" i="1"/>
  <c r="EN356" i="1"/>
  <c r="EL356" i="1"/>
  <c r="EJ356" i="1"/>
  <c r="EH356" i="1"/>
  <c r="EG356" i="1"/>
  <c r="EF356" i="1"/>
  <c r="ED356" i="1"/>
  <c r="EB356" i="1"/>
  <c r="DZ356" i="1"/>
  <c r="DY356" i="1"/>
  <c r="DX356" i="1"/>
  <c r="DV356" i="1"/>
  <c r="DT356" i="1"/>
  <c r="DR356" i="1"/>
  <c r="DP356" i="1"/>
  <c r="DN356" i="1"/>
  <c r="DL356" i="1"/>
  <c r="DJ356" i="1"/>
  <c r="DH356" i="1"/>
  <c r="DF356" i="1"/>
  <c r="DD356" i="1"/>
  <c r="DB356" i="1"/>
  <c r="AK356" i="1"/>
  <c r="A356" i="1"/>
  <c r="GV355" i="1"/>
  <c r="GF355" i="1"/>
  <c r="GE355" i="1"/>
  <c r="GD355" i="1"/>
  <c r="GB355" i="1"/>
  <c r="FZ355" i="1"/>
  <c r="FX355" i="1"/>
  <c r="FV355" i="1"/>
  <c r="FT355" i="1"/>
  <c r="FR355" i="1"/>
  <c r="FP355" i="1"/>
  <c r="FO355" i="1"/>
  <c r="FN355" i="1"/>
  <c r="FL355" i="1"/>
  <c r="FJ355" i="1"/>
  <c r="FH355" i="1"/>
  <c r="FG355" i="1"/>
  <c r="FF355" i="1"/>
  <c r="FD355" i="1"/>
  <c r="FB355" i="1"/>
  <c r="EZ355" i="1"/>
  <c r="EY355" i="1"/>
  <c r="EX355" i="1"/>
  <c r="EV355" i="1"/>
  <c r="ET355" i="1"/>
  <c r="ER355" i="1"/>
  <c r="EP355" i="1"/>
  <c r="EO355" i="1"/>
  <c r="EN355" i="1"/>
  <c r="EL355" i="1"/>
  <c r="EJ355" i="1"/>
  <c r="EH355" i="1"/>
  <c r="EG355" i="1"/>
  <c r="EF355" i="1"/>
  <c r="ED355" i="1"/>
  <c r="EB355" i="1"/>
  <c r="DZ355" i="1"/>
  <c r="DY355" i="1"/>
  <c r="DX355" i="1"/>
  <c r="DV355" i="1"/>
  <c r="DT355" i="1"/>
  <c r="DR355" i="1"/>
  <c r="DP355" i="1"/>
  <c r="DN355" i="1"/>
  <c r="DL355" i="1"/>
  <c r="DJ355" i="1"/>
  <c r="DH355" i="1"/>
  <c r="DF355" i="1"/>
  <c r="DD355" i="1"/>
  <c r="DB355" i="1"/>
  <c r="AK355" i="1"/>
  <c r="A355" i="1"/>
  <c r="GV354" i="1"/>
  <c r="GF354" i="1"/>
  <c r="GE354" i="1"/>
  <c r="GD354" i="1"/>
  <c r="GB354" i="1"/>
  <c r="FZ354" i="1"/>
  <c r="FX354" i="1"/>
  <c r="FV354" i="1"/>
  <c r="FT354" i="1"/>
  <c r="FR354" i="1"/>
  <c r="FP354" i="1"/>
  <c r="FO354" i="1"/>
  <c r="FN354" i="1"/>
  <c r="FL354" i="1"/>
  <c r="FJ354" i="1"/>
  <c r="FH354" i="1"/>
  <c r="FG354" i="1"/>
  <c r="FF354" i="1"/>
  <c r="FD354" i="1"/>
  <c r="FB354" i="1"/>
  <c r="EZ354" i="1"/>
  <c r="EY354" i="1"/>
  <c r="EX354" i="1"/>
  <c r="EV354" i="1"/>
  <c r="ET354" i="1"/>
  <c r="ER354" i="1"/>
  <c r="EP354" i="1"/>
  <c r="EO354" i="1"/>
  <c r="EN354" i="1"/>
  <c r="EL354" i="1"/>
  <c r="EJ354" i="1"/>
  <c r="EH354" i="1"/>
  <c r="EG354" i="1"/>
  <c r="EF354" i="1"/>
  <c r="ED354" i="1"/>
  <c r="EB354" i="1"/>
  <c r="DZ354" i="1"/>
  <c r="DY354" i="1"/>
  <c r="DX354" i="1"/>
  <c r="DV354" i="1"/>
  <c r="DT354" i="1"/>
  <c r="DR354" i="1"/>
  <c r="DP354" i="1"/>
  <c r="DN354" i="1"/>
  <c r="DL354" i="1"/>
  <c r="DJ354" i="1"/>
  <c r="DH354" i="1"/>
  <c r="DF354" i="1"/>
  <c r="DD354" i="1"/>
  <c r="DB354" i="1"/>
  <c r="AK354" i="1"/>
  <c r="A354" i="1"/>
  <c r="GV353" i="1"/>
  <c r="GF353" i="1"/>
  <c r="GE353" i="1"/>
  <c r="GD353" i="1"/>
  <c r="GB353" i="1"/>
  <c r="FZ353" i="1"/>
  <c r="FX353" i="1"/>
  <c r="FV353" i="1"/>
  <c r="FT353" i="1"/>
  <c r="FR353" i="1"/>
  <c r="FP353" i="1"/>
  <c r="FO353" i="1"/>
  <c r="FN353" i="1"/>
  <c r="FL353" i="1"/>
  <c r="FJ353" i="1"/>
  <c r="FH353" i="1"/>
  <c r="FG353" i="1"/>
  <c r="FF353" i="1"/>
  <c r="FD353" i="1"/>
  <c r="FB353" i="1"/>
  <c r="EZ353" i="1"/>
  <c r="EY353" i="1"/>
  <c r="EX353" i="1"/>
  <c r="EV353" i="1"/>
  <c r="ET353" i="1"/>
  <c r="ER353" i="1"/>
  <c r="EP353" i="1"/>
  <c r="EO353" i="1"/>
  <c r="EN353" i="1"/>
  <c r="EL353" i="1"/>
  <c r="EJ353" i="1"/>
  <c r="EH353" i="1"/>
  <c r="EG353" i="1"/>
  <c r="EF353" i="1"/>
  <c r="ED353" i="1"/>
  <c r="EB353" i="1"/>
  <c r="DZ353" i="1"/>
  <c r="DY353" i="1"/>
  <c r="DX353" i="1"/>
  <c r="DV353" i="1"/>
  <c r="DT353" i="1"/>
  <c r="DR353" i="1"/>
  <c r="DP353" i="1"/>
  <c r="DN353" i="1"/>
  <c r="DL353" i="1"/>
  <c r="DJ353" i="1"/>
  <c r="DH353" i="1"/>
  <c r="DF353" i="1"/>
  <c r="DD353" i="1"/>
  <c r="DB353" i="1"/>
  <c r="AK353" i="1"/>
  <c r="A353" i="1"/>
  <c r="GV352" i="1"/>
  <c r="GF352" i="1"/>
  <c r="GE352" i="1"/>
  <c r="GD352" i="1"/>
  <c r="GB352" i="1"/>
  <c r="FZ352" i="1"/>
  <c r="FX352" i="1"/>
  <c r="FV352" i="1"/>
  <c r="FT352" i="1"/>
  <c r="FR352" i="1"/>
  <c r="FP352" i="1"/>
  <c r="FO352" i="1"/>
  <c r="FN352" i="1"/>
  <c r="FL352" i="1"/>
  <c r="FJ352" i="1"/>
  <c r="FH352" i="1"/>
  <c r="FG352" i="1"/>
  <c r="FF352" i="1"/>
  <c r="FD352" i="1"/>
  <c r="FB352" i="1"/>
  <c r="EZ352" i="1"/>
  <c r="EY352" i="1"/>
  <c r="EX352" i="1"/>
  <c r="EV352" i="1"/>
  <c r="ET352" i="1"/>
  <c r="ER352" i="1"/>
  <c r="EP352" i="1"/>
  <c r="EO352" i="1"/>
  <c r="EN352" i="1"/>
  <c r="EL352" i="1"/>
  <c r="EJ352" i="1"/>
  <c r="EH352" i="1"/>
  <c r="EG352" i="1"/>
  <c r="EF352" i="1"/>
  <c r="ED352" i="1"/>
  <c r="EB352" i="1"/>
  <c r="DZ352" i="1"/>
  <c r="DY352" i="1"/>
  <c r="DX352" i="1"/>
  <c r="DV352" i="1"/>
  <c r="DT352" i="1"/>
  <c r="DR352" i="1"/>
  <c r="DP352" i="1"/>
  <c r="DN352" i="1"/>
  <c r="DL352" i="1"/>
  <c r="DJ352" i="1"/>
  <c r="DH352" i="1"/>
  <c r="DF352" i="1"/>
  <c r="DD352" i="1"/>
  <c r="DB352" i="1"/>
  <c r="AK352" i="1"/>
  <c r="A352" i="1"/>
  <c r="GV351" i="1"/>
  <c r="GF351" i="1"/>
  <c r="GE351" i="1"/>
  <c r="GD351" i="1"/>
  <c r="GB351" i="1"/>
  <c r="FZ351" i="1"/>
  <c r="FX351" i="1"/>
  <c r="FV351" i="1"/>
  <c r="FT351" i="1"/>
  <c r="FR351" i="1"/>
  <c r="FP351" i="1"/>
  <c r="FO351" i="1"/>
  <c r="FN351" i="1"/>
  <c r="FL351" i="1"/>
  <c r="FJ351" i="1"/>
  <c r="FH351" i="1"/>
  <c r="FG351" i="1"/>
  <c r="FF351" i="1"/>
  <c r="FD351" i="1"/>
  <c r="FB351" i="1"/>
  <c r="EZ351" i="1"/>
  <c r="EY351" i="1"/>
  <c r="EX351" i="1"/>
  <c r="EV351" i="1"/>
  <c r="ET351" i="1"/>
  <c r="ER351" i="1"/>
  <c r="EP351" i="1"/>
  <c r="EO351" i="1"/>
  <c r="EN351" i="1"/>
  <c r="EL351" i="1"/>
  <c r="EJ351" i="1"/>
  <c r="EH351" i="1"/>
  <c r="EG351" i="1"/>
  <c r="EF351" i="1"/>
  <c r="ED351" i="1"/>
  <c r="EB351" i="1"/>
  <c r="DZ351" i="1"/>
  <c r="DY351" i="1"/>
  <c r="DX351" i="1"/>
  <c r="DV351" i="1"/>
  <c r="DT351" i="1"/>
  <c r="DR351" i="1"/>
  <c r="DP351" i="1"/>
  <c r="DN351" i="1"/>
  <c r="DL351" i="1"/>
  <c r="DJ351" i="1"/>
  <c r="DH351" i="1"/>
  <c r="DF351" i="1"/>
  <c r="DD351" i="1"/>
  <c r="DB351" i="1"/>
  <c r="AK351" i="1"/>
  <c r="A351" i="1"/>
  <c r="GV350" i="1"/>
  <c r="GV349" i="1"/>
  <c r="GV348" i="1"/>
  <c r="GF348" i="1"/>
  <c r="GE348" i="1"/>
  <c r="GD348" i="1"/>
  <c r="GB348" i="1"/>
  <c r="FZ348" i="1"/>
  <c r="FX348" i="1"/>
  <c r="FV348" i="1"/>
  <c r="FT348" i="1"/>
  <c r="FR348" i="1"/>
  <c r="FP348" i="1"/>
  <c r="FO348" i="1"/>
  <c r="FN348" i="1"/>
  <c r="FL348" i="1"/>
  <c r="FJ348" i="1"/>
  <c r="FH348" i="1"/>
  <c r="FG348" i="1"/>
  <c r="FF348" i="1"/>
  <c r="FD348" i="1"/>
  <c r="FB348" i="1"/>
  <c r="EZ348" i="1"/>
  <c r="EY348" i="1"/>
  <c r="EX348" i="1"/>
  <c r="EV348" i="1"/>
  <c r="ET348" i="1"/>
  <c r="ER348" i="1"/>
  <c r="EP348" i="1"/>
  <c r="EO348" i="1"/>
  <c r="EN348" i="1"/>
  <c r="EL348" i="1"/>
  <c r="EJ348" i="1"/>
  <c r="EH348" i="1"/>
  <c r="EG348" i="1"/>
  <c r="EF348" i="1"/>
  <c r="ED348" i="1"/>
  <c r="EB348" i="1"/>
  <c r="DZ348" i="1"/>
  <c r="DY348" i="1"/>
  <c r="DX348" i="1"/>
  <c r="DV348" i="1"/>
  <c r="DT348" i="1"/>
  <c r="DR348" i="1"/>
  <c r="DP348" i="1"/>
  <c r="DN348" i="1"/>
  <c r="DL348" i="1"/>
  <c r="DJ348" i="1"/>
  <c r="DH348" i="1"/>
  <c r="DF348" i="1"/>
  <c r="DD348" i="1"/>
  <c r="DB348" i="1"/>
  <c r="AK348" i="1"/>
  <c r="A348" i="1"/>
  <c r="GV347" i="1"/>
  <c r="GF347" i="1"/>
  <c r="GE347" i="1"/>
  <c r="GD347" i="1"/>
  <c r="GB347" i="1"/>
  <c r="FZ347" i="1"/>
  <c r="FX347" i="1"/>
  <c r="FV347" i="1"/>
  <c r="FT347" i="1"/>
  <c r="FR347" i="1"/>
  <c r="FP347" i="1"/>
  <c r="FO347" i="1"/>
  <c r="FN347" i="1"/>
  <c r="FL347" i="1"/>
  <c r="FJ347" i="1"/>
  <c r="FH347" i="1"/>
  <c r="FG347" i="1"/>
  <c r="FF347" i="1"/>
  <c r="FD347" i="1"/>
  <c r="FB347" i="1"/>
  <c r="EZ347" i="1"/>
  <c r="EY347" i="1"/>
  <c r="EX347" i="1"/>
  <c r="EV347" i="1"/>
  <c r="ET347" i="1"/>
  <c r="ER347" i="1"/>
  <c r="EP347" i="1"/>
  <c r="EO347" i="1"/>
  <c r="EN347" i="1"/>
  <c r="EL347" i="1"/>
  <c r="EJ347" i="1"/>
  <c r="EH347" i="1"/>
  <c r="EG347" i="1"/>
  <c r="EF347" i="1"/>
  <c r="ED347" i="1"/>
  <c r="EB347" i="1"/>
  <c r="DZ347" i="1"/>
  <c r="DY347" i="1"/>
  <c r="DX347" i="1"/>
  <c r="DV347" i="1"/>
  <c r="DT347" i="1"/>
  <c r="DR347" i="1"/>
  <c r="DP347" i="1"/>
  <c r="DN347" i="1"/>
  <c r="DL347" i="1"/>
  <c r="DJ347" i="1"/>
  <c r="DH347" i="1"/>
  <c r="DF347" i="1"/>
  <c r="DD347" i="1"/>
  <c r="DB347" i="1"/>
  <c r="AK347" i="1"/>
  <c r="A347" i="1"/>
  <c r="GV346" i="1"/>
  <c r="GF346" i="1"/>
  <c r="GE346" i="1"/>
  <c r="GD346" i="1"/>
  <c r="GB346" i="1"/>
  <c r="FZ346" i="1"/>
  <c r="FX346" i="1"/>
  <c r="FV346" i="1"/>
  <c r="FT346" i="1"/>
  <c r="FR346" i="1"/>
  <c r="FP346" i="1"/>
  <c r="FO346" i="1"/>
  <c r="FN346" i="1"/>
  <c r="FL346" i="1"/>
  <c r="FJ346" i="1"/>
  <c r="FH346" i="1"/>
  <c r="FG346" i="1"/>
  <c r="FF346" i="1"/>
  <c r="FD346" i="1"/>
  <c r="FB346" i="1"/>
  <c r="EZ346" i="1"/>
  <c r="EY346" i="1"/>
  <c r="EX346" i="1"/>
  <c r="EV346" i="1"/>
  <c r="ET346" i="1"/>
  <c r="ER346" i="1"/>
  <c r="EP346" i="1"/>
  <c r="EO346" i="1"/>
  <c r="EN346" i="1"/>
  <c r="EL346" i="1"/>
  <c r="EJ346" i="1"/>
  <c r="EH346" i="1"/>
  <c r="EG346" i="1"/>
  <c r="EF346" i="1"/>
  <c r="ED346" i="1"/>
  <c r="EB346" i="1"/>
  <c r="DZ346" i="1"/>
  <c r="DY346" i="1"/>
  <c r="DX346" i="1"/>
  <c r="DV346" i="1"/>
  <c r="DT346" i="1"/>
  <c r="DR346" i="1"/>
  <c r="DP346" i="1"/>
  <c r="DN346" i="1"/>
  <c r="DL346" i="1"/>
  <c r="DJ346" i="1"/>
  <c r="DH346" i="1"/>
  <c r="DF346" i="1"/>
  <c r="DD346" i="1"/>
  <c r="DB346" i="1"/>
  <c r="AK346" i="1"/>
  <c r="A346" i="1"/>
  <c r="GV345" i="1"/>
  <c r="GF345" i="1"/>
  <c r="GE345" i="1"/>
  <c r="GD345" i="1"/>
  <c r="GB345" i="1"/>
  <c r="FZ345" i="1"/>
  <c r="FX345" i="1"/>
  <c r="FV345" i="1"/>
  <c r="FT345" i="1"/>
  <c r="FR345" i="1"/>
  <c r="FP345" i="1"/>
  <c r="FO345" i="1"/>
  <c r="FN345" i="1"/>
  <c r="FL345" i="1"/>
  <c r="FJ345" i="1"/>
  <c r="FH345" i="1"/>
  <c r="FG345" i="1"/>
  <c r="FF345" i="1"/>
  <c r="FD345" i="1"/>
  <c r="FB345" i="1"/>
  <c r="EZ345" i="1"/>
  <c r="EY345" i="1"/>
  <c r="EX345" i="1"/>
  <c r="EV345" i="1"/>
  <c r="ET345" i="1"/>
  <c r="ER345" i="1"/>
  <c r="EP345" i="1"/>
  <c r="EO345" i="1"/>
  <c r="EN345" i="1"/>
  <c r="EL345" i="1"/>
  <c r="EJ345" i="1"/>
  <c r="EH345" i="1"/>
  <c r="EG345" i="1"/>
  <c r="EF345" i="1"/>
  <c r="ED345" i="1"/>
  <c r="EB345" i="1"/>
  <c r="DZ345" i="1"/>
  <c r="DY345" i="1"/>
  <c r="DX345" i="1"/>
  <c r="DV345" i="1"/>
  <c r="DT345" i="1"/>
  <c r="DR345" i="1"/>
  <c r="DP345" i="1"/>
  <c r="DN345" i="1"/>
  <c r="DL345" i="1"/>
  <c r="DJ345" i="1"/>
  <c r="DH345" i="1"/>
  <c r="DF345" i="1"/>
  <c r="DD345" i="1"/>
  <c r="DB345" i="1"/>
  <c r="AK345" i="1"/>
  <c r="A345" i="1"/>
  <c r="GV344" i="1"/>
  <c r="GF344" i="1"/>
  <c r="GE344" i="1"/>
  <c r="GD344" i="1"/>
  <c r="GB344" i="1"/>
  <c r="FZ344" i="1"/>
  <c r="FX344" i="1"/>
  <c r="FV344" i="1"/>
  <c r="FT344" i="1"/>
  <c r="FR344" i="1"/>
  <c r="FP344" i="1"/>
  <c r="FO344" i="1"/>
  <c r="FN344" i="1"/>
  <c r="FL344" i="1"/>
  <c r="FJ344" i="1"/>
  <c r="FH344" i="1"/>
  <c r="FG344" i="1"/>
  <c r="FF344" i="1"/>
  <c r="FD344" i="1"/>
  <c r="FB344" i="1"/>
  <c r="EZ344" i="1"/>
  <c r="EY344" i="1"/>
  <c r="EX344" i="1"/>
  <c r="EV344" i="1"/>
  <c r="ET344" i="1"/>
  <c r="ER344" i="1"/>
  <c r="EP344" i="1"/>
  <c r="EO344" i="1"/>
  <c r="EN344" i="1"/>
  <c r="EL344" i="1"/>
  <c r="EJ344" i="1"/>
  <c r="EH344" i="1"/>
  <c r="EG344" i="1"/>
  <c r="EF344" i="1"/>
  <c r="ED344" i="1"/>
  <c r="EB344" i="1"/>
  <c r="DZ344" i="1"/>
  <c r="DY344" i="1"/>
  <c r="DX344" i="1"/>
  <c r="DV344" i="1"/>
  <c r="DT344" i="1"/>
  <c r="DR344" i="1"/>
  <c r="DP344" i="1"/>
  <c r="DN344" i="1"/>
  <c r="DL344" i="1"/>
  <c r="DJ344" i="1"/>
  <c r="DH344" i="1"/>
  <c r="DF344" i="1"/>
  <c r="DD344" i="1"/>
  <c r="DB344" i="1"/>
  <c r="AK344" i="1"/>
  <c r="A344" i="1"/>
  <c r="GV343" i="1"/>
  <c r="GF343" i="1"/>
  <c r="GE343" i="1"/>
  <c r="GD343" i="1"/>
  <c r="GB343" i="1"/>
  <c r="FZ343" i="1"/>
  <c r="FX343" i="1"/>
  <c r="FV343" i="1"/>
  <c r="FT343" i="1"/>
  <c r="FR343" i="1"/>
  <c r="FP343" i="1"/>
  <c r="FO343" i="1"/>
  <c r="FN343" i="1"/>
  <c r="FL343" i="1"/>
  <c r="FJ343" i="1"/>
  <c r="FH343" i="1"/>
  <c r="FG343" i="1"/>
  <c r="FF343" i="1"/>
  <c r="FD343" i="1"/>
  <c r="FB343" i="1"/>
  <c r="EZ343" i="1"/>
  <c r="EY343" i="1"/>
  <c r="EX343" i="1"/>
  <c r="EV343" i="1"/>
  <c r="ET343" i="1"/>
  <c r="ER343" i="1"/>
  <c r="EP343" i="1"/>
  <c r="EO343" i="1"/>
  <c r="EN343" i="1"/>
  <c r="EL343" i="1"/>
  <c r="EJ343" i="1"/>
  <c r="EH343" i="1"/>
  <c r="EG343" i="1"/>
  <c r="EF343" i="1"/>
  <c r="ED343" i="1"/>
  <c r="EB343" i="1"/>
  <c r="DZ343" i="1"/>
  <c r="DY343" i="1"/>
  <c r="DX343" i="1"/>
  <c r="DV343" i="1"/>
  <c r="DT343" i="1"/>
  <c r="DR343" i="1"/>
  <c r="DP343" i="1"/>
  <c r="DN343" i="1"/>
  <c r="DL343" i="1"/>
  <c r="DJ343" i="1"/>
  <c r="DH343" i="1"/>
  <c r="DF343" i="1"/>
  <c r="DD343" i="1"/>
  <c r="DB343" i="1"/>
  <c r="AK343" i="1"/>
  <c r="A343" i="1"/>
  <c r="GV342" i="1"/>
  <c r="GF342" i="1"/>
  <c r="GE342" i="1"/>
  <c r="GD342" i="1"/>
  <c r="GB342" i="1"/>
  <c r="FZ342" i="1"/>
  <c r="FX342" i="1"/>
  <c r="FV342" i="1"/>
  <c r="FT342" i="1"/>
  <c r="FR342" i="1"/>
  <c r="FP342" i="1"/>
  <c r="FO342" i="1"/>
  <c r="FN342" i="1"/>
  <c r="FL342" i="1"/>
  <c r="FJ342" i="1"/>
  <c r="FH342" i="1"/>
  <c r="FG342" i="1"/>
  <c r="FF342" i="1"/>
  <c r="FD342" i="1"/>
  <c r="FB342" i="1"/>
  <c r="EZ342" i="1"/>
  <c r="EY342" i="1"/>
  <c r="EX342" i="1"/>
  <c r="EV342" i="1"/>
  <c r="ET342" i="1"/>
  <c r="ER342" i="1"/>
  <c r="EP342" i="1"/>
  <c r="EO342" i="1"/>
  <c r="EN342" i="1"/>
  <c r="EL342" i="1"/>
  <c r="EJ342" i="1"/>
  <c r="EH342" i="1"/>
  <c r="EG342" i="1"/>
  <c r="EF342" i="1"/>
  <c r="ED342" i="1"/>
  <c r="EB342" i="1"/>
  <c r="DZ342" i="1"/>
  <c r="DY342" i="1"/>
  <c r="DX342" i="1"/>
  <c r="DV342" i="1"/>
  <c r="DT342" i="1"/>
  <c r="DR342" i="1"/>
  <c r="DP342" i="1"/>
  <c r="DN342" i="1"/>
  <c r="DL342" i="1"/>
  <c r="DJ342" i="1"/>
  <c r="DH342" i="1"/>
  <c r="DF342" i="1"/>
  <c r="DD342" i="1"/>
  <c r="DB342" i="1"/>
  <c r="AK342" i="1"/>
  <c r="A342" i="1"/>
  <c r="GV341" i="1"/>
  <c r="GF341" i="1"/>
  <c r="GE341" i="1"/>
  <c r="GD341" i="1"/>
  <c r="GB341" i="1"/>
  <c r="FZ341" i="1"/>
  <c r="FX341" i="1"/>
  <c r="FV341" i="1"/>
  <c r="FT341" i="1"/>
  <c r="FR341" i="1"/>
  <c r="FP341" i="1"/>
  <c r="FO341" i="1"/>
  <c r="FN341" i="1"/>
  <c r="FL341" i="1"/>
  <c r="FJ341" i="1"/>
  <c r="FH341" i="1"/>
  <c r="FG341" i="1"/>
  <c r="FF341" i="1"/>
  <c r="FD341" i="1"/>
  <c r="FB341" i="1"/>
  <c r="EZ341" i="1"/>
  <c r="EY341" i="1"/>
  <c r="EX341" i="1"/>
  <c r="EV341" i="1"/>
  <c r="ET341" i="1"/>
  <c r="ER341" i="1"/>
  <c r="EP341" i="1"/>
  <c r="EO341" i="1"/>
  <c r="EN341" i="1"/>
  <c r="EL341" i="1"/>
  <c r="EJ341" i="1"/>
  <c r="EH341" i="1"/>
  <c r="EG341" i="1"/>
  <c r="EF341" i="1"/>
  <c r="ED341" i="1"/>
  <c r="EB341" i="1"/>
  <c r="DZ341" i="1"/>
  <c r="DY341" i="1"/>
  <c r="DX341" i="1"/>
  <c r="DV341" i="1"/>
  <c r="DT341" i="1"/>
  <c r="DR341" i="1"/>
  <c r="DP341" i="1"/>
  <c r="DN341" i="1"/>
  <c r="DL341" i="1"/>
  <c r="DJ341" i="1"/>
  <c r="DH341" i="1"/>
  <c r="DF341" i="1"/>
  <c r="DD341" i="1"/>
  <c r="DB341" i="1"/>
  <c r="AK341" i="1"/>
  <c r="A341" i="1"/>
  <c r="GV340" i="1"/>
  <c r="GF340" i="1"/>
  <c r="GE340" i="1"/>
  <c r="GD340" i="1"/>
  <c r="GB340" i="1"/>
  <c r="FZ340" i="1"/>
  <c r="FX340" i="1"/>
  <c r="FV340" i="1"/>
  <c r="FT340" i="1"/>
  <c r="FR340" i="1"/>
  <c r="FP340" i="1"/>
  <c r="FO340" i="1"/>
  <c r="FN340" i="1"/>
  <c r="FL340" i="1"/>
  <c r="FJ340" i="1"/>
  <c r="FH340" i="1"/>
  <c r="FG340" i="1"/>
  <c r="FF340" i="1"/>
  <c r="FD340" i="1"/>
  <c r="FB340" i="1"/>
  <c r="EZ340" i="1"/>
  <c r="EY340" i="1"/>
  <c r="EX340" i="1"/>
  <c r="EV340" i="1"/>
  <c r="ET340" i="1"/>
  <c r="ER340" i="1"/>
  <c r="EP340" i="1"/>
  <c r="EO340" i="1"/>
  <c r="EN340" i="1"/>
  <c r="EL340" i="1"/>
  <c r="EJ340" i="1"/>
  <c r="EH340" i="1"/>
  <c r="EG340" i="1"/>
  <c r="EF340" i="1"/>
  <c r="ED340" i="1"/>
  <c r="EB340" i="1"/>
  <c r="DZ340" i="1"/>
  <c r="DY340" i="1"/>
  <c r="DX340" i="1"/>
  <c r="DV340" i="1"/>
  <c r="DT340" i="1"/>
  <c r="DR340" i="1"/>
  <c r="DP340" i="1"/>
  <c r="DN340" i="1"/>
  <c r="DL340" i="1"/>
  <c r="DJ340" i="1"/>
  <c r="DH340" i="1"/>
  <c r="DF340" i="1"/>
  <c r="DD340" i="1"/>
  <c r="DB340" i="1"/>
  <c r="AK340" i="1"/>
  <c r="A340" i="1"/>
  <c r="GV339" i="1"/>
  <c r="GF339" i="1"/>
  <c r="GE339" i="1"/>
  <c r="GD339" i="1"/>
  <c r="GB339" i="1"/>
  <c r="FZ339" i="1"/>
  <c r="FX339" i="1"/>
  <c r="FV339" i="1"/>
  <c r="FT339" i="1"/>
  <c r="FR339" i="1"/>
  <c r="FP339" i="1"/>
  <c r="FO339" i="1"/>
  <c r="FN339" i="1"/>
  <c r="FL339" i="1"/>
  <c r="FJ339" i="1"/>
  <c r="FH339" i="1"/>
  <c r="FG339" i="1"/>
  <c r="FF339" i="1"/>
  <c r="FD339" i="1"/>
  <c r="FB339" i="1"/>
  <c r="EZ339" i="1"/>
  <c r="EY339" i="1"/>
  <c r="EX339" i="1"/>
  <c r="EV339" i="1"/>
  <c r="ET339" i="1"/>
  <c r="ER339" i="1"/>
  <c r="EP339" i="1"/>
  <c r="EO339" i="1"/>
  <c r="EN339" i="1"/>
  <c r="EL339" i="1"/>
  <c r="EJ339" i="1"/>
  <c r="EH339" i="1"/>
  <c r="EG339" i="1"/>
  <c r="EF339" i="1"/>
  <c r="ED339" i="1"/>
  <c r="EB339" i="1"/>
  <c r="DZ339" i="1"/>
  <c r="DY339" i="1"/>
  <c r="DX339" i="1"/>
  <c r="DV339" i="1"/>
  <c r="DT339" i="1"/>
  <c r="DR339" i="1"/>
  <c r="DP339" i="1"/>
  <c r="DN339" i="1"/>
  <c r="DL339" i="1"/>
  <c r="DJ339" i="1"/>
  <c r="DH339" i="1"/>
  <c r="DF339" i="1"/>
  <c r="DD339" i="1"/>
  <c r="DB339" i="1"/>
  <c r="AK339" i="1"/>
  <c r="A339" i="1"/>
  <c r="GV338" i="1"/>
  <c r="GF338" i="1"/>
  <c r="GE338" i="1"/>
  <c r="GD338" i="1"/>
  <c r="GB338" i="1"/>
  <c r="FZ338" i="1"/>
  <c r="FX338" i="1"/>
  <c r="FV338" i="1"/>
  <c r="FT338" i="1"/>
  <c r="FR338" i="1"/>
  <c r="FP338" i="1"/>
  <c r="FO338" i="1"/>
  <c r="FN338" i="1"/>
  <c r="FL338" i="1"/>
  <c r="FJ338" i="1"/>
  <c r="FH338" i="1"/>
  <c r="FG338" i="1"/>
  <c r="FF338" i="1"/>
  <c r="FD338" i="1"/>
  <c r="FB338" i="1"/>
  <c r="EZ338" i="1"/>
  <c r="EY338" i="1"/>
  <c r="EX338" i="1"/>
  <c r="EV338" i="1"/>
  <c r="ET338" i="1"/>
  <c r="ER338" i="1"/>
  <c r="EP338" i="1"/>
  <c r="EO338" i="1"/>
  <c r="EN338" i="1"/>
  <c r="EL338" i="1"/>
  <c r="EJ338" i="1"/>
  <c r="EH338" i="1"/>
  <c r="EG338" i="1"/>
  <c r="EF338" i="1"/>
  <c r="ED338" i="1"/>
  <c r="EB338" i="1"/>
  <c r="DZ338" i="1"/>
  <c r="DY338" i="1"/>
  <c r="DX338" i="1"/>
  <c r="DV338" i="1"/>
  <c r="DT338" i="1"/>
  <c r="DR338" i="1"/>
  <c r="DP338" i="1"/>
  <c r="DN338" i="1"/>
  <c r="DL338" i="1"/>
  <c r="DJ338" i="1"/>
  <c r="DH338" i="1"/>
  <c r="DF338" i="1"/>
  <c r="DD338" i="1"/>
  <c r="DB338" i="1"/>
  <c r="AK338" i="1"/>
  <c r="A338" i="1"/>
  <c r="GV337" i="1"/>
  <c r="GF337" i="1"/>
  <c r="GE337" i="1"/>
  <c r="GD337" i="1"/>
  <c r="GB337" i="1"/>
  <c r="FZ337" i="1"/>
  <c r="FX337" i="1"/>
  <c r="FV337" i="1"/>
  <c r="FT337" i="1"/>
  <c r="FR337" i="1"/>
  <c r="FP337" i="1"/>
  <c r="FO337" i="1"/>
  <c r="FN337" i="1"/>
  <c r="FL337" i="1"/>
  <c r="FJ337" i="1"/>
  <c r="FH337" i="1"/>
  <c r="FG337" i="1"/>
  <c r="FF337" i="1"/>
  <c r="FD337" i="1"/>
  <c r="FB337" i="1"/>
  <c r="EZ337" i="1"/>
  <c r="EY337" i="1"/>
  <c r="EX337" i="1"/>
  <c r="EV337" i="1"/>
  <c r="ET337" i="1"/>
  <c r="ER337" i="1"/>
  <c r="EP337" i="1"/>
  <c r="EO337" i="1"/>
  <c r="EN337" i="1"/>
  <c r="EL337" i="1"/>
  <c r="EJ337" i="1"/>
  <c r="EH337" i="1"/>
  <c r="EG337" i="1"/>
  <c r="EF337" i="1"/>
  <c r="ED337" i="1"/>
  <c r="EB337" i="1"/>
  <c r="DZ337" i="1"/>
  <c r="DY337" i="1"/>
  <c r="DX337" i="1"/>
  <c r="DV337" i="1"/>
  <c r="DT337" i="1"/>
  <c r="DR337" i="1"/>
  <c r="DP337" i="1"/>
  <c r="DN337" i="1"/>
  <c r="DL337" i="1"/>
  <c r="DJ337" i="1"/>
  <c r="DH337" i="1"/>
  <c r="DF337" i="1"/>
  <c r="DD337" i="1"/>
  <c r="DB337" i="1"/>
  <c r="AK337" i="1"/>
  <c r="A337" i="1"/>
  <c r="GV336" i="1"/>
  <c r="GF336" i="1"/>
  <c r="GE336" i="1"/>
  <c r="GD336" i="1"/>
  <c r="GB336" i="1"/>
  <c r="FZ336" i="1"/>
  <c r="FX336" i="1"/>
  <c r="FV336" i="1"/>
  <c r="FT336" i="1"/>
  <c r="FR336" i="1"/>
  <c r="FP336" i="1"/>
  <c r="FO336" i="1"/>
  <c r="FN336" i="1"/>
  <c r="FL336" i="1"/>
  <c r="FJ336" i="1"/>
  <c r="FH336" i="1"/>
  <c r="FG336" i="1"/>
  <c r="FF336" i="1"/>
  <c r="FD336" i="1"/>
  <c r="FB336" i="1"/>
  <c r="EZ336" i="1"/>
  <c r="EY336" i="1"/>
  <c r="EX336" i="1"/>
  <c r="EV336" i="1"/>
  <c r="ET336" i="1"/>
  <c r="ER336" i="1"/>
  <c r="EP336" i="1"/>
  <c r="EO336" i="1"/>
  <c r="EN336" i="1"/>
  <c r="EL336" i="1"/>
  <c r="EJ336" i="1"/>
  <c r="EH336" i="1"/>
  <c r="EG336" i="1"/>
  <c r="EF336" i="1"/>
  <c r="ED336" i="1"/>
  <c r="EB336" i="1"/>
  <c r="DZ336" i="1"/>
  <c r="DY336" i="1"/>
  <c r="DX336" i="1"/>
  <c r="DV336" i="1"/>
  <c r="DT336" i="1"/>
  <c r="DR336" i="1"/>
  <c r="DP336" i="1"/>
  <c r="DN336" i="1"/>
  <c r="DL336" i="1"/>
  <c r="DJ336" i="1"/>
  <c r="DH336" i="1"/>
  <c r="DF336" i="1"/>
  <c r="DD336" i="1"/>
  <c r="DB336" i="1"/>
  <c r="AK336" i="1"/>
  <c r="A336" i="1"/>
  <c r="GV335" i="1"/>
  <c r="GF335" i="1"/>
  <c r="GE335" i="1"/>
  <c r="GD335" i="1"/>
  <c r="GB335" i="1"/>
  <c r="FZ335" i="1"/>
  <c r="FX335" i="1"/>
  <c r="FV335" i="1"/>
  <c r="FT335" i="1"/>
  <c r="FR335" i="1"/>
  <c r="FP335" i="1"/>
  <c r="FO335" i="1"/>
  <c r="FN335" i="1"/>
  <c r="FL335" i="1"/>
  <c r="FJ335" i="1"/>
  <c r="FH335" i="1"/>
  <c r="FG335" i="1"/>
  <c r="FF335" i="1"/>
  <c r="FD335" i="1"/>
  <c r="FB335" i="1"/>
  <c r="EZ335" i="1"/>
  <c r="EY335" i="1"/>
  <c r="EX335" i="1"/>
  <c r="EV335" i="1"/>
  <c r="ET335" i="1"/>
  <c r="ER335" i="1"/>
  <c r="EP335" i="1"/>
  <c r="EO335" i="1"/>
  <c r="EN335" i="1"/>
  <c r="EL335" i="1"/>
  <c r="EJ335" i="1"/>
  <c r="EH335" i="1"/>
  <c r="EG335" i="1"/>
  <c r="EF335" i="1"/>
  <c r="ED335" i="1"/>
  <c r="EB335" i="1"/>
  <c r="DZ335" i="1"/>
  <c r="DY335" i="1"/>
  <c r="DX335" i="1"/>
  <c r="DV335" i="1"/>
  <c r="DT335" i="1"/>
  <c r="DR335" i="1"/>
  <c r="DP335" i="1"/>
  <c r="DN335" i="1"/>
  <c r="DL335" i="1"/>
  <c r="DJ335" i="1"/>
  <c r="DH335" i="1"/>
  <c r="DF335" i="1"/>
  <c r="DD335" i="1"/>
  <c r="DB335" i="1"/>
  <c r="AK335" i="1"/>
  <c r="A335" i="1"/>
  <c r="GV334" i="1"/>
  <c r="GV333" i="1"/>
  <c r="GF333" i="1"/>
  <c r="GE333" i="1"/>
  <c r="GD333" i="1"/>
  <c r="GB333" i="1"/>
  <c r="FZ333" i="1"/>
  <c r="FX333" i="1"/>
  <c r="FV333" i="1"/>
  <c r="FT333" i="1"/>
  <c r="FR333" i="1"/>
  <c r="FP333" i="1"/>
  <c r="FO333" i="1"/>
  <c r="FN333" i="1"/>
  <c r="FL333" i="1"/>
  <c r="FJ333" i="1"/>
  <c r="FH333" i="1"/>
  <c r="FG333" i="1"/>
  <c r="FF333" i="1"/>
  <c r="FD333" i="1"/>
  <c r="FB333" i="1"/>
  <c r="EZ333" i="1"/>
  <c r="EY333" i="1"/>
  <c r="EX333" i="1"/>
  <c r="EV333" i="1"/>
  <c r="ET333" i="1"/>
  <c r="ER333" i="1"/>
  <c r="EP333" i="1"/>
  <c r="EO333" i="1"/>
  <c r="EN333" i="1"/>
  <c r="EL333" i="1"/>
  <c r="EJ333" i="1"/>
  <c r="EH333" i="1"/>
  <c r="EG333" i="1"/>
  <c r="EF333" i="1"/>
  <c r="ED333" i="1"/>
  <c r="EB333" i="1"/>
  <c r="DZ333" i="1"/>
  <c r="DY333" i="1"/>
  <c r="DX333" i="1"/>
  <c r="DV333" i="1"/>
  <c r="DT333" i="1"/>
  <c r="DR333" i="1"/>
  <c r="DP333" i="1"/>
  <c r="DN333" i="1"/>
  <c r="DL333" i="1"/>
  <c r="DJ333" i="1"/>
  <c r="DH333" i="1"/>
  <c r="DF333" i="1"/>
  <c r="DD333" i="1"/>
  <c r="DB333" i="1"/>
  <c r="AK333" i="1"/>
  <c r="A333" i="1"/>
  <c r="GV332" i="1"/>
  <c r="GF332" i="1"/>
  <c r="GE332" i="1"/>
  <c r="GD332" i="1"/>
  <c r="GB332" i="1"/>
  <c r="FZ332" i="1"/>
  <c r="FX332" i="1"/>
  <c r="FV332" i="1"/>
  <c r="FT332" i="1"/>
  <c r="FR332" i="1"/>
  <c r="FP332" i="1"/>
  <c r="FO332" i="1"/>
  <c r="FN332" i="1"/>
  <c r="FL332" i="1"/>
  <c r="FJ332" i="1"/>
  <c r="FH332" i="1"/>
  <c r="FG332" i="1"/>
  <c r="FF332" i="1"/>
  <c r="FD332" i="1"/>
  <c r="FB332" i="1"/>
  <c r="EZ332" i="1"/>
  <c r="EY332" i="1"/>
  <c r="EX332" i="1"/>
  <c r="EV332" i="1"/>
  <c r="ET332" i="1"/>
  <c r="ER332" i="1"/>
  <c r="EP332" i="1"/>
  <c r="EO332" i="1"/>
  <c r="EN332" i="1"/>
  <c r="EL332" i="1"/>
  <c r="EJ332" i="1"/>
  <c r="EH332" i="1"/>
  <c r="EG332" i="1"/>
  <c r="EF332" i="1"/>
  <c r="ED332" i="1"/>
  <c r="EB332" i="1"/>
  <c r="DZ332" i="1"/>
  <c r="DY332" i="1"/>
  <c r="DX332" i="1"/>
  <c r="DV332" i="1"/>
  <c r="DT332" i="1"/>
  <c r="DR332" i="1"/>
  <c r="DP332" i="1"/>
  <c r="DN332" i="1"/>
  <c r="DL332" i="1"/>
  <c r="DJ332" i="1"/>
  <c r="DH332" i="1"/>
  <c r="DF332" i="1"/>
  <c r="DD332" i="1"/>
  <c r="DB332" i="1"/>
  <c r="AK332" i="1"/>
  <c r="A332" i="1"/>
  <c r="GV331" i="1"/>
  <c r="GV330" i="1"/>
  <c r="GF330" i="1"/>
  <c r="GE330" i="1"/>
  <c r="GD330" i="1"/>
  <c r="GB330" i="1"/>
  <c r="FZ330" i="1"/>
  <c r="FX330" i="1"/>
  <c r="FV330" i="1"/>
  <c r="FT330" i="1"/>
  <c r="FR330" i="1"/>
  <c r="FP330" i="1"/>
  <c r="FO330" i="1"/>
  <c r="FN330" i="1"/>
  <c r="FL330" i="1"/>
  <c r="FJ330" i="1"/>
  <c r="FH330" i="1"/>
  <c r="FG330" i="1"/>
  <c r="FF330" i="1"/>
  <c r="FD330" i="1"/>
  <c r="FB330" i="1"/>
  <c r="EZ330" i="1"/>
  <c r="EY330" i="1"/>
  <c r="EX330" i="1"/>
  <c r="EV330" i="1"/>
  <c r="ET330" i="1"/>
  <c r="ER330" i="1"/>
  <c r="EP330" i="1"/>
  <c r="EO330" i="1"/>
  <c r="EN330" i="1"/>
  <c r="EL330" i="1"/>
  <c r="EJ330" i="1"/>
  <c r="EH330" i="1"/>
  <c r="EG330" i="1"/>
  <c r="EF330" i="1"/>
  <c r="ED330" i="1"/>
  <c r="EB330" i="1"/>
  <c r="DZ330" i="1"/>
  <c r="DY330" i="1"/>
  <c r="DX330" i="1"/>
  <c r="DV330" i="1"/>
  <c r="DT330" i="1"/>
  <c r="DR330" i="1"/>
  <c r="DP330" i="1"/>
  <c r="DN330" i="1"/>
  <c r="DL330" i="1"/>
  <c r="DJ330" i="1"/>
  <c r="DH330" i="1"/>
  <c r="DF330" i="1"/>
  <c r="DD330" i="1"/>
  <c r="DB330" i="1"/>
  <c r="AK330" i="1"/>
  <c r="A330" i="1"/>
  <c r="GV329" i="1"/>
  <c r="GF329" i="1"/>
  <c r="GE329" i="1"/>
  <c r="GD329" i="1"/>
  <c r="GB329" i="1"/>
  <c r="FZ329" i="1"/>
  <c r="FX329" i="1"/>
  <c r="FV329" i="1"/>
  <c r="FT329" i="1"/>
  <c r="FR329" i="1"/>
  <c r="FP329" i="1"/>
  <c r="FO329" i="1"/>
  <c r="FN329" i="1"/>
  <c r="FL329" i="1"/>
  <c r="FJ329" i="1"/>
  <c r="FH329" i="1"/>
  <c r="FG329" i="1"/>
  <c r="FF329" i="1"/>
  <c r="FD329" i="1"/>
  <c r="FB329" i="1"/>
  <c r="EZ329" i="1"/>
  <c r="EY329" i="1"/>
  <c r="EX329" i="1"/>
  <c r="EV329" i="1"/>
  <c r="ET329" i="1"/>
  <c r="ER329" i="1"/>
  <c r="EP329" i="1"/>
  <c r="EO329" i="1"/>
  <c r="EN329" i="1"/>
  <c r="EL329" i="1"/>
  <c r="EJ329" i="1"/>
  <c r="EH329" i="1"/>
  <c r="EG329" i="1"/>
  <c r="EF329" i="1"/>
  <c r="ED329" i="1"/>
  <c r="EB329" i="1"/>
  <c r="DZ329" i="1"/>
  <c r="DY329" i="1"/>
  <c r="DX329" i="1"/>
  <c r="DV329" i="1"/>
  <c r="DT329" i="1"/>
  <c r="DR329" i="1"/>
  <c r="DP329" i="1"/>
  <c r="DN329" i="1"/>
  <c r="DL329" i="1"/>
  <c r="DJ329" i="1"/>
  <c r="DH329" i="1"/>
  <c r="DF329" i="1"/>
  <c r="DD329" i="1"/>
  <c r="DB329" i="1"/>
  <c r="AK329" i="1"/>
  <c r="A329" i="1"/>
  <c r="GV328" i="1"/>
  <c r="GF328" i="1"/>
  <c r="GE328" i="1"/>
  <c r="GD328" i="1"/>
  <c r="GB328" i="1"/>
  <c r="FZ328" i="1"/>
  <c r="FX328" i="1"/>
  <c r="FV328" i="1"/>
  <c r="FT328" i="1"/>
  <c r="FR328" i="1"/>
  <c r="FP328" i="1"/>
  <c r="FO328" i="1"/>
  <c r="FN328" i="1"/>
  <c r="FL328" i="1"/>
  <c r="FJ328" i="1"/>
  <c r="FH328" i="1"/>
  <c r="FG328" i="1"/>
  <c r="FF328" i="1"/>
  <c r="FD328" i="1"/>
  <c r="FB328" i="1"/>
  <c r="EZ328" i="1"/>
  <c r="EY328" i="1"/>
  <c r="EX328" i="1"/>
  <c r="EV328" i="1"/>
  <c r="ET328" i="1"/>
  <c r="ER328" i="1"/>
  <c r="EP328" i="1"/>
  <c r="EO328" i="1"/>
  <c r="EN328" i="1"/>
  <c r="EL328" i="1"/>
  <c r="EJ328" i="1"/>
  <c r="EH328" i="1"/>
  <c r="EG328" i="1"/>
  <c r="EF328" i="1"/>
  <c r="ED328" i="1"/>
  <c r="EB328" i="1"/>
  <c r="DZ328" i="1"/>
  <c r="DY328" i="1"/>
  <c r="DX328" i="1"/>
  <c r="DV328" i="1"/>
  <c r="DT328" i="1"/>
  <c r="DR328" i="1"/>
  <c r="DP328" i="1"/>
  <c r="DN328" i="1"/>
  <c r="DL328" i="1"/>
  <c r="DJ328" i="1"/>
  <c r="DH328" i="1"/>
  <c r="DF328" i="1"/>
  <c r="DD328" i="1"/>
  <c r="DB328" i="1"/>
  <c r="AK328" i="1"/>
  <c r="A328" i="1"/>
  <c r="GV327" i="1"/>
  <c r="GF327" i="1"/>
  <c r="GE327" i="1"/>
  <c r="GD327" i="1"/>
  <c r="GB327" i="1"/>
  <c r="FZ327" i="1"/>
  <c r="FX327" i="1"/>
  <c r="FV327" i="1"/>
  <c r="FT327" i="1"/>
  <c r="FR327" i="1"/>
  <c r="FP327" i="1"/>
  <c r="FO327" i="1"/>
  <c r="FN327" i="1"/>
  <c r="FL327" i="1"/>
  <c r="FJ327" i="1"/>
  <c r="FH327" i="1"/>
  <c r="FG327" i="1"/>
  <c r="FF327" i="1"/>
  <c r="FD327" i="1"/>
  <c r="FB327" i="1"/>
  <c r="EZ327" i="1"/>
  <c r="EY327" i="1"/>
  <c r="EX327" i="1"/>
  <c r="EV327" i="1"/>
  <c r="ET327" i="1"/>
  <c r="ER327" i="1"/>
  <c r="EP327" i="1"/>
  <c r="EO327" i="1"/>
  <c r="EN327" i="1"/>
  <c r="EL327" i="1"/>
  <c r="EJ327" i="1"/>
  <c r="EH327" i="1"/>
  <c r="EG327" i="1"/>
  <c r="EF327" i="1"/>
  <c r="ED327" i="1"/>
  <c r="EB327" i="1"/>
  <c r="DZ327" i="1"/>
  <c r="DY327" i="1"/>
  <c r="DX327" i="1"/>
  <c r="DV327" i="1"/>
  <c r="DT327" i="1"/>
  <c r="DR327" i="1"/>
  <c r="DP327" i="1"/>
  <c r="DN327" i="1"/>
  <c r="DL327" i="1"/>
  <c r="DJ327" i="1"/>
  <c r="DH327" i="1"/>
  <c r="DF327" i="1"/>
  <c r="DD327" i="1"/>
  <c r="DB327" i="1"/>
  <c r="AK327" i="1"/>
  <c r="A327" i="1"/>
  <c r="GV326" i="1"/>
  <c r="GF326" i="1"/>
  <c r="GE326" i="1"/>
  <c r="GD326" i="1"/>
  <c r="GB326" i="1"/>
  <c r="FZ326" i="1"/>
  <c r="FX326" i="1"/>
  <c r="FV326" i="1"/>
  <c r="FT326" i="1"/>
  <c r="FR326" i="1"/>
  <c r="FP326" i="1"/>
  <c r="FO326" i="1"/>
  <c r="FN326" i="1"/>
  <c r="FL326" i="1"/>
  <c r="FJ326" i="1"/>
  <c r="FH326" i="1"/>
  <c r="FG326" i="1"/>
  <c r="FF326" i="1"/>
  <c r="FD326" i="1"/>
  <c r="FB326" i="1"/>
  <c r="EZ326" i="1"/>
  <c r="EY326" i="1"/>
  <c r="EX326" i="1"/>
  <c r="EV326" i="1"/>
  <c r="ET326" i="1"/>
  <c r="ER326" i="1"/>
  <c r="EP326" i="1"/>
  <c r="EO326" i="1"/>
  <c r="EN326" i="1"/>
  <c r="EL326" i="1"/>
  <c r="EJ326" i="1"/>
  <c r="EH326" i="1"/>
  <c r="EG326" i="1"/>
  <c r="EF326" i="1"/>
  <c r="ED326" i="1"/>
  <c r="EB326" i="1"/>
  <c r="DZ326" i="1"/>
  <c r="DY326" i="1"/>
  <c r="DX326" i="1"/>
  <c r="DV326" i="1"/>
  <c r="DT326" i="1"/>
  <c r="DR326" i="1"/>
  <c r="DP326" i="1"/>
  <c r="DN326" i="1"/>
  <c r="DL326" i="1"/>
  <c r="DJ326" i="1"/>
  <c r="DH326" i="1"/>
  <c r="DF326" i="1"/>
  <c r="DD326" i="1"/>
  <c r="DB326" i="1"/>
  <c r="AK326" i="1"/>
  <c r="A326" i="1"/>
  <c r="GV325" i="1"/>
  <c r="GF325" i="1"/>
  <c r="GE325" i="1"/>
  <c r="GD325" i="1"/>
  <c r="GB325" i="1"/>
  <c r="FZ325" i="1"/>
  <c r="FX325" i="1"/>
  <c r="FV325" i="1"/>
  <c r="FT325" i="1"/>
  <c r="FR325" i="1"/>
  <c r="FP325" i="1"/>
  <c r="FO325" i="1"/>
  <c r="FN325" i="1"/>
  <c r="FL325" i="1"/>
  <c r="FJ325" i="1"/>
  <c r="FH325" i="1"/>
  <c r="FG325" i="1"/>
  <c r="FF325" i="1"/>
  <c r="FD325" i="1"/>
  <c r="FB325" i="1"/>
  <c r="EZ325" i="1"/>
  <c r="EY325" i="1"/>
  <c r="EX325" i="1"/>
  <c r="EV325" i="1"/>
  <c r="ET325" i="1"/>
  <c r="ER325" i="1"/>
  <c r="EP325" i="1"/>
  <c r="EO325" i="1"/>
  <c r="EN325" i="1"/>
  <c r="EL325" i="1"/>
  <c r="EJ325" i="1"/>
  <c r="EH325" i="1"/>
  <c r="EG325" i="1"/>
  <c r="EF325" i="1"/>
  <c r="ED325" i="1"/>
  <c r="EB325" i="1"/>
  <c r="DZ325" i="1"/>
  <c r="DY325" i="1"/>
  <c r="DX325" i="1"/>
  <c r="DV325" i="1"/>
  <c r="DT325" i="1"/>
  <c r="DR325" i="1"/>
  <c r="DP325" i="1"/>
  <c r="DN325" i="1"/>
  <c r="DL325" i="1"/>
  <c r="DJ325" i="1"/>
  <c r="DH325" i="1"/>
  <c r="DF325" i="1"/>
  <c r="DD325" i="1"/>
  <c r="DB325" i="1"/>
  <c r="AK325" i="1"/>
  <c r="A325" i="1"/>
  <c r="GV324" i="1"/>
  <c r="GF324" i="1"/>
  <c r="GE324" i="1"/>
  <c r="GD324" i="1"/>
  <c r="GB324" i="1"/>
  <c r="FZ324" i="1"/>
  <c r="FX324" i="1"/>
  <c r="FV324" i="1"/>
  <c r="FT324" i="1"/>
  <c r="FR324" i="1"/>
  <c r="FP324" i="1"/>
  <c r="FO324" i="1"/>
  <c r="FN324" i="1"/>
  <c r="FL324" i="1"/>
  <c r="FJ324" i="1"/>
  <c r="FH324" i="1"/>
  <c r="FG324" i="1"/>
  <c r="FF324" i="1"/>
  <c r="FD324" i="1"/>
  <c r="FB324" i="1"/>
  <c r="EZ324" i="1"/>
  <c r="EY324" i="1"/>
  <c r="EX324" i="1"/>
  <c r="EV324" i="1"/>
  <c r="ET324" i="1"/>
  <c r="ER324" i="1"/>
  <c r="EP324" i="1"/>
  <c r="EO324" i="1"/>
  <c r="EN324" i="1"/>
  <c r="EL324" i="1"/>
  <c r="EJ324" i="1"/>
  <c r="EH324" i="1"/>
  <c r="EG324" i="1"/>
  <c r="EF324" i="1"/>
  <c r="ED324" i="1"/>
  <c r="EB324" i="1"/>
  <c r="DZ324" i="1"/>
  <c r="DY324" i="1"/>
  <c r="DX324" i="1"/>
  <c r="DV324" i="1"/>
  <c r="DT324" i="1"/>
  <c r="DR324" i="1"/>
  <c r="DP324" i="1"/>
  <c r="DN324" i="1"/>
  <c r="DL324" i="1"/>
  <c r="DJ324" i="1"/>
  <c r="DH324" i="1"/>
  <c r="DF324" i="1"/>
  <c r="DD324" i="1"/>
  <c r="DB324" i="1"/>
  <c r="AK324" i="1"/>
  <c r="A324" i="1"/>
  <c r="GV323" i="1"/>
  <c r="GF323" i="1"/>
  <c r="GE323" i="1"/>
  <c r="GD323" i="1"/>
  <c r="GB323" i="1"/>
  <c r="FZ323" i="1"/>
  <c r="FX323" i="1"/>
  <c r="FV323" i="1"/>
  <c r="FT323" i="1"/>
  <c r="FR323" i="1"/>
  <c r="FP323" i="1"/>
  <c r="FO323" i="1"/>
  <c r="FN323" i="1"/>
  <c r="FL323" i="1"/>
  <c r="FJ323" i="1"/>
  <c r="FH323" i="1"/>
  <c r="FG323" i="1"/>
  <c r="FF323" i="1"/>
  <c r="FD323" i="1"/>
  <c r="FB323" i="1"/>
  <c r="EZ323" i="1"/>
  <c r="EY323" i="1"/>
  <c r="EX323" i="1"/>
  <c r="EV323" i="1"/>
  <c r="ET323" i="1"/>
  <c r="ER323" i="1"/>
  <c r="EP323" i="1"/>
  <c r="EO323" i="1"/>
  <c r="EN323" i="1"/>
  <c r="EL323" i="1"/>
  <c r="EJ323" i="1"/>
  <c r="EH323" i="1"/>
  <c r="EG323" i="1"/>
  <c r="EF323" i="1"/>
  <c r="ED323" i="1"/>
  <c r="EB323" i="1"/>
  <c r="DZ323" i="1"/>
  <c r="DY323" i="1"/>
  <c r="DX323" i="1"/>
  <c r="DV323" i="1"/>
  <c r="DT323" i="1"/>
  <c r="DR323" i="1"/>
  <c r="DP323" i="1"/>
  <c r="DN323" i="1"/>
  <c r="DL323" i="1"/>
  <c r="DJ323" i="1"/>
  <c r="DH323" i="1"/>
  <c r="DF323" i="1"/>
  <c r="DD323" i="1"/>
  <c r="DB323" i="1"/>
  <c r="AK323" i="1"/>
  <c r="A323" i="1"/>
  <c r="GV322" i="1"/>
  <c r="GF322" i="1"/>
  <c r="GE322" i="1"/>
  <c r="GD322" i="1"/>
  <c r="GB322" i="1"/>
  <c r="FZ322" i="1"/>
  <c r="FX322" i="1"/>
  <c r="FV322" i="1"/>
  <c r="FT322" i="1"/>
  <c r="FR322" i="1"/>
  <c r="FP322" i="1"/>
  <c r="FO322" i="1"/>
  <c r="FN322" i="1"/>
  <c r="FL322" i="1"/>
  <c r="FJ322" i="1"/>
  <c r="FH322" i="1"/>
  <c r="FG322" i="1"/>
  <c r="FF322" i="1"/>
  <c r="FD322" i="1"/>
  <c r="FB322" i="1"/>
  <c r="EZ322" i="1"/>
  <c r="EY322" i="1"/>
  <c r="EX322" i="1"/>
  <c r="EV322" i="1"/>
  <c r="ET322" i="1"/>
  <c r="ER322" i="1"/>
  <c r="EP322" i="1"/>
  <c r="EO322" i="1"/>
  <c r="EN322" i="1"/>
  <c r="EL322" i="1"/>
  <c r="EJ322" i="1"/>
  <c r="EH322" i="1"/>
  <c r="EG322" i="1"/>
  <c r="EF322" i="1"/>
  <c r="ED322" i="1"/>
  <c r="EB322" i="1"/>
  <c r="DZ322" i="1"/>
  <c r="DY322" i="1"/>
  <c r="DX322" i="1"/>
  <c r="DV322" i="1"/>
  <c r="DT322" i="1"/>
  <c r="DR322" i="1"/>
  <c r="DP322" i="1"/>
  <c r="DN322" i="1"/>
  <c r="DL322" i="1"/>
  <c r="DJ322" i="1"/>
  <c r="DH322" i="1"/>
  <c r="DF322" i="1"/>
  <c r="DD322" i="1"/>
  <c r="DB322" i="1"/>
  <c r="AK322" i="1"/>
  <c r="A322" i="1"/>
  <c r="GV321" i="1"/>
  <c r="GF321" i="1"/>
  <c r="GE321" i="1"/>
  <c r="GD321" i="1"/>
  <c r="GB321" i="1"/>
  <c r="FZ321" i="1"/>
  <c r="FX321" i="1"/>
  <c r="FV321" i="1"/>
  <c r="FT321" i="1"/>
  <c r="FR321" i="1"/>
  <c r="FP321" i="1"/>
  <c r="FO321" i="1"/>
  <c r="FN321" i="1"/>
  <c r="FL321" i="1"/>
  <c r="FJ321" i="1"/>
  <c r="FH321" i="1"/>
  <c r="FG321" i="1"/>
  <c r="FF321" i="1"/>
  <c r="FD321" i="1"/>
  <c r="FB321" i="1"/>
  <c r="EZ321" i="1"/>
  <c r="EY321" i="1"/>
  <c r="EX321" i="1"/>
  <c r="EV321" i="1"/>
  <c r="ET321" i="1"/>
  <c r="ER321" i="1"/>
  <c r="EP321" i="1"/>
  <c r="EO321" i="1"/>
  <c r="EN321" i="1"/>
  <c r="EL321" i="1"/>
  <c r="EJ321" i="1"/>
  <c r="EH321" i="1"/>
  <c r="EG321" i="1"/>
  <c r="EF321" i="1"/>
  <c r="ED321" i="1"/>
  <c r="EB321" i="1"/>
  <c r="DZ321" i="1"/>
  <c r="DY321" i="1"/>
  <c r="DX321" i="1"/>
  <c r="DV321" i="1"/>
  <c r="DT321" i="1"/>
  <c r="DR321" i="1"/>
  <c r="DP321" i="1"/>
  <c r="DN321" i="1"/>
  <c r="DL321" i="1"/>
  <c r="DJ321" i="1"/>
  <c r="DH321" i="1"/>
  <c r="DF321" i="1"/>
  <c r="DD321" i="1"/>
  <c r="DB321" i="1"/>
  <c r="AK321" i="1"/>
  <c r="A321" i="1"/>
  <c r="GV320" i="1"/>
  <c r="GF320" i="1"/>
  <c r="GE320" i="1"/>
  <c r="GD320" i="1"/>
  <c r="GB320" i="1"/>
  <c r="FZ320" i="1"/>
  <c r="FX320" i="1"/>
  <c r="FV320" i="1"/>
  <c r="FT320" i="1"/>
  <c r="FR320" i="1"/>
  <c r="FP320" i="1"/>
  <c r="FO320" i="1"/>
  <c r="FN320" i="1"/>
  <c r="FL320" i="1"/>
  <c r="FJ320" i="1"/>
  <c r="FH320" i="1"/>
  <c r="FG320" i="1"/>
  <c r="FF320" i="1"/>
  <c r="FD320" i="1"/>
  <c r="FB320" i="1"/>
  <c r="EZ320" i="1"/>
  <c r="EY320" i="1"/>
  <c r="EX320" i="1"/>
  <c r="EV320" i="1"/>
  <c r="ET320" i="1"/>
  <c r="ER320" i="1"/>
  <c r="EP320" i="1"/>
  <c r="EO320" i="1"/>
  <c r="EN320" i="1"/>
  <c r="EL320" i="1"/>
  <c r="EJ320" i="1"/>
  <c r="EH320" i="1"/>
  <c r="EG320" i="1"/>
  <c r="EF320" i="1"/>
  <c r="ED320" i="1"/>
  <c r="EB320" i="1"/>
  <c r="DZ320" i="1"/>
  <c r="DY320" i="1"/>
  <c r="DX320" i="1"/>
  <c r="DV320" i="1"/>
  <c r="DT320" i="1"/>
  <c r="DR320" i="1"/>
  <c r="DP320" i="1"/>
  <c r="DN320" i="1"/>
  <c r="DL320" i="1"/>
  <c r="DJ320" i="1"/>
  <c r="DH320" i="1"/>
  <c r="DF320" i="1"/>
  <c r="DD320" i="1"/>
  <c r="DB320" i="1"/>
  <c r="AK320" i="1"/>
  <c r="A320" i="1"/>
  <c r="GV319" i="1"/>
  <c r="GV318" i="1"/>
  <c r="GF318" i="1"/>
  <c r="GE318" i="1"/>
  <c r="GD318" i="1"/>
  <c r="GB318" i="1"/>
  <c r="FZ318" i="1"/>
  <c r="FX318" i="1"/>
  <c r="FV318" i="1"/>
  <c r="FT318" i="1"/>
  <c r="FR318" i="1"/>
  <c r="FP318" i="1"/>
  <c r="FO318" i="1"/>
  <c r="FN318" i="1"/>
  <c r="FL318" i="1"/>
  <c r="FJ318" i="1"/>
  <c r="FH318" i="1"/>
  <c r="FG318" i="1"/>
  <c r="FF318" i="1"/>
  <c r="FD318" i="1"/>
  <c r="FB318" i="1"/>
  <c r="EZ318" i="1"/>
  <c r="EY318" i="1"/>
  <c r="EX318" i="1"/>
  <c r="EV318" i="1"/>
  <c r="ET318" i="1"/>
  <c r="ER318" i="1"/>
  <c r="EP318" i="1"/>
  <c r="EO318" i="1"/>
  <c r="EN318" i="1"/>
  <c r="EL318" i="1"/>
  <c r="EJ318" i="1"/>
  <c r="EH318" i="1"/>
  <c r="EG318" i="1"/>
  <c r="EF318" i="1"/>
  <c r="ED318" i="1"/>
  <c r="EB318" i="1"/>
  <c r="DZ318" i="1"/>
  <c r="DY318" i="1"/>
  <c r="DX318" i="1"/>
  <c r="DV318" i="1"/>
  <c r="DT318" i="1"/>
  <c r="DR318" i="1"/>
  <c r="DP318" i="1"/>
  <c r="DN318" i="1"/>
  <c r="DL318" i="1"/>
  <c r="DJ318" i="1"/>
  <c r="DH318" i="1"/>
  <c r="DF318" i="1"/>
  <c r="DD318" i="1"/>
  <c r="DB318" i="1"/>
  <c r="AK318" i="1"/>
  <c r="A318" i="1"/>
  <c r="GV317" i="1"/>
  <c r="GF317" i="1"/>
  <c r="GE317" i="1"/>
  <c r="GD317" i="1"/>
  <c r="GB317" i="1"/>
  <c r="FZ317" i="1"/>
  <c r="FX317" i="1"/>
  <c r="FV317" i="1"/>
  <c r="FT317" i="1"/>
  <c r="FR317" i="1"/>
  <c r="FP317" i="1"/>
  <c r="FO317" i="1"/>
  <c r="FN317" i="1"/>
  <c r="FL317" i="1"/>
  <c r="FJ317" i="1"/>
  <c r="FH317" i="1"/>
  <c r="FG317" i="1"/>
  <c r="FF317" i="1"/>
  <c r="FD317" i="1"/>
  <c r="FB317" i="1"/>
  <c r="EZ317" i="1"/>
  <c r="EY317" i="1"/>
  <c r="EX317" i="1"/>
  <c r="EV317" i="1"/>
  <c r="ET317" i="1"/>
  <c r="ER317" i="1"/>
  <c r="EP317" i="1"/>
  <c r="EO317" i="1"/>
  <c r="EN317" i="1"/>
  <c r="EL317" i="1"/>
  <c r="EJ317" i="1"/>
  <c r="EH317" i="1"/>
  <c r="EG317" i="1"/>
  <c r="EF317" i="1"/>
  <c r="ED317" i="1"/>
  <c r="EB317" i="1"/>
  <c r="DZ317" i="1"/>
  <c r="DY317" i="1"/>
  <c r="DX317" i="1"/>
  <c r="DV317" i="1"/>
  <c r="DT317" i="1"/>
  <c r="DR317" i="1"/>
  <c r="DP317" i="1"/>
  <c r="DN317" i="1"/>
  <c r="DL317" i="1"/>
  <c r="DJ317" i="1"/>
  <c r="DH317" i="1"/>
  <c r="DF317" i="1"/>
  <c r="DD317" i="1"/>
  <c r="DB317" i="1"/>
  <c r="AK317" i="1"/>
  <c r="A317" i="1"/>
  <c r="GV316" i="1"/>
  <c r="GF316" i="1"/>
  <c r="GE316" i="1"/>
  <c r="GD316" i="1"/>
  <c r="GB316" i="1"/>
  <c r="FZ316" i="1"/>
  <c r="FX316" i="1"/>
  <c r="FV316" i="1"/>
  <c r="FT316" i="1"/>
  <c r="FR316" i="1"/>
  <c r="FP316" i="1"/>
  <c r="FO316" i="1"/>
  <c r="FN316" i="1"/>
  <c r="FL316" i="1"/>
  <c r="FJ316" i="1"/>
  <c r="FH316" i="1"/>
  <c r="FG316" i="1"/>
  <c r="FF316" i="1"/>
  <c r="FD316" i="1"/>
  <c r="FB316" i="1"/>
  <c r="EZ316" i="1"/>
  <c r="EY316" i="1"/>
  <c r="EX316" i="1"/>
  <c r="EV316" i="1"/>
  <c r="ET316" i="1"/>
  <c r="ER316" i="1"/>
  <c r="EP316" i="1"/>
  <c r="EO316" i="1"/>
  <c r="EN316" i="1"/>
  <c r="EL316" i="1"/>
  <c r="EJ316" i="1"/>
  <c r="EH316" i="1"/>
  <c r="EG316" i="1"/>
  <c r="EF316" i="1"/>
  <c r="ED316" i="1"/>
  <c r="EB316" i="1"/>
  <c r="DZ316" i="1"/>
  <c r="DY316" i="1"/>
  <c r="DX316" i="1"/>
  <c r="DV316" i="1"/>
  <c r="DT316" i="1"/>
  <c r="DR316" i="1"/>
  <c r="DP316" i="1"/>
  <c r="DN316" i="1"/>
  <c r="DL316" i="1"/>
  <c r="DJ316" i="1"/>
  <c r="DH316" i="1"/>
  <c r="DF316" i="1"/>
  <c r="DD316" i="1"/>
  <c r="DB316" i="1"/>
  <c r="AK316" i="1"/>
  <c r="A316" i="1"/>
  <c r="GV315" i="1"/>
  <c r="GV314" i="1"/>
  <c r="GF314" i="1"/>
  <c r="GE314" i="1"/>
  <c r="GD314" i="1"/>
  <c r="GB314" i="1"/>
  <c r="FZ314" i="1"/>
  <c r="FX314" i="1"/>
  <c r="FV314" i="1"/>
  <c r="FT314" i="1"/>
  <c r="FR314" i="1"/>
  <c r="FP314" i="1"/>
  <c r="FO314" i="1"/>
  <c r="FN314" i="1"/>
  <c r="FL314" i="1"/>
  <c r="FJ314" i="1"/>
  <c r="FH314" i="1"/>
  <c r="FG314" i="1"/>
  <c r="FF314" i="1"/>
  <c r="FD314" i="1"/>
  <c r="FB314" i="1"/>
  <c r="EZ314" i="1"/>
  <c r="EY314" i="1"/>
  <c r="EX314" i="1"/>
  <c r="EV314" i="1"/>
  <c r="ET314" i="1"/>
  <c r="ER314" i="1"/>
  <c r="EP314" i="1"/>
  <c r="EO314" i="1"/>
  <c r="EN314" i="1"/>
  <c r="EL314" i="1"/>
  <c r="EJ314" i="1"/>
  <c r="EH314" i="1"/>
  <c r="EG314" i="1"/>
  <c r="EF314" i="1"/>
  <c r="ED314" i="1"/>
  <c r="EB314" i="1"/>
  <c r="DZ314" i="1"/>
  <c r="DY314" i="1"/>
  <c r="DX314" i="1"/>
  <c r="DV314" i="1"/>
  <c r="DT314" i="1"/>
  <c r="DR314" i="1"/>
  <c r="DP314" i="1"/>
  <c r="DN314" i="1"/>
  <c r="DL314" i="1"/>
  <c r="DJ314" i="1"/>
  <c r="DH314" i="1"/>
  <c r="DF314" i="1"/>
  <c r="DD314" i="1"/>
  <c r="DB314" i="1"/>
  <c r="AK314" i="1"/>
  <c r="A314" i="1"/>
  <c r="GV313" i="1"/>
  <c r="GF313" i="1"/>
  <c r="GE313" i="1"/>
  <c r="GD313" i="1"/>
  <c r="GB313" i="1"/>
  <c r="FZ313" i="1"/>
  <c r="FX313" i="1"/>
  <c r="FV313" i="1"/>
  <c r="FT313" i="1"/>
  <c r="FR313" i="1"/>
  <c r="FP313" i="1"/>
  <c r="FO313" i="1"/>
  <c r="FN313" i="1"/>
  <c r="FL313" i="1"/>
  <c r="FJ313" i="1"/>
  <c r="FH313" i="1"/>
  <c r="FG313" i="1"/>
  <c r="FF313" i="1"/>
  <c r="FD313" i="1"/>
  <c r="FB313" i="1"/>
  <c r="EZ313" i="1"/>
  <c r="EY313" i="1"/>
  <c r="EX313" i="1"/>
  <c r="EV313" i="1"/>
  <c r="ET313" i="1"/>
  <c r="ER313" i="1"/>
  <c r="EP313" i="1"/>
  <c r="EO313" i="1"/>
  <c r="EN313" i="1"/>
  <c r="EL313" i="1"/>
  <c r="EJ313" i="1"/>
  <c r="EH313" i="1"/>
  <c r="EG313" i="1"/>
  <c r="EF313" i="1"/>
  <c r="ED313" i="1"/>
  <c r="EB313" i="1"/>
  <c r="DZ313" i="1"/>
  <c r="DY313" i="1"/>
  <c r="DX313" i="1"/>
  <c r="DV313" i="1"/>
  <c r="DT313" i="1"/>
  <c r="DR313" i="1"/>
  <c r="DP313" i="1"/>
  <c r="DN313" i="1"/>
  <c r="DL313" i="1"/>
  <c r="DJ313" i="1"/>
  <c r="DH313" i="1"/>
  <c r="DF313" i="1"/>
  <c r="DD313" i="1"/>
  <c r="DB313" i="1"/>
  <c r="AK313" i="1"/>
  <c r="A313" i="1"/>
  <c r="GV312" i="1"/>
  <c r="GF312" i="1"/>
  <c r="GE312" i="1"/>
  <c r="GD312" i="1"/>
  <c r="GB312" i="1"/>
  <c r="FZ312" i="1"/>
  <c r="FX312" i="1"/>
  <c r="FV312" i="1"/>
  <c r="FT312" i="1"/>
  <c r="FR312" i="1"/>
  <c r="FP312" i="1"/>
  <c r="FO312" i="1"/>
  <c r="FN312" i="1"/>
  <c r="FL312" i="1"/>
  <c r="FJ312" i="1"/>
  <c r="FH312" i="1"/>
  <c r="FG312" i="1"/>
  <c r="FF312" i="1"/>
  <c r="FD312" i="1"/>
  <c r="FB312" i="1"/>
  <c r="EZ312" i="1"/>
  <c r="EY312" i="1"/>
  <c r="EX312" i="1"/>
  <c r="EV312" i="1"/>
  <c r="ET312" i="1"/>
  <c r="ER312" i="1"/>
  <c r="EP312" i="1"/>
  <c r="EO312" i="1"/>
  <c r="EN312" i="1"/>
  <c r="EL312" i="1"/>
  <c r="EJ312" i="1"/>
  <c r="EH312" i="1"/>
  <c r="EG312" i="1"/>
  <c r="EF312" i="1"/>
  <c r="ED312" i="1"/>
  <c r="EB312" i="1"/>
  <c r="DZ312" i="1"/>
  <c r="DY312" i="1"/>
  <c r="DX312" i="1"/>
  <c r="DV312" i="1"/>
  <c r="DT312" i="1"/>
  <c r="DR312" i="1"/>
  <c r="DP312" i="1"/>
  <c r="DN312" i="1"/>
  <c r="DL312" i="1"/>
  <c r="DJ312" i="1"/>
  <c r="DH312" i="1"/>
  <c r="DF312" i="1"/>
  <c r="DD312" i="1"/>
  <c r="DB312" i="1"/>
  <c r="AK312" i="1"/>
  <c r="A312" i="1"/>
  <c r="GV311" i="1"/>
  <c r="GF311" i="1"/>
  <c r="GE311" i="1"/>
  <c r="GD311" i="1"/>
  <c r="GB311" i="1"/>
  <c r="FZ311" i="1"/>
  <c r="FX311" i="1"/>
  <c r="FV311" i="1"/>
  <c r="FT311" i="1"/>
  <c r="FR311" i="1"/>
  <c r="FP311" i="1"/>
  <c r="FO311" i="1"/>
  <c r="FN311" i="1"/>
  <c r="FL311" i="1"/>
  <c r="FJ311" i="1"/>
  <c r="FH311" i="1"/>
  <c r="FG311" i="1"/>
  <c r="FF311" i="1"/>
  <c r="FD311" i="1"/>
  <c r="FB311" i="1"/>
  <c r="EZ311" i="1"/>
  <c r="EY311" i="1"/>
  <c r="EX311" i="1"/>
  <c r="EV311" i="1"/>
  <c r="ET311" i="1"/>
  <c r="ER311" i="1"/>
  <c r="EP311" i="1"/>
  <c r="EO311" i="1"/>
  <c r="EN311" i="1"/>
  <c r="EL311" i="1"/>
  <c r="EJ311" i="1"/>
  <c r="EH311" i="1"/>
  <c r="EG311" i="1"/>
  <c r="EF311" i="1"/>
  <c r="ED311" i="1"/>
  <c r="EB311" i="1"/>
  <c r="DZ311" i="1"/>
  <c r="DY311" i="1"/>
  <c r="DX311" i="1"/>
  <c r="DV311" i="1"/>
  <c r="DT311" i="1"/>
  <c r="DR311" i="1"/>
  <c r="DP311" i="1"/>
  <c r="DN311" i="1"/>
  <c r="DL311" i="1"/>
  <c r="DJ311" i="1"/>
  <c r="DH311" i="1"/>
  <c r="DF311" i="1"/>
  <c r="DD311" i="1"/>
  <c r="DB311" i="1"/>
  <c r="AK311" i="1"/>
  <c r="A311" i="1"/>
  <c r="GV310" i="1"/>
  <c r="GF310" i="1"/>
  <c r="GE310" i="1"/>
  <c r="GD310" i="1"/>
  <c r="GB310" i="1"/>
  <c r="FZ310" i="1"/>
  <c r="FX310" i="1"/>
  <c r="FV310" i="1"/>
  <c r="FT310" i="1"/>
  <c r="FR310" i="1"/>
  <c r="FP310" i="1"/>
  <c r="FO310" i="1"/>
  <c r="FN310" i="1"/>
  <c r="FL310" i="1"/>
  <c r="FJ310" i="1"/>
  <c r="FH310" i="1"/>
  <c r="FG310" i="1"/>
  <c r="FF310" i="1"/>
  <c r="FD310" i="1"/>
  <c r="FB310" i="1"/>
  <c r="EZ310" i="1"/>
  <c r="EY310" i="1"/>
  <c r="EX310" i="1"/>
  <c r="EV310" i="1"/>
  <c r="ET310" i="1"/>
  <c r="ER310" i="1"/>
  <c r="EP310" i="1"/>
  <c r="EO310" i="1"/>
  <c r="EN310" i="1"/>
  <c r="EL310" i="1"/>
  <c r="EJ310" i="1"/>
  <c r="EH310" i="1"/>
  <c r="EG310" i="1"/>
  <c r="EF310" i="1"/>
  <c r="ED310" i="1"/>
  <c r="EB310" i="1"/>
  <c r="DZ310" i="1"/>
  <c r="DY310" i="1"/>
  <c r="DX310" i="1"/>
  <c r="DV310" i="1"/>
  <c r="DT310" i="1"/>
  <c r="DR310" i="1"/>
  <c r="DP310" i="1"/>
  <c r="DN310" i="1"/>
  <c r="DL310" i="1"/>
  <c r="DJ310" i="1"/>
  <c r="DH310" i="1"/>
  <c r="DF310" i="1"/>
  <c r="DD310" i="1"/>
  <c r="DB310" i="1"/>
  <c r="AK310" i="1"/>
  <c r="A310" i="1"/>
  <c r="GV309" i="1"/>
  <c r="GV308" i="1"/>
  <c r="GF308" i="1"/>
  <c r="GE308" i="1"/>
  <c r="GD308" i="1"/>
  <c r="GB308" i="1"/>
  <c r="FZ308" i="1"/>
  <c r="FX308" i="1"/>
  <c r="FV308" i="1"/>
  <c r="FT308" i="1"/>
  <c r="FR308" i="1"/>
  <c r="FP308" i="1"/>
  <c r="FO308" i="1"/>
  <c r="FN308" i="1"/>
  <c r="FL308" i="1"/>
  <c r="FJ308" i="1"/>
  <c r="FH308" i="1"/>
  <c r="FG308" i="1"/>
  <c r="FF308" i="1"/>
  <c r="FD308" i="1"/>
  <c r="FB308" i="1"/>
  <c r="EZ308" i="1"/>
  <c r="EY308" i="1"/>
  <c r="EX308" i="1"/>
  <c r="EV308" i="1"/>
  <c r="ET308" i="1"/>
  <c r="ER308" i="1"/>
  <c r="EP308" i="1"/>
  <c r="EO308" i="1"/>
  <c r="EN308" i="1"/>
  <c r="EL308" i="1"/>
  <c r="EJ308" i="1"/>
  <c r="EH308" i="1"/>
  <c r="EG308" i="1"/>
  <c r="EF308" i="1"/>
  <c r="ED308" i="1"/>
  <c r="EB308" i="1"/>
  <c r="DZ308" i="1"/>
  <c r="DY308" i="1"/>
  <c r="DX308" i="1"/>
  <c r="DV308" i="1"/>
  <c r="DT308" i="1"/>
  <c r="DR308" i="1"/>
  <c r="DP308" i="1"/>
  <c r="DN308" i="1"/>
  <c r="DL308" i="1"/>
  <c r="DJ308" i="1"/>
  <c r="DH308" i="1"/>
  <c r="DF308" i="1"/>
  <c r="DD308" i="1"/>
  <c r="DB308" i="1"/>
  <c r="AK308" i="1"/>
  <c r="A308" i="1"/>
  <c r="GV307" i="1"/>
  <c r="GF307" i="1"/>
  <c r="GE307" i="1"/>
  <c r="GD307" i="1"/>
  <c r="GB307" i="1"/>
  <c r="FZ307" i="1"/>
  <c r="FX307" i="1"/>
  <c r="FV307" i="1"/>
  <c r="FT307" i="1"/>
  <c r="FR307" i="1"/>
  <c r="FP307" i="1"/>
  <c r="FO307" i="1"/>
  <c r="FN307" i="1"/>
  <c r="FL307" i="1"/>
  <c r="FJ307" i="1"/>
  <c r="FH307" i="1"/>
  <c r="FG307" i="1"/>
  <c r="FF307" i="1"/>
  <c r="FD307" i="1"/>
  <c r="FB307" i="1"/>
  <c r="EZ307" i="1"/>
  <c r="EY307" i="1"/>
  <c r="EX307" i="1"/>
  <c r="EV307" i="1"/>
  <c r="ET307" i="1"/>
  <c r="ER307" i="1"/>
  <c r="EP307" i="1"/>
  <c r="EO307" i="1"/>
  <c r="EN307" i="1"/>
  <c r="EL307" i="1"/>
  <c r="EJ307" i="1"/>
  <c r="EH307" i="1"/>
  <c r="EG307" i="1"/>
  <c r="EF307" i="1"/>
  <c r="ED307" i="1"/>
  <c r="EB307" i="1"/>
  <c r="DZ307" i="1"/>
  <c r="DY307" i="1"/>
  <c r="DX307" i="1"/>
  <c r="DV307" i="1"/>
  <c r="DT307" i="1"/>
  <c r="DR307" i="1"/>
  <c r="DP307" i="1"/>
  <c r="DN307" i="1"/>
  <c r="DL307" i="1"/>
  <c r="DJ307" i="1"/>
  <c r="DH307" i="1"/>
  <c r="DF307" i="1"/>
  <c r="DD307" i="1"/>
  <c r="DB307" i="1"/>
  <c r="AK307" i="1"/>
  <c r="A307" i="1"/>
  <c r="GV306" i="1"/>
  <c r="GF306" i="1"/>
  <c r="GE306" i="1"/>
  <c r="GD306" i="1"/>
  <c r="GB306" i="1"/>
  <c r="FZ306" i="1"/>
  <c r="FX306" i="1"/>
  <c r="FV306" i="1"/>
  <c r="FT306" i="1"/>
  <c r="FR306" i="1"/>
  <c r="FP306" i="1"/>
  <c r="FO306" i="1"/>
  <c r="FN306" i="1"/>
  <c r="FL306" i="1"/>
  <c r="FJ306" i="1"/>
  <c r="FH306" i="1"/>
  <c r="FG306" i="1"/>
  <c r="FF306" i="1"/>
  <c r="FD306" i="1"/>
  <c r="FB306" i="1"/>
  <c r="EZ306" i="1"/>
  <c r="EY306" i="1"/>
  <c r="EX306" i="1"/>
  <c r="EV306" i="1"/>
  <c r="ET306" i="1"/>
  <c r="ER306" i="1"/>
  <c r="EP306" i="1"/>
  <c r="EO306" i="1"/>
  <c r="EN306" i="1"/>
  <c r="EL306" i="1"/>
  <c r="EJ306" i="1"/>
  <c r="EH306" i="1"/>
  <c r="EG306" i="1"/>
  <c r="EF306" i="1"/>
  <c r="ED306" i="1"/>
  <c r="EB306" i="1"/>
  <c r="DZ306" i="1"/>
  <c r="DY306" i="1"/>
  <c r="DX306" i="1"/>
  <c r="DV306" i="1"/>
  <c r="DT306" i="1"/>
  <c r="DR306" i="1"/>
  <c r="DP306" i="1"/>
  <c r="DN306" i="1"/>
  <c r="DL306" i="1"/>
  <c r="DJ306" i="1"/>
  <c r="DH306" i="1"/>
  <c r="DF306" i="1"/>
  <c r="DD306" i="1"/>
  <c r="DB306" i="1"/>
  <c r="AK306" i="1"/>
  <c r="A306" i="1"/>
  <c r="GV305" i="1"/>
  <c r="GF305" i="1"/>
  <c r="GE305" i="1"/>
  <c r="GD305" i="1"/>
  <c r="GB305" i="1"/>
  <c r="FZ305" i="1"/>
  <c r="FX305" i="1"/>
  <c r="FV305" i="1"/>
  <c r="FT305" i="1"/>
  <c r="FR305" i="1"/>
  <c r="FP305" i="1"/>
  <c r="FO305" i="1"/>
  <c r="FN305" i="1"/>
  <c r="FL305" i="1"/>
  <c r="FJ305" i="1"/>
  <c r="FH305" i="1"/>
  <c r="FG305" i="1"/>
  <c r="FF305" i="1"/>
  <c r="FD305" i="1"/>
  <c r="FB305" i="1"/>
  <c r="EZ305" i="1"/>
  <c r="EY305" i="1"/>
  <c r="EX305" i="1"/>
  <c r="EV305" i="1"/>
  <c r="ET305" i="1"/>
  <c r="ER305" i="1"/>
  <c r="EP305" i="1"/>
  <c r="EO305" i="1"/>
  <c r="EN305" i="1"/>
  <c r="EL305" i="1"/>
  <c r="EJ305" i="1"/>
  <c r="EH305" i="1"/>
  <c r="EG305" i="1"/>
  <c r="EF305" i="1"/>
  <c r="ED305" i="1"/>
  <c r="EB305" i="1"/>
  <c r="DZ305" i="1"/>
  <c r="DY305" i="1"/>
  <c r="DX305" i="1"/>
  <c r="DV305" i="1"/>
  <c r="DT305" i="1"/>
  <c r="DR305" i="1"/>
  <c r="DP305" i="1"/>
  <c r="DN305" i="1"/>
  <c r="DL305" i="1"/>
  <c r="DJ305" i="1"/>
  <c r="DH305" i="1"/>
  <c r="DF305" i="1"/>
  <c r="DD305" i="1"/>
  <c r="DB305" i="1"/>
  <c r="AK305" i="1"/>
  <c r="A305" i="1"/>
  <c r="GV304" i="1"/>
  <c r="GF304" i="1"/>
  <c r="GE304" i="1"/>
  <c r="GD304" i="1"/>
  <c r="GB304" i="1"/>
  <c r="FZ304" i="1"/>
  <c r="FX304" i="1"/>
  <c r="FV304" i="1"/>
  <c r="FT304" i="1"/>
  <c r="FR304" i="1"/>
  <c r="FP304" i="1"/>
  <c r="FO304" i="1"/>
  <c r="FN304" i="1"/>
  <c r="FL304" i="1"/>
  <c r="FJ304" i="1"/>
  <c r="FH304" i="1"/>
  <c r="FG304" i="1"/>
  <c r="FF304" i="1"/>
  <c r="FD304" i="1"/>
  <c r="FB304" i="1"/>
  <c r="EZ304" i="1"/>
  <c r="EY304" i="1"/>
  <c r="EX304" i="1"/>
  <c r="EV304" i="1"/>
  <c r="ET304" i="1"/>
  <c r="ER304" i="1"/>
  <c r="EP304" i="1"/>
  <c r="EO304" i="1"/>
  <c r="EN304" i="1"/>
  <c r="EL304" i="1"/>
  <c r="EJ304" i="1"/>
  <c r="EH304" i="1"/>
  <c r="EG304" i="1"/>
  <c r="EF304" i="1"/>
  <c r="ED304" i="1"/>
  <c r="EB304" i="1"/>
  <c r="DZ304" i="1"/>
  <c r="DY304" i="1"/>
  <c r="DX304" i="1"/>
  <c r="DV304" i="1"/>
  <c r="DT304" i="1"/>
  <c r="DR304" i="1"/>
  <c r="DP304" i="1"/>
  <c r="DN304" i="1"/>
  <c r="DL304" i="1"/>
  <c r="DJ304" i="1"/>
  <c r="DH304" i="1"/>
  <c r="DF304" i="1"/>
  <c r="DD304" i="1"/>
  <c r="DB304" i="1"/>
  <c r="AK304" i="1"/>
  <c r="A304" i="1"/>
  <c r="GV303" i="1"/>
  <c r="GF303" i="1"/>
  <c r="GE303" i="1"/>
  <c r="GD303" i="1"/>
  <c r="GB303" i="1"/>
  <c r="FZ303" i="1"/>
  <c r="FX303" i="1"/>
  <c r="FV303" i="1"/>
  <c r="FT303" i="1"/>
  <c r="FR303" i="1"/>
  <c r="FP303" i="1"/>
  <c r="FO303" i="1"/>
  <c r="FN303" i="1"/>
  <c r="FL303" i="1"/>
  <c r="FJ303" i="1"/>
  <c r="FH303" i="1"/>
  <c r="FG303" i="1"/>
  <c r="FF303" i="1"/>
  <c r="FD303" i="1"/>
  <c r="FB303" i="1"/>
  <c r="EZ303" i="1"/>
  <c r="EY303" i="1"/>
  <c r="EX303" i="1"/>
  <c r="EV303" i="1"/>
  <c r="ET303" i="1"/>
  <c r="ER303" i="1"/>
  <c r="EP303" i="1"/>
  <c r="EO303" i="1"/>
  <c r="EN303" i="1"/>
  <c r="EL303" i="1"/>
  <c r="EJ303" i="1"/>
  <c r="EH303" i="1"/>
  <c r="EG303" i="1"/>
  <c r="EF303" i="1"/>
  <c r="ED303" i="1"/>
  <c r="EB303" i="1"/>
  <c r="DZ303" i="1"/>
  <c r="DY303" i="1"/>
  <c r="DX303" i="1"/>
  <c r="DV303" i="1"/>
  <c r="DT303" i="1"/>
  <c r="DR303" i="1"/>
  <c r="DP303" i="1"/>
  <c r="DN303" i="1"/>
  <c r="DL303" i="1"/>
  <c r="DJ303" i="1"/>
  <c r="DH303" i="1"/>
  <c r="DF303" i="1"/>
  <c r="DD303" i="1"/>
  <c r="DB303" i="1"/>
  <c r="AK303" i="1"/>
  <c r="A303" i="1"/>
  <c r="GV302" i="1"/>
  <c r="GF302" i="1"/>
  <c r="GE302" i="1"/>
  <c r="GD302" i="1"/>
  <c r="GB302" i="1"/>
  <c r="FZ302" i="1"/>
  <c r="FX302" i="1"/>
  <c r="FV302" i="1"/>
  <c r="FT302" i="1"/>
  <c r="FR302" i="1"/>
  <c r="FP302" i="1"/>
  <c r="FO302" i="1"/>
  <c r="FN302" i="1"/>
  <c r="FL302" i="1"/>
  <c r="FJ302" i="1"/>
  <c r="FH302" i="1"/>
  <c r="FG302" i="1"/>
  <c r="FF302" i="1"/>
  <c r="FD302" i="1"/>
  <c r="FB302" i="1"/>
  <c r="EZ302" i="1"/>
  <c r="EY302" i="1"/>
  <c r="EX302" i="1"/>
  <c r="EV302" i="1"/>
  <c r="ET302" i="1"/>
  <c r="ER302" i="1"/>
  <c r="EP302" i="1"/>
  <c r="EO302" i="1"/>
  <c r="EN302" i="1"/>
  <c r="EL302" i="1"/>
  <c r="EJ302" i="1"/>
  <c r="EH302" i="1"/>
  <c r="EG302" i="1"/>
  <c r="EF302" i="1"/>
  <c r="ED302" i="1"/>
  <c r="EB302" i="1"/>
  <c r="DZ302" i="1"/>
  <c r="DY302" i="1"/>
  <c r="DX302" i="1"/>
  <c r="DV302" i="1"/>
  <c r="DT302" i="1"/>
  <c r="DR302" i="1"/>
  <c r="DP302" i="1"/>
  <c r="DN302" i="1"/>
  <c r="DL302" i="1"/>
  <c r="DJ302" i="1"/>
  <c r="DH302" i="1"/>
  <c r="DF302" i="1"/>
  <c r="DD302" i="1"/>
  <c r="DB302" i="1"/>
  <c r="AK302" i="1"/>
  <c r="A302" i="1"/>
  <c r="GV301" i="1"/>
  <c r="GF301" i="1"/>
  <c r="GE301" i="1"/>
  <c r="GD301" i="1"/>
  <c r="GB301" i="1"/>
  <c r="FZ301" i="1"/>
  <c r="FX301" i="1"/>
  <c r="FV301" i="1"/>
  <c r="FT301" i="1"/>
  <c r="FR301" i="1"/>
  <c r="FP301" i="1"/>
  <c r="FO301" i="1"/>
  <c r="FN301" i="1"/>
  <c r="FL301" i="1"/>
  <c r="FJ301" i="1"/>
  <c r="FH301" i="1"/>
  <c r="FG301" i="1"/>
  <c r="FF301" i="1"/>
  <c r="FD301" i="1"/>
  <c r="FB301" i="1"/>
  <c r="EZ301" i="1"/>
  <c r="EY301" i="1"/>
  <c r="EX301" i="1"/>
  <c r="EV301" i="1"/>
  <c r="ET301" i="1"/>
  <c r="ER301" i="1"/>
  <c r="EP301" i="1"/>
  <c r="EO301" i="1"/>
  <c r="EN301" i="1"/>
  <c r="EL301" i="1"/>
  <c r="EJ301" i="1"/>
  <c r="EH301" i="1"/>
  <c r="EG301" i="1"/>
  <c r="EF301" i="1"/>
  <c r="ED301" i="1"/>
  <c r="EB301" i="1"/>
  <c r="DZ301" i="1"/>
  <c r="DY301" i="1"/>
  <c r="DX301" i="1"/>
  <c r="DV301" i="1"/>
  <c r="DT301" i="1"/>
  <c r="DR301" i="1"/>
  <c r="DP301" i="1"/>
  <c r="DN301" i="1"/>
  <c r="DL301" i="1"/>
  <c r="DJ301" i="1"/>
  <c r="DH301" i="1"/>
  <c r="DF301" i="1"/>
  <c r="DD301" i="1"/>
  <c r="DB301" i="1"/>
  <c r="AK301" i="1"/>
  <c r="A301" i="1"/>
  <c r="GV300" i="1"/>
  <c r="GF300" i="1"/>
  <c r="GE300" i="1"/>
  <c r="GD300" i="1"/>
  <c r="GB300" i="1"/>
  <c r="FZ300" i="1"/>
  <c r="FX300" i="1"/>
  <c r="FV300" i="1"/>
  <c r="FT300" i="1"/>
  <c r="FR300" i="1"/>
  <c r="FP300" i="1"/>
  <c r="FO300" i="1"/>
  <c r="FN300" i="1"/>
  <c r="FL300" i="1"/>
  <c r="FJ300" i="1"/>
  <c r="FH300" i="1"/>
  <c r="FG300" i="1"/>
  <c r="FF300" i="1"/>
  <c r="FD300" i="1"/>
  <c r="FB300" i="1"/>
  <c r="EZ300" i="1"/>
  <c r="EY300" i="1"/>
  <c r="EX300" i="1"/>
  <c r="EV300" i="1"/>
  <c r="ET300" i="1"/>
  <c r="ER300" i="1"/>
  <c r="EP300" i="1"/>
  <c r="EO300" i="1"/>
  <c r="EN300" i="1"/>
  <c r="EL300" i="1"/>
  <c r="EJ300" i="1"/>
  <c r="EH300" i="1"/>
  <c r="EG300" i="1"/>
  <c r="EF300" i="1"/>
  <c r="ED300" i="1"/>
  <c r="EB300" i="1"/>
  <c r="DZ300" i="1"/>
  <c r="DY300" i="1"/>
  <c r="DX300" i="1"/>
  <c r="DV300" i="1"/>
  <c r="DT300" i="1"/>
  <c r="DR300" i="1"/>
  <c r="DP300" i="1"/>
  <c r="DN300" i="1"/>
  <c r="DL300" i="1"/>
  <c r="DJ300" i="1"/>
  <c r="DH300" i="1"/>
  <c r="DF300" i="1"/>
  <c r="DD300" i="1"/>
  <c r="DB300" i="1"/>
  <c r="AK300" i="1"/>
  <c r="A300" i="1"/>
  <c r="GV299" i="1"/>
  <c r="GF299" i="1"/>
  <c r="GE299" i="1"/>
  <c r="GD299" i="1"/>
  <c r="GB299" i="1"/>
  <c r="FZ299" i="1"/>
  <c r="FX299" i="1"/>
  <c r="FV299" i="1"/>
  <c r="FT299" i="1"/>
  <c r="FR299" i="1"/>
  <c r="FP299" i="1"/>
  <c r="FO299" i="1"/>
  <c r="FN299" i="1"/>
  <c r="FL299" i="1"/>
  <c r="FJ299" i="1"/>
  <c r="FH299" i="1"/>
  <c r="FG299" i="1"/>
  <c r="FF299" i="1"/>
  <c r="FD299" i="1"/>
  <c r="FB299" i="1"/>
  <c r="EZ299" i="1"/>
  <c r="EY299" i="1"/>
  <c r="EX299" i="1"/>
  <c r="EV299" i="1"/>
  <c r="ET299" i="1"/>
  <c r="ER299" i="1"/>
  <c r="EP299" i="1"/>
  <c r="EO299" i="1"/>
  <c r="EN299" i="1"/>
  <c r="EL299" i="1"/>
  <c r="EJ299" i="1"/>
  <c r="EH299" i="1"/>
  <c r="EG299" i="1"/>
  <c r="EF299" i="1"/>
  <c r="ED299" i="1"/>
  <c r="EB299" i="1"/>
  <c r="DZ299" i="1"/>
  <c r="DY299" i="1"/>
  <c r="DX299" i="1"/>
  <c r="DV299" i="1"/>
  <c r="DT299" i="1"/>
  <c r="DR299" i="1"/>
  <c r="DP299" i="1"/>
  <c r="DN299" i="1"/>
  <c r="DL299" i="1"/>
  <c r="DJ299" i="1"/>
  <c r="DH299" i="1"/>
  <c r="DF299" i="1"/>
  <c r="DD299" i="1"/>
  <c r="DB299" i="1"/>
  <c r="AK299" i="1"/>
  <c r="A299" i="1"/>
  <c r="GV298" i="1"/>
  <c r="GF298" i="1"/>
  <c r="GE298" i="1"/>
  <c r="GD298" i="1"/>
  <c r="GB298" i="1"/>
  <c r="FZ298" i="1"/>
  <c r="FX298" i="1"/>
  <c r="FV298" i="1"/>
  <c r="FT298" i="1"/>
  <c r="FR298" i="1"/>
  <c r="FP298" i="1"/>
  <c r="FO298" i="1"/>
  <c r="FN298" i="1"/>
  <c r="FL298" i="1"/>
  <c r="FJ298" i="1"/>
  <c r="FH298" i="1"/>
  <c r="FG298" i="1"/>
  <c r="FF298" i="1"/>
  <c r="FD298" i="1"/>
  <c r="FB298" i="1"/>
  <c r="EZ298" i="1"/>
  <c r="EY298" i="1"/>
  <c r="EX298" i="1"/>
  <c r="EV298" i="1"/>
  <c r="ET298" i="1"/>
  <c r="ER298" i="1"/>
  <c r="EP298" i="1"/>
  <c r="EO298" i="1"/>
  <c r="EN298" i="1"/>
  <c r="EL298" i="1"/>
  <c r="EJ298" i="1"/>
  <c r="EH298" i="1"/>
  <c r="EG298" i="1"/>
  <c r="EF298" i="1"/>
  <c r="ED298" i="1"/>
  <c r="EB298" i="1"/>
  <c r="DZ298" i="1"/>
  <c r="DY298" i="1"/>
  <c r="DX298" i="1"/>
  <c r="DV298" i="1"/>
  <c r="DT298" i="1"/>
  <c r="DR298" i="1"/>
  <c r="DP298" i="1"/>
  <c r="DN298" i="1"/>
  <c r="DL298" i="1"/>
  <c r="DJ298" i="1"/>
  <c r="DH298" i="1"/>
  <c r="DF298" i="1"/>
  <c r="DD298" i="1"/>
  <c r="DB298" i="1"/>
  <c r="AK298" i="1"/>
  <c r="A298" i="1"/>
  <c r="GV297" i="1"/>
  <c r="GF297" i="1"/>
  <c r="GE297" i="1"/>
  <c r="GD297" i="1"/>
  <c r="GB297" i="1"/>
  <c r="FZ297" i="1"/>
  <c r="FX297" i="1"/>
  <c r="FV297" i="1"/>
  <c r="FT297" i="1"/>
  <c r="FR297" i="1"/>
  <c r="FP297" i="1"/>
  <c r="FO297" i="1"/>
  <c r="FN297" i="1"/>
  <c r="FL297" i="1"/>
  <c r="FJ297" i="1"/>
  <c r="FH297" i="1"/>
  <c r="FG297" i="1"/>
  <c r="FF297" i="1"/>
  <c r="FD297" i="1"/>
  <c r="FB297" i="1"/>
  <c r="EZ297" i="1"/>
  <c r="EY297" i="1"/>
  <c r="EX297" i="1"/>
  <c r="EV297" i="1"/>
  <c r="ET297" i="1"/>
  <c r="ER297" i="1"/>
  <c r="EP297" i="1"/>
  <c r="EO297" i="1"/>
  <c r="EN297" i="1"/>
  <c r="EL297" i="1"/>
  <c r="EJ297" i="1"/>
  <c r="EH297" i="1"/>
  <c r="EG297" i="1"/>
  <c r="EF297" i="1"/>
  <c r="ED297" i="1"/>
  <c r="EB297" i="1"/>
  <c r="DZ297" i="1"/>
  <c r="DY297" i="1"/>
  <c r="DX297" i="1"/>
  <c r="DV297" i="1"/>
  <c r="DT297" i="1"/>
  <c r="DR297" i="1"/>
  <c r="DP297" i="1"/>
  <c r="DN297" i="1"/>
  <c r="DL297" i="1"/>
  <c r="DJ297" i="1"/>
  <c r="DH297" i="1"/>
  <c r="DF297" i="1"/>
  <c r="DD297" i="1"/>
  <c r="DB297" i="1"/>
  <c r="AK297" i="1"/>
  <c r="A297" i="1"/>
  <c r="GV296" i="1"/>
  <c r="GF296" i="1"/>
  <c r="GE296" i="1"/>
  <c r="GD296" i="1"/>
  <c r="GB296" i="1"/>
  <c r="FZ296" i="1"/>
  <c r="FX296" i="1"/>
  <c r="FV296" i="1"/>
  <c r="FT296" i="1"/>
  <c r="FR296" i="1"/>
  <c r="FP296" i="1"/>
  <c r="FO296" i="1"/>
  <c r="FN296" i="1"/>
  <c r="FL296" i="1"/>
  <c r="FJ296" i="1"/>
  <c r="FH296" i="1"/>
  <c r="FG296" i="1"/>
  <c r="FF296" i="1"/>
  <c r="FD296" i="1"/>
  <c r="FB296" i="1"/>
  <c r="EZ296" i="1"/>
  <c r="EY296" i="1"/>
  <c r="EX296" i="1"/>
  <c r="EV296" i="1"/>
  <c r="ET296" i="1"/>
  <c r="ER296" i="1"/>
  <c r="EP296" i="1"/>
  <c r="EO296" i="1"/>
  <c r="EN296" i="1"/>
  <c r="EL296" i="1"/>
  <c r="EJ296" i="1"/>
  <c r="EH296" i="1"/>
  <c r="EG296" i="1"/>
  <c r="EF296" i="1"/>
  <c r="ED296" i="1"/>
  <c r="EB296" i="1"/>
  <c r="DZ296" i="1"/>
  <c r="DY296" i="1"/>
  <c r="DX296" i="1"/>
  <c r="DV296" i="1"/>
  <c r="DT296" i="1"/>
  <c r="DR296" i="1"/>
  <c r="DP296" i="1"/>
  <c r="DN296" i="1"/>
  <c r="DL296" i="1"/>
  <c r="DJ296" i="1"/>
  <c r="DH296" i="1"/>
  <c r="DF296" i="1"/>
  <c r="DD296" i="1"/>
  <c r="DB296" i="1"/>
  <c r="AK296" i="1"/>
  <c r="A296" i="1"/>
  <c r="GV295" i="1"/>
  <c r="GF295" i="1"/>
  <c r="GE295" i="1"/>
  <c r="GD295" i="1"/>
  <c r="GB295" i="1"/>
  <c r="FZ295" i="1"/>
  <c r="FX295" i="1"/>
  <c r="FV295" i="1"/>
  <c r="FT295" i="1"/>
  <c r="FR295" i="1"/>
  <c r="FP295" i="1"/>
  <c r="FO295" i="1"/>
  <c r="FN295" i="1"/>
  <c r="FL295" i="1"/>
  <c r="FJ295" i="1"/>
  <c r="FH295" i="1"/>
  <c r="FG295" i="1"/>
  <c r="FF295" i="1"/>
  <c r="FD295" i="1"/>
  <c r="FB295" i="1"/>
  <c r="EZ295" i="1"/>
  <c r="EY295" i="1"/>
  <c r="EX295" i="1"/>
  <c r="EV295" i="1"/>
  <c r="ET295" i="1"/>
  <c r="ER295" i="1"/>
  <c r="EP295" i="1"/>
  <c r="EO295" i="1"/>
  <c r="EN295" i="1"/>
  <c r="EL295" i="1"/>
  <c r="EJ295" i="1"/>
  <c r="EH295" i="1"/>
  <c r="EG295" i="1"/>
  <c r="EF295" i="1"/>
  <c r="ED295" i="1"/>
  <c r="EB295" i="1"/>
  <c r="DZ295" i="1"/>
  <c r="DY295" i="1"/>
  <c r="DX295" i="1"/>
  <c r="DV295" i="1"/>
  <c r="DT295" i="1"/>
  <c r="DR295" i="1"/>
  <c r="DP295" i="1"/>
  <c r="DN295" i="1"/>
  <c r="DL295" i="1"/>
  <c r="DJ295" i="1"/>
  <c r="DH295" i="1"/>
  <c r="DF295" i="1"/>
  <c r="DD295" i="1"/>
  <c r="DB295" i="1"/>
  <c r="AK295" i="1"/>
  <c r="A295" i="1"/>
  <c r="GV294" i="1"/>
  <c r="GV293" i="1"/>
  <c r="GF293" i="1"/>
  <c r="GE293" i="1"/>
  <c r="GD293" i="1"/>
  <c r="GB293" i="1"/>
  <c r="FZ293" i="1"/>
  <c r="FX293" i="1"/>
  <c r="FV293" i="1"/>
  <c r="FT293" i="1"/>
  <c r="FR293" i="1"/>
  <c r="FP293" i="1"/>
  <c r="FO293" i="1"/>
  <c r="FN293" i="1"/>
  <c r="FL293" i="1"/>
  <c r="FJ293" i="1"/>
  <c r="FH293" i="1"/>
  <c r="FG293" i="1"/>
  <c r="FF293" i="1"/>
  <c r="FD293" i="1"/>
  <c r="FB293" i="1"/>
  <c r="EZ293" i="1"/>
  <c r="EY293" i="1"/>
  <c r="EX293" i="1"/>
  <c r="EV293" i="1"/>
  <c r="ET293" i="1"/>
  <c r="ER293" i="1"/>
  <c r="EP293" i="1"/>
  <c r="EO293" i="1"/>
  <c r="EN293" i="1"/>
  <c r="EL293" i="1"/>
  <c r="EJ293" i="1"/>
  <c r="EH293" i="1"/>
  <c r="EG293" i="1"/>
  <c r="EF293" i="1"/>
  <c r="ED293" i="1"/>
  <c r="EB293" i="1"/>
  <c r="DZ293" i="1"/>
  <c r="DY293" i="1"/>
  <c r="DX293" i="1"/>
  <c r="DV293" i="1"/>
  <c r="DT293" i="1"/>
  <c r="DR293" i="1"/>
  <c r="DP293" i="1"/>
  <c r="DN293" i="1"/>
  <c r="DL293" i="1"/>
  <c r="DJ293" i="1"/>
  <c r="DH293" i="1"/>
  <c r="DF293" i="1"/>
  <c r="DD293" i="1"/>
  <c r="DB293" i="1"/>
  <c r="AK293" i="1"/>
  <c r="A293" i="1"/>
  <c r="GV292" i="1"/>
  <c r="GF292" i="1"/>
  <c r="GE292" i="1"/>
  <c r="GD292" i="1"/>
  <c r="GB292" i="1"/>
  <c r="FZ292" i="1"/>
  <c r="FX292" i="1"/>
  <c r="FV292" i="1"/>
  <c r="FT292" i="1"/>
  <c r="FR292" i="1"/>
  <c r="FP292" i="1"/>
  <c r="FO292" i="1"/>
  <c r="FN292" i="1"/>
  <c r="FL292" i="1"/>
  <c r="FJ292" i="1"/>
  <c r="FH292" i="1"/>
  <c r="FG292" i="1"/>
  <c r="FF292" i="1"/>
  <c r="FD292" i="1"/>
  <c r="FB292" i="1"/>
  <c r="EZ292" i="1"/>
  <c r="EY292" i="1"/>
  <c r="EX292" i="1"/>
  <c r="EV292" i="1"/>
  <c r="ET292" i="1"/>
  <c r="ER292" i="1"/>
  <c r="EP292" i="1"/>
  <c r="EO292" i="1"/>
  <c r="EN292" i="1"/>
  <c r="EL292" i="1"/>
  <c r="EJ292" i="1"/>
  <c r="EH292" i="1"/>
  <c r="EG292" i="1"/>
  <c r="EF292" i="1"/>
  <c r="ED292" i="1"/>
  <c r="EB292" i="1"/>
  <c r="DZ292" i="1"/>
  <c r="DY292" i="1"/>
  <c r="DX292" i="1"/>
  <c r="DV292" i="1"/>
  <c r="DT292" i="1"/>
  <c r="DR292" i="1"/>
  <c r="DP292" i="1"/>
  <c r="DN292" i="1"/>
  <c r="DL292" i="1"/>
  <c r="DJ292" i="1"/>
  <c r="DH292" i="1"/>
  <c r="DF292" i="1"/>
  <c r="DD292" i="1"/>
  <c r="DB292" i="1"/>
  <c r="AK292" i="1"/>
  <c r="A292" i="1"/>
  <c r="GV291" i="1"/>
  <c r="GF291" i="1"/>
  <c r="GE291" i="1"/>
  <c r="GD291" i="1"/>
  <c r="GB291" i="1"/>
  <c r="FZ291" i="1"/>
  <c r="FX291" i="1"/>
  <c r="FV291" i="1"/>
  <c r="FT291" i="1"/>
  <c r="FR291" i="1"/>
  <c r="FP291" i="1"/>
  <c r="FO291" i="1"/>
  <c r="FN291" i="1"/>
  <c r="FL291" i="1"/>
  <c r="FJ291" i="1"/>
  <c r="FH291" i="1"/>
  <c r="FG291" i="1"/>
  <c r="FF291" i="1"/>
  <c r="FD291" i="1"/>
  <c r="FB291" i="1"/>
  <c r="EZ291" i="1"/>
  <c r="EY291" i="1"/>
  <c r="EX291" i="1"/>
  <c r="EV291" i="1"/>
  <c r="ET291" i="1"/>
  <c r="ER291" i="1"/>
  <c r="EP291" i="1"/>
  <c r="EO291" i="1"/>
  <c r="EN291" i="1"/>
  <c r="EL291" i="1"/>
  <c r="EJ291" i="1"/>
  <c r="EH291" i="1"/>
  <c r="EG291" i="1"/>
  <c r="EF291" i="1"/>
  <c r="ED291" i="1"/>
  <c r="EB291" i="1"/>
  <c r="DZ291" i="1"/>
  <c r="DY291" i="1"/>
  <c r="DX291" i="1"/>
  <c r="DV291" i="1"/>
  <c r="DT291" i="1"/>
  <c r="DR291" i="1"/>
  <c r="DP291" i="1"/>
  <c r="DN291" i="1"/>
  <c r="DL291" i="1"/>
  <c r="DJ291" i="1"/>
  <c r="DH291" i="1"/>
  <c r="DF291" i="1"/>
  <c r="DD291" i="1"/>
  <c r="DB291" i="1"/>
  <c r="AK291" i="1"/>
  <c r="A291" i="1"/>
  <c r="GV290" i="1"/>
  <c r="GF290" i="1"/>
  <c r="GE290" i="1"/>
  <c r="GD290" i="1"/>
  <c r="GB290" i="1"/>
  <c r="FZ290" i="1"/>
  <c r="FX290" i="1"/>
  <c r="FV290" i="1"/>
  <c r="FT290" i="1"/>
  <c r="FR290" i="1"/>
  <c r="FP290" i="1"/>
  <c r="FO290" i="1"/>
  <c r="FN290" i="1"/>
  <c r="FL290" i="1"/>
  <c r="FJ290" i="1"/>
  <c r="FH290" i="1"/>
  <c r="FG290" i="1"/>
  <c r="FF290" i="1"/>
  <c r="FD290" i="1"/>
  <c r="FB290" i="1"/>
  <c r="EZ290" i="1"/>
  <c r="EY290" i="1"/>
  <c r="EX290" i="1"/>
  <c r="EV290" i="1"/>
  <c r="ET290" i="1"/>
  <c r="ER290" i="1"/>
  <c r="EP290" i="1"/>
  <c r="EO290" i="1"/>
  <c r="EN290" i="1"/>
  <c r="EL290" i="1"/>
  <c r="EJ290" i="1"/>
  <c r="EH290" i="1"/>
  <c r="EG290" i="1"/>
  <c r="EF290" i="1"/>
  <c r="ED290" i="1"/>
  <c r="EB290" i="1"/>
  <c r="DZ290" i="1"/>
  <c r="DY290" i="1"/>
  <c r="DX290" i="1"/>
  <c r="DV290" i="1"/>
  <c r="DT290" i="1"/>
  <c r="DR290" i="1"/>
  <c r="DP290" i="1"/>
  <c r="DN290" i="1"/>
  <c r="DL290" i="1"/>
  <c r="DJ290" i="1"/>
  <c r="DH290" i="1"/>
  <c r="DF290" i="1"/>
  <c r="DD290" i="1"/>
  <c r="DB290" i="1"/>
  <c r="AK290" i="1"/>
  <c r="A290" i="1"/>
  <c r="GV289" i="1"/>
  <c r="GF289" i="1"/>
  <c r="GE289" i="1"/>
  <c r="GD289" i="1"/>
  <c r="GB289" i="1"/>
  <c r="FZ289" i="1"/>
  <c r="FX289" i="1"/>
  <c r="FV289" i="1"/>
  <c r="FT289" i="1"/>
  <c r="FR289" i="1"/>
  <c r="FP289" i="1"/>
  <c r="FO289" i="1"/>
  <c r="FN289" i="1"/>
  <c r="FL289" i="1"/>
  <c r="FJ289" i="1"/>
  <c r="FH289" i="1"/>
  <c r="FG289" i="1"/>
  <c r="FF289" i="1"/>
  <c r="FD289" i="1"/>
  <c r="FB289" i="1"/>
  <c r="EZ289" i="1"/>
  <c r="EY289" i="1"/>
  <c r="EX289" i="1"/>
  <c r="EV289" i="1"/>
  <c r="ET289" i="1"/>
  <c r="ER289" i="1"/>
  <c r="EP289" i="1"/>
  <c r="EO289" i="1"/>
  <c r="EN289" i="1"/>
  <c r="EL289" i="1"/>
  <c r="EJ289" i="1"/>
  <c r="EH289" i="1"/>
  <c r="EG289" i="1"/>
  <c r="EF289" i="1"/>
  <c r="ED289" i="1"/>
  <c r="EB289" i="1"/>
  <c r="DZ289" i="1"/>
  <c r="DY289" i="1"/>
  <c r="DX289" i="1"/>
  <c r="DV289" i="1"/>
  <c r="DT289" i="1"/>
  <c r="DR289" i="1"/>
  <c r="DP289" i="1"/>
  <c r="DN289" i="1"/>
  <c r="DL289" i="1"/>
  <c r="DJ289" i="1"/>
  <c r="DH289" i="1"/>
  <c r="DF289" i="1"/>
  <c r="DD289" i="1"/>
  <c r="DB289" i="1"/>
  <c r="AK289" i="1"/>
  <c r="A289" i="1"/>
  <c r="GV288" i="1"/>
  <c r="GF288" i="1"/>
  <c r="GE288" i="1"/>
  <c r="GD288" i="1"/>
  <c r="GB288" i="1"/>
  <c r="FZ288" i="1"/>
  <c r="FX288" i="1"/>
  <c r="FV288" i="1"/>
  <c r="FT288" i="1"/>
  <c r="FR288" i="1"/>
  <c r="FP288" i="1"/>
  <c r="FO288" i="1"/>
  <c r="FN288" i="1"/>
  <c r="FL288" i="1"/>
  <c r="FJ288" i="1"/>
  <c r="FH288" i="1"/>
  <c r="FG288" i="1"/>
  <c r="FF288" i="1"/>
  <c r="FD288" i="1"/>
  <c r="FB288" i="1"/>
  <c r="EZ288" i="1"/>
  <c r="EY288" i="1"/>
  <c r="EX288" i="1"/>
  <c r="EV288" i="1"/>
  <c r="ET288" i="1"/>
  <c r="ER288" i="1"/>
  <c r="EP288" i="1"/>
  <c r="EO288" i="1"/>
  <c r="EN288" i="1"/>
  <c r="EL288" i="1"/>
  <c r="EJ288" i="1"/>
  <c r="EH288" i="1"/>
  <c r="EG288" i="1"/>
  <c r="EF288" i="1"/>
  <c r="ED288" i="1"/>
  <c r="EB288" i="1"/>
  <c r="DZ288" i="1"/>
  <c r="DY288" i="1"/>
  <c r="DX288" i="1"/>
  <c r="DV288" i="1"/>
  <c r="DT288" i="1"/>
  <c r="DR288" i="1"/>
  <c r="DP288" i="1"/>
  <c r="DN288" i="1"/>
  <c r="DL288" i="1"/>
  <c r="DJ288" i="1"/>
  <c r="DH288" i="1"/>
  <c r="DF288" i="1"/>
  <c r="DD288" i="1"/>
  <c r="DB288" i="1"/>
  <c r="AK288" i="1"/>
  <c r="A288" i="1"/>
  <c r="GV287" i="1"/>
  <c r="GF287" i="1"/>
  <c r="GE287" i="1"/>
  <c r="GD287" i="1"/>
  <c r="GB287" i="1"/>
  <c r="FZ287" i="1"/>
  <c r="FX287" i="1"/>
  <c r="FV287" i="1"/>
  <c r="FT287" i="1"/>
  <c r="FR287" i="1"/>
  <c r="FP287" i="1"/>
  <c r="FO287" i="1"/>
  <c r="FN287" i="1"/>
  <c r="FL287" i="1"/>
  <c r="FJ287" i="1"/>
  <c r="FH287" i="1"/>
  <c r="FG287" i="1"/>
  <c r="FF287" i="1"/>
  <c r="FD287" i="1"/>
  <c r="FB287" i="1"/>
  <c r="EZ287" i="1"/>
  <c r="EY287" i="1"/>
  <c r="EX287" i="1"/>
  <c r="EV287" i="1"/>
  <c r="ET287" i="1"/>
  <c r="ER287" i="1"/>
  <c r="EP287" i="1"/>
  <c r="EO287" i="1"/>
  <c r="EN287" i="1"/>
  <c r="EL287" i="1"/>
  <c r="EJ287" i="1"/>
  <c r="EH287" i="1"/>
  <c r="EG287" i="1"/>
  <c r="EF287" i="1"/>
  <c r="ED287" i="1"/>
  <c r="EB287" i="1"/>
  <c r="DZ287" i="1"/>
  <c r="DY287" i="1"/>
  <c r="DX287" i="1"/>
  <c r="DV287" i="1"/>
  <c r="DT287" i="1"/>
  <c r="DR287" i="1"/>
  <c r="DP287" i="1"/>
  <c r="DN287" i="1"/>
  <c r="DL287" i="1"/>
  <c r="DJ287" i="1"/>
  <c r="DH287" i="1"/>
  <c r="DF287" i="1"/>
  <c r="DD287" i="1"/>
  <c r="DB287" i="1"/>
  <c r="AK287" i="1"/>
  <c r="A287" i="1"/>
  <c r="GV286" i="1"/>
  <c r="GF286" i="1"/>
  <c r="GE286" i="1"/>
  <c r="GD286" i="1"/>
  <c r="GB286" i="1"/>
  <c r="FZ286" i="1"/>
  <c r="FX286" i="1"/>
  <c r="FV286" i="1"/>
  <c r="FT286" i="1"/>
  <c r="FR286" i="1"/>
  <c r="FP286" i="1"/>
  <c r="FO286" i="1"/>
  <c r="FN286" i="1"/>
  <c r="FL286" i="1"/>
  <c r="FJ286" i="1"/>
  <c r="FH286" i="1"/>
  <c r="FG286" i="1"/>
  <c r="FF286" i="1"/>
  <c r="FD286" i="1"/>
  <c r="FB286" i="1"/>
  <c r="EZ286" i="1"/>
  <c r="EY286" i="1"/>
  <c r="EX286" i="1"/>
  <c r="EV286" i="1"/>
  <c r="ET286" i="1"/>
  <c r="ER286" i="1"/>
  <c r="EP286" i="1"/>
  <c r="EO286" i="1"/>
  <c r="EN286" i="1"/>
  <c r="EL286" i="1"/>
  <c r="EJ286" i="1"/>
  <c r="EH286" i="1"/>
  <c r="EG286" i="1"/>
  <c r="EF286" i="1"/>
  <c r="ED286" i="1"/>
  <c r="EB286" i="1"/>
  <c r="DZ286" i="1"/>
  <c r="DY286" i="1"/>
  <c r="DX286" i="1"/>
  <c r="DV286" i="1"/>
  <c r="DT286" i="1"/>
  <c r="DR286" i="1"/>
  <c r="DP286" i="1"/>
  <c r="DN286" i="1"/>
  <c r="DL286" i="1"/>
  <c r="DJ286" i="1"/>
  <c r="DH286" i="1"/>
  <c r="DF286" i="1"/>
  <c r="DD286" i="1"/>
  <c r="DB286" i="1"/>
  <c r="AK286" i="1"/>
  <c r="A286" i="1"/>
  <c r="GV285" i="1"/>
  <c r="GF285" i="1"/>
  <c r="GE285" i="1"/>
  <c r="GD285" i="1"/>
  <c r="GB285" i="1"/>
  <c r="FZ285" i="1"/>
  <c r="FX285" i="1"/>
  <c r="FV285" i="1"/>
  <c r="FT285" i="1"/>
  <c r="FR285" i="1"/>
  <c r="FP285" i="1"/>
  <c r="FO285" i="1"/>
  <c r="FN285" i="1"/>
  <c r="FL285" i="1"/>
  <c r="FJ285" i="1"/>
  <c r="FH285" i="1"/>
  <c r="FG285" i="1"/>
  <c r="FF285" i="1"/>
  <c r="FD285" i="1"/>
  <c r="FB285" i="1"/>
  <c r="EZ285" i="1"/>
  <c r="EY285" i="1"/>
  <c r="EX285" i="1"/>
  <c r="EV285" i="1"/>
  <c r="ET285" i="1"/>
  <c r="ER285" i="1"/>
  <c r="EP285" i="1"/>
  <c r="EO285" i="1"/>
  <c r="EN285" i="1"/>
  <c r="EL285" i="1"/>
  <c r="EJ285" i="1"/>
  <c r="EH285" i="1"/>
  <c r="EG285" i="1"/>
  <c r="EF285" i="1"/>
  <c r="ED285" i="1"/>
  <c r="EB285" i="1"/>
  <c r="DZ285" i="1"/>
  <c r="DY285" i="1"/>
  <c r="DX285" i="1"/>
  <c r="DV285" i="1"/>
  <c r="DT285" i="1"/>
  <c r="DR285" i="1"/>
  <c r="DP285" i="1"/>
  <c r="DN285" i="1"/>
  <c r="DL285" i="1"/>
  <c r="DJ285" i="1"/>
  <c r="DH285" i="1"/>
  <c r="DF285" i="1"/>
  <c r="DD285" i="1"/>
  <c r="DB285" i="1"/>
  <c r="AK285" i="1"/>
  <c r="A285" i="1"/>
  <c r="GV284" i="1"/>
  <c r="GF284" i="1"/>
  <c r="GE284" i="1"/>
  <c r="GD284" i="1"/>
  <c r="GB284" i="1"/>
  <c r="FZ284" i="1"/>
  <c r="FX284" i="1"/>
  <c r="FV284" i="1"/>
  <c r="FT284" i="1"/>
  <c r="FR284" i="1"/>
  <c r="FP284" i="1"/>
  <c r="FO284" i="1"/>
  <c r="FN284" i="1"/>
  <c r="FL284" i="1"/>
  <c r="FJ284" i="1"/>
  <c r="FH284" i="1"/>
  <c r="FG284" i="1"/>
  <c r="FF284" i="1"/>
  <c r="FD284" i="1"/>
  <c r="FB284" i="1"/>
  <c r="EZ284" i="1"/>
  <c r="EY284" i="1"/>
  <c r="EX284" i="1"/>
  <c r="EV284" i="1"/>
  <c r="ET284" i="1"/>
  <c r="ER284" i="1"/>
  <c r="EP284" i="1"/>
  <c r="EO284" i="1"/>
  <c r="EN284" i="1"/>
  <c r="EL284" i="1"/>
  <c r="EJ284" i="1"/>
  <c r="EH284" i="1"/>
  <c r="EG284" i="1"/>
  <c r="EF284" i="1"/>
  <c r="ED284" i="1"/>
  <c r="EB284" i="1"/>
  <c r="DZ284" i="1"/>
  <c r="DY284" i="1"/>
  <c r="DX284" i="1"/>
  <c r="DV284" i="1"/>
  <c r="DT284" i="1"/>
  <c r="DR284" i="1"/>
  <c r="DP284" i="1"/>
  <c r="DN284" i="1"/>
  <c r="DL284" i="1"/>
  <c r="DJ284" i="1"/>
  <c r="DH284" i="1"/>
  <c r="DF284" i="1"/>
  <c r="DD284" i="1"/>
  <c r="DB284" i="1"/>
  <c r="AK284" i="1"/>
  <c r="A284" i="1"/>
  <c r="GV283" i="1"/>
  <c r="GF283" i="1"/>
  <c r="GE283" i="1"/>
  <c r="GD283" i="1"/>
  <c r="GB283" i="1"/>
  <c r="FZ283" i="1"/>
  <c r="FX283" i="1"/>
  <c r="FV283" i="1"/>
  <c r="FT283" i="1"/>
  <c r="FR283" i="1"/>
  <c r="FP283" i="1"/>
  <c r="FO283" i="1"/>
  <c r="FN283" i="1"/>
  <c r="FL283" i="1"/>
  <c r="FJ283" i="1"/>
  <c r="FH283" i="1"/>
  <c r="FG283" i="1"/>
  <c r="FF283" i="1"/>
  <c r="FD283" i="1"/>
  <c r="FB283" i="1"/>
  <c r="EZ283" i="1"/>
  <c r="EY283" i="1"/>
  <c r="EX283" i="1"/>
  <c r="EV283" i="1"/>
  <c r="ET283" i="1"/>
  <c r="ER283" i="1"/>
  <c r="EP283" i="1"/>
  <c r="EO283" i="1"/>
  <c r="EN283" i="1"/>
  <c r="EL283" i="1"/>
  <c r="EJ283" i="1"/>
  <c r="EH283" i="1"/>
  <c r="EG283" i="1"/>
  <c r="EF283" i="1"/>
  <c r="ED283" i="1"/>
  <c r="EB283" i="1"/>
  <c r="DZ283" i="1"/>
  <c r="DY283" i="1"/>
  <c r="DX283" i="1"/>
  <c r="DV283" i="1"/>
  <c r="DT283" i="1"/>
  <c r="DR283" i="1"/>
  <c r="DP283" i="1"/>
  <c r="DN283" i="1"/>
  <c r="DL283" i="1"/>
  <c r="DJ283" i="1"/>
  <c r="DH283" i="1"/>
  <c r="DF283" i="1"/>
  <c r="DD283" i="1"/>
  <c r="DB283" i="1"/>
  <c r="AK283" i="1"/>
  <c r="A283" i="1"/>
  <c r="GV282" i="1"/>
  <c r="GF282" i="1"/>
  <c r="GE282" i="1"/>
  <c r="GD282" i="1"/>
  <c r="GB282" i="1"/>
  <c r="FZ282" i="1"/>
  <c r="FX282" i="1"/>
  <c r="FV282" i="1"/>
  <c r="FT282" i="1"/>
  <c r="FR282" i="1"/>
  <c r="FP282" i="1"/>
  <c r="FO282" i="1"/>
  <c r="FN282" i="1"/>
  <c r="FL282" i="1"/>
  <c r="FJ282" i="1"/>
  <c r="FH282" i="1"/>
  <c r="FG282" i="1"/>
  <c r="FF282" i="1"/>
  <c r="FD282" i="1"/>
  <c r="FB282" i="1"/>
  <c r="EZ282" i="1"/>
  <c r="EY282" i="1"/>
  <c r="EX282" i="1"/>
  <c r="EV282" i="1"/>
  <c r="ET282" i="1"/>
  <c r="ER282" i="1"/>
  <c r="EP282" i="1"/>
  <c r="EO282" i="1"/>
  <c r="EN282" i="1"/>
  <c r="EL282" i="1"/>
  <c r="EJ282" i="1"/>
  <c r="EH282" i="1"/>
  <c r="EG282" i="1"/>
  <c r="EF282" i="1"/>
  <c r="ED282" i="1"/>
  <c r="EB282" i="1"/>
  <c r="DZ282" i="1"/>
  <c r="DY282" i="1"/>
  <c r="DX282" i="1"/>
  <c r="DV282" i="1"/>
  <c r="DT282" i="1"/>
  <c r="DR282" i="1"/>
  <c r="DP282" i="1"/>
  <c r="DN282" i="1"/>
  <c r="DL282" i="1"/>
  <c r="DJ282" i="1"/>
  <c r="DH282" i="1"/>
  <c r="DF282" i="1"/>
  <c r="DD282" i="1"/>
  <c r="DB282" i="1"/>
  <c r="AK282" i="1"/>
  <c r="A282" i="1"/>
  <c r="GV281" i="1"/>
  <c r="GF281" i="1"/>
  <c r="GE281" i="1"/>
  <c r="GD281" i="1"/>
  <c r="GB281" i="1"/>
  <c r="FZ281" i="1"/>
  <c r="FX281" i="1"/>
  <c r="FV281" i="1"/>
  <c r="FT281" i="1"/>
  <c r="FR281" i="1"/>
  <c r="FP281" i="1"/>
  <c r="FO281" i="1"/>
  <c r="FN281" i="1"/>
  <c r="FL281" i="1"/>
  <c r="FJ281" i="1"/>
  <c r="FH281" i="1"/>
  <c r="FG281" i="1"/>
  <c r="FF281" i="1"/>
  <c r="FD281" i="1"/>
  <c r="FB281" i="1"/>
  <c r="EZ281" i="1"/>
  <c r="EY281" i="1"/>
  <c r="EX281" i="1"/>
  <c r="EV281" i="1"/>
  <c r="ET281" i="1"/>
  <c r="ER281" i="1"/>
  <c r="EP281" i="1"/>
  <c r="EO281" i="1"/>
  <c r="EN281" i="1"/>
  <c r="EL281" i="1"/>
  <c r="EJ281" i="1"/>
  <c r="EH281" i="1"/>
  <c r="EG281" i="1"/>
  <c r="EF281" i="1"/>
  <c r="ED281" i="1"/>
  <c r="EB281" i="1"/>
  <c r="DZ281" i="1"/>
  <c r="DY281" i="1"/>
  <c r="DX281" i="1"/>
  <c r="DV281" i="1"/>
  <c r="DT281" i="1"/>
  <c r="DR281" i="1"/>
  <c r="DP281" i="1"/>
  <c r="DN281" i="1"/>
  <c r="DL281" i="1"/>
  <c r="DJ281" i="1"/>
  <c r="DH281" i="1"/>
  <c r="DF281" i="1"/>
  <c r="DD281" i="1"/>
  <c r="DB281" i="1"/>
  <c r="AK281" i="1"/>
  <c r="A281" i="1"/>
  <c r="GV280" i="1"/>
  <c r="GF280" i="1"/>
  <c r="GE280" i="1"/>
  <c r="GD280" i="1"/>
  <c r="GB280" i="1"/>
  <c r="FZ280" i="1"/>
  <c r="FX280" i="1"/>
  <c r="FV280" i="1"/>
  <c r="FT280" i="1"/>
  <c r="FR280" i="1"/>
  <c r="FP280" i="1"/>
  <c r="FO280" i="1"/>
  <c r="FN280" i="1"/>
  <c r="FL280" i="1"/>
  <c r="FJ280" i="1"/>
  <c r="FH280" i="1"/>
  <c r="FG280" i="1"/>
  <c r="FF280" i="1"/>
  <c r="FD280" i="1"/>
  <c r="FB280" i="1"/>
  <c r="EZ280" i="1"/>
  <c r="EY280" i="1"/>
  <c r="EX280" i="1"/>
  <c r="EV280" i="1"/>
  <c r="ET280" i="1"/>
  <c r="ER280" i="1"/>
  <c r="EP280" i="1"/>
  <c r="EO280" i="1"/>
  <c r="EN280" i="1"/>
  <c r="EL280" i="1"/>
  <c r="EJ280" i="1"/>
  <c r="EH280" i="1"/>
  <c r="EG280" i="1"/>
  <c r="EF280" i="1"/>
  <c r="ED280" i="1"/>
  <c r="EB280" i="1"/>
  <c r="DZ280" i="1"/>
  <c r="DY280" i="1"/>
  <c r="DX280" i="1"/>
  <c r="DV280" i="1"/>
  <c r="DT280" i="1"/>
  <c r="DR280" i="1"/>
  <c r="DP280" i="1"/>
  <c r="DN280" i="1"/>
  <c r="DL280" i="1"/>
  <c r="DJ280" i="1"/>
  <c r="DH280" i="1"/>
  <c r="DF280" i="1"/>
  <c r="DD280" i="1"/>
  <c r="DB280" i="1"/>
  <c r="AK280" i="1"/>
  <c r="A280" i="1"/>
  <c r="GV279" i="1"/>
  <c r="GF279" i="1"/>
  <c r="GE279" i="1"/>
  <c r="GD279" i="1"/>
  <c r="GB279" i="1"/>
  <c r="FZ279" i="1"/>
  <c r="FX279" i="1"/>
  <c r="FV279" i="1"/>
  <c r="FT279" i="1"/>
  <c r="FR279" i="1"/>
  <c r="FP279" i="1"/>
  <c r="FO279" i="1"/>
  <c r="FN279" i="1"/>
  <c r="FL279" i="1"/>
  <c r="FJ279" i="1"/>
  <c r="FH279" i="1"/>
  <c r="FG279" i="1"/>
  <c r="FF279" i="1"/>
  <c r="FD279" i="1"/>
  <c r="FB279" i="1"/>
  <c r="EZ279" i="1"/>
  <c r="EY279" i="1"/>
  <c r="EX279" i="1"/>
  <c r="EV279" i="1"/>
  <c r="ET279" i="1"/>
  <c r="ER279" i="1"/>
  <c r="EP279" i="1"/>
  <c r="EO279" i="1"/>
  <c r="EN279" i="1"/>
  <c r="EL279" i="1"/>
  <c r="EJ279" i="1"/>
  <c r="EH279" i="1"/>
  <c r="EG279" i="1"/>
  <c r="EF279" i="1"/>
  <c r="ED279" i="1"/>
  <c r="EB279" i="1"/>
  <c r="DZ279" i="1"/>
  <c r="DY279" i="1"/>
  <c r="DX279" i="1"/>
  <c r="DV279" i="1"/>
  <c r="DT279" i="1"/>
  <c r="DR279" i="1"/>
  <c r="DP279" i="1"/>
  <c r="DN279" i="1"/>
  <c r="DL279" i="1"/>
  <c r="DJ279" i="1"/>
  <c r="DH279" i="1"/>
  <c r="DF279" i="1"/>
  <c r="DD279" i="1"/>
  <c r="DB279" i="1"/>
  <c r="AK279" i="1"/>
  <c r="A279" i="1"/>
  <c r="GV278" i="1"/>
  <c r="GF278" i="1"/>
  <c r="GE278" i="1"/>
  <c r="GD278" i="1"/>
  <c r="GB278" i="1"/>
  <c r="FZ278" i="1"/>
  <c r="FX278" i="1"/>
  <c r="FV278" i="1"/>
  <c r="FT278" i="1"/>
  <c r="FR278" i="1"/>
  <c r="FP278" i="1"/>
  <c r="FO278" i="1"/>
  <c r="FN278" i="1"/>
  <c r="FL278" i="1"/>
  <c r="FJ278" i="1"/>
  <c r="FH278" i="1"/>
  <c r="FG278" i="1"/>
  <c r="FF278" i="1"/>
  <c r="FD278" i="1"/>
  <c r="FB278" i="1"/>
  <c r="EZ278" i="1"/>
  <c r="EY278" i="1"/>
  <c r="EX278" i="1"/>
  <c r="EV278" i="1"/>
  <c r="ET278" i="1"/>
  <c r="ER278" i="1"/>
  <c r="EP278" i="1"/>
  <c r="EO278" i="1"/>
  <c r="EN278" i="1"/>
  <c r="EL278" i="1"/>
  <c r="EJ278" i="1"/>
  <c r="EH278" i="1"/>
  <c r="EG278" i="1"/>
  <c r="EF278" i="1"/>
  <c r="ED278" i="1"/>
  <c r="EB278" i="1"/>
  <c r="DZ278" i="1"/>
  <c r="DY278" i="1"/>
  <c r="DX278" i="1"/>
  <c r="DV278" i="1"/>
  <c r="DT278" i="1"/>
  <c r="DR278" i="1"/>
  <c r="DP278" i="1"/>
  <c r="DN278" i="1"/>
  <c r="DL278" i="1"/>
  <c r="DJ278" i="1"/>
  <c r="DH278" i="1"/>
  <c r="DF278" i="1"/>
  <c r="DD278" i="1"/>
  <c r="DB278" i="1"/>
  <c r="AK278" i="1"/>
  <c r="A278" i="1"/>
  <c r="GV277" i="1"/>
  <c r="GF277" i="1"/>
  <c r="GE277" i="1"/>
  <c r="GD277" i="1"/>
  <c r="GB277" i="1"/>
  <c r="FZ277" i="1"/>
  <c r="FX277" i="1"/>
  <c r="FV277" i="1"/>
  <c r="FT277" i="1"/>
  <c r="FR277" i="1"/>
  <c r="FP277" i="1"/>
  <c r="FO277" i="1"/>
  <c r="FN277" i="1"/>
  <c r="FL277" i="1"/>
  <c r="FJ277" i="1"/>
  <c r="FH277" i="1"/>
  <c r="FG277" i="1"/>
  <c r="FF277" i="1"/>
  <c r="FD277" i="1"/>
  <c r="FB277" i="1"/>
  <c r="EZ277" i="1"/>
  <c r="EY277" i="1"/>
  <c r="EX277" i="1"/>
  <c r="EV277" i="1"/>
  <c r="ET277" i="1"/>
  <c r="ER277" i="1"/>
  <c r="EP277" i="1"/>
  <c r="EO277" i="1"/>
  <c r="EN277" i="1"/>
  <c r="EL277" i="1"/>
  <c r="EJ277" i="1"/>
  <c r="EH277" i="1"/>
  <c r="EG277" i="1"/>
  <c r="EF277" i="1"/>
  <c r="ED277" i="1"/>
  <c r="EB277" i="1"/>
  <c r="DZ277" i="1"/>
  <c r="DY277" i="1"/>
  <c r="DX277" i="1"/>
  <c r="DV277" i="1"/>
  <c r="DT277" i="1"/>
  <c r="DR277" i="1"/>
  <c r="DP277" i="1"/>
  <c r="DN277" i="1"/>
  <c r="DL277" i="1"/>
  <c r="DJ277" i="1"/>
  <c r="DH277" i="1"/>
  <c r="DF277" i="1"/>
  <c r="DD277" i="1"/>
  <c r="DB277" i="1"/>
  <c r="AK277" i="1"/>
  <c r="A277" i="1"/>
  <c r="GV276" i="1"/>
  <c r="GF276" i="1"/>
  <c r="GE276" i="1"/>
  <c r="GD276" i="1"/>
  <c r="GB276" i="1"/>
  <c r="FZ276" i="1"/>
  <c r="FX276" i="1"/>
  <c r="FV276" i="1"/>
  <c r="FT276" i="1"/>
  <c r="FR276" i="1"/>
  <c r="FP276" i="1"/>
  <c r="FO276" i="1"/>
  <c r="FN276" i="1"/>
  <c r="FL276" i="1"/>
  <c r="FJ276" i="1"/>
  <c r="FH276" i="1"/>
  <c r="FG276" i="1"/>
  <c r="FF276" i="1"/>
  <c r="FD276" i="1"/>
  <c r="FB276" i="1"/>
  <c r="EZ276" i="1"/>
  <c r="EY276" i="1"/>
  <c r="EX276" i="1"/>
  <c r="EV276" i="1"/>
  <c r="ET276" i="1"/>
  <c r="ER276" i="1"/>
  <c r="EP276" i="1"/>
  <c r="EO276" i="1"/>
  <c r="EN276" i="1"/>
  <c r="EL276" i="1"/>
  <c r="EJ276" i="1"/>
  <c r="EH276" i="1"/>
  <c r="EG276" i="1"/>
  <c r="EF276" i="1"/>
  <c r="ED276" i="1"/>
  <c r="EB276" i="1"/>
  <c r="DZ276" i="1"/>
  <c r="DY276" i="1"/>
  <c r="DX276" i="1"/>
  <c r="DV276" i="1"/>
  <c r="DT276" i="1"/>
  <c r="DR276" i="1"/>
  <c r="DP276" i="1"/>
  <c r="DN276" i="1"/>
  <c r="DL276" i="1"/>
  <c r="DJ276" i="1"/>
  <c r="DH276" i="1"/>
  <c r="DF276" i="1"/>
  <c r="DD276" i="1"/>
  <c r="DB276" i="1"/>
  <c r="AK276" i="1"/>
  <c r="A276" i="1"/>
  <c r="GV275" i="1"/>
  <c r="GV274" i="1"/>
  <c r="GF274" i="1"/>
  <c r="GE274" i="1"/>
  <c r="GD274" i="1"/>
  <c r="GB274" i="1"/>
  <c r="FZ274" i="1"/>
  <c r="FX274" i="1"/>
  <c r="FV274" i="1"/>
  <c r="FT274" i="1"/>
  <c r="FR274" i="1"/>
  <c r="FP274" i="1"/>
  <c r="FO274" i="1"/>
  <c r="FN274" i="1"/>
  <c r="FL274" i="1"/>
  <c r="FJ274" i="1"/>
  <c r="FH274" i="1"/>
  <c r="FG274" i="1"/>
  <c r="FF274" i="1"/>
  <c r="FD274" i="1"/>
  <c r="FB274" i="1"/>
  <c r="EZ274" i="1"/>
  <c r="EY274" i="1"/>
  <c r="EX274" i="1"/>
  <c r="EV274" i="1"/>
  <c r="ET274" i="1"/>
  <c r="ER274" i="1"/>
  <c r="EP274" i="1"/>
  <c r="EO274" i="1"/>
  <c r="EN274" i="1"/>
  <c r="EL274" i="1"/>
  <c r="EJ274" i="1"/>
  <c r="EH274" i="1"/>
  <c r="EG274" i="1"/>
  <c r="EF274" i="1"/>
  <c r="ED274" i="1"/>
  <c r="EB274" i="1"/>
  <c r="DZ274" i="1"/>
  <c r="DY274" i="1"/>
  <c r="DX274" i="1"/>
  <c r="DV274" i="1"/>
  <c r="DT274" i="1"/>
  <c r="DR274" i="1"/>
  <c r="DP274" i="1"/>
  <c r="DN274" i="1"/>
  <c r="DL274" i="1"/>
  <c r="DJ274" i="1"/>
  <c r="DH274" i="1"/>
  <c r="DF274" i="1"/>
  <c r="DD274" i="1"/>
  <c r="DB274" i="1"/>
  <c r="AK274" i="1"/>
  <c r="A274" i="1"/>
  <c r="GV273" i="1"/>
  <c r="GV272" i="1"/>
  <c r="GF272" i="1"/>
  <c r="GE272" i="1"/>
  <c r="GD272" i="1"/>
  <c r="GB272" i="1"/>
  <c r="FZ272" i="1"/>
  <c r="FX272" i="1"/>
  <c r="FV272" i="1"/>
  <c r="FT272" i="1"/>
  <c r="FR272" i="1"/>
  <c r="FP272" i="1"/>
  <c r="FO272" i="1"/>
  <c r="FN272" i="1"/>
  <c r="FL272" i="1"/>
  <c r="FJ272" i="1"/>
  <c r="FH272" i="1"/>
  <c r="FG272" i="1"/>
  <c r="FF272" i="1"/>
  <c r="FD272" i="1"/>
  <c r="FB272" i="1"/>
  <c r="EZ272" i="1"/>
  <c r="EY272" i="1"/>
  <c r="EX272" i="1"/>
  <c r="EV272" i="1"/>
  <c r="ET272" i="1"/>
  <c r="ER272" i="1"/>
  <c r="EP272" i="1"/>
  <c r="EO272" i="1"/>
  <c r="EN272" i="1"/>
  <c r="EL272" i="1"/>
  <c r="EJ272" i="1"/>
  <c r="EH272" i="1"/>
  <c r="EG272" i="1"/>
  <c r="EF272" i="1"/>
  <c r="ED272" i="1"/>
  <c r="EB272" i="1"/>
  <c r="DZ272" i="1"/>
  <c r="DY272" i="1"/>
  <c r="DX272" i="1"/>
  <c r="DV272" i="1"/>
  <c r="DT272" i="1"/>
  <c r="DR272" i="1"/>
  <c r="DP272" i="1"/>
  <c r="DN272" i="1"/>
  <c r="DL272" i="1"/>
  <c r="DJ272" i="1"/>
  <c r="DH272" i="1"/>
  <c r="DF272" i="1"/>
  <c r="DD272" i="1"/>
  <c r="DB272" i="1"/>
  <c r="AK272" i="1"/>
  <c r="A272" i="1"/>
  <c r="GV271" i="1"/>
  <c r="GF271" i="1"/>
  <c r="GE271" i="1"/>
  <c r="GD271" i="1"/>
  <c r="GB271" i="1"/>
  <c r="FZ271" i="1"/>
  <c r="FX271" i="1"/>
  <c r="FV271" i="1"/>
  <c r="FT271" i="1"/>
  <c r="FR271" i="1"/>
  <c r="FP271" i="1"/>
  <c r="FO271" i="1"/>
  <c r="FN271" i="1"/>
  <c r="FL271" i="1"/>
  <c r="FJ271" i="1"/>
  <c r="FH271" i="1"/>
  <c r="FG271" i="1"/>
  <c r="FF271" i="1"/>
  <c r="FD271" i="1"/>
  <c r="FB271" i="1"/>
  <c r="EZ271" i="1"/>
  <c r="EY271" i="1"/>
  <c r="EX271" i="1"/>
  <c r="EV271" i="1"/>
  <c r="ET271" i="1"/>
  <c r="ER271" i="1"/>
  <c r="EP271" i="1"/>
  <c r="EO271" i="1"/>
  <c r="EN271" i="1"/>
  <c r="EL271" i="1"/>
  <c r="EJ271" i="1"/>
  <c r="EH271" i="1"/>
  <c r="EG271" i="1"/>
  <c r="EF271" i="1"/>
  <c r="ED271" i="1"/>
  <c r="EB271" i="1"/>
  <c r="DZ271" i="1"/>
  <c r="DY271" i="1"/>
  <c r="DX271" i="1"/>
  <c r="DV271" i="1"/>
  <c r="DT271" i="1"/>
  <c r="DR271" i="1"/>
  <c r="DP271" i="1"/>
  <c r="DN271" i="1"/>
  <c r="DL271" i="1"/>
  <c r="DJ271" i="1"/>
  <c r="DH271" i="1"/>
  <c r="DF271" i="1"/>
  <c r="DD271" i="1"/>
  <c r="DB271" i="1"/>
  <c r="AK271" i="1"/>
  <c r="A271" i="1"/>
  <c r="GV270" i="1"/>
  <c r="GV269" i="1"/>
  <c r="GF269" i="1"/>
  <c r="GE269" i="1"/>
  <c r="GD269" i="1"/>
  <c r="GB269" i="1"/>
  <c r="FZ269" i="1"/>
  <c r="FX269" i="1"/>
  <c r="FV269" i="1"/>
  <c r="FT269" i="1"/>
  <c r="FR269" i="1"/>
  <c r="FP269" i="1"/>
  <c r="FO269" i="1"/>
  <c r="FN269" i="1"/>
  <c r="FL269" i="1"/>
  <c r="FJ269" i="1"/>
  <c r="FH269" i="1"/>
  <c r="FG269" i="1"/>
  <c r="FF269" i="1"/>
  <c r="FD269" i="1"/>
  <c r="FB269" i="1"/>
  <c r="EZ269" i="1"/>
  <c r="EY269" i="1"/>
  <c r="EX269" i="1"/>
  <c r="EV269" i="1"/>
  <c r="ET269" i="1"/>
  <c r="ER269" i="1"/>
  <c r="EP269" i="1"/>
  <c r="EO269" i="1"/>
  <c r="EN269" i="1"/>
  <c r="EL269" i="1"/>
  <c r="EJ269" i="1"/>
  <c r="EH269" i="1"/>
  <c r="EG269" i="1"/>
  <c r="EF269" i="1"/>
  <c r="ED269" i="1"/>
  <c r="EB269" i="1"/>
  <c r="DZ269" i="1"/>
  <c r="DY269" i="1"/>
  <c r="DX269" i="1"/>
  <c r="DV269" i="1"/>
  <c r="DT269" i="1"/>
  <c r="DR269" i="1"/>
  <c r="DP269" i="1"/>
  <c r="DN269" i="1"/>
  <c r="DL269" i="1"/>
  <c r="DJ269" i="1"/>
  <c r="DH269" i="1"/>
  <c r="DF269" i="1"/>
  <c r="DD269" i="1"/>
  <c r="DB269" i="1"/>
  <c r="AK269" i="1"/>
  <c r="A269" i="1"/>
  <c r="GV268" i="1"/>
  <c r="GV267" i="1"/>
  <c r="GF267" i="1"/>
  <c r="GE267" i="1"/>
  <c r="GD267" i="1"/>
  <c r="GB267" i="1"/>
  <c r="FZ267" i="1"/>
  <c r="FX267" i="1"/>
  <c r="FV267" i="1"/>
  <c r="FT267" i="1"/>
  <c r="FR267" i="1"/>
  <c r="FP267" i="1"/>
  <c r="FO267" i="1"/>
  <c r="FN267" i="1"/>
  <c r="FL267" i="1"/>
  <c r="FJ267" i="1"/>
  <c r="FH267" i="1"/>
  <c r="FG267" i="1"/>
  <c r="FF267" i="1"/>
  <c r="FD267" i="1"/>
  <c r="FB267" i="1"/>
  <c r="EZ267" i="1"/>
  <c r="EY267" i="1"/>
  <c r="EX267" i="1"/>
  <c r="EV267" i="1"/>
  <c r="ET267" i="1"/>
  <c r="ER267" i="1"/>
  <c r="EP267" i="1"/>
  <c r="EO267" i="1"/>
  <c r="EN267" i="1"/>
  <c r="EL267" i="1"/>
  <c r="EJ267" i="1"/>
  <c r="EH267" i="1"/>
  <c r="EG267" i="1"/>
  <c r="EF267" i="1"/>
  <c r="ED267" i="1"/>
  <c r="EB267" i="1"/>
  <c r="DZ267" i="1"/>
  <c r="DY267" i="1"/>
  <c r="DX267" i="1"/>
  <c r="DV267" i="1"/>
  <c r="DT267" i="1"/>
  <c r="DR267" i="1"/>
  <c r="DP267" i="1"/>
  <c r="DN267" i="1"/>
  <c r="DL267" i="1"/>
  <c r="DJ267" i="1"/>
  <c r="DH267" i="1"/>
  <c r="DF267" i="1"/>
  <c r="DD267" i="1"/>
  <c r="DB267" i="1"/>
  <c r="AK267" i="1"/>
  <c r="A267" i="1"/>
  <c r="GV266" i="1"/>
  <c r="GF266" i="1"/>
  <c r="GE266" i="1"/>
  <c r="GD266" i="1"/>
  <c r="GB266" i="1"/>
  <c r="FZ266" i="1"/>
  <c r="FX266" i="1"/>
  <c r="FV266" i="1"/>
  <c r="FT266" i="1"/>
  <c r="FR266" i="1"/>
  <c r="FP266" i="1"/>
  <c r="FO266" i="1"/>
  <c r="FN266" i="1"/>
  <c r="FL266" i="1"/>
  <c r="FJ266" i="1"/>
  <c r="FH266" i="1"/>
  <c r="FG266" i="1"/>
  <c r="FF266" i="1"/>
  <c r="FD266" i="1"/>
  <c r="FB266" i="1"/>
  <c r="EZ266" i="1"/>
  <c r="EY266" i="1"/>
  <c r="EX266" i="1"/>
  <c r="EV266" i="1"/>
  <c r="ET266" i="1"/>
  <c r="ER266" i="1"/>
  <c r="EP266" i="1"/>
  <c r="EO266" i="1"/>
  <c r="EN266" i="1"/>
  <c r="EL266" i="1"/>
  <c r="EJ266" i="1"/>
  <c r="EH266" i="1"/>
  <c r="EG266" i="1"/>
  <c r="EF266" i="1"/>
  <c r="ED266" i="1"/>
  <c r="EB266" i="1"/>
  <c r="DZ266" i="1"/>
  <c r="DY266" i="1"/>
  <c r="DX266" i="1"/>
  <c r="DV266" i="1"/>
  <c r="DT266" i="1"/>
  <c r="DR266" i="1"/>
  <c r="DP266" i="1"/>
  <c r="DN266" i="1"/>
  <c r="DL266" i="1"/>
  <c r="DJ266" i="1"/>
  <c r="DH266" i="1"/>
  <c r="DF266" i="1"/>
  <c r="DD266" i="1"/>
  <c r="DB266" i="1"/>
  <c r="AK266" i="1"/>
  <c r="A266" i="1"/>
  <c r="GV265" i="1"/>
  <c r="GF265" i="1"/>
  <c r="GE265" i="1"/>
  <c r="GD265" i="1"/>
  <c r="GB265" i="1"/>
  <c r="FZ265" i="1"/>
  <c r="FX265" i="1"/>
  <c r="FV265" i="1"/>
  <c r="FT265" i="1"/>
  <c r="FR265" i="1"/>
  <c r="FP265" i="1"/>
  <c r="FO265" i="1"/>
  <c r="FN265" i="1"/>
  <c r="FL265" i="1"/>
  <c r="FJ265" i="1"/>
  <c r="FH265" i="1"/>
  <c r="FG265" i="1"/>
  <c r="FF265" i="1"/>
  <c r="FD265" i="1"/>
  <c r="FB265" i="1"/>
  <c r="EZ265" i="1"/>
  <c r="EY265" i="1"/>
  <c r="EX265" i="1"/>
  <c r="EV265" i="1"/>
  <c r="ET265" i="1"/>
  <c r="ER265" i="1"/>
  <c r="EP265" i="1"/>
  <c r="EO265" i="1"/>
  <c r="EN265" i="1"/>
  <c r="EL265" i="1"/>
  <c r="EJ265" i="1"/>
  <c r="EH265" i="1"/>
  <c r="EG265" i="1"/>
  <c r="EF265" i="1"/>
  <c r="ED265" i="1"/>
  <c r="EB265" i="1"/>
  <c r="DZ265" i="1"/>
  <c r="DY265" i="1"/>
  <c r="DX265" i="1"/>
  <c r="DV265" i="1"/>
  <c r="DT265" i="1"/>
  <c r="DR265" i="1"/>
  <c r="DP265" i="1"/>
  <c r="DN265" i="1"/>
  <c r="DL265" i="1"/>
  <c r="DJ265" i="1"/>
  <c r="DH265" i="1"/>
  <c r="DF265" i="1"/>
  <c r="DD265" i="1"/>
  <c r="DB265" i="1"/>
  <c r="AK265" i="1"/>
  <c r="A265" i="1"/>
  <c r="GV264" i="1"/>
  <c r="GF264" i="1"/>
  <c r="GE264" i="1"/>
  <c r="GD264" i="1"/>
  <c r="GB264" i="1"/>
  <c r="FZ264" i="1"/>
  <c r="FX264" i="1"/>
  <c r="FV264" i="1"/>
  <c r="FT264" i="1"/>
  <c r="FR264" i="1"/>
  <c r="FP264" i="1"/>
  <c r="FO264" i="1"/>
  <c r="FN264" i="1"/>
  <c r="FL264" i="1"/>
  <c r="FJ264" i="1"/>
  <c r="FH264" i="1"/>
  <c r="FG264" i="1"/>
  <c r="FF264" i="1"/>
  <c r="FD264" i="1"/>
  <c r="FB264" i="1"/>
  <c r="EZ264" i="1"/>
  <c r="EY264" i="1"/>
  <c r="EX264" i="1"/>
  <c r="EV264" i="1"/>
  <c r="ET264" i="1"/>
  <c r="ER264" i="1"/>
  <c r="EP264" i="1"/>
  <c r="EO264" i="1"/>
  <c r="EN264" i="1"/>
  <c r="EL264" i="1"/>
  <c r="EJ264" i="1"/>
  <c r="EH264" i="1"/>
  <c r="EG264" i="1"/>
  <c r="EF264" i="1"/>
  <c r="ED264" i="1"/>
  <c r="EB264" i="1"/>
  <c r="DZ264" i="1"/>
  <c r="DY264" i="1"/>
  <c r="DX264" i="1"/>
  <c r="DV264" i="1"/>
  <c r="DT264" i="1"/>
  <c r="DR264" i="1"/>
  <c r="DP264" i="1"/>
  <c r="DN264" i="1"/>
  <c r="DL264" i="1"/>
  <c r="DJ264" i="1"/>
  <c r="DH264" i="1"/>
  <c r="DF264" i="1"/>
  <c r="DD264" i="1"/>
  <c r="DB264" i="1"/>
  <c r="AK264" i="1"/>
  <c r="A264" i="1"/>
  <c r="GV263" i="1"/>
  <c r="GF263" i="1"/>
  <c r="GE263" i="1"/>
  <c r="GD263" i="1"/>
  <c r="GB263" i="1"/>
  <c r="FZ263" i="1"/>
  <c r="FX263" i="1"/>
  <c r="FV263" i="1"/>
  <c r="FT263" i="1"/>
  <c r="FR263" i="1"/>
  <c r="FP263" i="1"/>
  <c r="FO263" i="1"/>
  <c r="FN263" i="1"/>
  <c r="FL263" i="1"/>
  <c r="FJ263" i="1"/>
  <c r="FH263" i="1"/>
  <c r="FG263" i="1"/>
  <c r="FF263" i="1"/>
  <c r="FD263" i="1"/>
  <c r="FB263" i="1"/>
  <c r="EZ263" i="1"/>
  <c r="EY263" i="1"/>
  <c r="EX263" i="1"/>
  <c r="EV263" i="1"/>
  <c r="ET263" i="1"/>
  <c r="ER263" i="1"/>
  <c r="EP263" i="1"/>
  <c r="EO263" i="1"/>
  <c r="EN263" i="1"/>
  <c r="EL263" i="1"/>
  <c r="EJ263" i="1"/>
  <c r="EH263" i="1"/>
  <c r="EG263" i="1"/>
  <c r="EF263" i="1"/>
  <c r="ED263" i="1"/>
  <c r="EB263" i="1"/>
  <c r="DZ263" i="1"/>
  <c r="DY263" i="1"/>
  <c r="DX263" i="1"/>
  <c r="DV263" i="1"/>
  <c r="DT263" i="1"/>
  <c r="DR263" i="1"/>
  <c r="DP263" i="1"/>
  <c r="DN263" i="1"/>
  <c r="DL263" i="1"/>
  <c r="DJ263" i="1"/>
  <c r="DH263" i="1"/>
  <c r="DF263" i="1"/>
  <c r="DD263" i="1"/>
  <c r="DB263" i="1"/>
  <c r="AK263" i="1"/>
  <c r="A263" i="1"/>
  <c r="GV262" i="1"/>
  <c r="GF262" i="1"/>
  <c r="GE262" i="1"/>
  <c r="GD262" i="1"/>
  <c r="GB262" i="1"/>
  <c r="FZ262" i="1"/>
  <c r="FX262" i="1"/>
  <c r="FV262" i="1"/>
  <c r="FT262" i="1"/>
  <c r="FR262" i="1"/>
  <c r="FP262" i="1"/>
  <c r="FO262" i="1"/>
  <c r="FN262" i="1"/>
  <c r="FL262" i="1"/>
  <c r="FJ262" i="1"/>
  <c r="FH262" i="1"/>
  <c r="FG262" i="1"/>
  <c r="FF262" i="1"/>
  <c r="FD262" i="1"/>
  <c r="FB262" i="1"/>
  <c r="EZ262" i="1"/>
  <c r="EY262" i="1"/>
  <c r="EX262" i="1"/>
  <c r="EV262" i="1"/>
  <c r="ET262" i="1"/>
  <c r="ER262" i="1"/>
  <c r="EP262" i="1"/>
  <c r="EO262" i="1"/>
  <c r="EN262" i="1"/>
  <c r="EL262" i="1"/>
  <c r="EJ262" i="1"/>
  <c r="EH262" i="1"/>
  <c r="EG262" i="1"/>
  <c r="EF262" i="1"/>
  <c r="ED262" i="1"/>
  <c r="EB262" i="1"/>
  <c r="DZ262" i="1"/>
  <c r="DY262" i="1"/>
  <c r="DX262" i="1"/>
  <c r="DV262" i="1"/>
  <c r="DT262" i="1"/>
  <c r="DR262" i="1"/>
  <c r="DP262" i="1"/>
  <c r="DN262" i="1"/>
  <c r="DL262" i="1"/>
  <c r="DJ262" i="1"/>
  <c r="DH262" i="1"/>
  <c r="DF262" i="1"/>
  <c r="DD262" i="1"/>
  <c r="DB262" i="1"/>
  <c r="AK262" i="1"/>
  <c r="A262" i="1"/>
  <c r="GV261" i="1"/>
  <c r="GF261" i="1"/>
  <c r="GE261" i="1"/>
  <c r="GD261" i="1"/>
  <c r="GB261" i="1"/>
  <c r="FZ261" i="1"/>
  <c r="FX261" i="1"/>
  <c r="FV261" i="1"/>
  <c r="FT261" i="1"/>
  <c r="FR261" i="1"/>
  <c r="FP261" i="1"/>
  <c r="FO261" i="1"/>
  <c r="FN261" i="1"/>
  <c r="FL261" i="1"/>
  <c r="FJ261" i="1"/>
  <c r="FH261" i="1"/>
  <c r="FG261" i="1"/>
  <c r="FF261" i="1"/>
  <c r="FD261" i="1"/>
  <c r="FB261" i="1"/>
  <c r="EZ261" i="1"/>
  <c r="EY261" i="1"/>
  <c r="EX261" i="1"/>
  <c r="EV261" i="1"/>
  <c r="ET261" i="1"/>
  <c r="ER261" i="1"/>
  <c r="EP261" i="1"/>
  <c r="EO261" i="1"/>
  <c r="EN261" i="1"/>
  <c r="EL261" i="1"/>
  <c r="EJ261" i="1"/>
  <c r="EH261" i="1"/>
  <c r="EG261" i="1"/>
  <c r="EF261" i="1"/>
  <c r="ED261" i="1"/>
  <c r="EB261" i="1"/>
  <c r="DZ261" i="1"/>
  <c r="DY261" i="1"/>
  <c r="DX261" i="1"/>
  <c r="DV261" i="1"/>
  <c r="DT261" i="1"/>
  <c r="DR261" i="1"/>
  <c r="DP261" i="1"/>
  <c r="DN261" i="1"/>
  <c r="DL261" i="1"/>
  <c r="DJ261" i="1"/>
  <c r="DH261" i="1"/>
  <c r="DF261" i="1"/>
  <c r="DD261" i="1"/>
  <c r="DB261" i="1"/>
  <c r="AK261" i="1"/>
  <c r="A261" i="1"/>
  <c r="GV260" i="1"/>
  <c r="GV259" i="1"/>
  <c r="GF259" i="1"/>
  <c r="GE259" i="1"/>
  <c r="GD259" i="1"/>
  <c r="GB259" i="1"/>
  <c r="FZ259" i="1"/>
  <c r="FX259" i="1"/>
  <c r="FV259" i="1"/>
  <c r="FT259" i="1"/>
  <c r="FR259" i="1"/>
  <c r="FP259" i="1"/>
  <c r="FO259" i="1"/>
  <c r="FN259" i="1"/>
  <c r="FL259" i="1"/>
  <c r="FJ259" i="1"/>
  <c r="FH259" i="1"/>
  <c r="FG259" i="1"/>
  <c r="FF259" i="1"/>
  <c r="FD259" i="1"/>
  <c r="FB259" i="1"/>
  <c r="EZ259" i="1"/>
  <c r="EY259" i="1"/>
  <c r="EX259" i="1"/>
  <c r="EV259" i="1"/>
  <c r="ET259" i="1"/>
  <c r="ER259" i="1"/>
  <c r="EP259" i="1"/>
  <c r="EO259" i="1"/>
  <c r="EN259" i="1"/>
  <c r="EL259" i="1"/>
  <c r="EJ259" i="1"/>
  <c r="EH259" i="1"/>
  <c r="EG259" i="1"/>
  <c r="EF259" i="1"/>
  <c r="ED259" i="1"/>
  <c r="EB259" i="1"/>
  <c r="DZ259" i="1"/>
  <c r="DY259" i="1"/>
  <c r="DX259" i="1"/>
  <c r="DV259" i="1"/>
  <c r="DT259" i="1"/>
  <c r="DR259" i="1"/>
  <c r="DP259" i="1"/>
  <c r="DN259" i="1"/>
  <c r="DL259" i="1"/>
  <c r="DJ259" i="1"/>
  <c r="DH259" i="1"/>
  <c r="DF259" i="1"/>
  <c r="DD259" i="1"/>
  <c r="DB259" i="1"/>
  <c r="AK259" i="1"/>
  <c r="A259" i="1"/>
  <c r="GV258" i="1"/>
  <c r="GF258" i="1"/>
  <c r="GE258" i="1"/>
  <c r="GD258" i="1"/>
  <c r="GB258" i="1"/>
  <c r="FZ258" i="1"/>
  <c r="FX258" i="1"/>
  <c r="FV258" i="1"/>
  <c r="FT258" i="1"/>
  <c r="FR258" i="1"/>
  <c r="FP258" i="1"/>
  <c r="FO258" i="1"/>
  <c r="FN258" i="1"/>
  <c r="FL258" i="1"/>
  <c r="FJ258" i="1"/>
  <c r="FH258" i="1"/>
  <c r="FG258" i="1"/>
  <c r="FF258" i="1"/>
  <c r="FD258" i="1"/>
  <c r="FB258" i="1"/>
  <c r="EZ258" i="1"/>
  <c r="EY258" i="1"/>
  <c r="EX258" i="1"/>
  <c r="EV258" i="1"/>
  <c r="ET258" i="1"/>
  <c r="ER258" i="1"/>
  <c r="EP258" i="1"/>
  <c r="EO258" i="1"/>
  <c r="EN258" i="1"/>
  <c r="EL258" i="1"/>
  <c r="EJ258" i="1"/>
  <c r="EH258" i="1"/>
  <c r="EG258" i="1"/>
  <c r="EF258" i="1"/>
  <c r="ED258" i="1"/>
  <c r="EB258" i="1"/>
  <c r="DZ258" i="1"/>
  <c r="DY258" i="1"/>
  <c r="DX258" i="1"/>
  <c r="DV258" i="1"/>
  <c r="DT258" i="1"/>
  <c r="DR258" i="1"/>
  <c r="DP258" i="1"/>
  <c r="DN258" i="1"/>
  <c r="DL258" i="1"/>
  <c r="DJ258" i="1"/>
  <c r="DH258" i="1"/>
  <c r="DF258" i="1"/>
  <c r="DD258" i="1"/>
  <c r="DB258" i="1"/>
  <c r="AK258" i="1"/>
  <c r="A258" i="1"/>
  <c r="GV257" i="1"/>
  <c r="GF257" i="1"/>
  <c r="GE257" i="1"/>
  <c r="GD257" i="1"/>
  <c r="GB257" i="1"/>
  <c r="FZ257" i="1"/>
  <c r="FX257" i="1"/>
  <c r="FV257" i="1"/>
  <c r="FT257" i="1"/>
  <c r="FR257" i="1"/>
  <c r="FP257" i="1"/>
  <c r="FO257" i="1"/>
  <c r="FN257" i="1"/>
  <c r="FL257" i="1"/>
  <c r="FJ257" i="1"/>
  <c r="FH257" i="1"/>
  <c r="FG257" i="1"/>
  <c r="FF257" i="1"/>
  <c r="FD257" i="1"/>
  <c r="FB257" i="1"/>
  <c r="EZ257" i="1"/>
  <c r="EY257" i="1"/>
  <c r="EX257" i="1"/>
  <c r="EV257" i="1"/>
  <c r="ET257" i="1"/>
  <c r="ER257" i="1"/>
  <c r="EP257" i="1"/>
  <c r="EO257" i="1"/>
  <c r="EN257" i="1"/>
  <c r="EL257" i="1"/>
  <c r="EJ257" i="1"/>
  <c r="EH257" i="1"/>
  <c r="EG257" i="1"/>
  <c r="EF257" i="1"/>
  <c r="ED257" i="1"/>
  <c r="EB257" i="1"/>
  <c r="DZ257" i="1"/>
  <c r="DY257" i="1"/>
  <c r="DX257" i="1"/>
  <c r="DV257" i="1"/>
  <c r="DT257" i="1"/>
  <c r="DR257" i="1"/>
  <c r="DP257" i="1"/>
  <c r="DN257" i="1"/>
  <c r="DL257" i="1"/>
  <c r="DJ257" i="1"/>
  <c r="DH257" i="1"/>
  <c r="DF257" i="1"/>
  <c r="DD257" i="1"/>
  <c r="DB257" i="1"/>
  <c r="AK257" i="1"/>
  <c r="A257" i="1"/>
  <c r="GV256" i="1"/>
  <c r="GF256" i="1"/>
  <c r="GE256" i="1"/>
  <c r="GD256" i="1"/>
  <c r="GB256" i="1"/>
  <c r="FZ256" i="1"/>
  <c r="FX256" i="1"/>
  <c r="FV256" i="1"/>
  <c r="FT256" i="1"/>
  <c r="FR256" i="1"/>
  <c r="FP256" i="1"/>
  <c r="FO256" i="1"/>
  <c r="FN256" i="1"/>
  <c r="FL256" i="1"/>
  <c r="FJ256" i="1"/>
  <c r="FH256" i="1"/>
  <c r="FG256" i="1"/>
  <c r="FF256" i="1"/>
  <c r="FD256" i="1"/>
  <c r="FB256" i="1"/>
  <c r="EZ256" i="1"/>
  <c r="EY256" i="1"/>
  <c r="EX256" i="1"/>
  <c r="EV256" i="1"/>
  <c r="ET256" i="1"/>
  <c r="ER256" i="1"/>
  <c r="EP256" i="1"/>
  <c r="EO256" i="1"/>
  <c r="EN256" i="1"/>
  <c r="EL256" i="1"/>
  <c r="EJ256" i="1"/>
  <c r="EH256" i="1"/>
  <c r="EG256" i="1"/>
  <c r="EF256" i="1"/>
  <c r="ED256" i="1"/>
  <c r="EB256" i="1"/>
  <c r="DZ256" i="1"/>
  <c r="DY256" i="1"/>
  <c r="DX256" i="1"/>
  <c r="DV256" i="1"/>
  <c r="DT256" i="1"/>
  <c r="DR256" i="1"/>
  <c r="DP256" i="1"/>
  <c r="DN256" i="1"/>
  <c r="DL256" i="1"/>
  <c r="DJ256" i="1"/>
  <c r="DH256" i="1"/>
  <c r="DF256" i="1"/>
  <c r="DD256" i="1"/>
  <c r="DB256" i="1"/>
  <c r="AK256" i="1"/>
  <c r="A256" i="1"/>
  <c r="GV255" i="1"/>
  <c r="GF255" i="1"/>
  <c r="GE255" i="1"/>
  <c r="GD255" i="1"/>
  <c r="GB255" i="1"/>
  <c r="FZ255" i="1"/>
  <c r="FX255" i="1"/>
  <c r="FV255" i="1"/>
  <c r="FT255" i="1"/>
  <c r="FR255" i="1"/>
  <c r="FP255" i="1"/>
  <c r="FO255" i="1"/>
  <c r="FN255" i="1"/>
  <c r="FL255" i="1"/>
  <c r="FJ255" i="1"/>
  <c r="FH255" i="1"/>
  <c r="FG255" i="1"/>
  <c r="FF255" i="1"/>
  <c r="FD255" i="1"/>
  <c r="FB255" i="1"/>
  <c r="EZ255" i="1"/>
  <c r="EY255" i="1"/>
  <c r="EX255" i="1"/>
  <c r="EV255" i="1"/>
  <c r="ET255" i="1"/>
  <c r="ER255" i="1"/>
  <c r="EP255" i="1"/>
  <c r="EO255" i="1"/>
  <c r="EN255" i="1"/>
  <c r="EL255" i="1"/>
  <c r="EJ255" i="1"/>
  <c r="EH255" i="1"/>
  <c r="EG255" i="1"/>
  <c r="EF255" i="1"/>
  <c r="ED255" i="1"/>
  <c r="EB255" i="1"/>
  <c r="DZ255" i="1"/>
  <c r="DY255" i="1"/>
  <c r="DX255" i="1"/>
  <c r="DV255" i="1"/>
  <c r="DT255" i="1"/>
  <c r="DR255" i="1"/>
  <c r="DP255" i="1"/>
  <c r="DN255" i="1"/>
  <c r="DL255" i="1"/>
  <c r="DJ255" i="1"/>
  <c r="DH255" i="1"/>
  <c r="DF255" i="1"/>
  <c r="DD255" i="1"/>
  <c r="DB255" i="1"/>
  <c r="AK255" i="1"/>
  <c r="A255" i="1"/>
  <c r="GV254" i="1"/>
  <c r="GF254" i="1"/>
  <c r="GE254" i="1"/>
  <c r="GD254" i="1"/>
  <c r="GB254" i="1"/>
  <c r="FZ254" i="1"/>
  <c r="FX254" i="1"/>
  <c r="FV254" i="1"/>
  <c r="FT254" i="1"/>
  <c r="FR254" i="1"/>
  <c r="FP254" i="1"/>
  <c r="FO254" i="1"/>
  <c r="FN254" i="1"/>
  <c r="FL254" i="1"/>
  <c r="FJ254" i="1"/>
  <c r="FH254" i="1"/>
  <c r="FG254" i="1"/>
  <c r="FF254" i="1"/>
  <c r="FD254" i="1"/>
  <c r="FB254" i="1"/>
  <c r="EZ254" i="1"/>
  <c r="EY254" i="1"/>
  <c r="EX254" i="1"/>
  <c r="EV254" i="1"/>
  <c r="ET254" i="1"/>
  <c r="ER254" i="1"/>
  <c r="EP254" i="1"/>
  <c r="EO254" i="1"/>
  <c r="EN254" i="1"/>
  <c r="EL254" i="1"/>
  <c r="EJ254" i="1"/>
  <c r="EH254" i="1"/>
  <c r="EG254" i="1"/>
  <c r="EF254" i="1"/>
  <c r="ED254" i="1"/>
  <c r="EB254" i="1"/>
  <c r="DZ254" i="1"/>
  <c r="DY254" i="1"/>
  <c r="DX254" i="1"/>
  <c r="DV254" i="1"/>
  <c r="DT254" i="1"/>
  <c r="DR254" i="1"/>
  <c r="DP254" i="1"/>
  <c r="DN254" i="1"/>
  <c r="DL254" i="1"/>
  <c r="DJ254" i="1"/>
  <c r="DH254" i="1"/>
  <c r="DF254" i="1"/>
  <c r="DD254" i="1"/>
  <c r="DB254" i="1"/>
  <c r="AK254" i="1"/>
  <c r="A254" i="1"/>
  <c r="GV253" i="1"/>
  <c r="GF253" i="1"/>
  <c r="GE253" i="1"/>
  <c r="GD253" i="1"/>
  <c r="GB253" i="1"/>
  <c r="FZ253" i="1"/>
  <c r="FX253" i="1"/>
  <c r="FV253" i="1"/>
  <c r="FT253" i="1"/>
  <c r="FR253" i="1"/>
  <c r="FP253" i="1"/>
  <c r="FO253" i="1"/>
  <c r="FN253" i="1"/>
  <c r="FL253" i="1"/>
  <c r="FJ253" i="1"/>
  <c r="FH253" i="1"/>
  <c r="FG253" i="1"/>
  <c r="FF253" i="1"/>
  <c r="FD253" i="1"/>
  <c r="FB253" i="1"/>
  <c r="EZ253" i="1"/>
  <c r="EY253" i="1"/>
  <c r="EX253" i="1"/>
  <c r="EV253" i="1"/>
  <c r="ET253" i="1"/>
  <c r="ER253" i="1"/>
  <c r="EP253" i="1"/>
  <c r="EO253" i="1"/>
  <c r="EN253" i="1"/>
  <c r="EL253" i="1"/>
  <c r="EJ253" i="1"/>
  <c r="EH253" i="1"/>
  <c r="EG253" i="1"/>
  <c r="EF253" i="1"/>
  <c r="ED253" i="1"/>
  <c r="EB253" i="1"/>
  <c r="DZ253" i="1"/>
  <c r="DY253" i="1"/>
  <c r="DX253" i="1"/>
  <c r="DV253" i="1"/>
  <c r="DT253" i="1"/>
  <c r="DR253" i="1"/>
  <c r="DP253" i="1"/>
  <c r="DN253" i="1"/>
  <c r="DL253" i="1"/>
  <c r="DJ253" i="1"/>
  <c r="DH253" i="1"/>
  <c r="DF253" i="1"/>
  <c r="DD253" i="1"/>
  <c r="DB253" i="1"/>
  <c r="AK253" i="1"/>
  <c r="A253" i="1"/>
  <c r="GV252" i="1"/>
  <c r="GF252" i="1"/>
  <c r="GE252" i="1"/>
  <c r="GD252" i="1"/>
  <c r="GB252" i="1"/>
  <c r="FZ252" i="1"/>
  <c r="FX252" i="1"/>
  <c r="FV252" i="1"/>
  <c r="FT252" i="1"/>
  <c r="FR252" i="1"/>
  <c r="FP252" i="1"/>
  <c r="FO252" i="1"/>
  <c r="FN252" i="1"/>
  <c r="FL252" i="1"/>
  <c r="FJ252" i="1"/>
  <c r="FH252" i="1"/>
  <c r="FG252" i="1"/>
  <c r="FF252" i="1"/>
  <c r="FD252" i="1"/>
  <c r="FB252" i="1"/>
  <c r="EZ252" i="1"/>
  <c r="EY252" i="1"/>
  <c r="EX252" i="1"/>
  <c r="EV252" i="1"/>
  <c r="ET252" i="1"/>
  <c r="ER252" i="1"/>
  <c r="EP252" i="1"/>
  <c r="EO252" i="1"/>
  <c r="EN252" i="1"/>
  <c r="EL252" i="1"/>
  <c r="EJ252" i="1"/>
  <c r="EH252" i="1"/>
  <c r="EG252" i="1"/>
  <c r="EF252" i="1"/>
  <c r="ED252" i="1"/>
  <c r="EB252" i="1"/>
  <c r="DZ252" i="1"/>
  <c r="DY252" i="1"/>
  <c r="DX252" i="1"/>
  <c r="DV252" i="1"/>
  <c r="DT252" i="1"/>
  <c r="DR252" i="1"/>
  <c r="DP252" i="1"/>
  <c r="DN252" i="1"/>
  <c r="DL252" i="1"/>
  <c r="DJ252" i="1"/>
  <c r="DH252" i="1"/>
  <c r="DF252" i="1"/>
  <c r="DD252" i="1"/>
  <c r="DB252" i="1"/>
  <c r="AK252" i="1"/>
  <c r="A252" i="1"/>
  <c r="GV251" i="1"/>
  <c r="GF251" i="1"/>
  <c r="GE251" i="1"/>
  <c r="GD251" i="1"/>
  <c r="GB251" i="1"/>
  <c r="FZ251" i="1"/>
  <c r="FX251" i="1"/>
  <c r="FV251" i="1"/>
  <c r="FT251" i="1"/>
  <c r="FR251" i="1"/>
  <c r="FP251" i="1"/>
  <c r="FO251" i="1"/>
  <c r="FN251" i="1"/>
  <c r="FL251" i="1"/>
  <c r="FJ251" i="1"/>
  <c r="FH251" i="1"/>
  <c r="FG251" i="1"/>
  <c r="FF251" i="1"/>
  <c r="FD251" i="1"/>
  <c r="FB251" i="1"/>
  <c r="EZ251" i="1"/>
  <c r="EY251" i="1"/>
  <c r="EX251" i="1"/>
  <c r="EV251" i="1"/>
  <c r="ET251" i="1"/>
  <c r="ER251" i="1"/>
  <c r="EP251" i="1"/>
  <c r="EO251" i="1"/>
  <c r="EN251" i="1"/>
  <c r="EL251" i="1"/>
  <c r="EJ251" i="1"/>
  <c r="EH251" i="1"/>
  <c r="EG251" i="1"/>
  <c r="EF251" i="1"/>
  <c r="ED251" i="1"/>
  <c r="EB251" i="1"/>
  <c r="DZ251" i="1"/>
  <c r="DY251" i="1"/>
  <c r="DX251" i="1"/>
  <c r="DV251" i="1"/>
  <c r="DT251" i="1"/>
  <c r="DR251" i="1"/>
  <c r="DP251" i="1"/>
  <c r="DN251" i="1"/>
  <c r="DL251" i="1"/>
  <c r="DJ251" i="1"/>
  <c r="DH251" i="1"/>
  <c r="DF251" i="1"/>
  <c r="DD251" i="1"/>
  <c r="DB251" i="1"/>
  <c r="AK251" i="1"/>
  <c r="A251" i="1"/>
  <c r="GV250" i="1"/>
  <c r="GF250" i="1"/>
  <c r="GE250" i="1"/>
  <c r="GD250" i="1"/>
  <c r="GB250" i="1"/>
  <c r="FZ250" i="1"/>
  <c r="FX250" i="1"/>
  <c r="FV250" i="1"/>
  <c r="FT250" i="1"/>
  <c r="FR250" i="1"/>
  <c r="FP250" i="1"/>
  <c r="FO250" i="1"/>
  <c r="FN250" i="1"/>
  <c r="FL250" i="1"/>
  <c r="FJ250" i="1"/>
  <c r="FH250" i="1"/>
  <c r="FG250" i="1"/>
  <c r="FF250" i="1"/>
  <c r="FD250" i="1"/>
  <c r="FB250" i="1"/>
  <c r="EZ250" i="1"/>
  <c r="EY250" i="1"/>
  <c r="EX250" i="1"/>
  <c r="EV250" i="1"/>
  <c r="ET250" i="1"/>
  <c r="ER250" i="1"/>
  <c r="EP250" i="1"/>
  <c r="EO250" i="1"/>
  <c r="EN250" i="1"/>
  <c r="EL250" i="1"/>
  <c r="EJ250" i="1"/>
  <c r="EH250" i="1"/>
  <c r="EG250" i="1"/>
  <c r="EF250" i="1"/>
  <c r="ED250" i="1"/>
  <c r="EB250" i="1"/>
  <c r="DZ250" i="1"/>
  <c r="DY250" i="1"/>
  <c r="DX250" i="1"/>
  <c r="DV250" i="1"/>
  <c r="DT250" i="1"/>
  <c r="DR250" i="1"/>
  <c r="DP250" i="1"/>
  <c r="DN250" i="1"/>
  <c r="DL250" i="1"/>
  <c r="DJ250" i="1"/>
  <c r="DH250" i="1"/>
  <c r="DF250" i="1"/>
  <c r="DD250" i="1"/>
  <c r="DB250" i="1"/>
  <c r="AK250" i="1"/>
  <c r="A250" i="1"/>
  <c r="GV249" i="1"/>
  <c r="GF249" i="1"/>
  <c r="GE249" i="1"/>
  <c r="GD249" i="1"/>
  <c r="GB249" i="1"/>
  <c r="FZ249" i="1"/>
  <c r="FX249" i="1"/>
  <c r="FV249" i="1"/>
  <c r="FT249" i="1"/>
  <c r="FR249" i="1"/>
  <c r="FP249" i="1"/>
  <c r="FO249" i="1"/>
  <c r="FN249" i="1"/>
  <c r="FL249" i="1"/>
  <c r="FJ249" i="1"/>
  <c r="FH249" i="1"/>
  <c r="FG249" i="1"/>
  <c r="FF249" i="1"/>
  <c r="FD249" i="1"/>
  <c r="FB249" i="1"/>
  <c r="EZ249" i="1"/>
  <c r="EY249" i="1"/>
  <c r="EX249" i="1"/>
  <c r="EV249" i="1"/>
  <c r="ET249" i="1"/>
  <c r="ER249" i="1"/>
  <c r="EP249" i="1"/>
  <c r="EO249" i="1"/>
  <c r="EN249" i="1"/>
  <c r="EL249" i="1"/>
  <c r="EJ249" i="1"/>
  <c r="EH249" i="1"/>
  <c r="EG249" i="1"/>
  <c r="EF249" i="1"/>
  <c r="ED249" i="1"/>
  <c r="EB249" i="1"/>
  <c r="DZ249" i="1"/>
  <c r="DY249" i="1"/>
  <c r="DX249" i="1"/>
  <c r="DV249" i="1"/>
  <c r="DT249" i="1"/>
  <c r="DR249" i="1"/>
  <c r="DP249" i="1"/>
  <c r="DN249" i="1"/>
  <c r="DL249" i="1"/>
  <c r="DJ249" i="1"/>
  <c r="DH249" i="1"/>
  <c r="DF249" i="1"/>
  <c r="DD249" i="1"/>
  <c r="DB249" i="1"/>
  <c r="AK249" i="1"/>
  <c r="A249" i="1"/>
  <c r="GV248" i="1"/>
  <c r="GF248" i="1"/>
  <c r="GE248" i="1"/>
  <c r="GD248" i="1"/>
  <c r="GB248" i="1"/>
  <c r="FZ248" i="1"/>
  <c r="FX248" i="1"/>
  <c r="FV248" i="1"/>
  <c r="FT248" i="1"/>
  <c r="FR248" i="1"/>
  <c r="FP248" i="1"/>
  <c r="FO248" i="1"/>
  <c r="FN248" i="1"/>
  <c r="FL248" i="1"/>
  <c r="FJ248" i="1"/>
  <c r="FH248" i="1"/>
  <c r="FG248" i="1"/>
  <c r="FF248" i="1"/>
  <c r="FD248" i="1"/>
  <c r="FB248" i="1"/>
  <c r="EZ248" i="1"/>
  <c r="EY248" i="1"/>
  <c r="EX248" i="1"/>
  <c r="EV248" i="1"/>
  <c r="ET248" i="1"/>
  <c r="ER248" i="1"/>
  <c r="EP248" i="1"/>
  <c r="EO248" i="1"/>
  <c r="EN248" i="1"/>
  <c r="EL248" i="1"/>
  <c r="EJ248" i="1"/>
  <c r="EH248" i="1"/>
  <c r="EG248" i="1"/>
  <c r="EF248" i="1"/>
  <c r="ED248" i="1"/>
  <c r="EB248" i="1"/>
  <c r="DZ248" i="1"/>
  <c r="DY248" i="1"/>
  <c r="DX248" i="1"/>
  <c r="DV248" i="1"/>
  <c r="DT248" i="1"/>
  <c r="DR248" i="1"/>
  <c r="DP248" i="1"/>
  <c r="DN248" i="1"/>
  <c r="DL248" i="1"/>
  <c r="DJ248" i="1"/>
  <c r="DH248" i="1"/>
  <c r="DF248" i="1"/>
  <c r="DD248" i="1"/>
  <c r="DB248" i="1"/>
  <c r="AK248" i="1"/>
  <c r="A248" i="1"/>
  <c r="GV247" i="1"/>
  <c r="GV246" i="1"/>
  <c r="GF246" i="1"/>
  <c r="GE246" i="1"/>
  <c r="GD246" i="1"/>
  <c r="GB246" i="1"/>
  <c r="FZ246" i="1"/>
  <c r="FX246" i="1"/>
  <c r="FV246" i="1"/>
  <c r="FT246" i="1"/>
  <c r="FR246" i="1"/>
  <c r="FP246" i="1"/>
  <c r="FO246" i="1"/>
  <c r="FN246" i="1"/>
  <c r="FL246" i="1"/>
  <c r="FJ246" i="1"/>
  <c r="FH246" i="1"/>
  <c r="FG246" i="1"/>
  <c r="FF246" i="1"/>
  <c r="FD246" i="1"/>
  <c r="FB246" i="1"/>
  <c r="EZ246" i="1"/>
  <c r="EY246" i="1"/>
  <c r="EX246" i="1"/>
  <c r="EV246" i="1"/>
  <c r="ET246" i="1"/>
  <c r="ER246" i="1"/>
  <c r="EP246" i="1"/>
  <c r="EO246" i="1"/>
  <c r="EN246" i="1"/>
  <c r="EL246" i="1"/>
  <c r="EJ246" i="1"/>
  <c r="EH246" i="1"/>
  <c r="EG246" i="1"/>
  <c r="EF246" i="1"/>
  <c r="ED246" i="1"/>
  <c r="EB246" i="1"/>
  <c r="DZ246" i="1"/>
  <c r="DY246" i="1"/>
  <c r="DX246" i="1"/>
  <c r="DV246" i="1"/>
  <c r="DT246" i="1"/>
  <c r="DR246" i="1"/>
  <c r="DP246" i="1"/>
  <c r="DN246" i="1"/>
  <c r="DL246" i="1"/>
  <c r="DJ246" i="1"/>
  <c r="DH246" i="1"/>
  <c r="DF246" i="1"/>
  <c r="DD246" i="1"/>
  <c r="DB246" i="1"/>
  <c r="AK246" i="1"/>
  <c r="A246" i="1"/>
  <c r="GV245" i="1"/>
  <c r="GF245" i="1"/>
  <c r="GE245" i="1"/>
  <c r="GD245" i="1"/>
  <c r="GB245" i="1"/>
  <c r="FZ245" i="1"/>
  <c r="FX245" i="1"/>
  <c r="FV245" i="1"/>
  <c r="FT245" i="1"/>
  <c r="FR245" i="1"/>
  <c r="FP245" i="1"/>
  <c r="FO245" i="1"/>
  <c r="FN245" i="1"/>
  <c r="FL245" i="1"/>
  <c r="FJ245" i="1"/>
  <c r="FH245" i="1"/>
  <c r="FG245" i="1"/>
  <c r="FF245" i="1"/>
  <c r="FD245" i="1"/>
  <c r="FB245" i="1"/>
  <c r="EZ245" i="1"/>
  <c r="EY245" i="1"/>
  <c r="EX245" i="1"/>
  <c r="EV245" i="1"/>
  <c r="ET245" i="1"/>
  <c r="ER245" i="1"/>
  <c r="EP245" i="1"/>
  <c r="EO245" i="1"/>
  <c r="EN245" i="1"/>
  <c r="EL245" i="1"/>
  <c r="EJ245" i="1"/>
  <c r="EH245" i="1"/>
  <c r="EG245" i="1"/>
  <c r="EF245" i="1"/>
  <c r="ED245" i="1"/>
  <c r="EB245" i="1"/>
  <c r="DZ245" i="1"/>
  <c r="DY245" i="1"/>
  <c r="DX245" i="1"/>
  <c r="DV245" i="1"/>
  <c r="DT245" i="1"/>
  <c r="DR245" i="1"/>
  <c r="DP245" i="1"/>
  <c r="DN245" i="1"/>
  <c r="DL245" i="1"/>
  <c r="DJ245" i="1"/>
  <c r="DH245" i="1"/>
  <c r="DF245" i="1"/>
  <c r="DD245" i="1"/>
  <c r="DB245" i="1"/>
  <c r="AK245" i="1"/>
  <c r="A245" i="1"/>
  <c r="GV244" i="1"/>
  <c r="GF244" i="1"/>
  <c r="GE244" i="1"/>
  <c r="GD244" i="1"/>
  <c r="GB244" i="1"/>
  <c r="FZ244" i="1"/>
  <c r="FX244" i="1"/>
  <c r="FV244" i="1"/>
  <c r="FT244" i="1"/>
  <c r="FR244" i="1"/>
  <c r="FP244" i="1"/>
  <c r="FO244" i="1"/>
  <c r="FN244" i="1"/>
  <c r="FL244" i="1"/>
  <c r="FJ244" i="1"/>
  <c r="FH244" i="1"/>
  <c r="FG244" i="1"/>
  <c r="FF244" i="1"/>
  <c r="FD244" i="1"/>
  <c r="FB244" i="1"/>
  <c r="EZ244" i="1"/>
  <c r="EY244" i="1"/>
  <c r="EX244" i="1"/>
  <c r="EV244" i="1"/>
  <c r="ET244" i="1"/>
  <c r="ER244" i="1"/>
  <c r="EP244" i="1"/>
  <c r="EO244" i="1"/>
  <c r="EN244" i="1"/>
  <c r="EL244" i="1"/>
  <c r="EJ244" i="1"/>
  <c r="EH244" i="1"/>
  <c r="EG244" i="1"/>
  <c r="EF244" i="1"/>
  <c r="ED244" i="1"/>
  <c r="EB244" i="1"/>
  <c r="DZ244" i="1"/>
  <c r="DY244" i="1"/>
  <c r="DX244" i="1"/>
  <c r="DV244" i="1"/>
  <c r="DT244" i="1"/>
  <c r="DR244" i="1"/>
  <c r="DP244" i="1"/>
  <c r="DN244" i="1"/>
  <c r="DL244" i="1"/>
  <c r="DJ244" i="1"/>
  <c r="DH244" i="1"/>
  <c r="DF244" i="1"/>
  <c r="DD244" i="1"/>
  <c r="DB244" i="1"/>
  <c r="AK244" i="1"/>
  <c r="A244" i="1"/>
  <c r="GV243" i="1"/>
  <c r="GF243" i="1"/>
  <c r="GE243" i="1"/>
  <c r="GD243" i="1"/>
  <c r="GB243" i="1"/>
  <c r="FZ243" i="1"/>
  <c r="FX243" i="1"/>
  <c r="FV243" i="1"/>
  <c r="FT243" i="1"/>
  <c r="FR243" i="1"/>
  <c r="FP243" i="1"/>
  <c r="FO243" i="1"/>
  <c r="FN243" i="1"/>
  <c r="FL243" i="1"/>
  <c r="FJ243" i="1"/>
  <c r="FH243" i="1"/>
  <c r="FG243" i="1"/>
  <c r="FF243" i="1"/>
  <c r="FD243" i="1"/>
  <c r="FB243" i="1"/>
  <c r="EZ243" i="1"/>
  <c r="EY243" i="1"/>
  <c r="EX243" i="1"/>
  <c r="EV243" i="1"/>
  <c r="ET243" i="1"/>
  <c r="ER243" i="1"/>
  <c r="EP243" i="1"/>
  <c r="EO243" i="1"/>
  <c r="EN243" i="1"/>
  <c r="EL243" i="1"/>
  <c r="EJ243" i="1"/>
  <c r="EH243" i="1"/>
  <c r="EG243" i="1"/>
  <c r="EF243" i="1"/>
  <c r="ED243" i="1"/>
  <c r="EB243" i="1"/>
  <c r="DZ243" i="1"/>
  <c r="DY243" i="1"/>
  <c r="DX243" i="1"/>
  <c r="DV243" i="1"/>
  <c r="DT243" i="1"/>
  <c r="DR243" i="1"/>
  <c r="DP243" i="1"/>
  <c r="DN243" i="1"/>
  <c r="DL243" i="1"/>
  <c r="DJ243" i="1"/>
  <c r="DH243" i="1"/>
  <c r="DF243" i="1"/>
  <c r="DD243" i="1"/>
  <c r="DB243" i="1"/>
  <c r="AK243" i="1"/>
  <c r="A243" i="1"/>
  <c r="GV242" i="1"/>
  <c r="GF242" i="1"/>
  <c r="GE242" i="1"/>
  <c r="GD242" i="1"/>
  <c r="GB242" i="1"/>
  <c r="FZ242" i="1"/>
  <c r="FX242" i="1"/>
  <c r="FV242" i="1"/>
  <c r="FT242" i="1"/>
  <c r="FR242" i="1"/>
  <c r="FP242" i="1"/>
  <c r="FO242" i="1"/>
  <c r="FN242" i="1"/>
  <c r="FL242" i="1"/>
  <c r="FJ242" i="1"/>
  <c r="FH242" i="1"/>
  <c r="FG242" i="1"/>
  <c r="FF242" i="1"/>
  <c r="FD242" i="1"/>
  <c r="FB242" i="1"/>
  <c r="EZ242" i="1"/>
  <c r="EY242" i="1"/>
  <c r="EX242" i="1"/>
  <c r="EV242" i="1"/>
  <c r="ET242" i="1"/>
  <c r="ER242" i="1"/>
  <c r="EP242" i="1"/>
  <c r="EO242" i="1"/>
  <c r="EN242" i="1"/>
  <c r="EL242" i="1"/>
  <c r="EJ242" i="1"/>
  <c r="EH242" i="1"/>
  <c r="EG242" i="1"/>
  <c r="EF242" i="1"/>
  <c r="ED242" i="1"/>
  <c r="EB242" i="1"/>
  <c r="DZ242" i="1"/>
  <c r="DY242" i="1"/>
  <c r="DX242" i="1"/>
  <c r="DV242" i="1"/>
  <c r="DT242" i="1"/>
  <c r="DR242" i="1"/>
  <c r="DP242" i="1"/>
  <c r="DN242" i="1"/>
  <c r="DL242" i="1"/>
  <c r="DJ242" i="1"/>
  <c r="DH242" i="1"/>
  <c r="DF242" i="1"/>
  <c r="DD242" i="1"/>
  <c r="DB242" i="1"/>
  <c r="AK242" i="1"/>
  <c r="A242" i="1"/>
  <c r="GV241" i="1"/>
  <c r="GF241" i="1"/>
  <c r="GE241" i="1"/>
  <c r="GD241" i="1"/>
  <c r="GB241" i="1"/>
  <c r="FZ241" i="1"/>
  <c r="FX241" i="1"/>
  <c r="FV241" i="1"/>
  <c r="FT241" i="1"/>
  <c r="FR241" i="1"/>
  <c r="FP241" i="1"/>
  <c r="FO241" i="1"/>
  <c r="FN241" i="1"/>
  <c r="FL241" i="1"/>
  <c r="FJ241" i="1"/>
  <c r="FH241" i="1"/>
  <c r="FG241" i="1"/>
  <c r="FF241" i="1"/>
  <c r="FD241" i="1"/>
  <c r="FB241" i="1"/>
  <c r="EZ241" i="1"/>
  <c r="EY241" i="1"/>
  <c r="EX241" i="1"/>
  <c r="EV241" i="1"/>
  <c r="ET241" i="1"/>
  <c r="ER241" i="1"/>
  <c r="EP241" i="1"/>
  <c r="EO241" i="1"/>
  <c r="EN241" i="1"/>
  <c r="EL241" i="1"/>
  <c r="EJ241" i="1"/>
  <c r="EH241" i="1"/>
  <c r="EG241" i="1"/>
  <c r="EF241" i="1"/>
  <c r="ED241" i="1"/>
  <c r="EB241" i="1"/>
  <c r="DZ241" i="1"/>
  <c r="DY241" i="1"/>
  <c r="DX241" i="1"/>
  <c r="DV241" i="1"/>
  <c r="DT241" i="1"/>
  <c r="DR241" i="1"/>
  <c r="DP241" i="1"/>
  <c r="DN241" i="1"/>
  <c r="DL241" i="1"/>
  <c r="DJ241" i="1"/>
  <c r="DH241" i="1"/>
  <c r="DF241" i="1"/>
  <c r="DD241" i="1"/>
  <c r="DB241" i="1"/>
  <c r="AK241" i="1"/>
  <c r="A241" i="1"/>
  <c r="GV240" i="1"/>
  <c r="GF240" i="1"/>
  <c r="GE240" i="1"/>
  <c r="GD240" i="1"/>
  <c r="GB240" i="1"/>
  <c r="FZ240" i="1"/>
  <c r="FX240" i="1"/>
  <c r="FV240" i="1"/>
  <c r="FT240" i="1"/>
  <c r="FR240" i="1"/>
  <c r="FP240" i="1"/>
  <c r="FO240" i="1"/>
  <c r="FN240" i="1"/>
  <c r="FL240" i="1"/>
  <c r="FJ240" i="1"/>
  <c r="FH240" i="1"/>
  <c r="FG240" i="1"/>
  <c r="FF240" i="1"/>
  <c r="FD240" i="1"/>
  <c r="FB240" i="1"/>
  <c r="EZ240" i="1"/>
  <c r="EY240" i="1"/>
  <c r="EX240" i="1"/>
  <c r="EV240" i="1"/>
  <c r="ET240" i="1"/>
  <c r="ER240" i="1"/>
  <c r="EP240" i="1"/>
  <c r="EO240" i="1"/>
  <c r="EN240" i="1"/>
  <c r="EL240" i="1"/>
  <c r="EJ240" i="1"/>
  <c r="EH240" i="1"/>
  <c r="EG240" i="1"/>
  <c r="EF240" i="1"/>
  <c r="ED240" i="1"/>
  <c r="EB240" i="1"/>
  <c r="DZ240" i="1"/>
  <c r="DY240" i="1"/>
  <c r="DX240" i="1"/>
  <c r="DV240" i="1"/>
  <c r="DT240" i="1"/>
  <c r="DR240" i="1"/>
  <c r="DP240" i="1"/>
  <c r="DN240" i="1"/>
  <c r="DL240" i="1"/>
  <c r="DJ240" i="1"/>
  <c r="DH240" i="1"/>
  <c r="DF240" i="1"/>
  <c r="DD240" i="1"/>
  <c r="DB240" i="1"/>
  <c r="AK240" i="1"/>
  <c r="A240" i="1"/>
  <c r="GV239" i="1"/>
  <c r="GV238" i="1"/>
  <c r="GF238" i="1"/>
  <c r="GE238" i="1"/>
  <c r="GD238" i="1"/>
  <c r="GB238" i="1"/>
  <c r="FZ238" i="1"/>
  <c r="FX238" i="1"/>
  <c r="FV238" i="1"/>
  <c r="FT238" i="1"/>
  <c r="FR238" i="1"/>
  <c r="FP238" i="1"/>
  <c r="FO238" i="1"/>
  <c r="FN238" i="1"/>
  <c r="FL238" i="1"/>
  <c r="FJ238" i="1"/>
  <c r="FH238" i="1"/>
  <c r="FG238" i="1"/>
  <c r="FF238" i="1"/>
  <c r="FD238" i="1"/>
  <c r="FB238" i="1"/>
  <c r="EZ238" i="1"/>
  <c r="EY238" i="1"/>
  <c r="EX238" i="1"/>
  <c r="EV238" i="1"/>
  <c r="ET238" i="1"/>
  <c r="ER238" i="1"/>
  <c r="EP238" i="1"/>
  <c r="EO238" i="1"/>
  <c r="EN238" i="1"/>
  <c r="EL238" i="1"/>
  <c r="EJ238" i="1"/>
  <c r="EH238" i="1"/>
  <c r="EG238" i="1"/>
  <c r="EF238" i="1"/>
  <c r="ED238" i="1"/>
  <c r="EB238" i="1"/>
  <c r="DZ238" i="1"/>
  <c r="DY238" i="1"/>
  <c r="DX238" i="1"/>
  <c r="DV238" i="1"/>
  <c r="DT238" i="1"/>
  <c r="DR238" i="1"/>
  <c r="DP238" i="1"/>
  <c r="DN238" i="1"/>
  <c r="DL238" i="1"/>
  <c r="DJ238" i="1"/>
  <c r="DH238" i="1"/>
  <c r="DF238" i="1"/>
  <c r="DD238" i="1"/>
  <c r="DB238" i="1"/>
  <c r="AK238" i="1"/>
  <c r="A238" i="1"/>
  <c r="GV237" i="1"/>
  <c r="GF237" i="1"/>
  <c r="GE237" i="1"/>
  <c r="GD237" i="1"/>
  <c r="GB237" i="1"/>
  <c r="FZ237" i="1"/>
  <c r="FX237" i="1"/>
  <c r="FV237" i="1"/>
  <c r="FT237" i="1"/>
  <c r="FR237" i="1"/>
  <c r="FP237" i="1"/>
  <c r="FO237" i="1"/>
  <c r="FN237" i="1"/>
  <c r="FL237" i="1"/>
  <c r="FJ237" i="1"/>
  <c r="FH237" i="1"/>
  <c r="FG237" i="1"/>
  <c r="FF237" i="1"/>
  <c r="FD237" i="1"/>
  <c r="FB237" i="1"/>
  <c r="EZ237" i="1"/>
  <c r="EY237" i="1"/>
  <c r="EX237" i="1"/>
  <c r="EV237" i="1"/>
  <c r="ET237" i="1"/>
  <c r="ER237" i="1"/>
  <c r="EP237" i="1"/>
  <c r="EO237" i="1"/>
  <c r="EN237" i="1"/>
  <c r="EL237" i="1"/>
  <c r="EJ237" i="1"/>
  <c r="EH237" i="1"/>
  <c r="EG237" i="1"/>
  <c r="EF237" i="1"/>
  <c r="ED237" i="1"/>
  <c r="EB237" i="1"/>
  <c r="DZ237" i="1"/>
  <c r="DY237" i="1"/>
  <c r="DX237" i="1"/>
  <c r="DV237" i="1"/>
  <c r="DT237" i="1"/>
  <c r="DR237" i="1"/>
  <c r="DP237" i="1"/>
  <c r="DN237" i="1"/>
  <c r="DL237" i="1"/>
  <c r="DJ237" i="1"/>
  <c r="DH237" i="1"/>
  <c r="DF237" i="1"/>
  <c r="DD237" i="1"/>
  <c r="DB237" i="1"/>
  <c r="AK237" i="1"/>
  <c r="A237" i="1"/>
  <c r="GV236" i="1"/>
  <c r="GF236" i="1"/>
  <c r="GE236" i="1"/>
  <c r="GD236" i="1"/>
  <c r="GB236" i="1"/>
  <c r="FZ236" i="1"/>
  <c r="FX236" i="1"/>
  <c r="FV236" i="1"/>
  <c r="FT236" i="1"/>
  <c r="FR236" i="1"/>
  <c r="FP236" i="1"/>
  <c r="FO236" i="1"/>
  <c r="FN236" i="1"/>
  <c r="FL236" i="1"/>
  <c r="FJ236" i="1"/>
  <c r="FH236" i="1"/>
  <c r="FG236" i="1"/>
  <c r="FF236" i="1"/>
  <c r="FD236" i="1"/>
  <c r="FB236" i="1"/>
  <c r="EZ236" i="1"/>
  <c r="EY236" i="1"/>
  <c r="EX236" i="1"/>
  <c r="EV236" i="1"/>
  <c r="ET236" i="1"/>
  <c r="ER236" i="1"/>
  <c r="EP236" i="1"/>
  <c r="EO236" i="1"/>
  <c r="EN236" i="1"/>
  <c r="EL236" i="1"/>
  <c r="EJ236" i="1"/>
  <c r="EH236" i="1"/>
  <c r="EG236" i="1"/>
  <c r="EF236" i="1"/>
  <c r="ED236" i="1"/>
  <c r="EB236" i="1"/>
  <c r="DZ236" i="1"/>
  <c r="DY236" i="1"/>
  <c r="DX236" i="1"/>
  <c r="DV236" i="1"/>
  <c r="DT236" i="1"/>
  <c r="DR236" i="1"/>
  <c r="DP236" i="1"/>
  <c r="DN236" i="1"/>
  <c r="DL236" i="1"/>
  <c r="DJ236" i="1"/>
  <c r="DH236" i="1"/>
  <c r="DF236" i="1"/>
  <c r="DD236" i="1"/>
  <c r="DB236" i="1"/>
  <c r="AK236" i="1"/>
  <c r="A236" i="1"/>
  <c r="GV235" i="1"/>
  <c r="GF235" i="1"/>
  <c r="GE235" i="1"/>
  <c r="GD235" i="1"/>
  <c r="GB235" i="1"/>
  <c r="FZ235" i="1"/>
  <c r="FX235" i="1"/>
  <c r="FV235" i="1"/>
  <c r="FT235" i="1"/>
  <c r="FR235" i="1"/>
  <c r="FP235" i="1"/>
  <c r="FO235" i="1"/>
  <c r="FN235" i="1"/>
  <c r="FL235" i="1"/>
  <c r="FJ235" i="1"/>
  <c r="FH235" i="1"/>
  <c r="FG235" i="1"/>
  <c r="FF235" i="1"/>
  <c r="FD235" i="1"/>
  <c r="FB235" i="1"/>
  <c r="EZ235" i="1"/>
  <c r="EY235" i="1"/>
  <c r="EX235" i="1"/>
  <c r="EV235" i="1"/>
  <c r="ET235" i="1"/>
  <c r="ER235" i="1"/>
  <c r="EP235" i="1"/>
  <c r="EO235" i="1"/>
  <c r="EN235" i="1"/>
  <c r="EL235" i="1"/>
  <c r="EJ235" i="1"/>
  <c r="EH235" i="1"/>
  <c r="EG235" i="1"/>
  <c r="EF235" i="1"/>
  <c r="ED235" i="1"/>
  <c r="EB235" i="1"/>
  <c r="DZ235" i="1"/>
  <c r="DY235" i="1"/>
  <c r="DX235" i="1"/>
  <c r="DV235" i="1"/>
  <c r="DT235" i="1"/>
  <c r="DR235" i="1"/>
  <c r="DP235" i="1"/>
  <c r="DN235" i="1"/>
  <c r="DL235" i="1"/>
  <c r="DJ235" i="1"/>
  <c r="DH235" i="1"/>
  <c r="DF235" i="1"/>
  <c r="DD235" i="1"/>
  <c r="DB235" i="1"/>
  <c r="AK235" i="1"/>
  <c r="A235" i="1"/>
  <c r="GV234" i="1"/>
  <c r="GF234" i="1"/>
  <c r="GE234" i="1"/>
  <c r="GD234" i="1"/>
  <c r="GB234" i="1"/>
  <c r="FZ234" i="1"/>
  <c r="FX234" i="1"/>
  <c r="FV234" i="1"/>
  <c r="FT234" i="1"/>
  <c r="FR234" i="1"/>
  <c r="FP234" i="1"/>
  <c r="FO234" i="1"/>
  <c r="FN234" i="1"/>
  <c r="FL234" i="1"/>
  <c r="FJ234" i="1"/>
  <c r="FH234" i="1"/>
  <c r="FG234" i="1"/>
  <c r="FF234" i="1"/>
  <c r="FD234" i="1"/>
  <c r="FB234" i="1"/>
  <c r="EZ234" i="1"/>
  <c r="EY234" i="1"/>
  <c r="EX234" i="1"/>
  <c r="EV234" i="1"/>
  <c r="ET234" i="1"/>
  <c r="ER234" i="1"/>
  <c r="EP234" i="1"/>
  <c r="EO234" i="1"/>
  <c r="EN234" i="1"/>
  <c r="EL234" i="1"/>
  <c r="EJ234" i="1"/>
  <c r="EH234" i="1"/>
  <c r="EG234" i="1"/>
  <c r="EF234" i="1"/>
  <c r="ED234" i="1"/>
  <c r="EB234" i="1"/>
  <c r="DZ234" i="1"/>
  <c r="DY234" i="1"/>
  <c r="DX234" i="1"/>
  <c r="DV234" i="1"/>
  <c r="DT234" i="1"/>
  <c r="DR234" i="1"/>
  <c r="DP234" i="1"/>
  <c r="DN234" i="1"/>
  <c r="DL234" i="1"/>
  <c r="DJ234" i="1"/>
  <c r="DH234" i="1"/>
  <c r="DF234" i="1"/>
  <c r="DD234" i="1"/>
  <c r="DB234" i="1"/>
  <c r="AK234" i="1"/>
  <c r="A234" i="1"/>
  <c r="GV233" i="1"/>
  <c r="GV232" i="1"/>
  <c r="GV231" i="1"/>
  <c r="GF231" i="1"/>
  <c r="GE231" i="1"/>
  <c r="GD231" i="1"/>
  <c r="GB231" i="1"/>
  <c r="FZ231" i="1"/>
  <c r="FX231" i="1"/>
  <c r="FV231" i="1"/>
  <c r="FT231" i="1"/>
  <c r="FR231" i="1"/>
  <c r="FP231" i="1"/>
  <c r="FO231" i="1"/>
  <c r="FN231" i="1"/>
  <c r="FL231" i="1"/>
  <c r="FJ231" i="1"/>
  <c r="FH231" i="1"/>
  <c r="FG231" i="1"/>
  <c r="FF231" i="1"/>
  <c r="FD231" i="1"/>
  <c r="FB231" i="1"/>
  <c r="EZ231" i="1"/>
  <c r="EY231" i="1"/>
  <c r="EX231" i="1"/>
  <c r="EV231" i="1"/>
  <c r="ET231" i="1"/>
  <c r="ER231" i="1"/>
  <c r="EP231" i="1"/>
  <c r="EO231" i="1"/>
  <c r="EN231" i="1"/>
  <c r="EL231" i="1"/>
  <c r="EJ231" i="1"/>
  <c r="EH231" i="1"/>
  <c r="EG231" i="1"/>
  <c r="EF231" i="1"/>
  <c r="ED231" i="1"/>
  <c r="EB231" i="1"/>
  <c r="DZ231" i="1"/>
  <c r="DY231" i="1"/>
  <c r="DX231" i="1"/>
  <c r="DV231" i="1"/>
  <c r="DT231" i="1"/>
  <c r="DR231" i="1"/>
  <c r="DP231" i="1"/>
  <c r="DN231" i="1"/>
  <c r="DL231" i="1"/>
  <c r="DJ231" i="1"/>
  <c r="DH231" i="1"/>
  <c r="DF231" i="1"/>
  <c r="DD231" i="1"/>
  <c r="DB231" i="1"/>
  <c r="AK231" i="1"/>
  <c r="A231" i="1"/>
  <c r="GV230" i="1"/>
  <c r="GF230" i="1"/>
  <c r="GE230" i="1"/>
  <c r="GD230" i="1"/>
  <c r="GB230" i="1"/>
  <c r="FZ230" i="1"/>
  <c r="FX230" i="1"/>
  <c r="FV230" i="1"/>
  <c r="FT230" i="1"/>
  <c r="FR230" i="1"/>
  <c r="FP230" i="1"/>
  <c r="FO230" i="1"/>
  <c r="FN230" i="1"/>
  <c r="FL230" i="1"/>
  <c r="FJ230" i="1"/>
  <c r="FH230" i="1"/>
  <c r="FG230" i="1"/>
  <c r="FF230" i="1"/>
  <c r="FD230" i="1"/>
  <c r="FB230" i="1"/>
  <c r="EZ230" i="1"/>
  <c r="EY230" i="1"/>
  <c r="EX230" i="1"/>
  <c r="EV230" i="1"/>
  <c r="ET230" i="1"/>
  <c r="ER230" i="1"/>
  <c r="EP230" i="1"/>
  <c r="EO230" i="1"/>
  <c r="EN230" i="1"/>
  <c r="EL230" i="1"/>
  <c r="EJ230" i="1"/>
  <c r="EH230" i="1"/>
  <c r="EG230" i="1"/>
  <c r="EF230" i="1"/>
  <c r="ED230" i="1"/>
  <c r="EB230" i="1"/>
  <c r="DZ230" i="1"/>
  <c r="DY230" i="1"/>
  <c r="DX230" i="1"/>
  <c r="DV230" i="1"/>
  <c r="DT230" i="1"/>
  <c r="DR230" i="1"/>
  <c r="DP230" i="1"/>
  <c r="DN230" i="1"/>
  <c r="DL230" i="1"/>
  <c r="DJ230" i="1"/>
  <c r="DH230" i="1"/>
  <c r="DF230" i="1"/>
  <c r="DD230" i="1"/>
  <c r="DB230" i="1"/>
  <c r="AK230" i="1"/>
  <c r="A230" i="1"/>
  <c r="GV229" i="1"/>
  <c r="GV228" i="1"/>
  <c r="GF228" i="1"/>
  <c r="GE228" i="1"/>
  <c r="GD228" i="1"/>
  <c r="GB228" i="1"/>
  <c r="FZ228" i="1"/>
  <c r="FX228" i="1"/>
  <c r="FV228" i="1"/>
  <c r="FT228" i="1"/>
  <c r="FR228" i="1"/>
  <c r="FP228" i="1"/>
  <c r="FO228" i="1"/>
  <c r="FN228" i="1"/>
  <c r="FL228" i="1"/>
  <c r="FJ228" i="1"/>
  <c r="FH228" i="1"/>
  <c r="FG228" i="1"/>
  <c r="FF228" i="1"/>
  <c r="FD228" i="1"/>
  <c r="FB228" i="1"/>
  <c r="EZ228" i="1"/>
  <c r="EY228" i="1"/>
  <c r="EX228" i="1"/>
  <c r="EV228" i="1"/>
  <c r="ET228" i="1"/>
  <c r="ER228" i="1"/>
  <c r="EP228" i="1"/>
  <c r="EO228" i="1"/>
  <c r="EN228" i="1"/>
  <c r="EL228" i="1"/>
  <c r="EJ228" i="1"/>
  <c r="EH228" i="1"/>
  <c r="EG228" i="1"/>
  <c r="EF228" i="1"/>
  <c r="ED228" i="1"/>
  <c r="EB228" i="1"/>
  <c r="DZ228" i="1"/>
  <c r="DY228" i="1"/>
  <c r="DX228" i="1"/>
  <c r="DV228" i="1"/>
  <c r="DT228" i="1"/>
  <c r="DR228" i="1"/>
  <c r="DP228" i="1"/>
  <c r="DN228" i="1"/>
  <c r="DL228" i="1"/>
  <c r="DJ228" i="1"/>
  <c r="DH228" i="1"/>
  <c r="DF228" i="1"/>
  <c r="DD228" i="1"/>
  <c r="DB228" i="1"/>
  <c r="AK228" i="1"/>
  <c r="A228" i="1"/>
  <c r="GV227" i="1"/>
  <c r="GF227" i="1"/>
  <c r="GE227" i="1"/>
  <c r="GD227" i="1"/>
  <c r="GB227" i="1"/>
  <c r="FZ227" i="1"/>
  <c r="FX227" i="1"/>
  <c r="FV227" i="1"/>
  <c r="FT227" i="1"/>
  <c r="FR227" i="1"/>
  <c r="FP227" i="1"/>
  <c r="FO227" i="1"/>
  <c r="FN227" i="1"/>
  <c r="FL227" i="1"/>
  <c r="FJ227" i="1"/>
  <c r="FH227" i="1"/>
  <c r="FG227" i="1"/>
  <c r="FF227" i="1"/>
  <c r="FD227" i="1"/>
  <c r="FB227" i="1"/>
  <c r="EZ227" i="1"/>
  <c r="EY227" i="1"/>
  <c r="EX227" i="1"/>
  <c r="EV227" i="1"/>
  <c r="ET227" i="1"/>
  <c r="ER227" i="1"/>
  <c r="EP227" i="1"/>
  <c r="EO227" i="1"/>
  <c r="EN227" i="1"/>
  <c r="EL227" i="1"/>
  <c r="EJ227" i="1"/>
  <c r="EH227" i="1"/>
  <c r="EG227" i="1"/>
  <c r="EF227" i="1"/>
  <c r="ED227" i="1"/>
  <c r="EB227" i="1"/>
  <c r="DZ227" i="1"/>
  <c r="DY227" i="1"/>
  <c r="DX227" i="1"/>
  <c r="DV227" i="1"/>
  <c r="DT227" i="1"/>
  <c r="DR227" i="1"/>
  <c r="DP227" i="1"/>
  <c r="DN227" i="1"/>
  <c r="DL227" i="1"/>
  <c r="DJ227" i="1"/>
  <c r="DH227" i="1"/>
  <c r="DF227" i="1"/>
  <c r="DD227" i="1"/>
  <c r="DB227" i="1"/>
  <c r="AK227" i="1"/>
  <c r="A227" i="1"/>
  <c r="GV226" i="1"/>
  <c r="GF226" i="1"/>
  <c r="GE226" i="1"/>
  <c r="GD226" i="1"/>
  <c r="GB226" i="1"/>
  <c r="FZ226" i="1"/>
  <c r="FX226" i="1"/>
  <c r="FV226" i="1"/>
  <c r="FT226" i="1"/>
  <c r="FR226" i="1"/>
  <c r="FP226" i="1"/>
  <c r="FO226" i="1"/>
  <c r="FN226" i="1"/>
  <c r="FL226" i="1"/>
  <c r="FJ226" i="1"/>
  <c r="FH226" i="1"/>
  <c r="FG226" i="1"/>
  <c r="FF226" i="1"/>
  <c r="FD226" i="1"/>
  <c r="FB226" i="1"/>
  <c r="EZ226" i="1"/>
  <c r="EY226" i="1"/>
  <c r="EX226" i="1"/>
  <c r="EV226" i="1"/>
  <c r="ET226" i="1"/>
  <c r="ER226" i="1"/>
  <c r="EP226" i="1"/>
  <c r="EO226" i="1"/>
  <c r="EN226" i="1"/>
  <c r="EL226" i="1"/>
  <c r="EJ226" i="1"/>
  <c r="EH226" i="1"/>
  <c r="EG226" i="1"/>
  <c r="EF226" i="1"/>
  <c r="ED226" i="1"/>
  <c r="EB226" i="1"/>
  <c r="DZ226" i="1"/>
  <c r="DY226" i="1"/>
  <c r="DX226" i="1"/>
  <c r="DV226" i="1"/>
  <c r="DT226" i="1"/>
  <c r="DR226" i="1"/>
  <c r="DP226" i="1"/>
  <c r="DN226" i="1"/>
  <c r="DL226" i="1"/>
  <c r="DJ226" i="1"/>
  <c r="DH226" i="1"/>
  <c r="DF226" i="1"/>
  <c r="DD226" i="1"/>
  <c r="DB226" i="1"/>
  <c r="AK226" i="1"/>
  <c r="A226" i="1"/>
  <c r="GV225" i="1"/>
  <c r="GF225" i="1"/>
  <c r="GE225" i="1"/>
  <c r="GD225" i="1"/>
  <c r="GB225" i="1"/>
  <c r="FZ225" i="1"/>
  <c r="FX225" i="1"/>
  <c r="FV225" i="1"/>
  <c r="FT225" i="1"/>
  <c r="FR225" i="1"/>
  <c r="FP225" i="1"/>
  <c r="FO225" i="1"/>
  <c r="FN225" i="1"/>
  <c r="FL225" i="1"/>
  <c r="FJ225" i="1"/>
  <c r="FH225" i="1"/>
  <c r="FG225" i="1"/>
  <c r="FF225" i="1"/>
  <c r="FD225" i="1"/>
  <c r="FB225" i="1"/>
  <c r="EZ225" i="1"/>
  <c r="EY225" i="1"/>
  <c r="EX225" i="1"/>
  <c r="EV225" i="1"/>
  <c r="ET225" i="1"/>
  <c r="ER225" i="1"/>
  <c r="EP225" i="1"/>
  <c r="EO225" i="1"/>
  <c r="EN225" i="1"/>
  <c r="EL225" i="1"/>
  <c r="EJ225" i="1"/>
  <c r="EH225" i="1"/>
  <c r="EG225" i="1"/>
  <c r="EF225" i="1"/>
  <c r="ED225" i="1"/>
  <c r="EB225" i="1"/>
  <c r="DZ225" i="1"/>
  <c r="DY225" i="1"/>
  <c r="DX225" i="1"/>
  <c r="DV225" i="1"/>
  <c r="DT225" i="1"/>
  <c r="DR225" i="1"/>
  <c r="DP225" i="1"/>
  <c r="DN225" i="1"/>
  <c r="DL225" i="1"/>
  <c r="DJ225" i="1"/>
  <c r="DH225" i="1"/>
  <c r="DF225" i="1"/>
  <c r="DD225" i="1"/>
  <c r="DB225" i="1"/>
  <c r="AK225" i="1"/>
  <c r="A225" i="1"/>
  <c r="GV224" i="1"/>
  <c r="GF224" i="1"/>
  <c r="GE224" i="1"/>
  <c r="GD224" i="1"/>
  <c r="GB224" i="1"/>
  <c r="FZ224" i="1"/>
  <c r="FX224" i="1"/>
  <c r="FV224" i="1"/>
  <c r="FT224" i="1"/>
  <c r="FR224" i="1"/>
  <c r="FP224" i="1"/>
  <c r="FO224" i="1"/>
  <c r="FN224" i="1"/>
  <c r="FL224" i="1"/>
  <c r="FJ224" i="1"/>
  <c r="FH224" i="1"/>
  <c r="FG224" i="1"/>
  <c r="FF224" i="1"/>
  <c r="FD224" i="1"/>
  <c r="FB224" i="1"/>
  <c r="EZ224" i="1"/>
  <c r="EY224" i="1"/>
  <c r="EX224" i="1"/>
  <c r="EV224" i="1"/>
  <c r="ET224" i="1"/>
  <c r="ER224" i="1"/>
  <c r="EP224" i="1"/>
  <c r="EO224" i="1"/>
  <c r="EN224" i="1"/>
  <c r="EL224" i="1"/>
  <c r="EJ224" i="1"/>
  <c r="EH224" i="1"/>
  <c r="EG224" i="1"/>
  <c r="EF224" i="1"/>
  <c r="ED224" i="1"/>
  <c r="EB224" i="1"/>
  <c r="DZ224" i="1"/>
  <c r="DY224" i="1"/>
  <c r="DX224" i="1"/>
  <c r="DV224" i="1"/>
  <c r="DT224" i="1"/>
  <c r="DR224" i="1"/>
  <c r="DP224" i="1"/>
  <c r="DN224" i="1"/>
  <c r="DL224" i="1"/>
  <c r="DJ224" i="1"/>
  <c r="DH224" i="1"/>
  <c r="DF224" i="1"/>
  <c r="DD224" i="1"/>
  <c r="DB224" i="1"/>
  <c r="AK224" i="1"/>
  <c r="A224" i="1"/>
  <c r="GV223" i="1"/>
  <c r="GF223" i="1"/>
  <c r="GE223" i="1"/>
  <c r="GD223" i="1"/>
  <c r="GB223" i="1"/>
  <c r="FZ223" i="1"/>
  <c r="FX223" i="1"/>
  <c r="FV223" i="1"/>
  <c r="FT223" i="1"/>
  <c r="FR223" i="1"/>
  <c r="FP223" i="1"/>
  <c r="FO223" i="1"/>
  <c r="FN223" i="1"/>
  <c r="FL223" i="1"/>
  <c r="FJ223" i="1"/>
  <c r="FH223" i="1"/>
  <c r="FG223" i="1"/>
  <c r="FF223" i="1"/>
  <c r="FD223" i="1"/>
  <c r="FB223" i="1"/>
  <c r="EZ223" i="1"/>
  <c r="EY223" i="1"/>
  <c r="EX223" i="1"/>
  <c r="EV223" i="1"/>
  <c r="ET223" i="1"/>
  <c r="ER223" i="1"/>
  <c r="EP223" i="1"/>
  <c r="EO223" i="1"/>
  <c r="EN223" i="1"/>
  <c r="EL223" i="1"/>
  <c r="EJ223" i="1"/>
  <c r="EH223" i="1"/>
  <c r="EG223" i="1"/>
  <c r="EF223" i="1"/>
  <c r="ED223" i="1"/>
  <c r="EB223" i="1"/>
  <c r="DZ223" i="1"/>
  <c r="DY223" i="1"/>
  <c r="DX223" i="1"/>
  <c r="DV223" i="1"/>
  <c r="DT223" i="1"/>
  <c r="DR223" i="1"/>
  <c r="DP223" i="1"/>
  <c r="DN223" i="1"/>
  <c r="DL223" i="1"/>
  <c r="DJ223" i="1"/>
  <c r="DH223" i="1"/>
  <c r="DF223" i="1"/>
  <c r="DD223" i="1"/>
  <c r="DB223" i="1"/>
  <c r="AK223" i="1"/>
  <c r="A223" i="1"/>
  <c r="GV222" i="1"/>
  <c r="GF222" i="1"/>
  <c r="GE222" i="1"/>
  <c r="GD222" i="1"/>
  <c r="GB222" i="1"/>
  <c r="FZ222" i="1"/>
  <c r="FX222" i="1"/>
  <c r="FV222" i="1"/>
  <c r="FT222" i="1"/>
  <c r="FR222" i="1"/>
  <c r="FP222" i="1"/>
  <c r="FO222" i="1"/>
  <c r="FN222" i="1"/>
  <c r="FL222" i="1"/>
  <c r="FJ222" i="1"/>
  <c r="FH222" i="1"/>
  <c r="FG222" i="1"/>
  <c r="FF222" i="1"/>
  <c r="FD222" i="1"/>
  <c r="FB222" i="1"/>
  <c r="EZ222" i="1"/>
  <c r="EY222" i="1"/>
  <c r="EX222" i="1"/>
  <c r="EV222" i="1"/>
  <c r="ET222" i="1"/>
  <c r="ER222" i="1"/>
  <c r="EP222" i="1"/>
  <c r="EO222" i="1"/>
  <c r="EN222" i="1"/>
  <c r="EL222" i="1"/>
  <c r="EJ222" i="1"/>
  <c r="EH222" i="1"/>
  <c r="EG222" i="1"/>
  <c r="EF222" i="1"/>
  <c r="ED222" i="1"/>
  <c r="EB222" i="1"/>
  <c r="DZ222" i="1"/>
  <c r="DY222" i="1"/>
  <c r="DX222" i="1"/>
  <c r="DV222" i="1"/>
  <c r="DT222" i="1"/>
  <c r="DR222" i="1"/>
  <c r="DP222" i="1"/>
  <c r="DN222" i="1"/>
  <c r="DL222" i="1"/>
  <c r="DJ222" i="1"/>
  <c r="DH222" i="1"/>
  <c r="DF222" i="1"/>
  <c r="DD222" i="1"/>
  <c r="DB222" i="1"/>
  <c r="AK222" i="1"/>
  <c r="A222" i="1"/>
  <c r="GV221" i="1"/>
  <c r="GV220" i="1"/>
  <c r="GF220" i="1"/>
  <c r="GE220" i="1"/>
  <c r="GD220" i="1"/>
  <c r="GB220" i="1"/>
  <c r="FZ220" i="1"/>
  <c r="FX220" i="1"/>
  <c r="FV220" i="1"/>
  <c r="FT220" i="1"/>
  <c r="FR220" i="1"/>
  <c r="FP220" i="1"/>
  <c r="FO220" i="1"/>
  <c r="FN220" i="1"/>
  <c r="FL220" i="1"/>
  <c r="FJ220" i="1"/>
  <c r="FH220" i="1"/>
  <c r="FG220" i="1"/>
  <c r="FF220" i="1"/>
  <c r="FD220" i="1"/>
  <c r="FB220" i="1"/>
  <c r="EZ220" i="1"/>
  <c r="EY220" i="1"/>
  <c r="EX220" i="1"/>
  <c r="EV220" i="1"/>
  <c r="ET220" i="1"/>
  <c r="ER220" i="1"/>
  <c r="EP220" i="1"/>
  <c r="EO220" i="1"/>
  <c r="EN220" i="1"/>
  <c r="EL220" i="1"/>
  <c r="EJ220" i="1"/>
  <c r="EH220" i="1"/>
  <c r="EG220" i="1"/>
  <c r="EF220" i="1"/>
  <c r="ED220" i="1"/>
  <c r="EB220" i="1"/>
  <c r="DZ220" i="1"/>
  <c r="DY220" i="1"/>
  <c r="DX220" i="1"/>
  <c r="DV220" i="1"/>
  <c r="DT220" i="1"/>
  <c r="DR220" i="1"/>
  <c r="DP220" i="1"/>
  <c r="DN220" i="1"/>
  <c r="DL220" i="1"/>
  <c r="DJ220" i="1"/>
  <c r="DH220" i="1"/>
  <c r="DF220" i="1"/>
  <c r="DD220" i="1"/>
  <c r="DB220" i="1"/>
  <c r="AK220" i="1"/>
  <c r="A220" i="1"/>
  <c r="GV219" i="1"/>
  <c r="GF219" i="1"/>
  <c r="GE219" i="1"/>
  <c r="GD219" i="1"/>
  <c r="GB219" i="1"/>
  <c r="FZ219" i="1"/>
  <c r="FX219" i="1"/>
  <c r="FV219" i="1"/>
  <c r="FT219" i="1"/>
  <c r="FR219" i="1"/>
  <c r="FP219" i="1"/>
  <c r="FO219" i="1"/>
  <c r="FN219" i="1"/>
  <c r="FL219" i="1"/>
  <c r="FJ219" i="1"/>
  <c r="FH219" i="1"/>
  <c r="FG219" i="1"/>
  <c r="FF219" i="1"/>
  <c r="FD219" i="1"/>
  <c r="FB219" i="1"/>
  <c r="EZ219" i="1"/>
  <c r="EY219" i="1"/>
  <c r="EX219" i="1"/>
  <c r="EV219" i="1"/>
  <c r="ET219" i="1"/>
  <c r="ER219" i="1"/>
  <c r="EP219" i="1"/>
  <c r="EO219" i="1"/>
  <c r="EN219" i="1"/>
  <c r="EL219" i="1"/>
  <c r="EJ219" i="1"/>
  <c r="EH219" i="1"/>
  <c r="EG219" i="1"/>
  <c r="EF219" i="1"/>
  <c r="ED219" i="1"/>
  <c r="EB219" i="1"/>
  <c r="DZ219" i="1"/>
  <c r="DY219" i="1"/>
  <c r="DX219" i="1"/>
  <c r="DV219" i="1"/>
  <c r="DT219" i="1"/>
  <c r="DR219" i="1"/>
  <c r="DP219" i="1"/>
  <c r="DN219" i="1"/>
  <c r="DL219" i="1"/>
  <c r="DJ219" i="1"/>
  <c r="DH219" i="1"/>
  <c r="DF219" i="1"/>
  <c r="DD219" i="1"/>
  <c r="DB219" i="1"/>
  <c r="AK219" i="1"/>
  <c r="A219" i="1"/>
  <c r="GV218" i="1"/>
  <c r="GF218" i="1"/>
  <c r="GE218" i="1"/>
  <c r="GD218" i="1"/>
  <c r="GB218" i="1"/>
  <c r="FZ218" i="1"/>
  <c r="FX218" i="1"/>
  <c r="FV218" i="1"/>
  <c r="FT218" i="1"/>
  <c r="FR218" i="1"/>
  <c r="FP218" i="1"/>
  <c r="FO218" i="1"/>
  <c r="FN218" i="1"/>
  <c r="FL218" i="1"/>
  <c r="FJ218" i="1"/>
  <c r="FH218" i="1"/>
  <c r="FG218" i="1"/>
  <c r="FF218" i="1"/>
  <c r="FD218" i="1"/>
  <c r="FB218" i="1"/>
  <c r="EZ218" i="1"/>
  <c r="EY218" i="1"/>
  <c r="EX218" i="1"/>
  <c r="EV218" i="1"/>
  <c r="ET218" i="1"/>
  <c r="ER218" i="1"/>
  <c r="EP218" i="1"/>
  <c r="EO218" i="1"/>
  <c r="EN218" i="1"/>
  <c r="EL218" i="1"/>
  <c r="EJ218" i="1"/>
  <c r="EH218" i="1"/>
  <c r="EG218" i="1"/>
  <c r="EF218" i="1"/>
  <c r="ED218" i="1"/>
  <c r="EB218" i="1"/>
  <c r="DZ218" i="1"/>
  <c r="DY218" i="1"/>
  <c r="DX218" i="1"/>
  <c r="DV218" i="1"/>
  <c r="DT218" i="1"/>
  <c r="DR218" i="1"/>
  <c r="DP218" i="1"/>
  <c r="DN218" i="1"/>
  <c r="DL218" i="1"/>
  <c r="DJ218" i="1"/>
  <c r="DH218" i="1"/>
  <c r="DF218" i="1"/>
  <c r="DD218" i="1"/>
  <c r="DB218" i="1"/>
  <c r="AK218" i="1"/>
  <c r="A218" i="1"/>
  <c r="GV217" i="1"/>
  <c r="GF217" i="1"/>
  <c r="GE217" i="1"/>
  <c r="GD217" i="1"/>
  <c r="GB217" i="1"/>
  <c r="FZ217" i="1"/>
  <c r="FX217" i="1"/>
  <c r="FV217" i="1"/>
  <c r="FT217" i="1"/>
  <c r="FR217" i="1"/>
  <c r="FP217" i="1"/>
  <c r="FO217" i="1"/>
  <c r="FN217" i="1"/>
  <c r="FL217" i="1"/>
  <c r="FJ217" i="1"/>
  <c r="FH217" i="1"/>
  <c r="FG217" i="1"/>
  <c r="FF217" i="1"/>
  <c r="FD217" i="1"/>
  <c r="FB217" i="1"/>
  <c r="EZ217" i="1"/>
  <c r="EY217" i="1"/>
  <c r="EX217" i="1"/>
  <c r="EV217" i="1"/>
  <c r="ET217" i="1"/>
  <c r="ER217" i="1"/>
  <c r="EP217" i="1"/>
  <c r="EO217" i="1"/>
  <c r="EN217" i="1"/>
  <c r="EL217" i="1"/>
  <c r="EJ217" i="1"/>
  <c r="EH217" i="1"/>
  <c r="EG217" i="1"/>
  <c r="EF217" i="1"/>
  <c r="ED217" i="1"/>
  <c r="EB217" i="1"/>
  <c r="DZ217" i="1"/>
  <c r="DY217" i="1"/>
  <c r="DX217" i="1"/>
  <c r="DV217" i="1"/>
  <c r="DT217" i="1"/>
  <c r="DR217" i="1"/>
  <c r="DP217" i="1"/>
  <c r="DN217" i="1"/>
  <c r="DL217" i="1"/>
  <c r="DJ217" i="1"/>
  <c r="DH217" i="1"/>
  <c r="DF217" i="1"/>
  <c r="DD217" i="1"/>
  <c r="DB217" i="1"/>
  <c r="AK217" i="1"/>
  <c r="A217" i="1"/>
  <c r="GV216" i="1"/>
  <c r="GV215" i="1"/>
  <c r="GF215" i="1"/>
  <c r="GE215" i="1"/>
  <c r="GD215" i="1"/>
  <c r="GB215" i="1"/>
  <c r="FZ215" i="1"/>
  <c r="FX215" i="1"/>
  <c r="FV215" i="1"/>
  <c r="FT215" i="1"/>
  <c r="FR215" i="1"/>
  <c r="FP215" i="1"/>
  <c r="FO215" i="1"/>
  <c r="FN215" i="1"/>
  <c r="FL215" i="1"/>
  <c r="FJ215" i="1"/>
  <c r="FH215" i="1"/>
  <c r="FG215" i="1"/>
  <c r="FF215" i="1"/>
  <c r="FD215" i="1"/>
  <c r="FB215" i="1"/>
  <c r="EZ215" i="1"/>
  <c r="EY215" i="1"/>
  <c r="EX215" i="1"/>
  <c r="EV215" i="1"/>
  <c r="ET215" i="1"/>
  <c r="ER215" i="1"/>
  <c r="EP215" i="1"/>
  <c r="EO215" i="1"/>
  <c r="EN215" i="1"/>
  <c r="EL215" i="1"/>
  <c r="EJ215" i="1"/>
  <c r="EH215" i="1"/>
  <c r="EG215" i="1"/>
  <c r="EF215" i="1"/>
  <c r="ED215" i="1"/>
  <c r="EB215" i="1"/>
  <c r="DZ215" i="1"/>
  <c r="DY215" i="1"/>
  <c r="DX215" i="1"/>
  <c r="DV215" i="1"/>
  <c r="DT215" i="1"/>
  <c r="DR215" i="1"/>
  <c r="DP215" i="1"/>
  <c r="DN215" i="1"/>
  <c r="DL215" i="1"/>
  <c r="DJ215" i="1"/>
  <c r="DH215" i="1"/>
  <c r="DF215" i="1"/>
  <c r="DD215" i="1"/>
  <c r="DB215" i="1"/>
  <c r="AK215" i="1"/>
  <c r="A215" i="1"/>
  <c r="GV214" i="1"/>
  <c r="GF214" i="1"/>
  <c r="GE214" i="1"/>
  <c r="GD214" i="1"/>
  <c r="GB214" i="1"/>
  <c r="FZ214" i="1"/>
  <c r="FX214" i="1"/>
  <c r="FV214" i="1"/>
  <c r="FT214" i="1"/>
  <c r="FR214" i="1"/>
  <c r="FP214" i="1"/>
  <c r="FO214" i="1"/>
  <c r="FN214" i="1"/>
  <c r="FL214" i="1"/>
  <c r="FJ214" i="1"/>
  <c r="FH214" i="1"/>
  <c r="FG214" i="1"/>
  <c r="FF214" i="1"/>
  <c r="FD214" i="1"/>
  <c r="FB214" i="1"/>
  <c r="EZ214" i="1"/>
  <c r="EY214" i="1"/>
  <c r="EX214" i="1"/>
  <c r="EV214" i="1"/>
  <c r="ET214" i="1"/>
  <c r="ER214" i="1"/>
  <c r="EP214" i="1"/>
  <c r="EO214" i="1"/>
  <c r="EN214" i="1"/>
  <c r="EL214" i="1"/>
  <c r="EJ214" i="1"/>
  <c r="EH214" i="1"/>
  <c r="EG214" i="1"/>
  <c r="EF214" i="1"/>
  <c r="ED214" i="1"/>
  <c r="EB214" i="1"/>
  <c r="DZ214" i="1"/>
  <c r="DY214" i="1"/>
  <c r="DX214" i="1"/>
  <c r="DV214" i="1"/>
  <c r="DT214" i="1"/>
  <c r="DR214" i="1"/>
  <c r="DP214" i="1"/>
  <c r="DN214" i="1"/>
  <c r="DL214" i="1"/>
  <c r="DJ214" i="1"/>
  <c r="DH214" i="1"/>
  <c r="DF214" i="1"/>
  <c r="DD214" i="1"/>
  <c r="DB214" i="1"/>
  <c r="AK214" i="1"/>
  <c r="A214" i="1"/>
  <c r="GV213" i="1"/>
  <c r="GF213" i="1"/>
  <c r="GE213" i="1"/>
  <c r="GD213" i="1"/>
  <c r="GB213" i="1"/>
  <c r="FZ213" i="1"/>
  <c r="FX213" i="1"/>
  <c r="FV213" i="1"/>
  <c r="FT213" i="1"/>
  <c r="FR213" i="1"/>
  <c r="FP213" i="1"/>
  <c r="FO213" i="1"/>
  <c r="FN213" i="1"/>
  <c r="FL213" i="1"/>
  <c r="FJ213" i="1"/>
  <c r="FH213" i="1"/>
  <c r="FG213" i="1"/>
  <c r="FF213" i="1"/>
  <c r="FD213" i="1"/>
  <c r="FB213" i="1"/>
  <c r="EZ213" i="1"/>
  <c r="EY213" i="1"/>
  <c r="EX213" i="1"/>
  <c r="EV213" i="1"/>
  <c r="ET213" i="1"/>
  <c r="ER213" i="1"/>
  <c r="EP213" i="1"/>
  <c r="EO213" i="1"/>
  <c r="EN213" i="1"/>
  <c r="EL213" i="1"/>
  <c r="EJ213" i="1"/>
  <c r="EH213" i="1"/>
  <c r="EG213" i="1"/>
  <c r="EF213" i="1"/>
  <c r="ED213" i="1"/>
  <c r="EB213" i="1"/>
  <c r="DZ213" i="1"/>
  <c r="DY213" i="1"/>
  <c r="DX213" i="1"/>
  <c r="DV213" i="1"/>
  <c r="DT213" i="1"/>
  <c r="DR213" i="1"/>
  <c r="DP213" i="1"/>
  <c r="DN213" i="1"/>
  <c r="DL213" i="1"/>
  <c r="DJ213" i="1"/>
  <c r="DH213" i="1"/>
  <c r="DF213" i="1"/>
  <c r="DD213" i="1"/>
  <c r="DB213" i="1"/>
  <c r="AK213" i="1"/>
  <c r="A213" i="1"/>
  <c r="GV212" i="1"/>
  <c r="GF212" i="1"/>
  <c r="GE212" i="1"/>
  <c r="GD212" i="1"/>
  <c r="GB212" i="1"/>
  <c r="FZ212" i="1"/>
  <c r="FX212" i="1"/>
  <c r="FV212" i="1"/>
  <c r="FT212" i="1"/>
  <c r="FR212" i="1"/>
  <c r="FP212" i="1"/>
  <c r="FO212" i="1"/>
  <c r="FN212" i="1"/>
  <c r="FL212" i="1"/>
  <c r="FJ212" i="1"/>
  <c r="FH212" i="1"/>
  <c r="FG212" i="1"/>
  <c r="FF212" i="1"/>
  <c r="FD212" i="1"/>
  <c r="FB212" i="1"/>
  <c r="EZ212" i="1"/>
  <c r="EY212" i="1"/>
  <c r="EX212" i="1"/>
  <c r="EV212" i="1"/>
  <c r="ET212" i="1"/>
  <c r="ER212" i="1"/>
  <c r="EP212" i="1"/>
  <c r="EO212" i="1"/>
  <c r="EN212" i="1"/>
  <c r="EL212" i="1"/>
  <c r="EJ212" i="1"/>
  <c r="EH212" i="1"/>
  <c r="EG212" i="1"/>
  <c r="EF212" i="1"/>
  <c r="ED212" i="1"/>
  <c r="EB212" i="1"/>
  <c r="DZ212" i="1"/>
  <c r="DY212" i="1"/>
  <c r="DX212" i="1"/>
  <c r="DV212" i="1"/>
  <c r="DT212" i="1"/>
  <c r="DR212" i="1"/>
  <c r="DP212" i="1"/>
  <c r="DN212" i="1"/>
  <c r="DL212" i="1"/>
  <c r="DJ212" i="1"/>
  <c r="DH212" i="1"/>
  <c r="DF212" i="1"/>
  <c r="DD212" i="1"/>
  <c r="DB212" i="1"/>
  <c r="AK212" i="1"/>
  <c r="A212" i="1"/>
  <c r="GV211" i="1"/>
  <c r="GF211" i="1"/>
  <c r="GE211" i="1"/>
  <c r="GD211" i="1"/>
  <c r="GB211" i="1"/>
  <c r="FZ211" i="1"/>
  <c r="FX211" i="1"/>
  <c r="FV211" i="1"/>
  <c r="FT211" i="1"/>
  <c r="FR211" i="1"/>
  <c r="FP211" i="1"/>
  <c r="FO211" i="1"/>
  <c r="FN211" i="1"/>
  <c r="FL211" i="1"/>
  <c r="FJ211" i="1"/>
  <c r="FH211" i="1"/>
  <c r="FG211" i="1"/>
  <c r="FF211" i="1"/>
  <c r="FD211" i="1"/>
  <c r="FB211" i="1"/>
  <c r="EZ211" i="1"/>
  <c r="EY211" i="1"/>
  <c r="EX211" i="1"/>
  <c r="EV211" i="1"/>
  <c r="ET211" i="1"/>
  <c r="ER211" i="1"/>
  <c r="EP211" i="1"/>
  <c r="EO211" i="1"/>
  <c r="EN211" i="1"/>
  <c r="EL211" i="1"/>
  <c r="EJ211" i="1"/>
  <c r="EH211" i="1"/>
  <c r="EG211" i="1"/>
  <c r="EF211" i="1"/>
  <c r="ED211" i="1"/>
  <c r="EB211" i="1"/>
  <c r="DZ211" i="1"/>
  <c r="DY211" i="1"/>
  <c r="DX211" i="1"/>
  <c r="DV211" i="1"/>
  <c r="DT211" i="1"/>
  <c r="DR211" i="1"/>
  <c r="DP211" i="1"/>
  <c r="DN211" i="1"/>
  <c r="DL211" i="1"/>
  <c r="DJ211" i="1"/>
  <c r="DH211" i="1"/>
  <c r="DF211" i="1"/>
  <c r="DD211" i="1"/>
  <c r="DB211" i="1"/>
  <c r="AK211" i="1"/>
  <c r="A211" i="1"/>
  <c r="GV210" i="1"/>
  <c r="GF210" i="1"/>
  <c r="GE210" i="1"/>
  <c r="GD210" i="1"/>
  <c r="GB210" i="1"/>
  <c r="FZ210" i="1"/>
  <c r="FX210" i="1"/>
  <c r="FV210" i="1"/>
  <c r="FT210" i="1"/>
  <c r="FR210" i="1"/>
  <c r="FP210" i="1"/>
  <c r="FO210" i="1"/>
  <c r="FN210" i="1"/>
  <c r="FL210" i="1"/>
  <c r="FJ210" i="1"/>
  <c r="FH210" i="1"/>
  <c r="FG210" i="1"/>
  <c r="FF210" i="1"/>
  <c r="FD210" i="1"/>
  <c r="FB210" i="1"/>
  <c r="EZ210" i="1"/>
  <c r="EY210" i="1"/>
  <c r="EX210" i="1"/>
  <c r="EV210" i="1"/>
  <c r="ET210" i="1"/>
  <c r="ER210" i="1"/>
  <c r="EP210" i="1"/>
  <c r="EO210" i="1"/>
  <c r="EN210" i="1"/>
  <c r="EL210" i="1"/>
  <c r="EJ210" i="1"/>
  <c r="EH210" i="1"/>
  <c r="EG210" i="1"/>
  <c r="EF210" i="1"/>
  <c r="ED210" i="1"/>
  <c r="EB210" i="1"/>
  <c r="DZ210" i="1"/>
  <c r="DY210" i="1"/>
  <c r="DX210" i="1"/>
  <c r="DV210" i="1"/>
  <c r="DT210" i="1"/>
  <c r="DR210" i="1"/>
  <c r="DP210" i="1"/>
  <c r="DN210" i="1"/>
  <c r="DL210" i="1"/>
  <c r="DJ210" i="1"/>
  <c r="DH210" i="1"/>
  <c r="DF210" i="1"/>
  <c r="DD210" i="1"/>
  <c r="DB210" i="1"/>
  <c r="AK210" i="1"/>
  <c r="A210" i="1"/>
  <c r="GV209" i="1"/>
  <c r="GF209" i="1"/>
  <c r="GE209" i="1"/>
  <c r="GD209" i="1"/>
  <c r="GB209" i="1"/>
  <c r="FZ209" i="1"/>
  <c r="FX209" i="1"/>
  <c r="FV209" i="1"/>
  <c r="FT209" i="1"/>
  <c r="FR209" i="1"/>
  <c r="FP209" i="1"/>
  <c r="FO209" i="1"/>
  <c r="FN209" i="1"/>
  <c r="FL209" i="1"/>
  <c r="FJ209" i="1"/>
  <c r="FH209" i="1"/>
  <c r="FG209" i="1"/>
  <c r="FF209" i="1"/>
  <c r="FD209" i="1"/>
  <c r="FB209" i="1"/>
  <c r="EZ209" i="1"/>
  <c r="EY209" i="1"/>
  <c r="EX209" i="1"/>
  <c r="EV209" i="1"/>
  <c r="ET209" i="1"/>
  <c r="ER209" i="1"/>
  <c r="EP209" i="1"/>
  <c r="EO209" i="1"/>
  <c r="EN209" i="1"/>
  <c r="EL209" i="1"/>
  <c r="EJ209" i="1"/>
  <c r="EH209" i="1"/>
  <c r="EG209" i="1"/>
  <c r="EF209" i="1"/>
  <c r="ED209" i="1"/>
  <c r="EB209" i="1"/>
  <c r="DZ209" i="1"/>
  <c r="DY209" i="1"/>
  <c r="DX209" i="1"/>
  <c r="DV209" i="1"/>
  <c r="DT209" i="1"/>
  <c r="DR209" i="1"/>
  <c r="DP209" i="1"/>
  <c r="DN209" i="1"/>
  <c r="DL209" i="1"/>
  <c r="DJ209" i="1"/>
  <c r="DH209" i="1"/>
  <c r="DF209" i="1"/>
  <c r="DD209" i="1"/>
  <c r="DB209" i="1"/>
  <c r="AK209" i="1"/>
  <c r="A209" i="1"/>
  <c r="GV208" i="1"/>
  <c r="GF208" i="1"/>
  <c r="GE208" i="1"/>
  <c r="GD208" i="1"/>
  <c r="GB208" i="1"/>
  <c r="FZ208" i="1"/>
  <c r="FX208" i="1"/>
  <c r="FV208" i="1"/>
  <c r="FT208" i="1"/>
  <c r="FR208" i="1"/>
  <c r="FP208" i="1"/>
  <c r="FO208" i="1"/>
  <c r="FN208" i="1"/>
  <c r="FL208" i="1"/>
  <c r="FJ208" i="1"/>
  <c r="FH208" i="1"/>
  <c r="FG208" i="1"/>
  <c r="FF208" i="1"/>
  <c r="FD208" i="1"/>
  <c r="FB208" i="1"/>
  <c r="EZ208" i="1"/>
  <c r="EY208" i="1"/>
  <c r="EX208" i="1"/>
  <c r="EV208" i="1"/>
  <c r="ET208" i="1"/>
  <c r="ER208" i="1"/>
  <c r="EP208" i="1"/>
  <c r="EO208" i="1"/>
  <c r="EN208" i="1"/>
  <c r="EL208" i="1"/>
  <c r="EJ208" i="1"/>
  <c r="EH208" i="1"/>
  <c r="EG208" i="1"/>
  <c r="EF208" i="1"/>
  <c r="ED208" i="1"/>
  <c r="EB208" i="1"/>
  <c r="DZ208" i="1"/>
  <c r="DY208" i="1"/>
  <c r="DX208" i="1"/>
  <c r="DV208" i="1"/>
  <c r="DT208" i="1"/>
  <c r="DR208" i="1"/>
  <c r="DP208" i="1"/>
  <c r="DN208" i="1"/>
  <c r="DL208" i="1"/>
  <c r="DJ208" i="1"/>
  <c r="DH208" i="1"/>
  <c r="DF208" i="1"/>
  <c r="DD208" i="1"/>
  <c r="DB208" i="1"/>
  <c r="AK208" i="1"/>
  <c r="A208" i="1"/>
  <c r="GV207" i="1"/>
  <c r="GF207" i="1"/>
  <c r="GE207" i="1"/>
  <c r="GD207" i="1"/>
  <c r="GB207" i="1"/>
  <c r="FZ207" i="1"/>
  <c r="FX207" i="1"/>
  <c r="FV207" i="1"/>
  <c r="FT207" i="1"/>
  <c r="FR207" i="1"/>
  <c r="FP207" i="1"/>
  <c r="FO207" i="1"/>
  <c r="FN207" i="1"/>
  <c r="FL207" i="1"/>
  <c r="FJ207" i="1"/>
  <c r="FH207" i="1"/>
  <c r="FG207" i="1"/>
  <c r="FF207" i="1"/>
  <c r="FD207" i="1"/>
  <c r="FB207" i="1"/>
  <c r="EZ207" i="1"/>
  <c r="EY207" i="1"/>
  <c r="EX207" i="1"/>
  <c r="EV207" i="1"/>
  <c r="ET207" i="1"/>
  <c r="ER207" i="1"/>
  <c r="EP207" i="1"/>
  <c r="EO207" i="1"/>
  <c r="EN207" i="1"/>
  <c r="EL207" i="1"/>
  <c r="EJ207" i="1"/>
  <c r="EH207" i="1"/>
  <c r="EG207" i="1"/>
  <c r="EF207" i="1"/>
  <c r="ED207" i="1"/>
  <c r="EB207" i="1"/>
  <c r="DZ207" i="1"/>
  <c r="DY207" i="1"/>
  <c r="DX207" i="1"/>
  <c r="DV207" i="1"/>
  <c r="DT207" i="1"/>
  <c r="DR207" i="1"/>
  <c r="DP207" i="1"/>
  <c r="DN207" i="1"/>
  <c r="DL207" i="1"/>
  <c r="DJ207" i="1"/>
  <c r="DH207" i="1"/>
  <c r="DF207" i="1"/>
  <c r="DD207" i="1"/>
  <c r="DB207" i="1"/>
  <c r="AK207" i="1"/>
  <c r="A207" i="1"/>
  <c r="GV206" i="1"/>
  <c r="GF206" i="1"/>
  <c r="GE206" i="1"/>
  <c r="GD206" i="1"/>
  <c r="GB206" i="1"/>
  <c r="FZ206" i="1"/>
  <c r="FX206" i="1"/>
  <c r="FV206" i="1"/>
  <c r="FT206" i="1"/>
  <c r="FR206" i="1"/>
  <c r="FP206" i="1"/>
  <c r="FO206" i="1"/>
  <c r="FN206" i="1"/>
  <c r="FL206" i="1"/>
  <c r="FJ206" i="1"/>
  <c r="FH206" i="1"/>
  <c r="FG206" i="1"/>
  <c r="FF206" i="1"/>
  <c r="FD206" i="1"/>
  <c r="FB206" i="1"/>
  <c r="EZ206" i="1"/>
  <c r="EY206" i="1"/>
  <c r="EX206" i="1"/>
  <c r="EV206" i="1"/>
  <c r="ET206" i="1"/>
  <c r="ER206" i="1"/>
  <c r="EP206" i="1"/>
  <c r="EO206" i="1"/>
  <c r="EN206" i="1"/>
  <c r="EL206" i="1"/>
  <c r="EJ206" i="1"/>
  <c r="EH206" i="1"/>
  <c r="EG206" i="1"/>
  <c r="EF206" i="1"/>
  <c r="ED206" i="1"/>
  <c r="EB206" i="1"/>
  <c r="DZ206" i="1"/>
  <c r="DY206" i="1"/>
  <c r="DX206" i="1"/>
  <c r="DV206" i="1"/>
  <c r="DT206" i="1"/>
  <c r="DR206" i="1"/>
  <c r="DP206" i="1"/>
  <c r="DN206" i="1"/>
  <c r="DL206" i="1"/>
  <c r="DJ206" i="1"/>
  <c r="DH206" i="1"/>
  <c r="DF206" i="1"/>
  <c r="DD206" i="1"/>
  <c r="DB206" i="1"/>
  <c r="AK206" i="1"/>
  <c r="A206" i="1"/>
  <c r="GV205" i="1"/>
  <c r="GF205" i="1"/>
  <c r="GE205" i="1"/>
  <c r="GD205" i="1"/>
  <c r="GB205" i="1"/>
  <c r="FZ205" i="1"/>
  <c r="FX205" i="1"/>
  <c r="FV205" i="1"/>
  <c r="FT205" i="1"/>
  <c r="FR205" i="1"/>
  <c r="FP205" i="1"/>
  <c r="FO205" i="1"/>
  <c r="FN205" i="1"/>
  <c r="FL205" i="1"/>
  <c r="FJ205" i="1"/>
  <c r="FH205" i="1"/>
  <c r="FG205" i="1"/>
  <c r="FF205" i="1"/>
  <c r="FD205" i="1"/>
  <c r="FB205" i="1"/>
  <c r="EZ205" i="1"/>
  <c r="EY205" i="1"/>
  <c r="EX205" i="1"/>
  <c r="EV205" i="1"/>
  <c r="ET205" i="1"/>
  <c r="ER205" i="1"/>
  <c r="EP205" i="1"/>
  <c r="EO205" i="1"/>
  <c r="EN205" i="1"/>
  <c r="EL205" i="1"/>
  <c r="EJ205" i="1"/>
  <c r="EH205" i="1"/>
  <c r="EG205" i="1"/>
  <c r="EF205" i="1"/>
  <c r="ED205" i="1"/>
  <c r="EB205" i="1"/>
  <c r="DZ205" i="1"/>
  <c r="DY205" i="1"/>
  <c r="DX205" i="1"/>
  <c r="DV205" i="1"/>
  <c r="DT205" i="1"/>
  <c r="DR205" i="1"/>
  <c r="DP205" i="1"/>
  <c r="DN205" i="1"/>
  <c r="DL205" i="1"/>
  <c r="DJ205" i="1"/>
  <c r="DH205" i="1"/>
  <c r="DF205" i="1"/>
  <c r="DD205" i="1"/>
  <c r="DB205" i="1"/>
  <c r="AK205" i="1"/>
  <c r="A205" i="1"/>
  <c r="GV204" i="1"/>
  <c r="GV203" i="1"/>
  <c r="GF203" i="1"/>
  <c r="GE203" i="1"/>
  <c r="GD203" i="1"/>
  <c r="GB203" i="1"/>
  <c r="FZ203" i="1"/>
  <c r="FX203" i="1"/>
  <c r="FV203" i="1"/>
  <c r="FT203" i="1"/>
  <c r="FR203" i="1"/>
  <c r="FP203" i="1"/>
  <c r="FO203" i="1"/>
  <c r="FN203" i="1"/>
  <c r="FL203" i="1"/>
  <c r="FJ203" i="1"/>
  <c r="FH203" i="1"/>
  <c r="FG203" i="1"/>
  <c r="FF203" i="1"/>
  <c r="FD203" i="1"/>
  <c r="FB203" i="1"/>
  <c r="EZ203" i="1"/>
  <c r="EY203" i="1"/>
  <c r="EX203" i="1"/>
  <c r="EV203" i="1"/>
  <c r="ET203" i="1"/>
  <c r="ER203" i="1"/>
  <c r="EP203" i="1"/>
  <c r="EO203" i="1"/>
  <c r="EN203" i="1"/>
  <c r="EL203" i="1"/>
  <c r="EJ203" i="1"/>
  <c r="EH203" i="1"/>
  <c r="EG203" i="1"/>
  <c r="EF203" i="1"/>
  <c r="ED203" i="1"/>
  <c r="EB203" i="1"/>
  <c r="DZ203" i="1"/>
  <c r="DY203" i="1"/>
  <c r="DX203" i="1"/>
  <c r="DV203" i="1"/>
  <c r="DT203" i="1"/>
  <c r="DR203" i="1"/>
  <c r="DP203" i="1"/>
  <c r="DN203" i="1"/>
  <c r="DL203" i="1"/>
  <c r="DJ203" i="1"/>
  <c r="DH203" i="1"/>
  <c r="DF203" i="1"/>
  <c r="DD203" i="1"/>
  <c r="DB203" i="1"/>
  <c r="AK203" i="1"/>
  <c r="A203" i="1"/>
  <c r="GV202" i="1"/>
  <c r="GF202" i="1"/>
  <c r="GE202" i="1"/>
  <c r="GD202" i="1"/>
  <c r="GB202" i="1"/>
  <c r="FZ202" i="1"/>
  <c r="FX202" i="1"/>
  <c r="FV202" i="1"/>
  <c r="FT202" i="1"/>
  <c r="FR202" i="1"/>
  <c r="FP202" i="1"/>
  <c r="FO202" i="1"/>
  <c r="FN202" i="1"/>
  <c r="FL202" i="1"/>
  <c r="FJ202" i="1"/>
  <c r="FH202" i="1"/>
  <c r="FG202" i="1"/>
  <c r="FF202" i="1"/>
  <c r="FD202" i="1"/>
  <c r="FB202" i="1"/>
  <c r="EZ202" i="1"/>
  <c r="EY202" i="1"/>
  <c r="EX202" i="1"/>
  <c r="EV202" i="1"/>
  <c r="ET202" i="1"/>
  <c r="ER202" i="1"/>
  <c r="EP202" i="1"/>
  <c r="EO202" i="1"/>
  <c r="EN202" i="1"/>
  <c r="EL202" i="1"/>
  <c r="EJ202" i="1"/>
  <c r="EH202" i="1"/>
  <c r="EG202" i="1"/>
  <c r="EF202" i="1"/>
  <c r="ED202" i="1"/>
  <c r="EB202" i="1"/>
  <c r="DZ202" i="1"/>
  <c r="DY202" i="1"/>
  <c r="DX202" i="1"/>
  <c r="DV202" i="1"/>
  <c r="DT202" i="1"/>
  <c r="DR202" i="1"/>
  <c r="DP202" i="1"/>
  <c r="DN202" i="1"/>
  <c r="DL202" i="1"/>
  <c r="DJ202" i="1"/>
  <c r="DH202" i="1"/>
  <c r="DF202" i="1"/>
  <c r="DD202" i="1"/>
  <c r="DB202" i="1"/>
  <c r="AK202" i="1"/>
  <c r="A202" i="1"/>
  <c r="GV201" i="1"/>
  <c r="GF201" i="1"/>
  <c r="GE201" i="1"/>
  <c r="GD201" i="1"/>
  <c r="GB201" i="1"/>
  <c r="FZ201" i="1"/>
  <c r="FX201" i="1"/>
  <c r="FV201" i="1"/>
  <c r="FT201" i="1"/>
  <c r="FR201" i="1"/>
  <c r="FP201" i="1"/>
  <c r="FO201" i="1"/>
  <c r="FN201" i="1"/>
  <c r="FL201" i="1"/>
  <c r="FJ201" i="1"/>
  <c r="FH201" i="1"/>
  <c r="FG201" i="1"/>
  <c r="FF201" i="1"/>
  <c r="FD201" i="1"/>
  <c r="FB201" i="1"/>
  <c r="EZ201" i="1"/>
  <c r="EY201" i="1"/>
  <c r="EX201" i="1"/>
  <c r="EV201" i="1"/>
  <c r="ET201" i="1"/>
  <c r="ER201" i="1"/>
  <c r="EP201" i="1"/>
  <c r="EO201" i="1"/>
  <c r="EN201" i="1"/>
  <c r="EL201" i="1"/>
  <c r="EJ201" i="1"/>
  <c r="EH201" i="1"/>
  <c r="EG201" i="1"/>
  <c r="EF201" i="1"/>
  <c r="ED201" i="1"/>
  <c r="EB201" i="1"/>
  <c r="DZ201" i="1"/>
  <c r="DY201" i="1"/>
  <c r="DX201" i="1"/>
  <c r="DV201" i="1"/>
  <c r="DT201" i="1"/>
  <c r="DR201" i="1"/>
  <c r="DP201" i="1"/>
  <c r="DN201" i="1"/>
  <c r="DL201" i="1"/>
  <c r="DJ201" i="1"/>
  <c r="DH201" i="1"/>
  <c r="DF201" i="1"/>
  <c r="DD201" i="1"/>
  <c r="DB201" i="1"/>
  <c r="AK201" i="1"/>
  <c r="A201" i="1"/>
  <c r="GV200" i="1"/>
  <c r="GF200" i="1"/>
  <c r="GE200" i="1"/>
  <c r="GD200" i="1"/>
  <c r="GB200" i="1"/>
  <c r="FZ200" i="1"/>
  <c r="FX200" i="1"/>
  <c r="FV200" i="1"/>
  <c r="FT200" i="1"/>
  <c r="FR200" i="1"/>
  <c r="FP200" i="1"/>
  <c r="FO200" i="1"/>
  <c r="FN200" i="1"/>
  <c r="FL200" i="1"/>
  <c r="FJ200" i="1"/>
  <c r="FH200" i="1"/>
  <c r="FG200" i="1"/>
  <c r="FF200" i="1"/>
  <c r="FD200" i="1"/>
  <c r="FB200" i="1"/>
  <c r="EZ200" i="1"/>
  <c r="EY200" i="1"/>
  <c r="EX200" i="1"/>
  <c r="EV200" i="1"/>
  <c r="ET200" i="1"/>
  <c r="ER200" i="1"/>
  <c r="EP200" i="1"/>
  <c r="EO200" i="1"/>
  <c r="EN200" i="1"/>
  <c r="EL200" i="1"/>
  <c r="EJ200" i="1"/>
  <c r="EH200" i="1"/>
  <c r="EG200" i="1"/>
  <c r="EF200" i="1"/>
  <c r="ED200" i="1"/>
  <c r="EB200" i="1"/>
  <c r="DZ200" i="1"/>
  <c r="DY200" i="1"/>
  <c r="DX200" i="1"/>
  <c r="DV200" i="1"/>
  <c r="DT200" i="1"/>
  <c r="DR200" i="1"/>
  <c r="DP200" i="1"/>
  <c r="DN200" i="1"/>
  <c r="DL200" i="1"/>
  <c r="DJ200" i="1"/>
  <c r="DH200" i="1"/>
  <c r="DF200" i="1"/>
  <c r="DD200" i="1"/>
  <c r="DB200" i="1"/>
  <c r="AK200" i="1"/>
  <c r="A200" i="1"/>
  <c r="GV199" i="1"/>
  <c r="GF199" i="1"/>
  <c r="GE199" i="1"/>
  <c r="GD199" i="1"/>
  <c r="GB199" i="1"/>
  <c r="FZ199" i="1"/>
  <c r="FX199" i="1"/>
  <c r="FV199" i="1"/>
  <c r="FT199" i="1"/>
  <c r="FR199" i="1"/>
  <c r="FP199" i="1"/>
  <c r="FO199" i="1"/>
  <c r="FN199" i="1"/>
  <c r="FL199" i="1"/>
  <c r="FJ199" i="1"/>
  <c r="FH199" i="1"/>
  <c r="FG199" i="1"/>
  <c r="FF199" i="1"/>
  <c r="FD199" i="1"/>
  <c r="FB199" i="1"/>
  <c r="EZ199" i="1"/>
  <c r="EY199" i="1"/>
  <c r="EX199" i="1"/>
  <c r="EV199" i="1"/>
  <c r="ET199" i="1"/>
  <c r="ER199" i="1"/>
  <c r="EP199" i="1"/>
  <c r="EO199" i="1"/>
  <c r="EN199" i="1"/>
  <c r="EL199" i="1"/>
  <c r="EJ199" i="1"/>
  <c r="EH199" i="1"/>
  <c r="EG199" i="1"/>
  <c r="EF199" i="1"/>
  <c r="ED199" i="1"/>
  <c r="EB199" i="1"/>
  <c r="DZ199" i="1"/>
  <c r="DY199" i="1"/>
  <c r="DX199" i="1"/>
  <c r="DV199" i="1"/>
  <c r="DT199" i="1"/>
  <c r="DR199" i="1"/>
  <c r="DP199" i="1"/>
  <c r="DN199" i="1"/>
  <c r="DL199" i="1"/>
  <c r="DJ199" i="1"/>
  <c r="DH199" i="1"/>
  <c r="DF199" i="1"/>
  <c r="DD199" i="1"/>
  <c r="DB199" i="1"/>
  <c r="AK199" i="1"/>
  <c r="A199" i="1"/>
  <c r="GV198" i="1"/>
  <c r="GF198" i="1"/>
  <c r="GE198" i="1"/>
  <c r="GD198" i="1"/>
  <c r="GB198" i="1"/>
  <c r="FZ198" i="1"/>
  <c r="FX198" i="1"/>
  <c r="FV198" i="1"/>
  <c r="FT198" i="1"/>
  <c r="FR198" i="1"/>
  <c r="FP198" i="1"/>
  <c r="FO198" i="1"/>
  <c r="FN198" i="1"/>
  <c r="FL198" i="1"/>
  <c r="FJ198" i="1"/>
  <c r="FH198" i="1"/>
  <c r="FG198" i="1"/>
  <c r="FF198" i="1"/>
  <c r="FD198" i="1"/>
  <c r="FB198" i="1"/>
  <c r="EZ198" i="1"/>
  <c r="EY198" i="1"/>
  <c r="EX198" i="1"/>
  <c r="EV198" i="1"/>
  <c r="ET198" i="1"/>
  <c r="ER198" i="1"/>
  <c r="EP198" i="1"/>
  <c r="EO198" i="1"/>
  <c r="EN198" i="1"/>
  <c r="EL198" i="1"/>
  <c r="EJ198" i="1"/>
  <c r="EH198" i="1"/>
  <c r="EG198" i="1"/>
  <c r="EF198" i="1"/>
  <c r="ED198" i="1"/>
  <c r="EB198" i="1"/>
  <c r="DZ198" i="1"/>
  <c r="DY198" i="1"/>
  <c r="DX198" i="1"/>
  <c r="DV198" i="1"/>
  <c r="DT198" i="1"/>
  <c r="DR198" i="1"/>
  <c r="DP198" i="1"/>
  <c r="DN198" i="1"/>
  <c r="DL198" i="1"/>
  <c r="DJ198" i="1"/>
  <c r="DH198" i="1"/>
  <c r="DF198" i="1"/>
  <c r="DD198" i="1"/>
  <c r="DB198" i="1"/>
  <c r="AK198" i="1"/>
  <c r="A198" i="1"/>
  <c r="GV197" i="1"/>
  <c r="GV196" i="1"/>
  <c r="GF196" i="1"/>
  <c r="GE196" i="1"/>
  <c r="GD196" i="1"/>
  <c r="GB196" i="1"/>
  <c r="FZ196" i="1"/>
  <c r="FX196" i="1"/>
  <c r="FV196" i="1"/>
  <c r="FT196" i="1"/>
  <c r="FR196" i="1"/>
  <c r="FP196" i="1"/>
  <c r="FO196" i="1"/>
  <c r="FN196" i="1"/>
  <c r="FL196" i="1"/>
  <c r="FJ196" i="1"/>
  <c r="FH196" i="1"/>
  <c r="FG196" i="1"/>
  <c r="FF196" i="1"/>
  <c r="FD196" i="1"/>
  <c r="FB196" i="1"/>
  <c r="EZ196" i="1"/>
  <c r="EY196" i="1"/>
  <c r="EX196" i="1"/>
  <c r="EV196" i="1"/>
  <c r="ET196" i="1"/>
  <c r="ER196" i="1"/>
  <c r="EP196" i="1"/>
  <c r="EO196" i="1"/>
  <c r="EN196" i="1"/>
  <c r="EL196" i="1"/>
  <c r="EJ196" i="1"/>
  <c r="EH196" i="1"/>
  <c r="EG196" i="1"/>
  <c r="EF196" i="1"/>
  <c r="ED196" i="1"/>
  <c r="EB196" i="1"/>
  <c r="DZ196" i="1"/>
  <c r="DY196" i="1"/>
  <c r="DX196" i="1"/>
  <c r="DV196" i="1"/>
  <c r="DT196" i="1"/>
  <c r="DR196" i="1"/>
  <c r="DP196" i="1"/>
  <c r="DN196" i="1"/>
  <c r="DL196" i="1"/>
  <c r="DJ196" i="1"/>
  <c r="DH196" i="1"/>
  <c r="DF196" i="1"/>
  <c r="DD196" i="1"/>
  <c r="DB196" i="1"/>
  <c r="AK196" i="1"/>
  <c r="A196" i="1"/>
  <c r="GV195" i="1"/>
  <c r="GF195" i="1"/>
  <c r="GE195" i="1"/>
  <c r="GD195" i="1"/>
  <c r="GB195" i="1"/>
  <c r="FZ195" i="1"/>
  <c r="FX195" i="1"/>
  <c r="FV195" i="1"/>
  <c r="FT195" i="1"/>
  <c r="FR195" i="1"/>
  <c r="FP195" i="1"/>
  <c r="FO195" i="1"/>
  <c r="FN195" i="1"/>
  <c r="FL195" i="1"/>
  <c r="FJ195" i="1"/>
  <c r="FH195" i="1"/>
  <c r="FG195" i="1"/>
  <c r="FF195" i="1"/>
  <c r="FD195" i="1"/>
  <c r="FB195" i="1"/>
  <c r="EZ195" i="1"/>
  <c r="EY195" i="1"/>
  <c r="EX195" i="1"/>
  <c r="EV195" i="1"/>
  <c r="ET195" i="1"/>
  <c r="ER195" i="1"/>
  <c r="EP195" i="1"/>
  <c r="EO195" i="1"/>
  <c r="EN195" i="1"/>
  <c r="EL195" i="1"/>
  <c r="EJ195" i="1"/>
  <c r="EH195" i="1"/>
  <c r="EG195" i="1"/>
  <c r="EF195" i="1"/>
  <c r="ED195" i="1"/>
  <c r="EB195" i="1"/>
  <c r="DZ195" i="1"/>
  <c r="DY195" i="1"/>
  <c r="DX195" i="1"/>
  <c r="DV195" i="1"/>
  <c r="DT195" i="1"/>
  <c r="DR195" i="1"/>
  <c r="DP195" i="1"/>
  <c r="DN195" i="1"/>
  <c r="DL195" i="1"/>
  <c r="DJ195" i="1"/>
  <c r="DH195" i="1"/>
  <c r="DF195" i="1"/>
  <c r="DD195" i="1"/>
  <c r="DB195" i="1"/>
  <c r="AK195" i="1"/>
  <c r="A195" i="1"/>
  <c r="GV194" i="1"/>
  <c r="GF194" i="1"/>
  <c r="GE194" i="1"/>
  <c r="GD194" i="1"/>
  <c r="GB194" i="1"/>
  <c r="FZ194" i="1"/>
  <c r="FX194" i="1"/>
  <c r="FV194" i="1"/>
  <c r="FT194" i="1"/>
  <c r="FR194" i="1"/>
  <c r="FP194" i="1"/>
  <c r="FO194" i="1"/>
  <c r="FN194" i="1"/>
  <c r="FL194" i="1"/>
  <c r="FJ194" i="1"/>
  <c r="FH194" i="1"/>
  <c r="FG194" i="1"/>
  <c r="FF194" i="1"/>
  <c r="FD194" i="1"/>
  <c r="FB194" i="1"/>
  <c r="EZ194" i="1"/>
  <c r="EY194" i="1"/>
  <c r="EX194" i="1"/>
  <c r="EV194" i="1"/>
  <c r="ET194" i="1"/>
  <c r="ER194" i="1"/>
  <c r="EP194" i="1"/>
  <c r="EO194" i="1"/>
  <c r="EN194" i="1"/>
  <c r="EL194" i="1"/>
  <c r="EJ194" i="1"/>
  <c r="EH194" i="1"/>
  <c r="EG194" i="1"/>
  <c r="EF194" i="1"/>
  <c r="ED194" i="1"/>
  <c r="EB194" i="1"/>
  <c r="DZ194" i="1"/>
  <c r="DY194" i="1"/>
  <c r="DX194" i="1"/>
  <c r="DV194" i="1"/>
  <c r="DT194" i="1"/>
  <c r="DR194" i="1"/>
  <c r="DP194" i="1"/>
  <c r="DN194" i="1"/>
  <c r="DL194" i="1"/>
  <c r="DJ194" i="1"/>
  <c r="DH194" i="1"/>
  <c r="DF194" i="1"/>
  <c r="DD194" i="1"/>
  <c r="DB194" i="1"/>
  <c r="AK194" i="1"/>
  <c r="A194" i="1"/>
  <c r="GV193" i="1"/>
  <c r="GV192" i="1"/>
  <c r="GF192" i="1"/>
  <c r="GE192" i="1"/>
  <c r="GD192" i="1"/>
  <c r="GB192" i="1"/>
  <c r="FZ192" i="1"/>
  <c r="FX192" i="1"/>
  <c r="FV192" i="1"/>
  <c r="FT192" i="1"/>
  <c r="FR192" i="1"/>
  <c r="FP192" i="1"/>
  <c r="FO192" i="1"/>
  <c r="FN192" i="1"/>
  <c r="FL192" i="1"/>
  <c r="FJ192" i="1"/>
  <c r="FH192" i="1"/>
  <c r="FG192" i="1"/>
  <c r="FF192" i="1"/>
  <c r="FD192" i="1"/>
  <c r="FB192" i="1"/>
  <c r="EZ192" i="1"/>
  <c r="EY192" i="1"/>
  <c r="EX192" i="1"/>
  <c r="EV192" i="1"/>
  <c r="ET192" i="1"/>
  <c r="ER192" i="1"/>
  <c r="EP192" i="1"/>
  <c r="EO192" i="1"/>
  <c r="EN192" i="1"/>
  <c r="EL192" i="1"/>
  <c r="EJ192" i="1"/>
  <c r="EH192" i="1"/>
  <c r="EG192" i="1"/>
  <c r="EF192" i="1"/>
  <c r="ED192" i="1"/>
  <c r="EB192" i="1"/>
  <c r="DZ192" i="1"/>
  <c r="DY192" i="1"/>
  <c r="DX192" i="1"/>
  <c r="DV192" i="1"/>
  <c r="DT192" i="1"/>
  <c r="DR192" i="1"/>
  <c r="DP192" i="1"/>
  <c r="DN192" i="1"/>
  <c r="DL192" i="1"/>
  <c r="DJ192" i="1"/>
  <c r="DH192" i="1"/>
  <c r="DF192" i="1"/>
  <c r="DD192" i="1"/>
  <c r="DB192" i="1"/>
  <c r="AK192" i="1"/>
  <c r="A192" i="1"/>
  <c r="GV191" i="1"/>
  <c r="GF191" i="1"/>
  <c r="GE191" i="1"/>
  <c r="GD191" i="1"/>
  <c r="GB191" i="1"/>
  <c r="FZ191" i="1"/>
  <c r="FX191" i="1"/>
  <c r="FV191" i="1"/>
  <c r="FT191" i="1"/>
  <c r="FR191" i="1"/>
  <c r="FP191" i="1"/>
  <c r="FO191" i="1"/>
  <c r="FN191" i="1"/>
  <c r="FL191" i="1"/>
  <c r="FJ191" i="1"/>
  <c r="FH191" i="1"/>
  <c r="FG191" i="1"/>
  <c r="FF191" i="1"/>
  <c r="FD191" i="1"/>
  <c r="FB191" i="1"/>
  <c r="EZ191" i="1"/>
  <c r="EY191" i="1"/>
  <c r="EX191" i="1"/>
  <c r="EV191" i="1"/>
  <c r="ET191" i="1"/>
  <c r="ER191" i="1"/>
  <c r="EP191" i="1"/>
  <c r="EO191" i="1"/>
  <c r="EN191" i="1"/>
  <c r="EL191" i="1"/>
  <c r="EJ191" i="1"/>
  <c r="EH191" i="1"/>
  <c r="EG191" i="1"/>
  <c r="EF191" i="1"/>
  <c r="ED191" i="1"/>
  <c r="EB191" i="1"/>
  <c r="DZ191" i="1"/>
  <c r="DY191" i="1"/>
  <c r="DX191" i="1"/>
  <c r="DV191" i="1"/>
  <c r="DT191" i="1"/>
  <c r="DR191" i="1"/>
  <c r="DP191" i="1"/>
  <c r="DN191" i="1"/>
  <c r="DL191" i="1"/>
  <c r="DJ191" i="1"/>
  <c r="DH191" i="1"/>
  <c r="DF191" i="1"/>
  <c r="DD191" i="1"/>
  <c r="DB191" i="1"/>
  <c r="AK191" i="1"/>
  <c r="A191" i="1"/>
  <c r="GV190" i="1"/>
  <c r="GF190" i="1"/>
  <c r="GE190" i="1"/>
  <c r="GD190" i="1"/>
  <c r="GB190" i="1"/>
  <c r="FZ190" i="1"/>
  <c r="FX190" i="1"/>
  <c r="FV190" i="1"/>
  <c r="FT190" i="1"/>
  <c r="FR190" i="1"/>
  <c r="FP190" i="1"/>
  <c r="FO190" i="1"/>
  <c r="FN190" i="1"/>
  <c r="FL190" i="1"/>
  <c r="FJ190" i="1"/>
  <c r="FH190" i="1"/>
  <c r="FG190" i="1"/>
  <c r="FF190" i="1"/>
  <c r="FD190" i="1"/>
  <c r="FB190" i="1"/>
  <c r="EZ190" i="1"/>
  <c r="EY190" i="1"/>
  <c r="EX190" i="1"/>
  <c r="EV190" i="1"/>
  <c r="ET190" i="1"/>
  <c r="ER190" i="1"/>
  <c r="EP190" i="1"/>
  <c r="EO190" i="1"/>
  <c r="EN190" i="1"/>
  <c r="EL190" i="1"/>
  <c r="EJ190" i="1"/>
  <c r="EH190" i="1"/>
  <c r="EG190" i="1"/>
  <c r="EF190" i="1"/>
  <c r="ED190" i="1"/>
  <c r="EB190" i="1"/>
  <c r="DZ190" i="1"/>
  <c r="DY190" i="1"/>
  <c r="DX190" i="1"/>
  <c r="DV190" i="1"/>
  <c r="DT190" i="1"/>
  <c r="DR190" i="1"/>
  <c r="DP190" i="1"/>
  <c r="DN190" i="1"/>
  <c r="DL190" i="1"/>
  <c r="DJ190" i="1"/>
  <c r="DH190" i="1"/>
  <c r="DF190" i="1"/>
  <c r="DD190" i="1"/>
  <c r="DB190" i="1"/>
  <c r="AK190" i="1"/>
  <c r="A190" i="1"/>
  <c r="GV189" i="1"/>
  <c r="GF189" i="1"/>
  <c r="GE189" i="1"/>
  <c r="GD189" i="1"/>
  <c r="GB189" i="1"/>
  <c r="FZ189" i="1"/>
  <c r="FX189" i="1"/>
  <c r="FV189" i="1"/>
  <c r="FT189" i="1"/>
  <c r="FR189" i="1"/>
  <c r="FP189" i="1"/>
  <c r="FO189" i="1"/>
  <c r="FN189" i="1"/>
  <c r="FL189" i="1"/>
  <c r="FJ189" i="1"/>
  <c r="FH189" i="1"/>
  <c r="FG189" i="1"/>
  <c r="FF189" i="1"/>
  <c r="FD189" i="1"/>
  <c r="FB189" i="1"/>
  <c r="EZ189" i="1"/>
  <c r="EY189" i="1"/>
  <c r="EX189" i="1"/>
  <c r="EV189" i="1"/>
  <c r="ET189" i="1"/>
  <c r="ER189" i="1"/>
  <c r="EP189" i="1"/>
  <c r="EO189" i="1"/>
  <c r="EN189" i="1"/>
  <c r="EL189" i="1"/>
  <c r="EJ189" i="1"/>
  <c r="EH189" i="1"/>
  <c r="EG189" i="1"/>
  <c r="EF189" i="1"/>
  <c r="ED189" i="1"/>
  <c r="EB189" i="1"/>
  <c r="DZ189" i="1"/>
  <c r="DY189" i="1"/>
  <c r="DX189" i="1"/>
  <c r="DV189" i="1"/>
  <c r="DT189" i="1"/>
  <c r="DR189" i="1"/>
  <c r="DP189" i="1"/>
  <c r="DN189" i="1"/>
  <c r="DL189" i="1"/>
  <c r="DJ189" i="1"/>
  <c r="DH189" i="1"/>
  <c r="DF189" i="1"/>
  <c r="DD189" i="1"/>
  <c r="DB189" i="1"/>
  <c r="AK189" i="1"/>
  <c r="A189" i="1"/>
  <c r="GV188" i="1"/>
  <c r="GF188" i="1"/>
  <c r="GE188" i="1"/>
  <c r="GD188" i="1"/>
  <c r="GB188" i="1"/>
  <c r="FZ188" i="1"/>
  <c r="FX188" i="1"/>
  <c r="FV188" i="1"/>
  <c r="FT188" i="1"/>
  <c r="FR188" i="1"/>
  <c r="FP188" i="1"/>
  <c r="FO188" i="1"/>
  <c r="FN188" i="1"/>
  <c r="FL188" i="1"/>
  <c r="FJ188" i="1"/>
  <c r="FH188" i="1"/>
  <c r="FG188" i="1"/>
  <c r="FF188" i="1"/>
  <c r="FD188" i="1"/>
  <c r="FB188" i="1"/>
  <c r="EZ188" i="1"/>
  <c r="EY188" i="1"/>
  <c r="EX188" i="1"/>
  <c r="EV188" i="1"/>
  <c r="ET188" i="1"/>
  <c r="ER188" i="1"/>
  <c r="EP188" i="1"/>
  <c r="EO188" i="1"/>
  <c r="EN188" i="1"/>
  <c r="EL188" i="1"/>
  <c r="EJ188" i="1"/>
  <c r="EH188" i="1"/>
  <c r="EG188" i="1"/>
  <c r="EF188" i="1"/>
  <c r="ED188" i="1"/>
  <c r="EB188" i="1"/>
  <c r="DZ188" i="1"/>
  <c r="DY188" i="1"/>
  <c r="DX188" i="1"/>
  <c r="DV188" i="1"/>
  <c r="DT188" i="1"/>
  <c r="DR188" i="1"/>
  <c r="DP188" i="1"/>
  <c r="DN188" i="1"/>
  <c r="DL188" i="1"/>
  <c r="DJ188" i="1"/>
  <c r="DH188" i="1"/>
  <c r="DF188" i="1"/>
  <c r="DD188" i="1"/>
  <c r="DB188" i="1"/>
  <c r="AK188" i="1"/>
  <c r="A188" i="1"/>
  <c r="GV187" i="1"/>
  <c r="GF187" i="1"/>
  <c r="GE187" i="1"/>
  <c r="GD187" i="1"/>
  <c r="GB187" i="1"/>
  <c r="FZ187" i="1"/>
  <c r="FX187" i="1"/>
  <c r="FV187" i="1"/>
  <c r="FT187" i="1"/>
  <c r="FR187" i="1"/>
  <c r="FP187" i="1"/>
  <c r="FO187" i="1"/>
  <c r="FN187" i="1"/>
  <c r="FL187" i="1"/>
  <c r="FJ187" i="1"/>
  <c r="FH187" i="1"/>
  <c r="FG187" i="1"/>
  <c r="FF187" i="1"/>
  <c r="FD187" i="1"/>
  <c r="FB187" i="1"/>
  <c r="EZ187" i="1"/>
  <c r="EY187" i="1"/>
  <c r="EX187" i="1"/>
  <c r="EV187" i="1"/>
  <c r="ET187" i="1"/>
  <c r="ER187" i="1"/>
  <c r="EP187" i="1"/>
  <c r="EO187" i="1"/>
  <c r="EN187" i="1"/>
  <c r="EL187" i="1"/>
  <c r="EJ187" i="1"/>
  <c r="EH187" i="1"/>
  <c r="EG187" i="1"/>
  <c r="EF187" i="1"/>
  <c r="ED187" i="1"/>
  <c r="EB187" i="1"/>
  <c r="DZ187" i="1"/>
  <c r="DY187" i="1"/>
  <c r="DX187" i="1"/>
  <c r="DV187" i="1"/>
  <c r="DT187" i="1"/>
  <c r="DR187" i="1"/>
  <c r="DP187" i="1"/>
  <c r="DN187" i="1"/>
  <c r="DL187" i="1"/>
  <c r="DJ187" i="1"/>
  <c r="DH187" i="1"/>
  <c r="DF187" i="1"/>
  <c r="DD187" i="1"/>
  <c r="DB187" i="1"/>
  <c r="AK187" i="1"/>
  <c r="A187" i="1"/>
  <c r="GV186" i="1"/>
  <c r="GV185" i="1"/>
  <c r="GV184" i="1"/>
  <c r="GV183" i="1"/>
  <c r="GF183" i="1"/>
  <c r="GE183" i="1"/>
  <c r="GD183" i="1"/>
  <c r="GB183" i="1"/>
  <c r="FZ183" i="1"/>
  <c r="FX183" i="1"/>
  <c r="FV183" i="1"/>
  <c r="FT183" i="1"/>
  <c r="FR183" i="1"/>
  <c r="FP183" i="1"/>
  <c r="FO183" i="1"/>
  <c r="FN183" i="1"/>
  <c r="FL183" i="1"/>
  <c r="FJ183" i="1"/>
  <c r="FH183" i="1"/>
  <c r="FG183" i="1"/>
  <c r="FF183" i="1"/>
  <c r="FD183" i="1"/>
  <c r="FB183" i="1"/>
  <c r="EZ183" i="1"/>
  <c r="EY183" i="1"/>
  <c r="EX183" i="1"/>
  <c r="EV183" i="1"/>
  <c r="ET183" i="1"/>
  <c r="ER183" i="1"/>
  <c r="EP183" i="1"/>
  <c r="EO183" i="1"/>
  <c r="EN183" i="1"/>
  <c r="EL183" i="1"/>
  <c r="EJ183" i="1"/>
  <c r="EH183" i="1"/>
  <c r="EG183" i="1"/>
  <c r="EF183" i="1"/>
  <c r="ED183" i="1"/>
  <c r="EB183" i="1"/>
  <c r="DZ183" i="1"/>
  <c r="DY183" i="1"/>
  <c r="DX183" i="1"/>
  <c r="DV183" i="1"/>
  <c r="DT183" i="1"/>
  <c r="DR183" i="1"/>
  <c r="DP183" i="1"/>
  <c r="DN183" i="1"/>
  <c r="DL183" i="1"/>
  <c r="DJ183" i="1"/>
  <c r="DH183" i="1"/>
  <c r="DF183" i="1"/>
  <c r="DD183" i="1"/>
  <c r="DB183" i="1"/>
  <c r="AK183" i="1"/>
  <c r="A183" i="1"/>
  <c r="GV182" i="1"/>
  <c r="GF182" i="1"/>
  <c r="GE182" i="1"/>
  <c r="GD182" i="1"/>
  <c r="GB182" i="1"/>
  <c r="FZ182" i="1"/>
  <c r="FX182" i="1"/>
  <c r="FV182" i="1"/>
  <c r="FT182" i="1"/>
  <c r="FR182" i="1"/>
  <c r="FP182" i="1"/>
  <c r="FO182" i="1"/>
  <c r="FN182" i="1"/>
  <c r="FL182" i="1"/>
  <c r="FJ182" i="1"/>
  <c r="FH182" i="1"/>
  <c r="FG182" i="1"/>
  <c r="FF182" i="1"/>
  <c r="FD182" i="1"/>
  <c r="FB182" i="1"/>
  <c r="EZ182" i="1"/>
  <c r="EY182" i="1"/>
  <c r="EX182" i="1"/>
  <c r="EV182" i="1"/>
  <c r="ET182" i="1"/>
  <c r="ER182" i="1"/>
  <c r="EP182" i="1"/>
  <c r="EO182" i="1"/>
  <c r="EN182" i="1"/>
  <c r="EL182" i="1"/>
  <c r="EJ182" i="1"/>
  <c r="EH182" i="1"/>
  <c r="EG182" i="1"/>
  <c r="EF182" i="1"/>
  <c r="ED182" i="1"/>
  <c r="EB182" i="1"/>
  <c r="DZ182" i="1"/>
  <c r="DY182" i="1"/>
  <c r="DX182" i="1"/>
  <c r="DV182" i="1"/>
  <c r="DT182" i="1"/>
  <c r="DR182" i="1"/>
  <c r="DP182" i="1"/>
  <c r="DN182" i="1"/>
  <c r="DL182" i="1"/>
  <c r="DJ182" i="1"/>
  <c r="DH182" i="1"/>
  <c r="DF182" i="1"/>
  <c r="DD182" i="1"/>
  <c r="DB182" i="1"/>
  <c r="AK182" i="1"/>
  <c r="A182" i="1"/>
  <c r="GV181" i="1"/>
  <c r="GF181" i="1"/>
  <c r="GE181" i="1"/>
  <c r="GD181" i="1"/>
  <c r="GB181" i="1"/>
  <c r="FZ181" i="1"/>
  <c r="FX181" i="1"/>
  <c r="FV181" i="1"/>
  <c r="FT181" i="1"/>
  <c r="FR181" i="1"/>
  <c r="FP181" i="1"/>
  <c r="FO181" i="1"/>
  <c r="FN181" i="1"/>
  <c r="FL181" i="1"/>
  <c r="FJ181" i="1"/>
  <c r="FH181" i="1"/>
  <c r="FG181" i="1"/>
  <c r="FF181" i="1"/>
  <c r="FD181" i="1"/>
  <c r="FB181" i="1"/>
  <c r="EZ181" i="1"/>
  <c r="EY181" i="1"/>
  <c r="EX181" i="1"/>
  <c r="EV181" i="1"/>
  <c r="ET181" i="1"/>
  <c r="ER181" i="1"/>
  <c r="EP181" i="1"/>
  <c r="EO181" i="1"/>
  <c r="EN181" i="1"/>
  <c r="EL181" i="1"/>
  <c r="EJ181" i="1"/>
  <c r="EH181" i="1"/>
  <c r="EG181" i="1"/>
  <c r="EF181" i="1"/>
  <c r="ED181" i="1"/>
  <c r="EB181" i="1"/>
  <c r="DZ181" i="1"/>
  <c r="DY181" i="1"/>
  <c r="DX181" i="1"/>
  <c r="DV181" i="1"/>
  <c r="DT181" i="1"/>
  <c r="DR181" i="1"/>
  <c r="DP181" i="1"/>
  <c r="DN181" i="1"/>
  <c r="DL181" i="1"/>
  <c r="DJ181" i="1"/>
  <c r="DH181" i="1"/>
  <c r="DF181" i="1"/>
  <c r="DD181" i="1"/>
  <c r="DB181" i="1"/>
  <c r="AK181" i="1"/>
  <c r="A181" i="1"/>
  <c r="GV180" i="1"/>
  <c r="GF180" i="1"/>
  <c r="GE180" i="1"/>
  <c r="GD180" i="1"/>
  <c r="GB180" i="1"/>
  <c r="FZ180" i="1"/>
  <c r="FX180" i="1"/>
  <c r="FV180" i="1"/>
  <c r="FT180" i="1"/>
  <c r="FR180" i="1"/>
  <c r="FP180" i="1"/>
  <c r="FO180" i="1"/>
  <c r="FN180" i="1"/>
  <c r="FL180" i="1"/>
  <c r="FJ180" i="1"/>
  <c r="FH180" i="1"/>
  <c r="FG180" i="1"/>
  <c r="FF180" i="1"/>
  <c r="FD180" i="1"/>
  <c r="FB180" i="1"/>
  <c r="EZ180" i="1"/>
  <c r="EY180" i="1"/>
  <c r="EX180" i="1"/>
  <c r="EV180" i="1"/>
  <c r="ET180" i="1"/>
  <c r="ER180" i="1"/>
  <c r="EP180" i="1"/>
  <c r="EO180" i="1"/>
  <c r="EN180" i="1"/>
  <c r="EL180" i="1"/>
  <c r="EJ180" i="1"/>
  <c r="EH180" i="1"/>
  <c r="EG180" i="1"/>
  <c r="EF180" i="1"/>
  <c r="ED180" i="1"/>
  <c r="EB180" i="1"/>
  <c r="DZ180" i="1"/>
  <c r="DY180" i="1"/>
  <c r="DX180" i="1"/>
  <c r="DV180" i="1"/>
  <c r="DT180" i="1"/>
  <c r="DR180" i="1"/>
  <c r="DP180" i="1"/>
  <c r="DN180" i="1"/>
  <c r="DL180" i="1"/>
  <c r="DJ180" i="1"/>
  <c r="DH180" i="1"/>
  <c r="DF180" i="1"/>
  <c r="DD180" i="1"/>
  <c r="DB180" i="1"/>
  <c r="AK180" i="1"/>
  <c r="A180" i="1"/>
  <c r="GV179" i="1"/>
  <c r="GF179" i="1"/>
  <c r="GE179" i="1"/>
  <c r="GD179" i="1"/>
  <c r="GB179" i="1"/>
  <c r="FZ179" i="1"/>
  <c r="FX179" i="1"/>
  <c r="FV179" i="1"/>
  <c r="FT179" i="1"/>
  <c r="FR179" i="1"/>
  <c r="FP179" i="1"/>
  <c r="FO179" i="1"/>
  <c r="FN179" i="1"/>
  <c r="FL179" i="1"/>
  <c r="FJ179" i="1"/>
  <c r="FH179" i="1"/>
  <c r="FG179" i="1"/>
  <c r="FF179" i="1"/>
  <c r="FD179" i="1"/>
  <c r="FB179" i="1"/>
  <c r="EZ179" i="1"/>
  <c r="EY179" i="1"/>
  <c r="EX179" i="1"/>
  <c r="EV179" i="1"/>
  <c r="ET179" i="1"/>
  <c r="ER179" i="1"/>
  <c r="EP179" i="1"/>
  <c r="EO179" i="1"/>
  <c r="EN179" i="1"/>
  <c r="EL179" i="1"/>
  <c r="EJ179" i="1"/>
  <c r="EH179" i="1"/>
  <c r="EG179" i="1"/>
  <c r="EF179" i="1"/>
  <c r="ED179" i="1"/>
  <c r="EB179" i="1"/>
  <c r="DZ179" i="1"/>
  <c r="DY179" i="1"/>
  <c r="DX179" i="1"/>
  <c r="DV179" i="1"/>
  <c r="DT179" i="1"/>
  <c r="DR179" i="1"/>
  <c r="DP179" i="1"/>
  <c r="DN179" i="1"/>
  <c r="DL179" i="1"/>
  <c r="DJ179" i="1"/>
  <c r="DH179" i="1"/>
  <c r="DF179" i="1"/>
  <c r="DD179" i="1"/>
  <c r="DB179" i="1"/>
  <c r="AK179" i="1"/>
  <c r="A179" i="1"/>
  <c r="GV178" i="1"/>
  <c r="GF178" i="1"/>
  <c r="GE178" i="1"/>
  <c r="GD178" i="1"/>
  <c r="GB178" i="1"/>
  <c r="FZ178" i="1"/>
  <c r="FX178" i="1"/>
  <c r="FV178" i="1"/>
  <c r="FT178" i="1"/>
  <c r="FR178" i="1"/>
  <c r="FP178" i="1"/>
  <c r="FO178" i="1"/>
  <c r="FN178" i="1"/>
  <c r="FL178" i="1"/>
  <c r="FJ178" i="1"/>
  <c r="FH178" i="1"/>
  <c r="FG178" i="1"/>
  <c r="FF178" i="1"/>
  <c r="FD178" i="1"/>
  <c r="FB178" i="1"/>
  <c r="EZ178" i="1"/>
  <c r="EY178" i="1"/>
  <c r="EX178" i="1"/>
  <c r="EV178" i="1"/>
  <c r="ET178" i="1"/>
  <c r="ER178" i="1"/>
  <c r="EP178" i="1"/>
  <c r="EO178" i="1"/>
  <c r="EN178" i="1"/>
  <c r="EL178" i="1"/>
  <c r="EJ178" i="1"/>
  <c r="EH178" i="1"/>
  <c r="EG178" i="1"/>
  <c r="EF178" i="1"/>
  <c r="ED178" i="1"/>
  <c r="EB178" i="1"/>
  <c r="DZ178" i="1"/>
  <c r="DY178" i="1"/>
  <c r="DX178" i="1"/>
  <c r="DV178" i="1"/>
  <c r="DT178" i="1"/>
  <c r="DR178" i="1"/>
  <c r="DP178" i="1"/>
  <c r="DN178" i="1"/>
  <c r="DL178" i="1"/>
  <c r="DJ178" i="1"/>
  <c r="DH178" i="1"/>
  <c r="DF178" i="1"/>
  <c r="DD178" i="1"/>
  <c r="DB178" i="1"/>
  <c r="AK178" i="1"/>
  <c r="A178" i="1"/>
  <c r="GV177" i="1"/>
  <c r="GF177" i="1"/>
  <c r="GE177" i="1"/>
  <c r="GD177" i="1"/>
  <c r="GB177" i="1"/>
  <c r="FZ177" i="1"/>
  <c r="FX177" i="1"/>
  <c r="FV177" i="1"/>
  <c r="FT177" i="1"/>
  <c r="FR177" i="1"/>
  <c r="FP177" i="1"/>
  <c r="FO177" i="1"/>
  <c r="FN177" i="1"/>
  <c r="FL177" i="1"/>
  <c r="FJ177" i="1"/>
  <c r="FH177" i="1"/>
  <c r="FG177" i="1"/>
  <c r="FF177" i="1"/>
  <c r="FD177" i="1"/>
  <c r="FB177" i="1"/>
  <c r="EZ177" i="1"/>
  <c r="EY177" i="1"/>
  <c r="EX177" i="1"/>
  <c r="EV177" i="1"/>
  <c r="ET177" i="1"/>
  <c r="ER177" i="1"/>
  <c r="EP177" i="1"/>
  <c r="EO177" i="1"/>
  <c r="EN177" i="1"/>
  <c r="EL177" i="1"/>
  <c r="EJ177" i="1"/>
  <c r="EH177" i="1"/>
  <c r="EG177" i="1"/>
  <c r="EF177" i="1"/>
  <c r="ED177" i="1"/>
  <c r="EB177" i="1"/>
  <c r="DZ177" i="1"/>
  <c r="DY177" i="1"/>
  <c r="DX177" i="1"/>
  <c r="DV177" i="1"/>
  <c r="DT177" i="1"/>
  <c r="DR177" i="1"/>
  <c r="DP177" i="1"/>
  <c r="DN177" i="1"/>
  <c r="DL177" i="1"/>
  <c r="DJ177" i="1"/>
  <c r="DH177" i="1"/>
  <c r="DF177" i="1"/>
  <c r="DD177" i="1"/>
  <c r="DB177" i="1"/>
  <c r="AK177" i="1"/>
  <c r="A177" i="1"/>
  <c r="GV176" i="1"/>
  <c r="GF176" i="1"/>
  <c r="GE176" i="1"/>
  <c r="GD176" i="1"/>
  <c r="GB176" i="1"/>
  <c r="FZ176" i="1"/>
  <c r="FX176" i="1"/>
  <c r="FV176" i="1"/>
  <c r="FT176" i="1"/>
  <c r="FR176" i="1"/>
  <c r="FP176" i="1"/>
  <c r="FO176" i="1"/>
  <c r="FN176" i="1"/>
  <c r="FL176" i="1"/>
  <c r="FJ176" i="1"/>
  <c r="FH176" i="1"/>
  <c r="FG176" i="1"/>
  <c r="FF176" i="1"/>
  <c r="FD176" i="1"/>
  <c r="FB176" i="1"/>
  <c r="EZ176" i="1"/>
  <c r="EY176" i="1"/>
  <c r="EX176" i="1"/>
  <c r="EV176" i="1"/>
  <c r="ET176" i="1"/>
  <c r="ER176" i="1"/>
  <c r="EP176" i="1"/>
  <c r="EO176" i="1"/>
  <c r="EN176" i="1"/>
  <c r="EL176" i="1"/>
  <c r="EJ176" i="1"/>
  <c r="EH176" i="1"/>
  <c r="EG176" i="1"/>
  <c r="EF176" i="1"/>
  <c r="ED176" i="1"/>
  <c r="EB176" i="1"/>
  <c r="DZ176" i="1"/>
  <c r="DY176" i="1"/>
  <c r="DX176" i="1"/>
  <c r="DV176" i="1"/>
  <c r="DT176" i="1"/>
  <c r="DR176" i="1"/>
  <c r="DP176" i="1"/>
  <c r="DN176" i="1"/>
  <c r="DL176" i="1"/>
  <c r="DJ176" i="1"/>
  <c r="DH176" i="1"/>
  <c r="DF176" i="1"/>
  <c r="DD176" i="1"/>
  <c r="DB176" i="1"/>
  <c r="AK176" i="1"/>
  <c r="A176" i="1"/>
  <c r="GV175" i="1"/>
  <c r="GF175" i="1"/>
  <c r="GE175" i="1"/>
  <c r="GD175" i="1"/>
  <c r="GB175" i="1"/>
  <c r="FZ175" i="1"/>
  <c r="FX175" i="1"/>
  <c r="FV175" i="1"/>
  <c r="FT175" i="1"/>
  <c r="FR175" i="1"/>
  <c r="FP175" i="1"/>
  <c r="FO175" i="1"/>
  <c r="FN175" i="1"/>
  <c r="FL175" i="1"/>
  <c r="FJ175" i="1"/>
  <c r="FH175" i="1"/>
  <c r="FG175" i="1"/>
  <c r="FF175" i="1"/>
  <c r="FD175" i="1"/>
  <c r="FB175" i="1"/>
  <c r="EZ175" i="1"/>
  <c r="EY175" i="1"/>
  <c r="EX175" i="1"/>
  <c r="EV175" i="1"/>
  <c r="ET175" i="1"/>
  <c r="ER175" i="1"/>
  <c r="EP175" i="1"/>
  <c r="EO175" i="1"/>
  <c r="EN175" i="1"/>
  <c r="EL175" i="1"/>
  <c r="EJ175" i="1"/>
  <c r="EH175" i="1"/>
  <c r="EG175" i="1"/>
  <c r="EF175" i="1"/>
  <c r="ED175" i="1"/>
  <c r="EB175" i="1"/>
  <c r="DZ175" i="1"/>
  <c r="DY175" i="1"/>
  <c r="DX175" i="1"/>
  <c r="DV175" i="1"/>
  <c r="DT175" i="1"/>
  <c r="DR175" i="1"/>
  <c r="DP175" i="1"/>
  <c r="DN175" i="1"/>
  <c r="DL175" i="1"/>
  <c r="DJ175" i="1"/>
  <c r="DH175" i="1"/>
  <c r="DF175" i="1"/>
  <c r="DD175" i="1"/>
  <c r="DB175" i="1"/>
  <c r="AK175" i="1"/>
  <c r="A175" i="1"/>
  <c r="GV174" i="1"/>
  <c r="GF174" i="1"/>
  <c r="GE174" i="1"/>
  <c r="GD174" i="1"/>
  <c r="GB174" i="1"/>
  <c r="FZ174" i="1"/>
  <c r="FX174" i="1"/>
  <c r="FV174" i="1"/>
  <c r="FT174" i="1"/>
  <c r="FR174" i="1"/>
  <c r="FP174" i="1"/>
  <c r="FO174" i="1"/>
  <c r="FN174" i="1"/>
  <c r="FL174" i="1"/>
  <c r="FJ174" i="1"/>
  <c r="FH174" i="1"/>
  <c r="FG174" i="1"/>
  <c r="FF174" i="1"/>
  <c r="FD174" i="1"/>
  <c r="FB174" i="1"/>
  <c r="EZ174" i="1"/>
  <c r="EY174" i="1"/>
  <c r="EX174" i="1"/>
  <c r="EV174" i="1"/>
  <c r="ET174" i="1"/>
  <c r="ER174" i="1"/>
  <c r="EP174" i="1"/>
  <c r="EO174" i="1"/>
  <c r="EN174" i="1"/>
  <c r="EL174" i="1"/>
  <c r="EJ174" i="1"/>
  <c r="EH174" i="1"/>
  <c r="EG174" i="1"/>
  <c r="EF174" i="1"/>
  <c r="ED174" i="1"/>
  <c r="EB174" i="1"/>
  <c r="DZ174" i="1"/>
  <c r="DY174" i="1"/>
  <c r="DX174" i="1"/>
  <c r="DV174" i="1"/>
  <c r="DT174" i="1"/>
  <c r="DR174" i="1"/>
  <c r="DP174" i="1"/>
  <c r="DN174" i="1"/>
  <c r="DL174" i="1"/>
  <c r="DJ174" i="1"/>
  <c r="DH174" i="1"/>
  <c r="DF174" i="1"/>
  <c r="DD174" i="1"/>
  <c r="DB174" i="1"/>
  <c r="AK174" i="1"/>
  <c r="A174" i="1"/>
  <c r="GV173" i="1"/>
  <c r="GF173" i="1"/>
  <c r="GE173" i="1"/>
  <c r="GD173" i="1"/>
  <c r="GB173" i="1"/>
  <c r="FZ173" i="1"/>
  <c r="FX173" i="1"/>
  <c r="FV173" i="1"/>
  <c r="FT173" i="1"/>
  <c r="FR173" i="1"/>
  <c r="FP173" i="1"/>
  <c r="FO173" i="1"/>
  <c r="FN173" i="1"/>
  <c r="FL173" i="1"/>
  <c r="FJ173" i="1"/>
  <c r="FH173" i="1"/>
  <c r="FG173" i="1"/>
  <c r="FF173" i="1"/>
  <c r="FD173" i="1"/>
  <c r="FB173" i="1"/>
  <c r="EZ173" i="1"/>
  <c r="EY173" i="1"/>
  <c r="EX173" i="1"/>
  <c r="EV173" i="1"/>
  <c r="ET173" i="1"/>
  <c r="ER173" i="1"/>
  <c r="EP173" i="1"/>
  <c r="EO173" i="1"/>
  <c r="EN173" i="1"/>
  <c r="EL173" i="1"/>
  <c r="EJ173" i="1"/>
  <c r="EH173" i="1"/>
  <c r="EG173" i="1"/>
  <c r="EF173" i="1"/>
  <c r="ED173" i="1"/>
  <c r="EB173" i="1"/>
  <c r="DZ173" i="1"/>
  <c r="DY173" i="1"/>
  <c r="DX173" i="1"/>
  <c r="DV173" i="1"/>
  <c r="DT173" i="1"/>
  <c r="DR173" i="1"/>
  <c r="DP173" i="1"/>
  <c r="DN173" i="1"/>
  <c r="DL173" i="1"/>
  <c r="DJ173" i="1"/>
  <c r="DH173" i="1"/>
  <c r="DF173" i="1"/>
  <c r="DD173" i="1"/>
  <c r="DB173" i="1"/>
  <c r="AK173" i="1"/>
  <c r="A173" i="1"/>
  <c r="GV172" i="1"/>
  <c r="GF172" i="1"/>
  <c r="GE172" i="1"/>
  <c r="GD172" i="1"/>
  <c r="GB172" i="1"/>
  <c r="FZ172" i="1"/>
  <c r="FX172" i="1"/>
  <c r="FV172" i="1"/>
  <c r="FT172" i="1"/>
  <c r="FR172" i="1"/>
  <c r="FP172" i="1"/>
  <c r="FO172" i="1"/>
  <c r="FN172" i="1"/>
  <c r="FL172" i="1"/>
  <c r="FJ172" i="1"/>
  <c r="FH172" i="1"/>
  <c r="FG172" i="1"/>
  <c r="FF172" i="1"/>
  <c r="FD172" i="1"/>
  <c r="FB172" i="1"/>
  <c r="EZ172" i="1"/>
  <c r="EY172" i="1"/>
  <c r="EX172" i="1"/>
  <c r="EV172" i="1"/>
  <c r="ET172" i="1"/>
  <c r="ER172" i="1"/>
  <c r="EP172" i="1"/>
  <c r="EO172" i="1"/>
  <c r="EN172" i="1"/>
  <c r="EL172" i="1"/>
  <c r="EJ172" i="1"/>
  <c r="EH172" i="1"/>
  <c r="EG172" i="1"/>
  <c r="EF172" i="1"/>
  <c r="ED172" i="1"/>
  <c r="EB172" i="1"/>
  <c r="DZ172" i="1"/>
  <c r="DY172" i="1"/>
  <c r="DX172" i="1"/>
  <c r="DV172" i="1"/>
  <c r="DT172" i="1"/>
  <c r="DR172" i="1"/>
  <c r="DP172" i="1"/>
  <c r="DN172" i="1"/>
  <c r="DL172" i="1"/>
  <c r="DJ172" i="1"/>
  <c r="DH172" i="1"/>
  <c r="DF172" i="1"/>
  <c r="DD172" i="1"/>
  <c r="DB172" i="1"/>
  <c r="AK172" i="1"/>
  <c r="A172" i="1"/>
  <c r="GV171" i="1"/>
  <c r="GF171" i="1"/>
  <c r="GE171" i="1"/>
  <c r="GD171" i="1"/>
  <c r="GB171" i="1"/>
  <c r="FZ171" i="1"/>
  <c r="FX171" i="1"/>
  <c r="FV171" i="1"/>
  <c r="FT171" i="1"/>
  <c r="FR171" i="1"/>
  <c r="FP171" i="1"/>
  <c r="FO171" i="1"/>
  <c r="FN171" i="1"/>
  <c r="FL171" i="1"/>
  <c r="FJ171" i="1"/>
  <c r="FH171" i="1"/>
  <c r="FG171" i="1"/>
  <c r="FF171" i="1"/>
  <c r="FD171" i="1"/>
  <c r="FB171" i="1"/>
  <c r="EZ171" i="1"/>
  <c r="EY171" i="1"/>
  <c r="EX171" i="1"/>
  <c r="EV171" i="1"/>
  <c r="ET171" i="1"/>
  <c r="ER171" i="1"/>
  <c r="EP171" i="1"/>
  <c r="EO171" i="1"/>
  <c r="EN171" i="1"/>
  <c r="EL171" i="1"/>
  <c r="EJ171" i="1"/>
  <c r="EH171" i="1"/>
  <c r="EG171" i="1"/>
  <c r="EF171" i="1"/>
  <c r="ED171" i="1"/>
  <c r="EB171" i="1"/>
  <c r="DZ171" i="1"/>
  <c r="DY171" i="1"/>
  <c r="DX171" i="1"/>
  <c r="DV171" i="1"/>
  <c r="DT171" i="1"/>
  <c r="DR171" i="1"/>
  <c r="DP171" i="1"/>
  <c r="DN171" i="1"/>
  <c r="DL171" i="1"/>
  <c r="DJ171" i="1"/>
  <c r="DH171" i="1"/>
  <c r="DF171" i="1"/>
  <c r="DD171" i="1"/>
  <c r="DB171" i="1"/>
  <c r="AK171" i="1"/>
  <c r="A171" i="1"/>
  <c r="GV170" i="1"/>
  <c r="GF170" i="1"/>
  <c r="GE170" i="1"/>
  <c r="GD170" i="1"/>
  <c r="GB170" i="1"/>
  <c r="FZ170" i="1"/>
  <c r="FX170" i="1"/>
  <c r="FV170" i="1"/>
  <c r="FT170" i="1"/>
  <c r="FR170" i="1"/>
  <c r="FP170" i="1"/>
  <c r="FO170" i="1"/>
  <c r="FN170" i="1"/>
  <c r="FL170" i="1"/>
  <c r="FJ170" i="1"/>
  <c r="FH170" i="1"/>
  <c r="FG170" i="1"/>
  <c r="FF170" i="1"/>
  <c r="FD170" i="1"/>
  <c r="FB170" i="1"/>
  <c r="EZ170" i="1"/>
  <c r="EY170" i="1"/>
  <c r="EX170" i="1"/>
  <c r="EV170" i="1"/>
  <c r="ET170" i="1"/>
  <c r="ER170" i="1"/>
  <c r="EP170" i="1"/>
  <c r="EO170" i="1"/>
  <c r="EN170" i="1"/>
  <c r="EL170" i="1"/>
  <c r="EJ170" i="1"/>
  <c r="EH170" i="1"/>
  <c r="EG170" i="1"/>
  <c r="EF170" i="1"/>
  <c r="ED170" i="1"/>
  <c r="EB170" i="1"/>
  <c r="DZ170" i="1"/>
  <c r="DY170" i="1"/>
  <c r="DX170" i="1"/>
  <c r="DV170" i="1"/>
  <c r="DT170" i="1"/>
  <c r="DR170" i="1"/>
  <c r="DP170" i="1"/>
  <c r="DN170" i="1"/>
  <c r="DL170" i="1"/>
  <c r="DJ170" i="1"/>
  <c r="DH170" i="1"/>
  <c r="DF170" i="1"/>
  <c r="DD170" i="1"/>
  <c r="DB170" i="1"/>
  <c r="AK170" i="1"/>
  <c r="A170" i="1"/>
  <c r="GV169" i="1"/>
  <c r="GF169" i="1"/>
  <c r="GE169" i="1"/>
  <c r="GD169" i="1"/>
  <c r="GB169" i="1"/>
  <c r="FZ169" i="1"/>
  <c r="FX169" i="1"/>
  <c r="FV169" i="1"/>
  <c r="FT169" i="1"/>
  <c r="FR169" i="1"/>
  <c r="FP169" i="1"/>
  <c r="FO169" i="1"/>
  <c r="FN169" i="1"/>
  <c r="FL169" i="1"/>
  <c r="FJ169" i="1"/>
  <c r="FH169" i="1"/>
  <c r="FG169" i="1"/>
  <c r="FF169" i="1"/>
  <c r="FD169" i="1"/>
  <c r="FB169" i="1"/>
  <c r="EZ169" i="1"/>
  <c r="EY169" i="1"/>
  <c r="EX169" i="1"/>
  <c r="EV169" i="1"/>
  <c r="ET169" i="1"/>
  <c r="ER169" i="1"/>
  <c r="EP169" i="1"/>
  <c r="EO169" i="1"/>
  <c r="EN169" i="1"/>
  <c r="EL169" i="1"/>
  <c r="EJ169" i="1"/>
  <c r="EH169" i="1"/>
  <c r="EG169" i="1"/>
  <c r="EF169" i="1"/>
  <c r="ED169" i="1"/>
  <c r="EB169" i="1"/>
  <c r="DZ169" i="1"/>
  <c r="DY169" i="1"/>
  <c r="DX169" i="1"/>
  <c r="DV169" i="1"/>
  <c r="DT169" i="1"/>
  <c r="DR169" i="1"/>
  <c r="DP169" i="1"/>
  <c r="DN169" i="1"/>
  <c r="DL169" i="1"/>
  <c r="DJ169" i="1"/>
  <c r="DH169" i="1"/>
  <c r="DF169" i="1"/>
  <c r="DD169" i="1"/>
  <c r="DB169" i="1"/>
  <c r="AK169" i="1"/>
  <c r="A169" i="1"/>
  <c r="GV168" i="1"/>
  <c r="GF168" i="1"/>
  <c r="GE168" i="1"/>
  <c r="GD168" i="1"/>
  <c r="GB168" i="1"/>
  <c r="FZ168" i="1"/>
  <c r="FX168" i="1"/>
  <c r="FV168" i="1"/>
  <c r="FT168" i="1"/>
  <c r="FR168" i="1"/>
  <c r="FP168" i="1"/>
  <c r="FO168" i="1"/>
  <c r="FN168" i="1"/>
  <c r="FL168" i="1"/>
  <c r="FJ168" i="1"/>
  <c r="FH168" i="1"/>
  <c r="FG168" i="1"/>
  <c r="FF168" i="1"/>
  <c r="FD168" i="1"/>
  <c r="FB168" i="1"/>
  <c r="EZ168" i="1"/>
  <c r="EY168" i="1"/>
  <c r="EX168" i="1"/>
  <c r="EV168" i="1"/>
  <c r="ET168" i="1"/>
  <c r="ER168" i="1"/>
  <c r="EP168" i="1"/>
  <c r="EO168" i="1"/>
  <c r="EN168" i="1"/>
  <c r="EL168" i="1"/>
  <c r="EJ168" i="1"/>
  <c r="EH168" i="1"/>
  <c r="EG168" i="1"/>
  <c r="EF168" i="1"/>
  <c r="ED168" i="1"/>
  <c r="EB168" i="1"/>
  <c r="DZ168" i="1"/>
  <c r="DY168" i="1"/>
  <c r="DX168" i="1"/>
  <c r="DV168" i="1"/>
  <c r="DT168" i="1"/>
  <c r="DR168" i="1"/>
  <c r="DP168" i="1"/>
  <c r="DN168" i="1"/>
  <c r="DL168" i="1"/>
  <c r="DJ168" i="1"/>
  <c r="DH168" i="1"/>
  <c r="DF168" i="1"/>
  <c r="DD168" i="1"/>
  <c r="DB168" i="1"/>
  <c r="AK168" i="1"/>
  <c r="A168" i="1"/>
  <c r="GV167" i="1"/>
  <c r="GF167" i="1"/>
  <c r="GE167" i="1"/>
  <c r="GD167" i="1"/>
  <c r="GB167" i="1"/>
  <c r="FZ167" i="1"/>
  <c r="FX167" i="1"/>
  <c r="FV167" i="1"/>
  <c r="FT167" i="1"/>
  <c r="FR167" i="1"/>
  <c r="FP167" i="1"/>
  <c r="FO167" i="1"/>
  <c r="FN167" i="1"/>
  <c r="FL167" i="1"/>
  <c r="FJ167" i="1"/>
  <c r="FH167" i="1"/>
  <c r="FG167" i="1"/>
  <c r="FF167" i="1"/>
  <c r="FD167" i="1"/>
  <c r="FB167" i="1"/>
  <c r="EZ167" i="1"/>
  <c r="EY167" i="1"/>
  <c r="EX167" i="1"/>
  <c r="EV167" i="1"/>
  <c r="ET167" i="1"/>
  <c r="ER167" i="1"/>
  <c r="EP167" i="1"/>
  <c r="EO167" i="1"/>
  <c r="EN167" i="1"/>
  <c r="EL167" i="1"/>
  <c r="EJ167" i="1"/>
  <c r="EH167" i="1"/>
  <c r="EG167" i="1"/>
  <c r="EF167" i="1"/>
  <c r="ED167" i="1"/>
  <c r="EB167" i="1"/>
  <c r="DZ167" i="1"/>
  <c r="DY167" i="1"/>
  <c r="DX167" i="1"/>
  <c r="DV167" i="1"/>
  <c r="DT167" i="1"/>
  <c r="DR167" i="1"/>
  <c r="DP167" i="1"/>
  <c r="DN167" i="1"/>
  <c r="DL167" i="1"/>
  <c r="DJ167" i="1"/>
  <c r="DH167" i="1"/>
  <c r="DF167" i="1"/>
  <c r="DD167" i="1"/>
  <c r="DB167" i="1"/>
  <c r="AK167" i="1"/>
  <c r="A167" i="1"/>
  <c r="GV166" i="1"/>
  <c r="GV165" i="1"/>
  <c r="GF165" i="1"/>
  <c r="GE165" i="1"/>
  <c r="GD165" i="1"/>
  <c r="GB165" i="1"/>
  <c r="FZ165" i="1"/>
  <c r="FX165" i="1"/>
  <c r="FV165" i="1"/>
  <c r="FT165" i="1"/>
  <c r="FR165" i="1"/>
  <c r="FP165" i="1"/>
  <c r="FO165" i="1"/>
  <c r="FN165" i="1"/>
  <c r="FL165" i="1"/>
  <c r="FJ165" i="1"/>
  <c r="FH165" i="1"/>
  <c r="FG165" i="1"/>
  <c r="FF165" i="1"/>
  <c r="FD165" i="1"/>
  <c r="FB165" i="1"/>
  <c r="EZ165" i="1"/>
  <c r="EY165" i="1"/>
  <c r="EX165" i="1"/>
  <c r="EV165" i="1"/>
  <c r="ET165" i="1"/>
  <c r="ER165" i="1"/>
  <c r="EP165" i="1"/>
  <c r="EO165" i="1"/>
  <c r="EN165" i="1"/>
  <c r="EL165" i="1"/>
  <c r="EJ165" i="1"/>
  <c r="EH165" i="1"/>
  <c r="EG165" i="1"/>
  <c r="EF165" i="1"/>
  <c r="ED165" i="1"/>
  <c r="EB165" i="1"/>
  <c r="DZ165" i="1"/>
  <c r="DY165" i="1"/>
  <c r="DX165" i="1"/>
  <c r="DV165" i="1"/>
  <c r="DT165" i="1"/>
  <c r="DR165" i="1"/>
  <c r="DP165" i="1"/>
  <c r="DN165" i="1"/>
  <c r="DL165" i="1"/>
  <c r="DJ165" i="1"/>
  <c r="DH165" i="1"/>
  <c r="DF165" i="1"/>
  <c r="DD165" i="1"/>
  <c r="DB165" i="1"/>
  <c r="AK165" i="1"/>
  <c r="A165" i="1"/>
  <c r="GV164" i="1"/>
  <c r="GF164" i="1"/>
  <c r="GE164" i="1"/>
  <c r="GD164" i="1"/>
  <c r="GB164" i="1"/>
  <c r="FZ164" i="1"/>
  <c r="FX164" i="1"/>
  <c r="FV164" i="1"/>
  <c r="FT164" i="1"/>
  <c r="FR164" i="1"/>
  <c r="FP164" i="1"/>
  <c r="FO164" i="1"/>
  <c r="FN164" i="1"/>
  <c r="FL164" i="1"/>
  <c r="FJ164" i="1"/>
  <c r="FH164" i="1"/>
  <c r="FG164" i="1"/>
  <c r="FF164" i="1"/>
  <c r="FD164" i="1"/>
  <c r="FB164" i="1"/>
  <c r="EZ164" i="1"/>
  <c r="EY164" i="1"/>
  <c r="EX164" i="1"/>
  <c r="EV164" i="1"/>
  <c r="ET164" i="1"/>
  <c r="ER164" i="1"/>
  <c r="EP164" i="1"/>
  <c r="EO164" i="1"/>
  <c r="EN164" i="1"/>
  <c r="EL164" i="1"/>
  <c r="EJ164" i="1"/>
  <c r="EH164" i="1"/>
  <c r="EG164" i="1"/>
  <c r="EF164" i="1"/>
  <c r="ED164" i="1"/>
  <c r="EB164" i="1"/>
  <c r="DZ164" i="1"/>
  <c r="DY164" i="1"/>
  <c r="DX164" i="1"/>
  <c r="DV164" i="1"/>
  <c r="DT164" i="1"/>
  <c r="DR164" i="1"/>
  <c r="DP164" i="1"/>
  <c r="DN164" i="1"/>
  <c r="DL164" i="1"/>
  <c r="DJ164" i="1"/>
  <c r="DH164" i="1"/>
  <c r="DF164" i="1"/>
  <c r="DD164" i="1"/>
  <c r="DB164" i="1"/>
  <c r="AK164" i="1"/>
  <c r="A164" i="1"/>
  <c r="GV163" i="1"/>
  <c r="GV162" i="1"/>
  <c r="GF162" i="1"/>
  <c r="GE162" i="1"/>
  <c r="GD162" i="1"/>
  <c r="GB162" i="1"/>
  <c r="FZ162" i="1"/>
  <c r="FX162" i="1"/>
  <c r="FV162" i="1"/>
  <c r="FT162" i="1"/>
  <c r="FR162" i="1"/>
  <c r="FP162" i="1"/>
  <c r="FO162" i="1"/>
  <c r="FN162" i="1"/>
  <c r="FL162" i="1"/>
  <c r="FJ162" i="1"/>
  <c r="FH162" i="1"/>
  <c r="FG162" i="1"/>
  <c r="FF162" i="1"/>
  <c r="FD162" i="1"/>
  <c r="FB162" i="1"/>
  <c r="EZ162" i="1"/>
  <c r="EY162" i="1"/>
  <c r="EX162" i="1"/>
  <c r="EV162" i="1"/>
  <c r="ET162" i="1"/>
  <c r="ER162" i="1"/>
  <c r="EP162" i="1"/>
  <c r="EO162" i="1"/>
  <c r="EN162" i="1"/>
  <c r="EL162" i="1"/>
  <c r="EJ162" i="1"/>
  <c r="EH162" i="1"/>
  <c r="EG162" i="1"/>
  <c r="EF162" i="1"/>
  <c r="ED162" i="1"/>
  <c r="EB162" i="1"/>
  <c r="DZ162" i="1"/>
  <c r="DY162" i="1"/>
  <c r="DX162" i="1"/>
  <c r="DV162" i="1"/>
  <c r="DT162" i="1"/>
  <c r="DR162" i="1"/>
  <c r="DP162" i="1"/>
  <c r="DN162" i="1"/>
  <c r="DL162" i="1"/>
  <c r="DJ162" i="1"/>
  <c r="DH162" i="1"/>
  <c r="DF162" i="1"/>
  <c r="DD162" i="1"/>
  <c r="DB162" i="1"/>
  <c r="AK162" i="1"/>
  <c r="A162" i="1"/>
  <c r="GV161" i="1"/>
  <c r="GF161" i="1"/>
  <c r="GE161" i="1"/>
  <c r="GD161" i="1"/>
  <c r="GB161" i="1"/>
  <c r="FZ161" i="1"/>
  <c r="FX161" i="1"/>
  <c r="FV161" i="1"/>
  <c r="FT161" i="1"/>
  <c r="FR161" i="1"/>
  <c r="FP161" i="1"/>
  <c r="FO161" i="1"/>
  <c r="FN161" i="1"/>
  <c r="FL161" i="1"/>
  <c r="FJ161" i="1"/>
  <c r="FH161" i="1"/>
  <c r="FG161" i="1"/>
  <c r="FF161" i="1"/>
  <c r="FD161" i="1"/>
  <c r="FB161" i="1"/>
  <c r="EZ161" i="1"/>
  <c r="EY161" i="1"/>
  <c r="EX161" i="1"/>
  <c r="EV161" i="1"/>
  <c r="ET161" i="1"/>
  <c r="ER161" i="1"/>
  <c r="EP161" i="1"/>
  <c r="EO161" i="1"/>
  <c r="EN161" i="1"/>
  <c r="EL161" i="1"/>
  <c r="EJ161" i="1"/>
  <c r="EH161" i="1"/>
  <c r="EG161" i="1"/>
  <c r="EF161" i="1"/>
  <c r="ED161" i="1"/>
  <c r="EB161" i="1"/>
  <c r="DZ161" i="1"/>
  <c r="DY161" i="1"/>
  <c r="DX161" i="1"/>
  <c r="DV161" i="1"/>
  <c r="DT161" i="1"/>
  <c r="DR161" i="1"/>
  <c r="DP161" i="1"/>
  <c r="DN161" i="1"/>
  <c r="DL161" i="1"/>
  <c r="DJ161" i="1"/>
  <c r="DH161" i="1"/>
  <c r="DF161" i="1"/>
  <c r="DD161" i="1"/>
  <c r="DB161" i="1"/>
  <c r="AK161" i="1"/>
  <c r="A161" i="1"/>
  <c r="GV160" i="1"/>
  <c r="GF160" i="1"/>
  <c r="GE160" i="1"/>
  <c r="GD160" i="1"/>
  <c r="GB160" i="1"/>
  <c r="FZ160" i="1"/>
  <c r="FX160" i="1"/>
  <c r="FV160" i="1"/>
  <c r="FT160" i="1"/>
  <c r="FR160" i="1"/>
  <c r="FP160" i="1"/>
  <c r="FO160" i="1"/>
  <c r="FN160" i="1"/>
  <c r="FL160" i="1"/>
  <c r="FJ160" i="1"/>
  <c r="FH160" i="1"/>
  <c r="FG160" i="1"/>
  <c r="FF160" i="1"/>
  <c r="FD160" i="1"/>
  <c r="FB160" i="1"/>
  <c r="EZ160" i="1"/>
  <c r="EY160" i="1"/>
  <c r="EX160" i="1"/>
  <c r="EV160" i="1"/>
  <c r="ET160" i="1"/>
  <c r="ER160" i="1"/>
  <c r="EP160" i="1"/>
  <c r="EO160" i="1"/>
  <c r="EN160" i="1"/>
  <c r="EL160" i="1"/>
  <c r="EJ160" i="1"/>
  <c r="EH160" i="1"/>
  <c r="EG160" i="1"/>
  <c r="EF160" i="1"/>
  <c r="ED160" i="1"/>
  <c r="EB160" i="1"/>
  <c r="DZ160" i="1"/>
  <c r="DY160" i="1"/>
  <c r="DX160" i="1"/>
  <c r="DV160" i="1"/>
  <c r="DT160" i="1"/>
  <c r="DR160" i="1"/>
  <c r="DP160" i="1"/>
  <c r="DN160" i="1"/>
  <c r="DL160" i="1"/>
  <c r="DJ160" i="1"/>
  <c r="DH160" i="1"/>
  <c r="DF160" i="1"/>
  <c r="DD160" i="1"/>
  <c r="DB160" i="1"/>
  <c r="AK160" i="1"/>
  <c r="A160" i="1"/>
  <c r="GV159" i="1"/>
  <c r="GF159" i="1"/>
  <c r="GE159" i="1"/>
  <c r="GD159" i="1"/>
  <c r="GB159" i="1"/>
  <c r="FZ159" i="1"/>
  <c r="FX159" i="1"/>
  <c r="FV159" i="1"/>
  <c r="FT159" i="1"/>
  <c r="FR159" i="1"/>
  <c r="FP159" i="1"/>
  <c r="FO159" i="1"/>
  <c r="FN159" i="1"/>
  <c r="FL159" i="1"/>
  <c r="FJ159" i="1"/>
  <c r="FH159" i="1"/>
  <c r="FG159" i="1"/>
  <c r="FF159" i="1"/>
  <c r="FD159" i="1"/>
  <c r="FB159" i="1"/>
  <c r="EZ159" i="1"/>
  <c r="EY159" i="1"/>
  <c r="EX159" i="1"/>
  <c r="EV159" i="1"/>
  <c r="ET159" i="1"/>
  <c r="ER159" i="1"/>
  <c r="EP159" i="1"/>
  <c r="EO159" i="1"/>
  <c r="EN159" i="1"/>
  <c r="EL159" i="1"/>
  <c r="EJ159" i="1"/>
  <c r="EH159" i="1"/>
  <c r="EG159" i="1"/>
  <c r="EF159" i="1"/>
  <c r="ED159" i="1"/>
  <c r="EB159" i="1"/>
  <c r="DZ159" i="1"/>
  <c r="DY159" i="1"/>
  <c r="DX159" i="1"/>
  <c r="DV159" i="1"/>
  <c r="DT159" i="1"/>
  <c r="DR159" i="1"/>
  <c r="DP159" i="1"/>
  <c r="DN159" i="1"/>
  <c r="DL159" i="1"/>
  <c r="DJ159" i="1"/>
  <c r="DH159" i="1"/>
  <c r="DF159" i="1"/>
  <c r="DD159" i="1"/>
  <c r="DB159" i="1"/>
  <c r="AK159" i="1"/>
  <c r="A159" i="1"/>
  <c r="GV158" i="1"/>
  <c r="GF158" i="1"/>
  <c r="GE158" i="1"/>
  <c r="GD158" i="1"/>
  <c r="GB158" i="1"/>
  <c r="FZ158" i="1"/>
  <c r="FX158" i="1"/>
  <c r="FV158" i="1"/>
  <c r="FT158" i="1"/>
  <c r="FR158" i="1"/>
  <c r="FP158" i="1"/>
  <c r="FO158" i="1"/>
  <c r="FN158" i="1"/>
  <c r="FL158" i="1"/>
  <c r="FJ158" i="1"/>
  <c r="FH158" i="1"/>
  <c r="FG158" i="1"/>
  <c r="FF158" i="1"/>
  <c r="FD158" i="1"/>
  <c r="FB158" i="1"/>
  <c r="EZ158" i="1"/>
  <c r="EY158" i="1"/>
  <c r="EX158" i="1"/>
  <c r="EV158" i="1"/>
  <c r="ET158" i="1"/>
  <c r="ER158" i="1"/>
  <c r="EP158" i="1"/>
  <c r="EO158" i="1"/>
  <c r="EN158" i="1"/>
  <c r="EL158" i="1"/>
  <c r="EJ158" i="1"/>
  <c r="EH158" i="1"/>
  <c r="EG158" i="1"/>
  <c r="EF158" i="1"/>
  <c r="ED158" i="1"/>
  <c r="EB158" i="1"/>
  <c r="DZ158" i="1"/>
  <c r="DY158" i="1"/>
  <c r="DX158" i="1"/>
  <c r="DV158" i="1"/>
  <c r="DT158" i="1"/>
  <c r="DR158" i="1"/>
  <c r="DP158" i="1"/>
  <c r="DN158" i="1"/>
  <c r="DL158" i="1"/>
  <c r="DJ158" i="1"/>
  <c r="DH158" i="1"/>
  <c r="DF158" i="1"/>
  <c r="DD158" i="1"/>
  <c r="DB158" i="1"/>
  <c r="AK158" i="1"/>
  <c r="A158" i="1"/>
  <c r="GV157" i="1"/>
  <c r="GV156" i="1"/>
  <c r="GF156" i="1"/>
  <c r="GE156" i="1"/>
  <c r="GD156" i="1"/>
  <c r="GB156" i="1"/>
  <c r="FZ156" i="1"/>
  <c r="FX156" i="1"/>
  <c r="FV156" i="1"/>
  <c r="FT156" i="1"/>
  <c r="FR156" i="1"/>
  <c r="FP156" i="1"/>
  <c r="FO156" i="1"/>
  <c r="FN156" i="1"/>
  <c r="FL156" i="1"/>
  <c r="FJ156" i="1"/>
  <c r="FH156" i="1"/>
  <c r="FG156" i="1"/>
  <c r="FF156" i="1"/>
  <c r="FD156" i="1"/>
  <c r="FB156" i="1"/>
  <c r="EZ156" i="1"/>
  <c r="EY156" i="1"/>
  <c r="EX156" i="1"/>
  <c r="EV156" i="1"/>
  <c r="ET156" i="1"/>
  <c r="ER156" i="1"/>
  <c r="EP156" i="1"/>
  <c r="EO156" i="1"/>
  <c r="EN156" i="1"/>
  <c r="EL156" i="1"/>
  <c r="EJ156" i="1"/>
  <c r="EH156" i="1"/>
  <c r="EG156" i="1"/>
  <c r="EF156" i="1"/>
  <c r="ED156" i="1"/>
  <c r="EB156" i="1"/>
  <c r="DZ156" i="1"/>
  <c r="DY156" i="1"/>
  <c r="DX156" i="1"/>
  <c r="DV156" i="1"/>
  <c r="DT156" i="1"/>
  <c r="DR156" i="1"/>
  <c r="DP156" i="1"/>
  <c r="DN156" i="1"/>
  <c r="DL156" i="1"/>
  <c r="DJ156" i="1"/>
  <c r="DH156" i="1"/>
  <c r="DF156" i="1"/>
  <c r="DD156" i="1"/>
  <c r="DB156" i="1"/>
  <c r="AK156" i="1"/>
  <c r="A156" i="1"/>
  <c r="GV155" i="1"/>
  <c r="GF155" i="1"/>
  <c r="GE155" i="1"/>
  <c r="GD155" i="1"/>
  <c r="GB155" i="1"/>
  <c r="FZ155" i="1"/>
  <c r="FX155" i="1"/>
  <c r="FV155" i="1"/>
  <c r="FT155" i="1"/>
  <c r="FR155" i="1"/>
  <c r="FP155" i="1"/>
  <c r="FO155" i="1"/>
  <c r="FN155" i="1"/>
  <c r="FL155" i="1"/>
  <c r="FJ155" i="1"/>
  <c r="FH155" i="1"/>
  <c r="FG155" i="1"/>
  <c r="FF155" i="1"/>
  <c r="FD155" i="1"/>
  <c r="FB155" i="1"/>
  <c r="EZ155" i="1"/>
  <c r="EY155" i="1"/>
  <c r="EX155" i="1"/>
  <c r="EV155" i="1"/>
  <c r="ET155" i="1"/>
  <c r="ER155" i="1"/>
  <c r="EP155" i="1"/>
  <c r="EO155" i="1"/>
  <c r="EN155" i="1"/>
  <c r="EL155" i="1"/>
  <c r="EJ155" i="1"/>
  <c r="EH155" i="1"/>
  <c r="EG155" i="1"/>
  <c r="EF155" i="1"/>
  <c r="ED155" i="1"/>
  <c r="EB155" i="1"/>
  <c r="DZ155" i="1"/>
  <c r="DY155" i="1"/>
  <c r="DX155" i="1"/>
  <c r="DV155" i="1"/>
  <c r="DT155" i="1"/>
  <c r="DR155" i="1"/>
  <c r="DP155" i="1"/>
  <c r="DN155" i="1"/>
  <c r="DL155" i="1"/>
  <c r="DJ155" i="1"/>
  <c r="DH155" i="1"/>
  <c r="DF155" i="1"/>
  <c r="DD155" i="1"/>
  <c r="DB155" i="1"/>
  <c r="AK155" i="1"/>
  <c r="A155" i="1"/>
  <c r="GV154" i="1"/>
  <c r="GF154" i="1"/>
  <c r="GE154" i="1"/>
  <c r="GD154" i="1"/>
  <c r="GB154" i="1"/>
  <c r="FZ154" i="1"/>
  <c r="FX154" i="1"/>
  <c r="FV154" i="1"/>
  <c r="FT154" i="1"/>
  <c r="FR154" i="1"/>
  <c r="FP154" i="1"/>
  <c r="FO154" i="1"/>
  <c r="FN154" i="1"/>
  <c r="FL154" i="1"/>
  <c r="FJ154" i="1"/>
  <c r="FH154" i="1"/>
  <c r="FG154" i="1"/>
  <c r="FF154" i="1"/>
  <c r="FD154" i="1"/>
  <c r="FB154" i="1"/>
  <c r="EZ154" i="1"/>
  <c r="EY154" i="1"/>
  <c r="EX154" i="1"/>
  <c r="EV154" i="1"/>
  <c r="ET154" i="1"/>
  <c r="ER154" i="1"/>
  <c r="EP154" i="1"/>
  <c r="EO154" i="1"/>
  <c r="EN154" i="1"/>
  <c r="EL154" i="1"/>
  <c r="EJ154" i="1"/>
  <c r="EH154" i="1"/>
  <c r="EG154" i="1"/>
  <c r="EF154" i="1"/>
  <c r="ED154" i="1"/>
  <c r="EB154" i="1"/>
  <c r="DZ154" i="1"/>
  <c r="DY154" i="1"/>
  <c r="DX154" i="1"/>
  <c r="DV154" i="1"/>
  <c r="DT154" i="1"/>
  <c r="DR154" i="1"/>
  <c r="DP154" i="1"/>
  <c r="DN154" i="1"/>
  <c r="DL154" i="1"/>
  <c r="DJ154" i="1"/>
  <c r="DH154" i="1"/>
  <c r="DF154" i="1"/>
  <c r="DD154" i="1"/>
  <c r="DB154" i="1"/>
  <c r="AK154" i="1"/>
  <c r="A154" i="1"/>
  <c r="GV153" i="1"/>
  <c r="GV152" i="1"/>
  <c r="GF152" i="1"/>
  <c r="GE152" i="1"/>
  <c r="GD152" i="1"/>
  <c r="GB152" i="1"/>
  <c r="FZ152" i="1"/>
  <c r="FX152" i="1"/>
  <c r="FV152" i="1"/>
  <c r="FT152" i="1"/>
  <c r="FR152" i="1"/>
  <c r="FP152" i="1"/>
  <c r="FO152" i="1"/>
  <c r="FN152" i="1"/>
  <c r="FL152" i="1"/>
  <c r="FJ152" i="1"/>
  <c r="FH152" i="1"/>
  <c r="FG152" i="1"/>
  <c r="FF152" i="1"/>
  <c r="FD152" i="1"/>
  <c r="FB152" i="1"/>
  <c r="EZ152" i="1"/>
  <c r="EY152" i="1"/>
  <c r="EX152" i="1"/>
  <c r="EV152" i="1"/>
  <c r="ET152" i="1"/>
  <c r="ER152" i="1"/>
  <c r="EP152" i="1"/>
  <c r="EO152" i="1"/>
  <c r="EN152" i="1"/>
  <c r="EL152" i="1"/>
  <c r="EJ152" i="1"/>
  <c r="EH152" i="1"/>
  <c r="EG152" i="1"/>
  <c r="EF152" i="1"/>
  <c r="ED152" i="1"/>
  <c r="EB152" i="1"/>
  <c r="DZ152" i="1"/>
  <c r="DY152" i="1"/>
  <c r="DX152" i="1"/>
  <c r="DV152" i="1"/>
  <c r="DT152" i="1"/>
  <c r="DR152" i="1"/>
  <c r="DP152" i="1"/>
  <c r="DN152" i="1"/>
  <c r="DL152" i="1"/>
  <c r="DJ152" i="1"/>
  <c r="DH152" i="1"/>
  <c r="DF152" i="1"/>
  <c r="DD152" i="1"/>
  <c r="DB152" i="1"/>
  <c r="AK152" i="1"/>
  <c r="A152" i="1"/>
  <c r="GV151" i="1"/>
  <c r="GF151" i="1"/>
  <c r="GE151" i="1"/>
  <c r="GD151" i="1"/>
  <c r="GB151" i="1"/>
  <c r="FZ151" i="1"/>
  <c r="FX151" i="1"/>
  <c r="FV151" i="1"/>
  <c r="FT151" i="1"/>
  <c r="FR151" i="1"/>
  <c r="FP151" i="1"/>
  <c r="FO151" i="1"/>
  <c r="FN151" i="1"/>
  <c r="FL151" i="1"/>
  <c r="FJ151" i="1"/>
  <c r="FH151" i="1"/>
  <c r="FG151" i="1"/>
  <c r="FF151" i="1"/>
  <c r="FD151" i="1"/>
  <c r="FB151" i="1"/>
  <c r="EZ151" i="1"/>
  <c r="EY151" i="1"/>
  <c r="EX151" i="1"/>
  <c r="EV151" i="1"/>
  <c r="ET151" i="1"/>
  <c r="ER151" i="1"/>
  <c r="EP151" i="1"/>
  <c r="EO151" i="1"/>
  <c r="EN151" i="1"/>
  <c r="EL151" i="1"/>
  <c r="EJ151" i="1"/>
  <c r="EH151" i="1"/>
  <c r="EG151" i="1"/>
  <c r="EF151" i="1"/>
  <c r="ED151" i="1"/>
  <c r="EB151" i="1"/>
  <c r="DZ151" i="1"/>
  <c r="DY151" i="1"/>
  <c r="DX151" i="1"/>
  <c r="DV151" i="1"/>
  <c r="DT151" i="1"/>
  <c r="DR151" i="1"/>
  <c r="DP151" i="1"/>
  <c r="DN151" i="1"/>
  <c r="DL151" i="1"/>
  <c r="DJ151" i="1"/>
  <c r="DH151" i="1"/>
  <c r="DF151" i="1"/>
  <c r="DD151" i="1"/>
  <c r="DB151" i="1"/>
  <c r="AK151" i="1"/>
  <c r="A151" i="1"/>
  <c r="GV150" i="1"/>
  <c r="GF150" i="1"/>
  <c r="GE150" i="1"/>
  <c r="GD150" i="1"/>
  <c r="GB150" i="1"/>
  <c r="FZ150" i="1"/>
  <c r="FX150" i="1"/>
  <c r="FV150" i="1"/>
  <c r="FT150" i="1"/>
  <c r="FR150" i="1"/>
  <c r="FP150" i="1"/>
  <c r="FO150" i="1"/>
  <c r="FN150" i="1"/>
  <c r="FL150" i="1"/>
  <c r="FJ150" i="1"/>
  <c r="FH150" i="1"/>
  <c r="FG150" i="1"/>
  <c r="FF150" i="1"/>
  <c r="FD150" i="1"/>
  <c r="FB150" i="1"/>
  <c r="EZ150" i="1"/>
  <c r="EY150" i="1"/>
  <c r="EX150" i="1"/>
  <c r="EV150" i="1"/>
  <c r="ET150" i="1"/>
  <c r="ER150" i="1"/>
  <c r="EP150" i="1"/>
  <c r="EO150" i="1"/>
  <c r="EN150" i="1"/>
  <c r="EL150" i="1"/>
  <c r="EJ150" i="1"/>
  <c r="EH150" i="1"/>
  <c r="EG150" i="1"/>
  <c r="EF150" i="1"/>
  <c r="ED150" i="1"/>
  <c r="EB150" i="1"/>
  <c r="DZ150" i="1"/>
  <c r="DY150" i="1"/>
  <c r="DX150" i="1"/>
  <c r="DV150" i="1"/>
  <c r="DT150" i="1"/>
  <c r="DR150" i="1"/>
  <c r="DP150" i="1"/>
  <c r="DN150" i="1"/>
  <c r="DL150" i="1"/>
  <c r="DJ150" i="1"/>
  <c r="DH150" i="1"/>
  <c r="DF150" i="1"/>
  <c r="DD150" i="1"/>
  <c r="DB150" i="1"/>
  <c r="AK150" i="1"/>
  <c r="A150" i="1"/>
  <c r="GV149" i="1"/>
  <c r="GF149" i="1"/>
  <c r="GE149" i="1"/>
  <c r="GD149" i="1"/>
  <c r="GB149" i="1"/>
  <c r="FZ149" i="1"/>
  <c r="FX149" i="1"/>
  <c r="FV149" i="1"/>
  <c r="FT149" i="1"/>
  <c r="FR149" i="1"/>
  <c r="FP149" i="1"/>
  <c r="FO149" i="1"/>
  <c r="FN149" i="1"/>
  <c r="FL149" i="1"/>
  <c r="FJ149" i="1"/>
  <c r="FH149" i="1"/>
  <c r="FG149" i="1"/>
  <c r="FF149" i="1"/>
  <c r="FD149" i="1"/>
  <c r="FB149" i="1"/>
  <c r="EZ149" i="1"/>
  <c r="EY149" i="1"/>
  <c r="EX149" i="1"/>
  <c r="EV149" i="1"/>
  <c r="ET149" i="1"/>
  <c r="ER149" i="1"/>
  <c r="EP149" i="1"/>
  <c r="EO149" i="1"/>
  <c r="EN149" i="1"/>
  <c r="EL149" i="1"/>
  <c r="EJ149" i="1"/>
  <c r="EH149" i="1"/>
  <c r="EG149" i="1"/>
  <c r="EF149" i="1"/>
  <c r="ED149" i="1"/>
  <c r="EB149" i="1"/>
  <c r="DZ149" i="1"/>
  <c r="DY149" i="1"/>
  <c r="DX149" i="1"/>
  <c r="DV149" i="1"/>
  <c r="DT149" i="1"/>
  <c r="DR149" i="1"/>
  <c r="DP149" i="1"/>
  <c r="DN149" i="1"/>
  <c r="DL149" i="1"/>
  <c r="DJ149" i="1"/>
  <c r="DH149" i="1"/>
  <c r="DF149" i="1"/>
  <c r="DD149" i="1"/>
  <c r="DB149" i="1"/>
  <c r="AK149" i="1"/>
  <c r="A149" i="1"/>
  <c r="GV148" i="1"/>
  <c r="GV147" i="1"/>
  <c r="GF147" i="1"/>
  <c r="GE147" i="1"/>
  <c r="GD147" i="1"/>
  <c r="GB147" i="1"/>
  <c r="FZ147" i="1"/>
  <c r="FX147" i="1"/>
  <c r="FV147" i="1"/>
  <c r="FT147" i="1"/>
  <c r="FR147" i="1"/>
  <c r="FP147" i="1"/>
  <c r="FO147" i="1"/>
  <c r="FN147" i="1"/>
  <c r="FL147" i="1"/>
  <c r="FJ147" i="1"/>
  <c r="FH147" i="1"/>
  <c r="FG147" i="1"/>
  <c r="FF147" i="1"/>
  <c r="FD147" i="1"/>
  <c r="FB147" i="1"/>
  <c r="EZ147" i="1"/>
  <c r="EY147" i="1"/>
  <c r="EX147" i="1"/>
  <c r="EV147" i="1"/>
  <c r="ET147" i="1"/>
  <c r="ER147" i="1"/>
  <c r="EP147" i="1"/>
  <c r="EO147" i="1"/>
  <c r="EN147" i="1"/>
  <c r="EL147" i="1"/>
  <c r="EJ147" i="1"/>
  <c r="EH147" i="1"/>
  <c r="EG147" i="1"/>
  <c r="EF147" i="1"/>
  <c r="ED147" i="1"/>
  <c r="EB147" i="1"/>
  <c r="DZ147" i="1"/>
  <c r="DY147" i="1"/>
  <c r="DX147" i="1"/>
  <c r="DV147" i="1"/>
  <c r="DT147" i="1"/>
  <c r="DR147" i="1"/>
  <c r="DP147" i="1"/>
  <c r="DN147" i="1"/>
  <c r="DL147" i="1"/>
  <c r="DJ147" i="1"/>
  <c r="DH147" i="1"/>
  <c r="DF147" i="1"/>
  <c r="DD147" i="1"/>
  <c r="DB147" i="1"/>
  <c r="AK147" i="1"/>
  <c r="A147" i="1"/>
  <c r="GV146" i="1"/>
  <c r="GF146" i="1"/>
  <c r="GE146" i="1"/>
  <c r="GD146" i="1"/>
  <c r="GB146" i="1"/>
  <c r="FZ146" i="1"/>
  <c r="FX146" i="1"/>
  <c r="FV146" i="1"/>
  <c r="FT146" i="1"/>
  <c r="FR146" i="1"/>
  <c r="FP146" i="1"/>
  <c r="FO146" i="1"/>
  <c r="FN146" i="1"/>
  <c r="FL146" i="1"/>
  <c r="FJ146" i="1"/>
  <c r="FH146" i="1"/>
  <c r="FG146" i="1"/>
  <c r="FF146" i="1"/>
  <c r="FD146" i="1"/>
  <c r="FB146" i="1"/>
  <c r="EZ146" i="1"/>
  <c r="EY146" i="1"/>
  <c r="EX146" i="1"/>
  <c r="EV146" i="1"/>
  <c r="ET146" i="1"/>
  <c r="ER146" i="1"/>
  <c r="EP146" i="1"/>
  <c r="EO146" i="1"/>
  <c r="EN146" i="1"/>
  <c r="EL146" i="1"/>
  <c r="EJ146" i="1"/>
  <c r="EH146" i="1"/>
  <c r="EG146" i="1"/>
  <c r="EF146" i="1"/>
  <c r="ED146" i="1"/>
  <c r="EB146" i="1"/>
  <c r="DZ146" i="1"/>
  <c r="DY146" i="1"/>
  <c r="DX146" i="1"/>
  <c r="DV146" i="1"/>
  <c r="DT146" i="1"/>
  <c r="DR146" i="1"/>
  <c r="DP146" i="1"/>
  <c r="DN146" i="1"/>
  <c r="DL146" i="1"/>
  <c r="DJ146" i="1"/>
  <c r="DH146" i="1"/>
  <c r="DF146" i="1"/>
  <c r="DD146" i="1"/>
  <c r="DB146" i="1"/>
  <c r="AK146" i="1"/>
  <c r="A146" i="1"/>
  <c r="GV145" i="1"/>
  <c r="GF145" i="1"/>
  <c r="GE145" i="1"/>
  <c r="GD145" i="1"/>
  <c r="GB145" i="1"/>
  <c r="FZ145" i="1"/>
  <c r="FX145" i="1"/>
  <c r="FV145" i="1"/>
  <c r="FT145" i="1"/>
  <c r="FR145" i="1"/>
  <c r="FP145" i="1"/>
  <c r="FO145" i="1"/>
  <c r="FN145" i="1"/>
  <c r="FL145" i="1"/>
  <c r="FJ145" i="1"/>
  <c r="FH145" i="1"/>
  <c r="FG145" i="1"/>
  <c r="FF145" i="1"/>
  <c r="FD145" i="1"/>
  <c r="FB145" i="1"/>
  <c r="EZ145" i="1"/>
  <c r="EY145" i="1"/>
  <c r="EX145" i="1"/>
  <c r="EV145" i="1"/>
  <c r="ET145" i="1"/>
  <c r="ER145" i="1"/>
  <c r="EP145" i="1"/>
  <c r="EO145" i="1"/>
  <c r="EN145" i="1"/>
  <c r="EL145" i="1"/>
  <c r="EJ145" i="1"/>
  <c r="EH145" i="1"/>
  <c r="EG145" i="1"/>
  <c r="EF145" i="1"/>
  <c r="ED145" i="1"/>
  <c r="EB145" i="1"/>
  <c r="DZ145" i="1"/>
  <c r="DY145" i="1"/>
  <c r="DX145" i="1"/>
  <c r="DV145" i="1"/>
  <c r="DT145" i="1"/>
  <c r="DR145" i="1"/>
  <c r="DP145" i="1"/>
  <c r="DN145" i="1"/>
  <c r="DL145" i="1"/>
  <c r="DJ145" i="1"/>
  <c r="DH145" i="1"/>
  <c r="DF145" i="1"/>
  <c r="DD145" i="1"/>
  <c r="DB145" i="1"/>
  <c r="AK145" i="1"/>
  <c r="A145" i="1"/>
  <c r="GV144" i="1"/>
  <c r="GF144" i="1"/>
  <c r="GE144" i="1"/>
  <c r="GD144" i="1"/>
  <c r="GB144" i="1"/>
  <c r="FZ144" i="1"/>
  <c r="FX144" i="1"/>
  <c r="FV144" i="1"/>
  <c r="FT144" i="1"/>
  <c r="FR144" i="1"/>
  <c r="FP144" i="1"/>
  <c r="FO144" i="1"/>
  <c r="FN144" i="1"/>
  <c r="FL144" i="1"/>
  <c r="FJ144" i="1"/>
  <c r="FH144" i="1"/>
  <c r="FG144" i="1"/>
  <c r="FF144" i="1"/>
  <c r="FD144" i="1"/>
  <c r="FB144" i="1"/>
  <c r="EZ144" i="1"/>
  <c r="EY144" i="1"/>
  <c r="EX144" i="1"/>
  <c r="EV144" i="1"/>
  <c r="ET144" i="1"/>
  <c r="ER144" i="1"/>
  <c r="EP144" i="1"/>
  <c r="EO144" i="1"/>
  <c r="EN144" i="1"/>
  <c r="EL144" i="1"/>
  <c r="EJ144" i="1"/>
  <c r="EH144" i="1"/>
  <c r="EG144" i="1"/>
  <c r="EF144" i="1"/>
  <c r="ED144" i="1"/>
  <c r="EB144" i="1"/>
  <c r="DZ144" i="1"/>
  <c r="DY144" i="1"/>
  <c r="DX144" i="1"/>
  <c r="DV144" i="1"/>
  <c r="DT144" i="1"/>
  <c r="DR144" i="1"/>
  <c r="DP144" i="1"/>
  <c r="DN144" i="1"/>
  <c r="DL144" i="1"/>
  <c r="DJ144" i="1"/>
  <c r="DH144" i="1"/>
  <c r="DF144" i="1"/>
  <c r="DD144" i="1"/>
  <c r="DB144" i="1"/>
  <c r="AK144" i="1"/>
  <c r="A144" i="1"/>
  <c r="GV143" i="1"/>
  <c r="GF143" i="1"/>
  <c r="GE143" i="1"/>
  <c r="GD143" i="1"/>
  <c r="GB143" i="1"/>
  <c r="FZ143" i="1"/>
  <c r="FX143" i="1"/>
  <c r="FV143" i="1"/>
  <c r="FT143" i="1"/>
  <c r="FR143" i="1"/>
  <c r="FP143" i="1"/>
  <c r="FO143" i="1"/>
  <c r="FN143" i="1"/>
  <c r="FL143" i="1"/>
  <c r="FJ143" i="1"/>
  <c r="FH143" i="1"/>
  <c r="FG143" i="1"/>
  <c r="FF143" i="1"/>
  <c r="FD143" i="1"/>
  <c r="FB143" i="1"/>
  <c r="EZ143" i="1"/>
  <c r="EY143" i="1"/>
  <c r="EX143" i="1"/>
  <c r="EV143" i="1"/>
  <c r="ET143" i="1"/>
  <c r="ER143" i="1"/>
  <c r="EP143" i="1"/>
  <c r="EO143" i="1"/>
  <c r="EN143" i="1"/>
  <c r="EL143" i="1"/>
  <c r="EJ143" i="1"/>
  <c r="EH143" i="1"/>
  <c r="EG143" i="1"/>
  <c r="EF143" i="1"/>
  <c r="ED143" i="1"/>
  <c r="EB143" i="1"/>
  <c r="DZ143" i="1"/>
  <c r="DY143" i="1"/>
  <c r="DX143" i="1"/>
  <c r="DV143" i="1"/>
  <c r="DT143" i="1"/>
  <c r="DR143" i="1"/>
  <c r="DP143" i="1"/>
  <c r="DN143" i="1"/>
  <c r="DL143" i="1"/>
  <c r="DJ143" i="1"/>
  <c r="DH143" i="1"/>
  <c r="DF143" i="1"/>
  <c r="DD143" i="1"/>
  <c r="DB143" i="1"/>
  <c r="AK143" i="1"/>
  <c r="A143" i="1"/>
  <c r="GV142" i="1"/>
  <c r="GF142" i="1"/>
  <c r="GE142" i="1"/>
  <c r="GD142" i="1"/>
  <c r="GB142" i="1"/>
  <c r="FZ142" i="1"/>
  <c r="FX142" i="1"/>
  <c r="FV142" i="1"/>
  <c r="FT142" i="1"/>
  <c r="FR142" i="1"/>
  <c r="FP142" i="1"/>
  <c r="FO142" i="1"/>
  <c r="FN142" i="1"/>
  <c r="FL142" i="1"/>
  <c r="FJ142" i="1"/>
  <c r="FH142" i="1"/>
  <c r="FG142" i="1"/>
  <c r="FF142" i="1"/>
  <c r="FD142" i="1"/>
  <c r="FB142" i="1"/>
  <c r="EZ142" i="1"/>
  <c r="EY142" i="1"/>
  <c r="EX142" i="1"/>
  <c r="EV142" i="1"/>
  <c r="ET142" i="1"/>
  <c r="ER142" i="1"/>
  <c r="EP142" i="1"/>
  <c r="EO142" i="1"/>
  <c r="EN142" i="1"/>
  <c r="EL142" i="1"/>
  <c r="EJ142" i="1"/>
  <c r="EH142" i="1"/>
  <c r="EG142" i="1"/>
  <c r="EF142" i="1"/>
  <c r="ED142" i="1"/>
  <c r="EB142" i="1"/>
  <c r="DZ142" i="1"/>
  <c r="DY142" i="1"/>
  <c r="DX142" i="1"/>
  <c r="DV142" i="1"/>
  <c r="DT142" i="1"/>
  <c r="DR142" i="1"/>
  <c r="DP142" i="1"/>
  <c r="DN142" i="1"/>
  <c r="DL142" i="1"/>
  <c r="DJ142" i="1"/>
  <c r="DH142" i="1"/>
  <c r="DF142" i="1"/>
  <c r="DD142" i="1"/>
  <c r="DB142" i="1"/>
  <c r="AK142" i="1"/>
  <c r="A142" i="1"/>
  <c r="GV141" i="1"/>
  <c r="GV140" i="1"/>
  <c r="GV139" i="1"/>
  <c r="GF139" i="1"/>
  <c r="GE139" i="1"/>
  <c r="GD139" i="1"/>
  <c r="GB139" i="1"/>
  <c r="FZ139" i="1"/>
  <c r="FX139" i="1"/>
  <c r="FV139" i="1"/>
  <c r="FT139" i="1"/>
  <c r="FR139" i="1"/>
  <c r="FP139" i="1"/>
  <c r="FO139" i="1"/>
  <c r="FN139" i="1"/>
  <c r="FL139" i="1"/>
  <c r="FJ139" i="1"/>
  <c r="FH139" i="1"/>
  <c r="FG139" i="1"/>
  <c r="FF139" i="1"/>
  <c r="FD139" i="1"/>
  <c r="FB139" i="1"/>
  <c r="EZ139" i="1"/>
  <c r="EY139" i="1"/>
  <c r="EX139" i="1"/>
  <c r="EV139" i="1"/>
  <c r="ET139" i="1"/>
  <c r="ER139" i="1"/>
  <c r="EP139" i="1"/>
  <c r="EO139" i="1"/>
  <c r="EN139" i="1"/>
  <c r="EL139" i="1"/>
  <c r="EJ139" i="1"/>
  <c r="EH139" i="1"/>
  <c r="EG139" i="1"/>
  <c r="EF139" i="1"/>
  <c r="ED139" i="1"/>
  <c r="EB139" i="1"/>
  <c r="DZ139" i="1"/>
  <c r="DY139" i="1"/>
  <c r="DX139" i="1"/>
  <c r="DV139" i="1"/>
  <c r="DT139" i="1"/>
  <c r="DR139" i="1"/>
  <c r="DP139" i="1"/>
  <c r="DN139" i="1"/>
  <c r="DL139" i="1"/>
  <c r="DJ139" i="1"/>
  <c r="DH139" i="1"/>
  <c r="DF139" i="1"/>
  <c r="DD139" i="1"/>
  <c r="DB139" i="1"/>
  <c r="AK139" i="1"/>
  <c r="A139" i="1"/>
  <c r="GV138" i="1"/>
  <c r="GF138" i="1"/>
  <c r="GE138" i="1"/>
  <c r="GD138" i="1"/>
  <c r="GB138" i="1"/>
  <c r="FZ138" i="1"/>
  <c r="FX138" i="1"/>
  <c r="FV138" i="1"/>
  <c r="FT138" i="1"/>
  <c r="FR138" i="1"/>
  <c r="FP138" i="1"/>
  <c r="FO138" i="1"/>
  <c r="FN138" i="1"/>
  <c r="FL138" i="1"/>
  <c r="FJ138" i="1"/>
  <c r="FH138" i="1"/>
  <c r="FG138" i="1"/>
  <c r="FF138" i="1"/>
  <c r="FD138" i="1"/>
  <c r="FB138" i="1"/>
  <c r="EZ138" i="1"/>
  <c r="EY138" i="1"/>
  <c r="EX138" i="1"/>
  <c r="EV138" i="1"/>
  <c r="ET138" i="1"/>
  <c r="ER138" i="1"/>
  <c r="EP138" i="1"/>
  <c r="EO138" i="1"/>
  <c r="EN138" i="1"/>
  <c r="EL138" i="1"/>
  <c r="EJ138" i="1"/>
  <c r="EH138" i="1"/>
  <c r="EG138" i="1"/>
  <c r="EF138" i="1"/>
  <c r="ED138" i="1"/>
  <c r="EB138" i="1"/>
  <c r="DZ138" i="1"/>
  <c r="DY138" i="1"/>
  <c r="DX138" i="1"/>
  <c r="DV138" i="1"/>
  <c r="DT138" i="1"/>
  <c r="DR138" i="1"/>
  <c r="DP138" i="1"/>
  <c r="DN138" i="1"/>
  <c r="DL138" i="1"/>
  <c r="DJ138" i="1"/>
  <c r="DH138" i="1"/>
  <c r="DF138" i="1"/>
  <c r="DD138" i="1"/>
  <c r="DB138" i="1"/>
  <c r="AK138" i="1"/>
  <c r="A138" i="1"/>
  <c r="GV137" i="1"/>
  <c r="GF137" i="1"/>
  <c r="GE137" i="1"/>
  <c r="GD137" i="1"/>
  <c r="GB137" i="1"/>
  <c r="FZ137" i="1"/>
  <c r="FX137" i="1"/>
  <c r="FV137" i="1"/>
  <c r="FT137" i="1"/>
  <c r="FR137" i="1"/>
  <c r="FP137" i="1"/>
  <c r="FO137" i="1"/>
  <c r="FN137" i="1"/>
  <c r="FL137" i="1"/>
  <c r="FJ137" i="1"/>
  <c r="FH137" i="1"/>
  <c r="FG137" i="1"/>
  <c r="FF137" i="1"/>
  <c r="FD137" i="1"/>
  <c r="FB137" i="1"/>
  <c r="EZ137" i="1"/>
  <c r="EY137" i="1"/>
  <c r="EX137" i="1"/>
  <c r="EV137" i="1"/>
  <c r="ET137" i="1"/>
  <c r="ER137" i="1"/>
  <c r="EP137" i="1"/>
  <c r="EO137" i="1"/>
  <c r="EN137" i="1"/>
  <c r="EL137" i="1"/>
  <c r="EJ137" i="1"/>
  <c r="EH137" i="1"/>
  <c r="EG137" i="1"/>
  <c r="EF137" i="1"/>
  <c r="ED137" i="1"/>
  <c r="EB137" i="1"/>
  <c r="DZ137" i="1"/>
  <c r="DY137" i="1"/>
  <c r="DX137" i="1"/>
  <c r="DV137" i="1"/>
  <c r="DT137" i="1"/>
  <c r="DR137" i="1"/>
  <c r="DP137" i="1"/>
  <c r="DN137" i="1"/>
  <c r="DL137" i="1"/>
  <c r="DJ137" i="1"/>
  <c r="DH137" i="1"/>
  <c r="DF137" i="1"/>
  <c r="DD137" i="1"/>
  <c r="DB137" i="1"/>
  <c r="AK137" i="1"/>
  <c r="A137" i="1"/>
  <c r="GV136" i="1"/>
  <c r="GV135" i="1"/>
  <c r="GF135" i="1"/>
  <c r="GE135" i="1"/>
  <c r="GD135" i="1"/>
  <c r="GB135" i="1"/>
  <c r="FZ135" i="1"/>
  <c r="FX135" i="1"/>
  <c r="FV135" i="1"/>
  <c r="FT135" i="1"/>
  <c r="FR135" i="1"/>
  <c r="FP135" i="1"/>
  <c r="FO135" i="1"/>
  <c r="FN135" i="1"/>
  <c r="FL135" i="1"/>
  <c r="FJ135" i="1"/>
  <c r="FH135" i="1"/>
  <c r="FG135" i="1"/>
  <c r="FF135" i="1"/>
  <c r="FD135" i="1"/>
  <c r="FB135" i="1"/>
  <c r="EZ135" i="1"/>
  <c r="EY135" i="1"/>
  <c r="EX135" i="1"/>
  <c r="EV135" i="1"/>
  <c r="ET135" i="1"/>
  <c r="ER135" i="1"/>
  <c r="EP135" i="1"/>
  <c r="EO135" i="1"/>
  <c r="EN135" i="1"/>
  <c r="EL135" i="1"/>
  <c r="EJ135" i="1"/>
  <c r="EH135" i="1"/>
  <c r="EG135" i="1"/>
  <c r="EF135" i="1"/>
  <c r="ED135" i="1"/>
  <c r="EB135" i="1"/>
  <c r="DZ135" i="1"/>
  <c r="DY135" i="1"/>
  <c r="DX135" i="1"/>
  <c r="DV135" i="1"/>
  <c r="DT135" i="1"/>
  <c r="DR135" i="1"/>
  <c r="DP135" i="1"/>
  <c r="DN135" i="1"/>
  <c r="DL135" i="1"/>
  <c r="DJ135" i="1"/>
  <c r="DH135" i="1"/>
  <c r="DF135" i="1"/>
  <c r="DD135" i="1"/>
  <c r="DB135" i="1"/>
  <c r="AK135" i="1"/>
  <c r="A135" i="1"/>
  <c r="GV134" i="1"/>
  <c r="GF134" i="1"/>
  <c r="GE134" i="1"/>
  <c r="GD134" i="1"/>
  <c r="GB134" i="1"/>
  <c r="FZ134" i="1"/>
  <c r="FX134" i="1"/>
  <c r="FV134" i="1"/>
  <c r="FT134" i="1"/>
  <c r="FR134" i="1"/>
  <c r="FP134" i="1"/>
  <c r="FO134" i="1"/>
  <c r="FN134" i="1"/>
  <c r="FL134" i="1"/>
  <c r="FJ134" i="1"/>
  <c r="FH134" i="1"/>
  <c r="FG134" i="1"/>
  <c r="FF134" i="1"/>
  <c r="FD134" i="1"/>
  <c r="FB134" i="1"/>
  <c r="EZ134" i="1"/>
  <c r="EY134" i="1"/>
  <c r="EX134" i="1"/>
  <c r="EV134" i="1"/>
  <c r="ET134" i="1"/>
  <c r="ER134" i="1"/>
  <c r="EP134" i="1"/>
  <c r="EO134" i="1"/>
  <c r="EN134" i="1"/>
  <c r="EL134" i="1"/>
  <c r="EJ134" i="1"/>
  <c r="EH134" i="1"/>
  <c r="EG134" i="1"/>
  <c r="EF134" i="1"/>
  <c r="ED134" i="1"/>
  <c r="EB134" i="1"/>
  <c r="DZ134" i="1"/>
  <c r="DY134" i="1"/>
  <c r="DX134" i="1"/>
  <c r="DV134" i="1"/>
  <c r="DT134" i="1"/>
  <c r="DR134" i="1"/>
  <c r="DP134" i="1"/>
  <c r="DN134" i="1"/>
  <c r="DL134" i="1"/>
  <c r="DJ134" i="1"/>
  <c r="DH134" i="1"/>
  <c r="DF134" i="1"/>
  <c r="DD134" i="1"/>
  <c r="DB134" i="1"/>
  <c r="AK134" i="1"/>
  <c r="A134" i="1"/>
  <c r="GV133" i="1"/>
  <c r="GF133" i="1"/>
  <c r="GE133" i="1"/>
  <c r="GD133" i="1"/>
  <c r="GB133" i="1"/>
  <c r="FZ133" i="1"/>
  <c r="FX133" i="1"/>
  <c r="FV133" i="1"/>
  <c r="FT133" i="1"/>
  <c r="FR133" i="1"/>
  <c r="FP133" i="1"/>
  <c r="FO133" i="1"/>
  <c r="FN133" i="1"/>
  <c r="FL133" i="1"/>
  <c r="FJ133" i="1"/>
  <c r="FH133" i="1"/>
  <c r="FG133" i="1"/>
  <c r="FF133" i="1"/>
  <c r="FD133" i="1"/>
  <c r="FB133" i="1"/>
  <c r="EZ133" i="1"/>
  <c r="EY133" i="1"/>
  <c r="EX133" i="1"/>
  <c r="EV133" i="1"/>
  <c r="ET133" i="1"/>
  <c r="ER133" i="1"/>
  <c r="EP133" i="1"/>
  <c r="EO133" i="1"/>
  <c r="EN133" i="1"/>
  <c r="EL133" i="1"/>
  <c r="EJ133" i="1"/>
  <c r="EH133" i="1"/>
  <c r="EG133" i="1"/>
  <c r="EF133" i="1"/>
  <c r="ED133" i="1"/>
  <c r="EB133" i="1"/>
  <c r="DZ133" i="1"/>
  <c r="DY133" i="1"/>
  <c r="DX133" i="1"/>
  <c r="DV133" i="1"/>
  <c r="DT133" i="1"/>
  <c r="DR133" i="1"/>
  <c r="DP133" i="1"/>
  <c r="DN133" i="1"/>
  <c r="DL133" i="1"/>
  <c r="DJ133" i="1"/>
  <c r="DH133" i="1"/>
  <c r="DF133" i="1"/>
  <c r="DD133" i="1"/>
  <c r="DB133" i="1"/>
  <c r="AK133" i="1"/>
  <c r="A133" i="1"/>
  <c r="GV132" i="1"/>
  <c r="GF132" i="1"/>
  <c r="GE132" i="1"/>
  <c r="GD132" i="1"/>
  <c r="GB132" i="1"/>
  <c r="FZ132" i="1"/>
  <c r="FX132" i="1"/>
  <c r="FV132" i="1"/>
  <c r="FT132" i="1"/>
  <c r="FR132" i="1"/>
  <c r="FP132" i="1"/>
  <c r="FO132" i="1"/>
  <c r="FN132" i="1"/>
  <c r="FL132" i="1"/>
  <c r="FJ132" i="1"/>
  <c r="FH132" i="1"/>
  <c r="FG132" i="1"/>
  <c r="FF132" i="1"/>
  <c r="FD132" i="1"/>
  <c r="FB132" i="1"/>
  <c r="EZ132" i="1"/>
  <c r="EY132" i="1"/>
  <c r="EX132" i="1"/>
  <c r="EV132" i="1"/>
  <c r="ET132" i="1"/>
  <c r="ER132" i="1"/>
  <c r="EP132" i="1"/>
  <c r="EO132" i="1"/>
  <c r="EN132" i="1"/>
  <c r="EL132" i="1"/>
  <c r="EJ132" i="1"/>
  <c r="EH132" i="1"/>
  <c r="EG132" i="1"/>
  <c r="EF132" i="1"/>
  <c r="ED132" i="1"/>
  <c r="EB132" i="1"/>
  <c r="DZ132" i="1"/>
  <c r="DY132" i="1"/>
  <c r="DX132" i="1"/>
  <c r="DV132" i="1"/>
  <c r="DT132" i="1"/>
  <c r="DR132" i="1"/>
  <c r="DP132" i="1"/>
  <c r="DN132" i="1"/>
  <c r="DL132" i="1"/>
  <c r="DJ132" i="1"/>
  <c r="DH132" i="1"/>
  <c r="DF132" i="1"/>
  <c r="DD132" i="1"/>
  <c r="DB132" i="1"/>
  <c r="AK132" i="1"/>
  <c r="A132" i="1"/>
  <c r="GV131" i="1"/>
  <c r="GF131" i="1"/>
  <c r="GE131" i="1"/>
  <c r="GD131" i="1"/>
  <c r="GB131" i="1"/>
  <c r="FZ131" i="1"/>
  <c r="FX131" i="1"/>
  <c r="FV131" i="1"/>
  <c r="FT131" i="1"/>
  <c r="FR131" i="1"/>
  <c r="FP131" i="1"/>
  <c r="FO131" i="1"/>
  <c r="FN131" i="1"/>
  <c r="FL131" i="1"/>
  <c r="FJ131" i="1"/>
  <c r="FH131" i="1"/>
  <c r="FG131" i="1"/>
  <c r="FF131" i="1"/>
  <c r="FD131" i="1"/>
  <c r="FB131" i="1"/>
  <c r="EZ131" i="1"/>
  <c r="EY131" i="1"/>
  <c r="EX131" i="1"/>
  <c r="EV131" i="1"/>
  <c r="ET131" i="1"/>
  <c r="ER131" i="1"/>
  <c r="EP131" i="1"/>
  <c r="EO131" i="1"/>
  <c r="EN131" i="1"/>
  <c r="EL131" i="1"/>
  <c r="EJ131" i="1"/>
  <c r="EH131" i="1"/>
  <c r="EG131" i="1"/>
  <c r="EF131" i="1"/>
  <c r="ED131" i="1"/>
  <c r="EB131" i="1"/>
  <c r="DZ131" i="1"/>
  <c r="DY131" i="1"/>
  <c r="DX131" i="1"/>
  <c r="DV131" i="1"/>
  <c r="DT131" i="1"/>
  <c r="DR131" i="1"/>
  <c r="DP131" i="1"/>
  <c r="DN131" i="1"/>
  <c r="DL131" i="1"/>
  <c r="DJ131" i="1"/>
  <c r="DH131" i="1"/>
  <c r="DF131" i="1"/>
  <c r="DD131" i="1"/>
  <c r="DB131" i="1"/>
  <c r="AK131" i="1"/>
  <c r="A131" i="1"/>
  <c r="GV130" i="1"/>
  <c r="GF130" i="1"/>
  <c r="GE130" i="1"/>
  <c r="GD130" i="1"/>
  <c r="GB130" i="1"/>
  <c r="FZ130" i="1"/>
  <c r="FX130" i="1"/>
  <c r="FV130" i="1"/>
  <c r="FT130" i="1"/>
  <c r="FR130" i="1"/>
  <c r="FP130" i="1"/>
  <c r="FO130" i="1"/>
  <c r="FN130" i="1"/>
  <c r="FL130" i="1"/>
  <c r="FJ130" i="1"/>
  <c r="FH130" i="1"/>
  <c r="FG130" i="1"/>
  <c r="FF130" i="1"/>
  <c r="FD130" i="1"/>
  <c r="FB130" i="1"/>
  <c r="EZ130" i="1"/>
  <c r="EY130" i="1"/>
  <c r="EX130" i="1"/>
  <c r="EV130" i="1"/>
  <c r="ET130" i="1"/>
  <c r="ER130" i="1"/>
  <c r="EP130" i="1"/>
  <c r="EO130" i="1"/>
  <c r="EN130" i="1"/>
  <c r="EL130" i="1"/>
  <c r="EJ130" i="1"/>
  <c r="EH130" i="1"/>
  <c r="EG130" i="1"/>
  <c r="EF130" i="1"/>
  <c r="ED130" i="1"/>
  <c r="EB130" i="1"/>
  <c r="DZ130" i="1"/>
  <c r="DY130" i="1"/>
  <c r="DX130" i="1"/>
  <c r="DV130" i="1"/>
  <c r="DT130" i="1"/>
  <c r="DR130" i="1"/>
  <c r="DP130" i="1"/>
  <c r="DN130" i="1"/>
  <c r="DL130" i="1"/>
  <c r="DJ130" i="1"/>
  <c r="DH130" i="1"/>
  <c r="DF130" i="1"/>
  <c r="DD130" i="1"/>
  <c r="DB130" i="1"/>
  <c r="AK130" i="1"/>
  <c r="A130" i="1"/>
  <c r="GV129" i="1"/>
  <c r="GF129" i="1"/>
  <c r="GE129" i="1"/>
  <c r="GD129" i="1"/>
  <c r="GB129" i="1"/>
  <c r="FZ129" i="1"/>
  <c r="FX129" i="1"/>
  <c r="FV129" i="1"/>
  <c r="FT129" i="1"/>
  <c r="FR129" i="1"/>
  <c r="FP129" i="1"/>
  <c r="FO129" i="1"/>
  <c r="FN129" i="1"/>
  <c r="FL129" i="1"/>
  <c r="FJ129" i="1"/>
  <c r="FH129" i="1"/>
  <c r="FG129" i="1"/>
  <c r="FF129" i="1"/>
  <c r="FD129" i="1"/>
  <c r="FB129" i="1"/>
  <c r="EZ129" i="1"/>
  <c r="EY129" i="1"/>
  <c r="EX129" i="1"/>
  <c r="EV129" i="1"/>
  <c r="ET129" i="1"/>
  <c r="ER129" i="1"/>
  <c r="EP129" i="1"/>
  <c r="EO129" i="1"/>
  <c r="EN129" i="1"/>
  <c r="EL129" i="1"/>
  <c r="EJ129" i="1"/>
  <c r="EH129" i="1"/>
  <c r="EG129" i="1"/>
  <c r="EF129" i="1"/>
  <c r="ED129" i="1"/>
  <c r="EB129" i="1"/>
  <c r="DZ129" i="1"/>
  <c r="DY129" i="1"/>
  <c r="DX129" i="1"/>
  <c r="DV129" i="1"/>
  <c r="DT129" i="1"/>
  <c r="DR129" i="1"/>
  <c r="DP129" i="1"/>
  <c r="DN129" i="1"/>
  <c r="DL129" i="1"/>
  <c r="DJ129" i="1"/>
  <c r="DH129" i="1"/>
  <c r="DF129" i="1"/>
  <c r="DD129" i="1"/>
  <c r="DB129" i="1"/>
  <c r="AK129" i="1"/>
  <c r="A129" i="1"/>
  <c r="GV128" i="1"/>
  <c r="GF128" i="1"/>
  <c r="GE128" i="1"/>
  <c r="GD128" i="1"/>
  <c r="GB128" i="1"/>
  <c r="FZ128" i="1"/>
  <c r="FX128" i="1"/>
  <c r="FV128" i="1"/>
  <c r="FT128" i="1"/>
  <c r="FR128" i="1"/>
  <c r="FP128" i="1"/>
  <c r="FO128" i="1"/>
  <c r="FN128" i="1"/>
  <c r="FL128" i="1"/>
  <c r="FJ128" i="1"/>
  <c r="FH128" i="1"/>
  <c r="FG128" i="1"/>
  <c r="FF128" i="1"/>
  <c r="FD128" i="1"/>
  <c r="FB128" i="1"/>
  <c r="EZ128" i="1"/>
  <c r="EY128" i="1"/>
  <c r="EX128" i="1"/>
  <c r="EV128" i="1"/>
  <c r="ET128" i="1"/>
  <c r="ER128" i="1"/>
  <c r="EP128" i="1"/>
  <c r="EO128" i="1"/>
  <c r="EN128" i="1"/>
  <c r="EL128" i="1"/>
  <c r="EJ128" i="1"/>
  <c r="EH128" i="1"/>
  <c r="EG128" i="1"/>
  <c r="EF128" i="1"/>
  <c r="ED128" i="1"/>
  <c r="EB128" i="1"/>
  <c r="DZ128" i="1"/>
  <c r="DY128" i="1"/>
  <c r="DX128" i="1"/>
  <c r="DV128" i="1"/>
  <c r="DT128" i="1"/>
  <c r="DR128" i="1"/>
  <c r="DP128" i="1"/>
  <c r="DN128" i="1"/>
  <c r="DL128" i="1"/>
  <c r="DJ128" i="1"/>
  <c r="DH128" i="1"/>
  <c r="DF128" i="1"/>
  <c r="DD128" i="1"/>
  <c r="DB128" i="1"/>
  <c r="AK128" i="1"/>
  <c r="A128" i="1"/>
  <c r="GV127" i="1"/>
  <c r="GV126" i="1"/>
  <c r="GF126" i="1"/>
  <c r="GE126" i="1"/>
  <c r="GD126" i="1"/>
  <c r="GB126" i="1"/>
  <c r="FZ126" i="1"/>
  <c r="FX126" i="1"/>
  <c r="FV126" i="1"/>
  <c r="FT126" i="1"/>
  <c r="FR126" i="1"/>
  <c r="FP126" i="1"/>
  <c r="FO126" i="1"/>
  <c r="FN126" i="1"/>
  <c r="FL126" i="1"/>
  <c r="FJ126" i="1"/>
  <c r="FH126" i="1"/>
  <c r="FG126" i="1"/>
  <c r="FF126" i="1"/>
  <c r="FD126" i="1"/>
  <c r="FB126" i="1"/>
  <c r="EZ126" i="1"/>
  <c r="EY126" i="1"/>
  <c r="EX126" i="1"/>
  <c r="EV126" i="1"/>
  <c r="ET126" i="1"/>
  <c r="ER126" i="1"/>
  <c r="EP126" i="1"/>
  <c r="EO126" i="1"/>
  <c r="EN126" i="1"/>
  <c r="EL126" i="1"/>
  <c r="EJ126" i="1"/>
  <c r="EH126" i="1"/>
  <c r="EG126" i="1"/>
  <c r="EF126" i="1"/>
  <c r="ED126" i="1"/>
  <c r="EB126" i="1"/>
  <c r="DZ126" i="1"/>
  <c r="DY126" i="1"/>
  <c r="DX126" i="1"/>
  <c r="DV126" i="1"/>
  <c r="DT126" i="1"/>
  <c r="DR126" i="1"/>
  <c r="DP126" i="1"/>
  <c r="DN126" i="1"/>
  <c r="DL126" i="1"/>
  <c r="DJ126" i="1"/>
  <c r="DH126" i="1"/>
  <c r="DF126" i="1"/>
  <c r="DD126" i="1"/>
  <c r="DB126" i="1"/>
  <c r="AK126" i="1"/>
  <c r="A126" i="1"/>
  <c r="GV125" i="1"/>
  <c r="GF125" i="1"/>
  <c r="GE125" i="1"/>
  <c r="GD125" i="1"/>
  <c r="GB125" i="1"/>
  <c r="FZ125" i="1"/>
  <c r="FX125" i="1"/>
  <c r="FV125" i="1"/>
  <c r="FT125" i="1"/>
  <c r="FR125" i="1"/>
  <c r="FP125" i="1"/>
  <c r="FO125" i="1"/>
  <c r="FN125" i="1"/>
  <c r="FL125" i="1"/>
  <c r="FJ125" i="1"/>
  <c r="FH125" i="1"/>
  <c r="FG125" i="1"/>
  <c r="FF125" i="1"/>
  <c r="FD125" i="1"/>
  <c r="FB125" i="1"/>
  <c r="EZ125" i="1"/>
  <c r="EY125" i="1"/>
  <c r="EX125" i="1"/>
  <c r="EV125" i="1"/>
  <c r="ET125" i="1"/>
  <c r="ER125" i="1"/>
  <c r="EP125" i="1"/>
  <c r="EO125" i="1"/>
  <c r="EN125" i="1"/>
  <c r="EL125" i="1"/>
  <c r="EJ125" i="1"/>
  <c r="EH125" i="1"/>
  <c r="EG125" i="1"/>
  <c r="EF125" i="1"/>
  <c r="ED125" i="1"/>
  <c r="EB125" i="1"/>
  <c r="DZ125" i="1"/>
  <c r="DY125" i="1"/>
  <c r="DX125" i="1"/>
  <c r="DV125" i="1"/>
  <c r="DT125" i="1"/>
  <c r="DR125" i="1"/>
  <c r="DP125" i="1"/>
  <c r="DN125" i="1"/>
  <c r="DL125" i="1"/>
  <c r="DJ125" i="1"/>
  <c r="DH125" i="1"/>
  <c r="DF125" i="1"/>
  <c r="DD125" i="1"/>
  <c r="DB125" i="1"/>
  <c r="AK125" i="1"/>
  <c r="A125" i="1"/>
  <c r="GV124" i="1"/>
  <c r="GF124" i="1"/>
  <c r="GE124" i="1"/>
  <c r="GD124" i="1"/>
  <c r="GB124" i="1"/>
  <c r="FZ124" i="1"/>
  <c r="FX124" i="1"/>
  <c r="FV124" i="1"/>
  <c r="FT124" i="1"/>
  <c r="FR124" i="1"/>
  <c r="FP124" i="1"/>
  <c r="FO124" i="1"/>
  <c r="FN124" i="1"/>
  <c r="FL124" i="1"/>
  <c r="FJ124" i="1"/>
  <c r="FH124" i="1"/>
  <c r="FG124" i="1"/>
  <c r="FF124" i="1"/>
  <c r="FD124" i="1"/>
  <c r="FB124" i="1"/>
  <c r="EZ124" i="1"/>
  <c r="EY124" i="1"/>
  <c r="EX124" i="1"/>
  <c r="EV124" i="1"/>
  <c r="ET124" i="1"/>
  <c r="ER124" i="1"/>
  <c r="EP124" i="1"/>
  <c r="EO124" i="1"/>
  <c r="EN124" i="1"/>
  <c r="EL124" i="1"/>
  <c r="EJ124" i="1"/>
  <c r="EH124" i="1"/>
  <c r="EG124" i="1"/>
  <c r="EF124" i="1"/>
  <c r="ED124" i="1"/>
  <c r="EB124" i="1"/>
  <c r="DZ124" i="1"/>
  <c r="DY124" i="1"/>
  <c r="DX124" i="1"/>
  <c r="DV124" i="1"/>
  <c r="DT124" i="1"/>
  <c r="DR124" i="1"/>
  <c r="DP124" i="1"/>
  <c r="DN124" i="1"/>
  <c r="DL124" i="1"/>
  <c r="DJ124" i="1"/>
  <c r="DH124" i="1"/>
  <c r="DF124" i="1"/>
  <c r="DD124" i="1"/>
  <c r="DB124" i="1"/>
  <c r="AK124" i="1"/>
  <c r="A124" i="1"/>
  <c r="GV123" i="1"/>
  <c r="GF123" i="1"/>
  <c r="GE123" i="1"/>
  <c r="GD123" i="1"/>
  <c r="GB123" i="1"/>
  <c r="FZ123" i="1"/>
  <c r="FX123" i="1"/>
  <c r="FV123" i="1"/>
  <c r="FT123" i="1"/>
  <c r="FR123" i="1"/>
  <c r="FP123" i="1"/>
  <c r="FO123" i="1"/>
  <c r="FN123" i="1"/>
  <c r="FL123" i="1"/>
  <c r="FJ123" i="1"/>
  <c r="FH123" i="1"/>
  <c r="FG123" i="1"/>
  <c r="FF123" i="1"/>
  <c r="FD123" i="1"/>
  <c r="FB123" i="1"/>
  <c r="EZ123" i="1"/>
  <c r="EY123" i="1"/>
  <c r="EX123" i="1"/>
  <c r="EV123" i="1"/>
  <c r="ET123" i="1"/>
  <c r="ER123" i="1"/>
  <c r="EP123" i="1"/>
  <c r="EO123" i="1"/>
  <c r="EN123" i="1"/>
  <c r="EL123" i="1"/>
  <c r="EJ123" i="1"/>
  <c r="EH123" i="1"/>
  <c r="EG123" i="1"/>
  <c r="EF123" i="1"/>
  <c r="ED123" i="1"/>
  <c r="EB123" i="1"/>
  <c r="DZ123" i="1"/>
  <c r="DY123" i="1"/>
  <c r="DX123" i="1"/>
  <c r="DV123" i="1"/>
  <c r="DT123" i="1"/>
  <c r="DR123" i="1"/>
  <c r="DP123" i="1"/>
  <c r="DN123" i="1"/>
  <c r="DL123" i="1"/>
  <c r="DJ123" i="1"/>
  <c r="DH123" i="1"/>
  <c r="DF123" i="1"/>
  <c r="DD123" i="1"/>
  <c r="DB123" i="1"/>
  <c r="AK123" i="1"/>
  <c r="A123" i="1"/>
  <c r="GV122" i="1"/>
  <c r="GF122" i="1"/>
  <c r="GE122" i="1"/>
  <c r="GD122" i="1"/>
  <c r="GB122" i="1"/>
  <c r="FZ122" i="1"/>
  <c r="FX122" i="1"/>
  <c r="FV122" i="1"/>
  <c r="FT122" i="1"/>
  <c r="FR122" i="1"/>
  <c r="FP122" i="1"/>
  <c r="FO122" i="1"/>
  <c r="FN122" i="1"/>
  <c r="FL122" i="1"/>
  <c r="FJ122" i="1"/>
  <c r="FH122" i="1"/>
  <c r="FG122" i="1"/>
  <c r="FF122" i="1"/>
  <c r="FD122" i="1"/>
  <c r="FB122" i="1"/>
  <c r="EZ122" i="1"/>
  <c r="EY122" i="1"/>
  <c r="EX122" i="1"/>
  <c r="EV122" i="1"/>
  <c r="ET122" i="1"/>
  <c r="ER122" i="1"/>
  <c r="EP122" i="1"/>
  <c r="EO122" i="1"/>
  <c r="EN122" i="1"/>
  <c r="EL122" i="1"/>
  <c r="EJ122" i="1"/>
  <c r="EH122" i="1"/>
  <c r="EG122" i="1"/>
  <c r="EF122" i="1"/>
  <c r="ED122" i="1"/>
  <c r="EB122" i="1"/>
  <c r="DZ122" i="1"/>
  <c r="DY122" i="1"/>
  <c r="DX122" i="1"/>
  <c r="DV122" i="1"/>
  <c r="DT122" i="1"/>
  <c r="DR122" i="1"/>
  <c r="DP122" i="1"/>
  <c r="DN122" i="1"/>
  <c r="DL122" i="1"/>
  <c r="DJ122" i="1"/>
  <c r="DH122" i="1"/>
  <c r="DF122" i="1"/>
  <c r="DD122" i="1"/>
  <c r="DB122" i="1"/>
  <c r="AK122" i="1"/>
  <c r="A122" i="1"/>
  <c r="GV121" i="1"/>
  <c r="GF121" i="1"/>
  <c r="GE121" i="1"/>
  <c r="GD121" i="1"/>
  <c r="GB121" i="1"/>
  <c r="FZ121" i="1"/>
  <c r="FX121" i="1"/>
  <c r="FV121" i="1"/>
  <c r="FT121" i="1"/>
  <c r="FR121" i="1"/>
  <c r="FP121" i="1"/>
  <c r="FO121" i="1"/>
  <c r="FN121" i="1"/>
  <c r="FL121" i="1"/>
  <c r="FJ121" i="1"/>
  <c r="FH121" i="1"/>
  <c r="FG121" i="1"/>
  <c r="FF121" i="1"/>
  <c r="FD121" i="1"/>
  <c r="FB121" i="1"/>
  <c r="EZ121" i="1"/>
  <c r="EY121" i="1"/>
  <c r="EX121" i="1"/>
  <c r="EV121" i="1"/>
  <c r="ET121" i="1"/>
  <c r="ER121" i="1"/>
  <c r="EP121" i="1"/>
  <c r="EO121" i="1"/>
  <c r="EN121" i="1"/>
  <c r="EL121" i="1"/>
  <c r="EJ121" i="1"/>
  <c r="EH121" i="1"/>
  <c r="EG121" i="1"/>
  <c r="EF121" i="1"/>
  <c r="ED121" i="1"/>
  <c r="EB121" i="1"/>
  <c r="DZ121" i="1"/>
  <c r="DY121" i="1"/>
  <c r="DX121" i="1"/>
  <c r="DV121" i="1"/>
  <c r="DT121" i="1"/>
  <c r="DR121" i="1"/>
  <c r="DP121" i="1"/>
  <c r="DN121" i="1"/>
  <c r="DL121" i="1"/>
  <c r="DJ121" i="1"/>
  <c r="DH121" i="1"/>
  <c r="DF121" i="1"/>
  <c r="DD121" i="1"/>
  <c r="DB121" i="1"/>
  <c r="AK121" i="1"/>
  <c r="A121" i="1"/>
  <c r="GV120" i="1"/>
  <c r="GF120" i="1"/>
  <c r="GE120" i="1"/>
  <c r="GD120" i="1"/>
  <c r="GB120" i="1"/>
  <c r="FZ120" i="1"/>
  <c r="FX120" i="1"/>
  <c r="FV120" i="1"/>
  <c r="FT120" i="1"/>
  <c r="FR120" i="1"/>
  <c r="FP120" i="1"/>
  <c r="FO120" i="1"/>
  <c r="FN120" i="1"/>
  <c r="FL120" i="1"/>
  <c r="FJ120" i="1"/>
  <c r="FH120" i="1"/>
  <c r="FG120" i="1"/>
  <c r="FF120" i="1"/>
  <c r="FD120" i="1"/>
  <c r="FB120" i="1"/>
  <c r="EZ120" i="1"/>
  <c r="EY120" i="1"/>
  <c r="EX120" i="1"/>
  <c r="EV120" i="1"/>
  <c r="ET120" i="1"/>
  <c r="ER120" i="1"/>
  <c r="EP120" i="1"/>
  <c r="EO120" i="1"/>
  <c r="EN120" i="1"/>
  <c r="EL120" i="1"/>
  <c r="EJ120" i="1"/>
  <c r="EH120" i="1"/>
  <c r="EG120" i="1"/>
  <c r="EF120" i="1"/>
  <c r="ED120" i="1"/>
  <c r="EB120" i="1"/>
  <c r="DZ120" i="1"/>
  <c r="DY120" i="1"/>
  <c r="DX120" i="1"/>
  <c r="DV120" i="1"/>
  <c r="DT120" i="1"/>
  <c r="DR120" i="1"/>
  <c r="DP120" i="1"/>
  <c r="DN120" i="1"/>
  <c r="DL120" i="1"/>
  <c r="DJ120" i="1"/>
  <c r="DH120" i="1"/>
  <c r="DF120" i="1"/>
  <c r="DD120" i="1"/>
  <c r="DB120" i="1"/>
  <c r="AK120" i="1"/>
  <c r="A120" i="1"/>
  <c r="GV119" i="1"/>
  <c r="GF119" i="1"/>
  <c r="GE119" i="1"/>
  <c r="GD119" i="1"/>
  <c r="GB119" i="1"/>
  <c r="FZ119" i="1"/>
  <c r="FX119" i="1"/>
  <c r="FV119" i="1"/>
  <c r="FT119" i="1"/>
  <c r="FR119" i="1"/>
  <c r="FP119" i="1"/>
  <c r="FO119" i="1"/>
  <c r="FN119" i="1"/>
  <c r="FL119" i="1"/>
  <c r="FJ119" i="1"/>
  <c r="FH119" i="1"/>
  <c r="FG119" i="1"/>
  <c r="FF119" i="1"/>
  <c r="FD119" i="1"/>
  <c r="FB119" i="1"/>
  <c r="EZ119" i="1"/>
  <c r="EY119" i="1"/>
  <c r="EX119" i="1"/>
  <c r="EV119" i="1"/>
  <c r="ET119" i="1"/>
  <c r="ER119" i="1"/>
  <c r="EP119" i="1"/>
  <c r="EO119" i="1"/>
  <c r="EN119" i="1"/>
  <c r="EL119" i="1"/>
  <c r="EJ119" i="1"/>
  <c r="EH119" i="1"/>
  <c r="EG119" i="1"/>
  <c r="EF119" i="1"/>
  <c r="ED119" i="1"/>
  <c r="EB119" i="1"/>
  <c r="DZ119" i="1"/>
  <c r="DY119" i="1"/>
  <c r="DX119" i="1"/>
  <c r="DV119" i="1"/>
  <c r="DT119" i="1"/>
  <c r="DR119" i="1"/>
  <c r="DP119" i="1"/>
  <c r="DN119" i="1"/>
  <c r="DL119" i="1"/>
  <c r="DJ119" i="1"/>
  <c r="DH119" i="1"/>
  <c r="DF119" i="1"/>
  <c r="DD119" i="1"/>
  <c r="DB119" i="1"/>
  <c r="AK119" i="1"/>
  <c r="A119" i="1"/>
  <c r="GV118" i="1"/>
  <c r="GF118" i="1"/>
  <c r="GE118" i="1"/>
  <c r="GD118" i="1"/>
  <c r="GB118" i="1"/>
  <c r="FZ118" i="1"/>
  <c r="FX118" i="1"/>
  <c r="FV118" i="1"/>
  <c r="FT118" i="1"/>
  <c r="FR118" i="1"/>
  <c r="FP118" i="1"/>
  <c r="FO118" i="1"/>
  <c r="FN118" i="1"/>
  <c r="FL118" i="1"/>
  <c r="FJ118" i="1"/>
  <c r="FH118" i="1"/>
  <c r="FG118" i="1"/>
  <c r="FF118" i="1"/>
  <c r="FD118" i="1"/>
  <c r="FB118" i="1"/>
  <c r="EZ118" i="1"/>
  <c r="EY118" i="1"/>
  <c r="EX118" i="1"/>
  <c r="EV118" i="1"/>
  <c r="ET118" i="1"/>
  <c r="ER118" i="1"/>
  <c r="EP118" i="1"/>
  <c r="EO118" i="1"/>
  <c r="EN118" i="1"/>
  <c r="EL118" i="1"/>
  <c r="EJ118" i="1"/>
  <c r="EH118" i="1"/>
  <c r="EG118" i="1"/>
  <c r="EF118" i="1"/>
  <c r="ED118" i="1"/>
  <c r="EB118" i="1"/>
  <c r="DZ118" i="1"/>
  <c r="DY118" i="1"/>
  <c r="DX118" i="1"/>
  <c r="DV118" i="1"/>
  <c r="DT118" i="1"/>
  <c r="DR118" i="1"/>
  <c r="DP118" i="1"/>
  <c r="DN118" i="1"/>
  <c r="DL118" i="1"/>
  <c r="DJ118" i="1"/>
  <c r="DH118" i="1"/>
  <c r="DF118" i="1"/>
  <c r="DD118" i="1"/>
  <c r="DB118" i="1"/>
  <c r="AK118" i="1"/>
  <c r="A118" i="1"/>
  <c r="GV117" i="1"/>
  <c r="GV116" i="1"/>
  <c r="GV115" i="1"/>
  <c r="GF115" i="1"/>
  <c r="GE115" i="1"/>
  <c r="GD115" i="1"/>
  <c r="GB115" i="1"/>
  <c r="FZ115" i="1"/>
  <c r="FX115" i="1"/>
  <c r="FV115" i="1"/>
  <c r="FT115" i="1"/>
  <c r="FR115" i="1"/>
  <c r="FP115" i="1"/>
  <c r="FO115" i="1"/>
  <c r="FN115" i="1"/>
  <c r="FL115" i="1"/>
  <c r="FJ115" i="1"/>
  <c r="FH115" i="1"/>
  <c r="FG115" i="1"/>
  <c r="FF115" i="1"/>
  <c r="FD115" i="1"/>
  <c r="FB115" i="1"/>
  <c r="EZ115" i="1"/>
  <c r="EY115" i="1"/>
  <c r="EX115" i="1"/>
  <c r="EV115" i="1"/>
  <c r="ET115" i="1"/>
  <c r="ER115" i="1"/>
  <c r="EP115" i="1"/>
  <c r="EO115" i="1"/>
  <c r="EN115" i="1"/>
  <c r="EL115" i="1"/>
  <c r="EJ115" i="1"/>
  <c r="EH115" i="1"/>
  <c r="EG115" i="1"/>
  <c r="EF115" i="1"/>
  <c r="ED115" i="1"/>
  <c r="EB115" i="1"/>
  <c r="DZ115" i="1"/>
  <c r="DY115" i="1"/>
  <c r="DX115" i="1"/>
  <c r="DV115" i="1"/>
  <c r="DT115" i="1"/>
  <c r="DR115" i="1"/>
  <c r="DP115" i="1"/>
  <c r="DN115" i="1"/>
  <c r="DL115" i="1"/>
  <c r="DJ115" i="1"/>
  <c r="DH115" i="1"/>
  <c r="DF115" i="1"/>
  <c r="DD115" i="1"/>
  <c r="DB115" i="1"/>
  <c r="AK115" i="1"/>
  <c r="A115" i="1"/>
  <c r="GV114" i="1"/>
  <c r="GF114" i="1"/>
  <c r="GE114" i="1"/>
  <c r="GD114" i="1"/>
  <c r="GB114" i="1"/>
  <c r="FZ114" i="1"/>
  <c r="FX114" i="1"/>
  <c r="FV114" i="1"/>
  <c r="FT114" i="1"/>
  <c r="FR114" i="1"/>
  <c r="FP114" i="1"/>
  <c r="FO114" i="1"/>
  <c r="FN114" i="1"/>
  <c r="FL114" i="1"/>
  <c r="FJ114" i="1"/>
  <c r="FH114" i="1"/>
  <c r="FG114" i="1"/>
  <c r="FF114" i="1"/>
  <c r="FD114" i="1"/>
  <c r="FB114" i="1"/>
  <c r="EZ114" i="1"/>
  <c r="EY114" i="1"/>
  <c r="EX114" i="1"/>
  <c r="EV114" i="1"/>
  <c r="ET114" i="1"/>
  <c r="ER114" i="1"/>
  <c r="EP114" i="1"/>
  <c r="EO114" i="1"/>
  <c r="EN114" i="1"/>
  <c r="EL114" i="1"/>
  <c r="EJ114" i="1"/>
  <c r="EH114" i="1"/>
  <c r="EG114" i="1"/>
  <c r="EF114" i="1"/>
  <c r="ED114" i="1"/>
  <c r="EB114" i="1"/>
  <c r="DZ114" i="1"/>
  <c r="DY114" i="1"/>
  <c r="DX114" i="1"/>
  <c r="DV114" i="1"/>
  <c r="DT114" i="1"/>
  <c r="DR114" i="1"/>
  <c r="DP114" i="1"/>
  <c r="DN114" i="1"/>
  <c r="DL114" i="1"/>
  <c r="DJ114" i="1"/>
  <c r="DH114" i="1"/>
  <c r="DF114" i="1"/>
  <c r="DD114" i="1"/>
  <c r="DB114" i="1"/>
  <c r="AK114" i="1"/>
  <c r="A114" i="1"/>
  <c r="GV113" i="1"/>
  <c r="GV112" i="1"/>
  <c r="GF112" i="1"/>
  <c r="GE112" i="1"/>
  <c r="GD112" i="1"/>
  <c r="GB112" i="1"/>
  <c r="FZ112" i="1"/>
  <c r="FX112" i="1"/>
  <c r="FV112" i="1"/>
  <c r="FT112" i="1"/>
  <c r="FR112" i="1"/>
  <c r="FP112" i="1"/>
  <c r="FO112" i="1"/>
  <c r="FN112" i="1"/>
  <c r="FL112" i="1"/>
  <c r="FJ112" i="1"/>
  <c r="FH112" i="1"/>
  <c r="FG112" i="1"/>
  <c r="FF112" i="1"/>
  <c r="FD112" i="1"/>
  <c r="FB112" i="1"/>
  <c r="EZ112" i="1"/>
  <c r="EY112" i="1"/>
  <c r="EX112" i="1"/>
  <c r="EV112" i="1"/>
  <c r="ET112" i="1"/>
  <c r="ER112" i="1"/>
  <c r="EP112" i="1"/>
  <c r="EO112" i="1"/>
  <c r="EN112" i="1"/>
  <c r="EL112" i="1"/>
  <c r="EJ112" i="1"/>
  <c r="EH112" i="1"/>
  <c r="EG112" i="1"/>
  <c r="EF112" i="1"/>
  <c r="ED112" i="1"/>
  <c r="EB112" i="1"/>
  <c r="DZ112" i="1"/>
  <c r="DY112" i="1"/>
  <c r="DX112" i="1"/>
  <c r="DV112" i="1"/>
  <c r="DT112" i="1"/>
  <c r="DR112" i="1"/>
  <c r="DP112" i="1"/>
  <c r="DN112" i="1"/>
  <c r="DL112" i="1"/>
  <c r="DJ112" i="1"/>
  <c r="DH112" i="1"/>
  <c r="DF112" i="1"/>
  <c r="DD112" i="1"/>
  <c r="DB112" i="1"/>
  <c r="AK112" i="1"/>
  <c r="A112" i="1"/>
  <c r="GV111" i="1"/>
  <c r="GV110" i="1"/>
  <c r="GF110" i="1"/>
  <c r="GE110" i="1"/>
  <c r="GD110" i="1"/>
  <c r="GB110" i="1"/>
  <c r="FZ110" i="1"/>
  <c r="FX110" i="1"/>
  <c r="FV110" i="1"/>
  <c r="FT110" i="1"/>
  <c r="FR110" i="1"/>
  <c r="FP110" i="1"/>
  <c r="FO110" i="1"/>
  <c r="FN110" i="1"/>
  <c r="FL110" i="1"/>
  <c r="FJ110" i="1"/>
  <c r="FH110" i="1"/>
  <c r="FG110" i="1"/>
  <c r="FF110" i="1"/>
  <c r="FD110" i="1"/>
  <c r="FB110" i="1"/>
  <c r="EZ110" i="1"/>
  <c r="EY110" i="1"/>
  <c r="EX110" i="1"/>
  <c r="EV110" i="1"/>
  <c r="ET110" i="1"/>
  <c r="ER110" i="1"/>
  <c r="EP110" i="1"/>
  <c r="EO110" i="1"/>
  <c r="EN110" i="1"/>
  <c r="EL110" i="1"/>
  <c r="EJ110" i="1"/>
  <c r="EH110" i="1"/>
  <c r="EG110" i="1"/>
  <c r="EF110" i="1"/>
  <c r="ED110" i="1"/>
  <c r="EB110" i="1"/>
  <c r="DZ110" i="1"/>
  <c r="DY110" i="1"/>
  <c r="DX110" i="1"/>
  <c r="DV110" i="1"/>
  <c r="DT110" i="1"/>
  <c r="DR110" i="1"/>
  <c r="DP110" i="1"/>
  <c r="DN110" i="1"/>
  <c r="DL110" i="1"/>
  <c r="DJ110" i="1"/>
  <c r="DH110" i="1"/>
  <c r="DF110" i="1"/>
  <c r="DD110" i="1"/>
  <c r="DB110" i="1"/>
  <c r="AK110" i="1"/>
  <c r="A110" i="1"/>
  <c r="GV109" i="1"/>
  <c r="GF109" i="1"/>
  <c r="GE109" i="1"/>
  <c r="GD109" i="1"/>
  <c r="GB109" i="1"/>
  <c r="FZ109" i="1"/>
  <c r="FX109" i="1"/>
  <c r="FV109" i="1"/>
  <c r="FT109" i="1"/>
  <c r="FR109" i="1"/>
  <c r="FP109" i="1"/>
  <c r="FO109" i="1"/>
  <c r="FN109" i="1"/>
  <c r="FL109" i="1"/>
  <c r="FJ109" i="1"/>
  <c r="FH109" i="1"/>
  <c r="FG109" i="1"/>
  <c r="FF109" i="1"/>
  <c r="FD109" i="1"/>
  <c r="FB109" i="1"/>
  <c r="EZ109" i="1"/>
  <c r="EY109" i="1"/>
  <c r="EX109" i="1"/>
  <c r="EV109" i="1"/>
  <c r="ET109" i="1"/>
  <c r="ER109" i="1"/>
  <c r="EP109" i="1"/>
  <c r="EO109" i="1"/>
  <c r="EN109" i="1"/>
  <c r="EL109" i="1"/>
  <c r="EJ109" i="1"/>
  <c r="EH109" i="1"/>
  <c r="EG109" i="1"/>
  <c r="EF109" i="1"/>
  <c r="ED109" i="1"/>
  <c r="EB109" i="1"/>
  <c r="DZ109" i="1"/>
  <c r="DY109" i="1"/>
  <c r="DX109" i="1"/>
  <c r="DV109" i="1"/>
  <c r="DT109" i="1"/>
  <c r="DR109" i="1"/>
  <c r="DP109" i="1"/>
  <c r="DN109" i="1"/>
  <c r="DL109" i="1"/>
  <c r="DJ109" i="1"/>
  <c r="DH109" i="1"/>
  <c r="DF109" i="1"/>
  <c r="DD109" i="1"/>
  <c r="DB109" i="1"/>
  <c r="AK109" i="1"/>
  <c r="A109" i="1"/>
  <c r="GV108" i="1"/>
  <c r="GF108" i="1"/>
  <c r="GE108" i="1"/>
  <c r="GD108" i="1"/>
  <c r="GB108" i="1"/>
  <c r="FZ108" i="1"/>
  <c r="FX108" i="1"/>
  <c r="FV108" i="1"/>
  <c r="FT108" i="1"/>
  <c r="FR108" i="1"/>
  <c r="FP108" i="1"/>
  <c r="FO108" i="1"/>
  <c r="FN108" i="1"/>
  <c r="FL108" i="1"/>
  <c r="FJ108" i="1"/>
  <c r="FH108" i="1"/>
  <c r="FG108" i="1"/>
  <c r="FF108" i="1"/>
  <c r="FD108" i="1"/>
  <c r="FB108" i="1"/>
  <c r="EZ108" i="1"/>
  <c r="EY108" i="1"/>
  <c r="EX108" i="1"/>
  <c r="EV108" i="1"/>
  <c r="ET108" i="1"/>
  <c r="ER108" i="1"/>
  <c r="EP108" i="1"/>
  <c r="EO108" i="1"/>
  <c r="EN108" i="1"/>
  <c r="EL108" i="1"/>
  <c r="EJ108" i="1"/>
  <c r="EH108" i="1"/>
  <c r="EG108" i="1"/>
  <c r="EF108" i="1"/>
  <c r="ED108" i="1"/>
  <c r="EB108" i="1"/>
  <c r="DZ108" i="1"/>
  <c r="DY108" i="1"/>
  <c r="DX108" i="1"/>
  <c r="DV108" i="1"/>
  <c r="DT108" i="1"/>
  <c r="DR108" i="1"/>
  <c r="DP108" i="1"/>
  <c r="DN108" i="1"/>
  <c r="DL108" i="1"/>
  <c r="DJ108" i="1"/>
  <c r="DH108" i="1"/>
  <c r="DF108" i="1"/>
  <c r="DD108" i="1"/>
  <c r="DB108" i="1"/>
  <c r="AK108" i="1"/>
  <c r="A108" i="1"/>
  <c r="GV107" i="1"/>
  <c r="GV106" i="1"/>
  <c r="GF106" i="1"/>
  <c r="GE106" i="1"/>
  <c r="GD106" i="1"/>
  <c r="GB106" i="1"/>
  <c r="FZ106" i="1"/>
  <c r="FX106" i="1"/>
  <c r="FV106" i="1"/>
  <c r="FT106" i="1"/>
  <c r="FR106" i="1"/>
  <c r="FP106" i="1"/>
  <c r="FO106" i="1"/>
  <c r="FN106" i="1"/>
  <c r="FL106" i="1"/>
  <c r="FJ106" i="1"/>
  <c r="FH106" i="1"/>
  <c r="FG106" i="1"/>
  <c r="FF106" i="1"/>
  <c r="FD106" i="1"/>
  <c r="FB106" i="1"/>
  <c r="EZ106" i="1"/>
  <c r="EY106" i="1"/>
  <c r="EX106" i="1"/>
  <c r="EV106" i="1"/>
  <c r="ET106" i="1"/>
  <c r="ER106" i="1"/>
  <c r="EP106" i="1"/>
  <c r="EO106" i="1"/>
  <c r="EN106" i="1"/>
  <c r="EL106" i="1"/>
  <c r="EJ106" i="1"/>
  <c r="EH106" i="1"/>
  <c r="EG106" i="1"/>
  <c r="EF106" i="1"/>
  <c r="ED106" i="1"/>
  <c r="EB106" i="1"/>
  <c r="DZ106" i="1"/>
  <c r="DY106" i="1"/>
  <c r="DX106" i="1"/>
  <c r="DV106" i="1"/>
  <c r="DT106" i="1"/>
  <c r="DR106" i="1"/>
  <c r="DP106" i="1"/>
  <c r="DN106" i="1"/>
  <c r="DL106" i="1"/>
  <c r="DJ106" i="1"/>
  <c r="DH106" i="1"/>
  <c r="DF106" i="1"/>
  <c r="DD106" i="1"/>
  <c r="DB106" i="1"/>
  <c r="AK106" i="1"/>
  <c r="A106" i="1"/>
  <c r="GV105" i="1"/>
  <c r="GF105" i="1"/>
  <c r="GE105" i="1"/>
  <c r="GD105" i="1"/>
  <c r="GB105" i="1"/>
  <c r="FZ105" i="1"/>
  <c r="FX105" i="1"/>
  <c r="FV105" i="1"/>
  <c r="FT105" i="1"/>
  <c r="FR105" i="1"/>
  <c r="FP105" i="1"/>
  <c r="FO105" i="1"/>
  <c r="FN105" i="1"/>
  <c r="FL105" i="1"/>
  <c r="FJ105" i="1"/>
  <c r="FH105" i="1"/>
  <c r="FG105" i="1"/>
  <c r="FF105" i="1"/>
  <c r="FD105" i="1"/>
  <c r="FB105" i="1"/>
  <c r="EZ105" i="1"/>
  <c r="EY105" i="1"/>
  <c r="EX105" i="1"/>
  <c r="EV105" i="1"/>
  <c r="ET105" i="1"/>
  <c r="ER105" i="1"/>
  <c r="EP105" i="1"/>
  <c r="EO105" i="1"/>
  <c r="EN105" i="1"/>
  <c r="EL105" i="1"/>
  <c r="EJ105" i="1"/>
  <c r="EH105" i="1"/>
  <c r="EG105" i="1"/>
  <c r="EF105" i="1"/>
  <c r="ED105" i="1"/>
  <c r="EB105" i="1"/>
  <c r="DZ105" i="1"/>
  <c r="DY105" i="1"/>
  <c r="DX105" i="1"/>
  <c r="DV105" i="1"/>
  <c r="DT105" i="1"/>
  <c r="DR105" i="1"/>
  <c r="DP105" i="1"/>
  <c r="DN105" i="1"/>
  <c r="DL105" i="1"/>
  <c r="DJ105" i="1"/>
  <c r="DH105" i="1"/>
  <c r="DF105" i="1"/>
  <c r="DD105" i="1"/>
  <c r="DB105" i="1"/>
  <c r="AK105" i="1"/>
  <c r="A105" i="1"/>
  <c r="GV104" i="1"/>
  <c r="GF104" i="1"/>
  <c r="GE104" i="1"/>
  <c r="GD104" i="1"/>
  <c r="GB104" i="1"/>
  <c r="FZ104" i="1"/>
  <c r="FX104" i="1"/>
  <c r="FV104" i="1"/>
  <c r="FT104" i="1"/>
  <c r="FR104" i="1"/>
  <c r="FP104" i="1"/>
  <c r="FO104" i="1"/>
  <c r="FN104" i="1"/>
  <c r="FL104" i="1"/>
  <c r="FJ104" i="1"/>
  <c r="FH104" i="1"/>
  <c r="FG104" i="1"/>
  <c r="FF104" i="1"/>
  <c r="FD104" i="1"/>
  <c r="FB104" i="1"/>
  <c r="EZ104" i="1"/>
  <c r="EY104" i="1"/>
  <c r="EX104" i="1"/>
  <c r="EV104" i="1"/>
  <c r="ET104" i="1"/>
  <c r="ER104" i="1"/>
  <c r="EP104" i="1"/>
  <c r="EO104" i="1"/>
  <c r="EN104" i="1"/>
  <c r="EL104" i="1"/>
  <c r="EJ104" i="1"/>
  <c r="EH104" i="1"/>
  <c r="EG104" i="1"/>
  <c r="EF104" i="1"/>
  <c r="ED104" i="1"/>
  <c r="EB104" i="1"/>
  <c r="DZ104" i="1"/>
  <c r="DY104" i="1"/>
  <c r="DX104" i="1"/>
  <c r="DV104" i="1"/>
  <c r="DT104" i="1"/>
  <c r="DR104" i="1"/>
  <c r="DP104" i="1"/>
  <c r="DN104" i="1"/>
  <c r="DL104" i="1"/>
  <c r="DJ104" i="1"/>
  <c r="DH104" i="1"/>
  <c r="DF104" i="1"/>
  <c r="DD104" i="1"/>
  <c r="DB104" i="1"/>
  <c r="AK104" i="1"/>
  <c r="A104" i="1"/>
  <c r="GV103" i="1"/>
  <c r="GF103" i="1"/>
  <c r="GE103" i="1"/>
  <c r="GD103" i="1"/>
  <c r="GB103" i="1"/>
  <c r="FZ103" i="1"/>
  <c r="FX103" i="1"/>
  <c r="FV103" i="1"/>
  <c r="FT103" i="1"/>
  <c r="FR103" i="1"/>
  <c r="FP103" i="1"/>
  <c r="FO103" i="1"/>
  <c r="FN103" i="1"/>
  <c r="FL103" i="1"/>
  <c r="FJ103" i="1"/>
  <c r="FH103" i="1"/>
  <c r="FG103" i="1"/>
  <c r="FF103" i="1"/>
  <c r="FD103" i="1"/>
  <c r="FB103" i="1"/>
  <c r="EZ103" i="1"/>
  <c r="EY103" i="1"/>
  <c r="EX103" i="1"/>
  <c r="EV103" i="1"/>
  <c r="ET103" i="1"/>
  <c r="ER103" i="1"/>
  <c r="EP103" i="1"/>
  <c r="EO103" i="1"/>
  <c r="EN103" i="1"/>
  <c r="EL103" i="1"/>
  <c r="EJ103" i="1"/>
  <c r="EH103" i="1"/>
  <c r="EG103" i="1"/>
  <c r="EF103" i="1"/>
  <c r="ED103" i="1"/>
  <c r="EB103" i="1"/>
  <c r="DZ103" i="1"/>
  <c r="DY103" i="1"/>
  <c r="DX103" i="1"/>
  <c r="DV103" i="1"/>
  <c r="DT103" i="1"/>
  <c r="DR103" i="1"/>
  <c r="DP103" i="1"/>
  <c r="DN103" i="1"/>
  <c r="DL103" i="1"/>
  <c r="DJ103" i="1"/>
  <c r="DH103" i="1"/>
  <c r="DF103" i="1"/>
  <c r="DD103" i="1"/>
  <c r="DB103" i="1"/>
  <c r="AK103" i="1"/>
  <c r="A103" i="1"/>
  <c r="GV102" i="1"/>
  <c r="GF102" i="1"/>
  <c r="GE102" i="1"/>
  <c r="GD102" i="1"/>
  <c r="GB102" i="1"/>
  <c r="FZ102" i="1"/>
  <c r="FX102" i="1"/>
  <c r="FV102" i="1"/>
  <c r="FT102" i="1"/>
  <c r="FR102" i="1"/>
  <c r="FP102" i="1"/>
  <c r="FO102" i="1"/>
  <c r="FN102" i="1"/>
  <c r="FL102" i="1"/>
  <c r="FJ102" i="1"/>
  <c r="FH102" i="1"/>
  <c r="FG102" i="1"/>
  <c r="FF102" i="1"/>
  <c r="FD102" i="1"/>
  <c r="FB102" i="1"/>
  <c r="EZ102" i="1"/>
  <c r="EY102" i="1"/>
  <c r="EX102" i="1"/>
  <c r="EV102" i="1"/>
  <c r="ET102" i="1"/>
  <c r="ER102" i="1"/>
  <c r="EP102" i="1"/>
  <c r="EO102" i="1"/>
  <c r="EN102" i="1"/>
  <c r="EL102" i="1"/>
  <c r="EJ102" i="1"/>
  <c r="EH102" i="1"/>
  <c r="EG102" i="1"/>
  <c r="EF102" i="1"/>
  <c r="ED102" i="1"/>
  <c r="EB102" i="1"/>
  <c r="DZ102" i="1"/>
  <c r="DY102" i="1"/>
  <c r="DX102" i="1"/>
  <c r="DV102" i="1"/>
  <c r="DT102" i="1"/>
  <c r="DR102" i="1"/>
  <c r="DP102" i="1"/>
  <c r="DN102" i="1"/>
  <c r="DL102" i="1"/>
  <c r="DJ102" i="1"/>
  <c r="DH102" i="1"/>
  <c r="DF102" i="1"/>
  <c r="DD102" i="1"/>
  <c r="DB102" i="1"/>
  <c r="AK102" i="1"/>
  <c r="A102" i="1"/>
  <c r="GV101" i="1"/>
  <c r="GF101" i="1"/>
  <c r="GE101" i="1"/>
  <c r="GD101" i="1"/>
  <c r="GB101" i="1"/>
  <c r="FZ101" i="1"/>
  <c r="FX101" i="1"/>
  <c r="FV101" i="1"/>
  <c r="FT101" i="1"/>
  <c r="FR101" i="1"/>
  <c r="FP101" i="1"/>
  <c r="FO101" i="1"/>
  <c r="FN101" i="1"/>
  <c r="FL101" i="1"/>
  <c r="FJ101" i="1"/>
  <c r="FH101" i="1"/>
  <c r="FG101" i="1"/>
  <c r="FF101" i="1"/>
  <c r="FD101" i="1"/>
  <c r="FB101" i="1"/>
  <c r="EZ101" i="1"/>
  <c r="EY101" i="1"/>
  <c r="EX101" i="1"/>
  <c r="EV101" i="1"/>
  <c r="ET101" i="1"/>
  <c r="ER101" i="1"/>
  <c r="EP101" i="1"/>
  <c r="EO101" i="1"/>
  <c r="EN101" i="1"/>
  <c r="EL101" i="1"/>
  <c r="EJ101" i="1"/>
  <c r="EH101" i="1"/>
  <c r="EG101" i="1"/>
  <c r="EF101" i="1"/>
  <c r="ED101" i="1"/>
  <c r="EB101" i="1"/>
  <c r="DZ101" i="1"/>
  <c r="DY101" i="1"/>
  <c r="DX101" i="1"/>
  <c r="DV101" i="1"/>
  <c r="DT101" i="1"/>
  <c r="DR101" i="1"/>
  <c r="DP101" i="1"/>
  <c r="DN101" i="1"/>
  <c r="DL101" i="1"/>
  <c r="DJ101" i="1"/>
  <c r="DH101" i="1"/>
  <c r="DF101" i="1"/>
  <c r="DD101" i="1"/>
  <c r="DB101" i="1"/>
  <c r="AK101" i="1"/>
  <c r="A101" i="1"/>
  <c r="GV100" i="1"/>
  <c r="GF100" i="1"/>
  <c r="GE100" i="1"/>
  <c r="GD100" i="1"/>
  <c r="GB100" i="1"/>
  <c r="FZ100" i="1"/>
  <c r="FX100" i="1"/>
  <c r="FV100" i="1"/>
  <c r="FT100" i="1"/>
  <c r="FR100" i="1"/>
  <c r="FP100" i="1"/>
  <c r="FO100" i="1"/>
  <c r="FN100" i="1"/>
  <c r="FL100" i="1"/>
  <c r="FJ100" i="1"/>
  <c r="FH100" i="1"/>
  <c r="FG100" i="1"/>
  <c r="FF100" i="1"/>
  <c r="FD100" i="1"/>
  <c r="FB100" i="1"/>
  <c r="EZ100" i="1"/>
  <c r="EY100" i="1"/>
  <c r="EX100" i="1"/>
  <c r="EV100" i="1"/>
  <c r="ET100" i="1"/>
  <c r="ER100" i="1"/>
  <c r="EP100" i="1"/>
  <c r="EO100" i="1"/>
  <c r="EN100" i="1"/>
  <c r="EL100" i="1"/>
  <c r="EJ100" i="1"/>
  <c r="EH100" i="1"/>
  <c r="EG100" i="1"/>
  <c r="EF100" i="1"/>
  <c r="ED100" i="1"/>
  <c r="EB100" i="1"/>
  <c r="DZ100" i="1"/>
  <c r="DY100" i="1"/>
  <c r="DX100" i="1"/>
  <c r="DV100" i="1"/>
  <c r="DT100" i="1"/>
  <c r="DR100" i="1"/>
  <c r="DP100" i="1"/>
  <c r="DN100" i="1"/>
  <c r="DL100" i="1"/>
  <c r="DJ100" i="1"/>
  <c r="DH100" i="1"/>
  <c r="DF100" i="1"/>
  <c r="DD100" i="1"/>
  <c r="DB100" i="1"/>
  <c r="AK100" i="1"/>
  <c r="A100" i="1"/>
  <c r="GV99" i="1"/>
  <c r="GF99" i="1"/>
  <c r="GE99" i="1"/>
  <c r="GD99" i="1"/>
  <c r="GB99" i="1"/>
  <c r="FZ99" i="1"/>
  <c r="FX99" i="1"/>
  <c r="FV99" i="1"/>
  <c r="FT99" i="1"/>
  <c r="FR99" i="1"/>
  <c r="FP99" i="1"/>
  <c r="FO99" i="1"/>
  <c r="FN99" i="1"/>
  <c r="FL99" i="1"/>
  <c r="FJ99" i="1"/>
  <c r="FH99" i="1"/>
  <c r="FG99" i="1"/>
  <c r="FF99" i="1"/>
  <c r="FD99" i="1"/>
  <c r="FB99" i="1"/>
  <c r="EZ99" i="1"/>
  <c r="EY99" i="1"/>
  <c r="EX99" i="1"/>
  <c r="EV99" i="1"/>
  <c r="ET99" i="1"/>
  <c r="ER99" i="1"/>
  <c r="EP99" i="1"/>
  <c r="EO99" i="1"/>
  <c r="EN99" i="1"/>
  <c r="EL99" i="1"/>
  <c r="EJ99" i="1"/>
  <c r="EH99" i="1"/>
  <c r="EG99" i="1"/>
  <c r="EF99" i="1"/>
  <c r="ED99" i="1"/>
  <c r="EB99" i="1"/>
  <c r="DZ99" i="1"/>
  <c r="DY99" i="1"/>
  <c r="DX99" i="1"/>
  <c r="DV99" i="1"/>
  <c r="DT99" i="1"/>
  <c r="DR99" i="1"/>
  <c r="DP99" i="1"/>
  <c r="DN99" i="1"/>
  <c r="DL99" i="1"/>
  <c r="DJ99" i="1"/>
  <c r="DH99" i="1"/>
  <c r="DF99" i="1"/>
  <c r="DD99" i="1"/>
  <c r="DB99" i="1"/>
  <c r="AK99" i="1"/>
  <c r="A99" i="1"/>
  <c r="GV98" i="1"/>
  <c r="GF98" i="1"/>
  <c r="GE98" i="1"/>
  <c r="GD98" i="1"/>
  <c r="GB98" i="1"/>
  <c r="FZ98" i="1"/>
  <c r="FX98" i="1"/>
  <c r="FV98" i="1"/>
  <c r="FT98" i="1"/>
  <c r="FR98" i="1"/>
  <c r="FP98" i="1"/>
  <c r="FO98" i="1"/>
  <c r="FN98" i="1"/>
  <c r="FL98" i="1"/>
  <c r="FJ98" i="1"/>
  <c r="FH98" i="1"/>
  <c r="FG98" i="1"/>
  <c r="FF98" i="1"/>
  <c r="FD98" i="1"/>
  <c r="FB98" i="1"/>
  <c r="EZ98" i="1"/>
  <c r="EY98" i="1"/>
  <c r="EX98" i="1"/>
  <c r="EV98" i="1"/>
  <c r="ET98" i="1"/>
  <c r="ER98" i="1"/>
  <c r="EP98" i="1"/>
  <c r="EO98" i="1"/>
  <c r="EN98" i="1"/>
  <c r="EL98" i="1"/>
  <c r="EJ98" i="1"/>
  <c r="EH98" i="1"/>
  <c r="EG98" i="1"/>
  <c r="EF98" i="1"/>
  <c r="ED98" i="1"/>
  <c r="EB98" i="1"/>
  <c r="DZ98" i="1"/>
  <c r="DY98" i="1"/>
  <c r="DX98" i="1"/>
  <c r="DV98" i="1"/>
  <c r="DT98" i="1"/>
  <c r="DR98" i="1"/>
  <c r="DP98" i="1"/>
  <c r="DN98" i="1"/>
  <c r="DL98" i="1"/>
  <c r="DJ98" i="1"/>
  <c r="DH98" i="1"/>
  <c r="DF98" i="1"/>
  <c r="DD98" i="1"/>
  <c r="DB98" i="1"/>
  <c r="AK98" i="1"/>
  <c r="A98" i="1"/>
  <c r="GV97" i="1"/>
  <c r="GF97" i="1"/>
  <c r="GE97" i="1"/>
  <c r="GD97" i="1"/>
  <c r="GB97" i="1"/>
  <c r="FZ97" i="1"/>
  <c r="FX97" i="1"/>
  <c r="FV97" i="1"/>
  <c r="FT97" i="1"/>
  <c r="FR97" i="1"/>
  <c r="FP97" i="1"/>
  <c r="FO97" i="1"/>
  <c r="FN97" i="1"/>
  <c r="FL97" i="1"/>
  <c r="FJ97" i="1"/>
  <c r="FH97" i="1"/>
  <c r="FG97" i="1"/>
  <c r="FF97" i="1"/>
  <c r="FD97" i="1"/>
  <c r="FB97" i="1"/>
  <c r="EZ97" i="1"/>
  <c r="EY97" i="1"/>
  <c r="EX97" i="1"/>
  <c r="EV97" i="1"/>
  <c r="ET97" i="1"/>
  <c r="ER97" i="1"/>
  <c r="EP97" i="1"/>
  <c r="EO97" i="1"/>
  <c r="EN97" i="1"/>
  <c r="EL97" i="1"/>
  <c r="EJ97" i="1"/>
  <c r="EH97" i="1"/>
  <c r="EG97" i="1"/>
  <c r="EF97" i="1"/>
  <c r="ED97" i="1"/>
  <c r="EB97" i="1"/>
  <c r="DZ97" i="1"/>
  <c r="DY97" i="1"/>
  <c r="DX97" i="1"/>
  <c r="DV97" i="1"/>
  <c r="DT97" i="1"/>
  <c r="DR97" i="1"/>
  <c r="DP97" i="1"/>
  <c r="DN97" i="1"/>
  <c r="DL97" i="1"/>
  <c r="DJ97" i="1"/>
  <c r="DH97" i="1"/>
  <c r="DF97" i="1"/>
  <c r="DD97" i="1"/>
  <c r="DB97" i="1"/>
  <c r="AK97" i="1"/>
  <c r="A97" i="1"/>
  <c r="GV96" i="1"/>
  <c r="GF96" i="1"/>
  <c r="GE96" i="1"/>
  <c r="GD96" i="1"/>
  <c r="GB96" i="1"/>
  <c r="FZ96" i="1"/>
  <c r="FX96" i="1"/>
  <c r="FV96" i="1"/>
  <c r="FT96" i="1"/>
  <c r="FR96" i="1"/>
  <c r="FP96" i="1"/>
  <c r="FO96" i="1"/>
  <c r="FN96" i="1"/>
  <c r="FL96" i="1"/>
  <c r="FJ96" i="1"/>
  <c r="FH96" i="1"/>
  <c r="FG96" i="1"/>
  <c r="FF96" i="1"/>
  <c r="FD96" i="1"/>
  <c r="FB96" i="1"/>
  <c r="EZ96" i="1"/>
  <c r="EY96" i="1"/>
  <c r="EX96" i="1"/>
  <c r="EV96" i="1"/>
  <c r="ET96" i="1"/>
  <c r="ER96" i="1"/>
  <c r="EP96" i="1"/>
  <c r="EO96" i="1"/>
  <c r="EN96" i="1"/>
  <c r="EL96" i="1"/>
  <c r="EJ96" i="1"/>
  <c r="EH96" i="1"/>
  <c r="EG96" i="1"/>
  <c r="EF96" i="1"/>
  <c r="ED96" i="1"/>
  <c r="EB96" i="1"/>
  <c r="DZ96" i="1"/>
  <c r="DY96" i="1"/>
  <c r="DX96" i="1"/>
  <c r="DV96" i="1"/>
  <c r="DT96" i="1"/>
  <c r="DR96" i="1"/>
  <c r="DP96" i="1"/>
  <c r="DN96" i="1"/>
  <c r="DL96" i="1"/>
  <c r="DJ96" i="1"/>
  <c r="DH96" i="1"/>
  <c r="DF96" i="1"/>
  <c r="DD96" i="1"/>
  <c r="DB96" i="1"/>
  <c r="AK96" i="1"/>
  <c r="A96" i="1"/>
  <c r="GV95" i="1"/>
  <c r="GF95" i="1"/>
  <c r="GE95" i="1"/>
  <c r="GD95" i="1"/>
  <c r="GB95" i="1"/>
  <c r="FZ95" i="1"/>
  <c r="FX95" i="1"/>
  <c r="FV95" i="1"/>
  <c r="FT95" i="1"/>
  <c r="FR95" i="1"/>
  <c r="FP95" i="1"/>
  <c r="FO95" i="1"/>
  <c r="FN95" i="1"/>
  <c r="FL95" i="1"/>
  <c r="FJ95" i="1"/>
  <c r="FH95" i="1"/>
  <c r="FG95" i="1"/>
  <c r="FF95" i="1"/>
  <c r="FD95" i="1"/>
  <c r="FB95" i="1"/>
  <c r="EZ95" i="1"/>
  <c r="EY95" i="1"/>
  <c r="EX95" i="1"/>
  <c r="EV95" i="1"/>
  <c r="ET95" i="1"/>
  <c r="ER95" i="1"/>
  <c r="EP95" i="1"/>
  <c r="EO95" i="1"/>
  <c r="EN95" i="1"/>
  <c r="EL95" i="1"/>
  <c r="EJ95" i="1"/>
  <c r="EH95" i="1"/>
  <c r="EG95" i="1"/>
  <c r="EF95" i="1"/>
  <c r="ED95" i="1"/>
  <c r="EB95" i="1"/>
  <c r="DZ95" i="1"/>
  <c r="DY95" i="1"/>
  <c r="DX95" i="1"/>
  <c r="DV95" i="1"/>
  <c r="DT95" i="1"/>
  <c r="DR95" i="1"/>
  <c r="DP95" i="1"/>
  <c r="DN95" i="1"/>
  <c r="DL95" i="1"/>
  <c r="DJ95" i="1"/>
  <c r="DH95" i="1"/>
  <c r="DF95" i="1"/>
  <c r="DD95" i="1"/>
  <c r="DB95" i="1"/>
  <c r="AK95" i="1"/>
  <c r="A95" i="1"/>
  <c r="GV94" i="1"/>
  <c r="GV93" i="1"/>
  <c r="GF93" i="1"/>
  <c r="GE93" i="1"/>
  <c r="GD93" i="1"/>
  <c r="GB93" i="1"/>
  <c r="FZ93" i="1"/>
  <c r="FX93" i="1"/>
  <c r="FV93" i="1"/>
  <c r="FT93" i="1"/>
  <c r="FR93" i="1"/>
  <c r="FP93" i="1"/>
  <c r="FO93" i="1"/>
  <c r="FN93" i="1"/>
  <c r="FL93" i="1"/>
  <c r="FJ93" i="1"/>
  <c r="FH93" i="1"/>
  <c r="FG93" i="1"/>
  <c r="FF93" i="1"/>
  <c r="FD93" i="1"/>
  <c r="FB93" i="1"/>
  <c r="EZ93" i="1"/>
  <c r="EY93" i="1"/>
  <c r="EX93" i="1"/>
  <c r="EV93" i="1"/>
  <c r="ET93" i="1"/>
  <c r="ER93" i="1"/>
  <c r="EP93" i="1"/>
  <c r="EO93" i="1"/>
  <c r="EN93" i="1"/>
  <c r="EL93" i="1"/>
  <c r="EJ93" i="1"/>
  <c r="EH93" i="1"/>
  <c r="EG93" i="1"/>
  <c r="EF93" i="1"/>
  <c r="ED93" i="1"/>
  <c r="EB93" i="1"/>
  <c r="DZ93" i="1"/>
  <c r="DY93" i="1"/>
  <c r="DX93" i="1"/>
  <c r="DV93" i="1"/>
  <c r="DT93" i="1"/>
  <c r="DR93" i="1"/>
  <c r="DP93" i="1"/>
  <c r="DN93" i="1"/>
  <c r="DL93" i="1"/>
  <c r="DJ93" i="1"/>
  <c r="DH93" i="1"/>
  <c r="DF93" i="1"/>
  <c r="DD93" i="1"/>
  <c r="DB93" i="1"/>
  <c r="AK93" i="1"/>
  <c r="A93" i="1"/>
  <c r="GV92" i="1"/>
  <c r="GV91" i="1"/>
  <c r="GF91" i="1"/>
  <c r="GE91" i="1"/>
  <c r="GD91" i="1"/>
  <c r="GB91" i="1"/>
  <c r="FZ91" i="1"/>
  <c r="FX91" i="1"/>
  <c r="FV91" i="1"/>
  <c r="FT91" i="1"/>
  <c r="FR91" i="1"/>
  <c r="FP91" i="1"/>
  <c r="FO91" i="1"/>
  <c r="FN91" i="1"/>
  <c r="FL91" i="1"/>
  <c r="FJ91" i="1"/>
  <c r="FH91" i="1"/>
  <c r="FG91" i="1"/>
  <c r="FF91" i="1"/>
  <c r="FD91" i="1"/>
  <c r="FB91" i="1"/>
  <c r="EZ91" i="1"/>
  <c r="EY91" i="1"/>
  <c r="EX91" i="1"/>
  <c r="EV91" i="1"/>
  <c r="ET91" i="1"/>
  <c r="ER91" i="1"/>
  <c r="EP91" i="1"/>
  <c r="EO91" i="1"/>
  <c r="EN91" i="1"/>
  <c r="EL91" i="1"/>
  <c r="EJ91" i="1"/>
  <c r="EH91" i="1"/>
  <c r="EG91" i="1"/>
  <c r="EF91" i="1"/>
  <c r="ED91" i="1"/>
  <c r="EB91" i="1"/>
  <c r="DZ91" i="1"/>
  <c r="DY91" i="1"/>
  <c r="DX91" i="1"/>
  <c r="DV91" i="1"/>
  <c r="DT91" i="1"/>
  <c r="DR91" i="1"/>
  <c r="DP91" i="1"/>
  <c r="DN91" i="1"/>
  <c r="DL91" i="1"/>
  <c r="DJ91" i="1"/>
  <c r="DH91" i="1"/>
  <c r="DF91" i="1"/>
  <c r="DD91" i="1"/>
  <c r="DB91" i="1"/>
  <c r="AK91" i="1"/>
  <c r="A91" i="1"/>
  <c r="GV90" i="1"/>
  <c r="GF90" i="1"/>
  <c r="GE90" i="1"/>
  <c r="GD90" i="1"/>
  <c r="GB90" i="1"/>
  <c r="FZ90" i="1"/>
  <c r="FX90" i="1"/>
  <c r="FV90" i="1"/>
  <c r="FT90" i="1"/>
  <c r="FR90" i="1"/>
  <c r="FP90" i="1"/>
  <c r="FO90" i="1"/>
  <c r="FN90" i="1"/>
  <c r="FL90" i="1"/>
  <c r="FJ90" i="1"/>
  <c r="FH90" i="1"/>
  <c r="FG90" i="1"/>
  <c r="FF90" i="1"/>
  <c r="FD90" i="1"/>
  <c r="FB90" i="1"/>
  <c r="EZ90" i="1"/>
  <c r="EY90" i="1"/>
  <c r="EX90" i="1"/>
  <c r="EV90" i="1"/>
  <c r="ET90" i="1"/>
  <c r="ER90" i="1"/>
  <c r="EP90" i="1"/>
  <c r="EO90" i="1"/>
  <c r="EN90" i="1"/>
  <c r="EL90" i="1"/>
  <c r="EJ90" i="1"/>
  <c r="EH90" i="1"/>
  <c r="EG90" i="1"/>
  <c r="EF90" i="1"/>
  <c r="ED90" i="1"/>
  <c r="EB90" i="1"/>
  <c r="DZ90" i="1"/>
  <c r="DY90" i="1"/>
  <c r="DX90" i="1"/>
  <c r="DV90" i="1"/>
  <c r="DT90" i="1"/>
  <c r="DR90" i="1"/>
  <c r="DP90" i="1"/>
  <c r="DN90" i="1"/>
  <c r="DL90" i="1"/>
  <c r="DJ90" i="1"/>
  <c r="DH90" i="1"/>
  <c r="DF90" i="1"/>
  <c r="DD90" i="1"/>
  <c r="DB90" i="1"/>
  <c r="AK90" i="1"/>
  <c r="A90" i="1"/>
  <c r="GV89" i="1"/>
  <c r="GF89" i="1"/>
  <c r="GE89" i="1"/>
  <c r="GD89" i="1"/>
  <c r="GB89" i="1"/>
  <c r="FZ89" i="1"/>
  <c r="FX89" i="1"/>
  <c r="FV89" i="1"/>
  <c r="FT89" i="1"/>
  <c r="FR89" i="1"/>
  <c r="FP89" i="1"/>
  <c r="FO89" i="1"/>
  <c r="FN89" i="1"/>
  <c r="FL89" i="1"/>
  <c r="FJ89" i="1"/>
  <c r="FH89" i="1"/>
  <c r="FG89" i="1"/>
  <c r="FF89" i="1"/>
  <c r="FD89" i="1"/>
  <c r="FB89" i="1"/>
  <c r="EZ89" i="1"/>
  <c r="EY89" i="1"/>
  <c r="EX89" i="1"/>
  <c r="EV89" i="1"/>
  <c r="ET89" i="1"/>
  <c r="ER89" i="1"/>
  <c r="EP89" i="1"/>
  <c r="EO89" i="1"/>
  <c r="EN89" i="1"/>
  <c r="EL89" i="1"/>
  <c r="EJ89" i="1"/>
  <c r="EH89" i="1"/>
  <c r="EG89" i="1"/>
  <c r="EF89" i="1"/>
  <c r="ED89" i="1"/>
  <c r="EB89" i="1"/>
  <c r="DZ89" i="1"/>
  <c r="DY89" i="1"/>
  <c r="DX89" i="1"/>
  <c r="DV89" i="1"/>
  <c r="DT89" i="1"/>
  <c r="DR89" i="1"/>
  <c r="DP89" i="1"/>
  <c r="DN89" i="1"/>
  <c r="DL89" i="1"/>
  <c r="DJ89" i="1"/>
  <c r="DH89" i="1"/>
  <c r="DF89" i="1"/>
  <c r="DD89" i="1"/>
  <c r="DB89" i="1"/>
  <c r="AK89" i="1"/>
  <c r="A89" i="1"/>
  <c r="GV88" i="1"/>
  <c r="GF88" i="1"/>
  <c r="GE88" i="1"/>
  <c r="GD88" i="1"/>
  <c r="GB88" i="1"/>
  <c r="FZ88" i="1"/>
  <c r="FX88" i="1"/>
  <c r="FV88" i="1"/>
  <c r="FT88" i="1"/>
  <c r="FR88" i="1"/>
  <c r="FP88" i="1"/>
  <c r="FO88" i="1"/>
  <c r="FN88" i="1"/>
  <c r="FL88" i="1"/>
  <c r="FJ88" i="1"/>
  <c r="FH88" i="1"/>
  <c r="FG88" i="1"/>
  <c r="FF88" i="1"/>
  <c r="FD88" i="1"/>
  <c r="FB88" i="1"/>
  <c r="EZ88" i="1"/>
  <c r="EY88" i="1"/>
  <c r="EX88" i="1"/>
  <c r="EV88" i="1"/>
  <c r="ET88" i="1"/>
  <c r="ER88" i="1"/>
  <c r="EP88" i="1"/>
  <c r="EO88" i="1"/>
  <c r="EN88" i="1"/>
  <c r="EL88" i="1"/>
  <c r="EJ88" i="1"/>
  <c r="EH88" i="1"/>
  <c r="EG88" i="1"/>
  <c r="EF88" i="1"/>
  <c r="ED88" i="1"/>
  <c r="EB88" i="1"/>
  <c r="DZ88" i="1"/>
  <c r="DY88" i="1"/>
  <c r="DX88" i="1"/>
  <c r="DV88" i="1"/>
  <c r="DT88" i="1"/>
  <c r="DR88" i="1"/>
  <c r="DP88" i="1"/>
  <c r="DN88" i="1"/>
  <c r="DL88" i="1"/>
  <c r="DJ88" i="1"/>
  <c r="DH88" i="1"/>
  <c r="DF88" i="1"/>
  <c r="DD88" i="1"/>
  <c r="DB88" i="1"/>
  <c r="AK88" i="1"/>
  <c r="A88" i="1"/>
  <c r="GV87" i="1"/>
  <c r="GF87" i="1"/>
  <c r="GE87" i="1"/>
  <c r="GD87" i="1"/>
  <c r="GB87" i="1"/>
  <c r="FZ87" i="1"/>
  <c r="FX87" i="1"/>
  <c r="FV87" i="1"/>
  <c r="FT87" i="1"/>
  <c r="FR87" i="1"/>
  <c r="FP87" i="1"/>
  <c r="FO87" i="1"/>
  <c r="FN87" i="1"/>
  <c r="FL87" i="1"/>
  <c r="FJ87" i="1"/>
  <c r="FH87" i="1"/>
  <c r="FG87" i="1"/>
  <c r="FF87" i="1"/>
  <c r="FD87" i="1"/>
  <c r="FB87" i="1"/>
  <c r="EZ87" i="1"/>
  <c r="EY87" i="1"/>
  <c r="EX87" i="1"/>
  <c r="EV87" i="1"/>
  <c r="ET87" i="1"/>
  <c r="ER87" i="1"/>
  <c r="EP87" i="1"/>
  <c r="EO87" i="1"/>
  <c r="EN87" i="1"/>
  <c r="EL87" i="1"/>
  <c r="EJ87" i="1"/>
  <c r="EH87" i="1"/>
  <c r="EG87" i="1"/>
  <c r="EF87" i="1"/>
  <c r="ED87" i="1"/>
  <c r="EB87" i="1"/>
  <c r="DZ87" i="1"/>
  <c r="DY87" i="1"/>
  <c r="DX87" i="1"/>
  <c r="DV87" i="1"/>
  <c r="DT87" i="1"/>
  <c r="DR87" i="1"/>
  <c r="DP87" i="1"/>
  <c r="DN87" i="1"/>
  <c r="DL87" i="1"/>
  <c r="DJ87" i="1"/>
  <c r="DH87" i="1"/>
  <c r="DF87" i="1"/>
  <c r="DD87" i="1"/>
  <c r="DB87" i="1"/>
  <c r="AK87" i="1"/>
  <c r="A87" i="1"/>
  <c r="GV86" i="1"/>
  <c r="GF86" i="1"/>
  <c r="GE86" i="1"/>
  <c r="GD86" i="1"/>
  <c r="GB86" i="1"/>
  <c r="FZ86" i="1"/>
  <c r="FX86" i="1"/>
  <c r="FV86" i="1"/>
  <c r="FT86" i="1"/>
  <c r="FR86" i="1"/>
  <c r="FP86" i="1"/>
  <c r="FO86" i="1"/>
  <c r="FN86" i="1"/>
  <c r="FL86" i="1"/>
  <c r="FJ86" i="1"/>
  <c r="FH86" i="1"/>
  <c r="FG86" i="1"/>
  <c r="FF86" i="1"/>
  <c r="FD86" i="1"/>
  <c r="FB86" i="1"/>
  <c r="EZ86" i="1"/>
  <c r="EY86" i="1"/>
  <c r="EX86" i="1"/>
  <c r="EV86" i="1"/>
  <c r="ET86" i="1"/>
  <c r="ER86" i="1"/>
  <c r="EP86" i="1"/>
  <c r="EO86" i="1"/>
  <c r="EN86" i="1"/>
  <c r="EL86" i="1"/>
  <c r="EJ86" i="1"/>
  <c r="EH86" i="1"/>
  <c r="EG86" i="1"/>
  <c r="EF86" i="1"/>
  <c r="ED86" i="1"/>
  <c r="EB86" i="1"/>
  <c r="DZ86" i="1"/>
  <c r="DY86" i="1"/>
  <c r="DX86" i="1"/>
  <c r="DV86" i="1"/>
  <c r="DT86" i="1"/>
  <c r="DR86" i="1"/>
  <c r="DP86" i="1"/>
  <c r="DN86" i="1"/>
  <c r="DL86" i="1"/>
  <c r="DJ86" i="1"/>
  <c r="DH86" i="1"/>
  <c r="DF86" i="1"/>
  <c r="DD86" i="1"/>
  <c r="DB86" i="1"/>
  <c r="AK86" i="1"/>
  <c r="A86" i="1"/>
  <c r="GV85" i="1"/>
  <c r="GF85" i="1"/>
  <c r="GE85" i="1"/>
  <c r="GD85" i="1"/>
  <c r="GB85" i="1"/>
  <c r="FZ85" i="1"/>
  <c r="FX85" i="1"/>
  <c r="FV85" i="1"/>
  <c r="FT85" i="1"/>
  <c r="FR85" i="1"/>
  <c r="FP85" i="1"/>
  <c r="FO85" i="1"/>
  <c r="FN85" i="1"/>
  <c r="FL85" i="1"/>
  <c r="FJ85" i="1"/>
  <c r="FH85" i="1"/>
  <c r="FG85" i="1"/>
  <c r="FF85" i="1"/>
  <c r="FD85" i="1"/>
  <c r="FB85" i="1"/>
  <c r="EZ85" i="1"/>
  <c r="EY85" i="1"/>
  <c r="EX85" i="1"/>
  <c r="EV85" i="1"/>
  <c r="ET85" i="1"/>
  <c r="ER85" i="1"/>
  <c r="EP85" i="1"/>
  <c r="EO85" i="1"/>
  <c r="EN85" i="1"/>
  <c r="EL85" i="1"/>
  <c r="EJ85" i="1"/>
  <c r="EH85" i="1"/>
  <c r="EG85" i="1"/>
  <c r="EF85" i="1"/>
  <c r="ED85" i="1"/>
  <c r="EB85" i="1"/>
  <c r="DZ85" i="1"/>
  <c r="DY85" i="1"/>
  <c r="DX85" i="1"/>
  <c r="DV85" i="1"/>
  <c r="DT85" i="1"/>
  <c r="DR85" i="1"/>
  <c r="DP85" i="1"/>
  <c r="DN85" i="1"/>
  <c r="DL85" i="1"/>
  <c r="DJ85" i="1"/>
  <c r="DH85" i="1"/>
  <c r="DF85" i="1"/>
  <c r="DD85" i="1"/>
  <c r="DB85" i="1"/>
  <c r="AK85" i="1"/>
  <c r="A85" i="1"/>
  <c r="GV84" i="1"/>
  <c r="GF84" i="1"/>
  <c r="GE84" i="1"/>
  <c r="GD84" i="1"/>
  <c r="GB84" i="1"/>
  <c r="FZ84" i="1"/>
  <c r="FX84" i="1"/>
  <c r="FV84" i="1"/>
  <c r="FT84" i="1"/>
  <c r="FR84" i="1"/>
  <c r="FP84" i="1"/>
  <c r="FO84" i="1"/>
  <c r="FN84" i="1"/>
  <c r="FL84" i="1"/>
  <c r="FJ84" i="1"/>
  <c r="FH84" i="1"/>
  <c r="FG84" i="1"/>
  <c r="FF84" i="1"/>
  <c r="FD84" i="1"/>
  <c r="FB84" i="1"/>
  <c r="EZ84" i="1"/>
  <c r="EY84" i="1"/>
  <c r="EX84" i="1"/>
  <c r="EV84" i="1"/>
  <c r="ET84" i="1"/>
  <c r="ER84" i="1"/>
  <c r="EP84" i="1"/>
  <c r="EO84" i="1"/>
  <c r="EN84" i="1"/>
  <c r="EL84" i="1"/>
  <c r="EJ84" i="1"/>
  <c r="EH84" i="1"/>
  <c r="EG84" i="1"/>
  <c r="EF84" i="1"/>
  <c r="ED84" i="1"/>
  <c r="EB84" i="1"/>
  <c r="DZ84" i="1"/>
  <c r="DY84" i="1"/>
  <c r="DX84" i="1"/>
  <c r="DV84" i="1"/>
  <c r="DT84" i="1"/>
  <c r="DR84" i="1"/>
  <c r="DP84" i="1"/>
  <c r="DN84" i="1"/>
  <c r="DL84" i="1"/>
  <c r="DJ84" i="1"/>
  <c r="DH84" i="1"/>
  <c r="DF84" i="1"/>
  <c r="DD84" i="1"/>
  <c r="DB84" i="1"/>
  <c r="AK84" i="1"/>
  <c r="A84" i="1"/>
  <c r="GV83" i="1"/>
  <c r="GF83" i="1"/>
  <c r="GE83" i="1"/>
  <c r="GD83" i="1"/>
  <c r="GB83" i="1"/>
  <c r="FZ83" i="1"/>
  <c r="FX83" i="1"/>
  <c r="FV83" i="1"/>
  <c r="FT83" i="1"/>
  <c r="FR83" i="1"/>
  <c r="FP83" i="1"/>
  <c r="FO83" i="1"/>
  <c r="FN83" i="1"/>
  <c r="FL83" i="1"/>
  <c r="FJ83" i="1"/>
  <c r="FH83" i="1"/>
  <c r="FG83" i="1"/>
  <c r="FF83" i="1"/>
  <c r="FD83" i="1"/>
  <c r="FB83" i="1"/>
  <c r="EZ83" i="1"/>
  <c r="EY83" i="1"/>
  <c r="EX83" i="1"/>
  <c r="EV83" i="1"/>
  <c r="ET83" i="1"/>
  <c r="ER83" i="1"/>
  <c r="EP83" i="1"/>
  <c r="EO83" i="1"/>
  <c r="EN83" i="1"/>
  <c r="EL83" i="1"/>
  <c r="EJ83" i="1"/>
  <c r="EH83" i="1"/>
  <c r="EG83" i="1"/>
  <c r="EF83" i="1"/>
  <c r="ED83" i="1"/>
  <c r="EB83" i="1"/>
  <c r="DZ83" i="1"/>
  <c r="DY83" i="1"/>
  <c r="DX83" i="1"/>
  <c r="DV83" i="1"/>
  <c r="DT83" i="1"/>
  <c r="DR83" i="1"/>
  <c r="DP83" i="1"/>
  <c r="DN83" i="1"/>
  <c r="DL83" i="1"/>
  <c r="DJ83" i="1"/>
  <c r="DH83" i="1"/>
  <c r="DF83" i="1"/>
  <c r="DD83" i="1"/>
  <c r="DB83" i="1"/>
  <c r="AK83" i="1"/>
  <c r="A83" i="1"/>
  <c r="GV82" i="1"/>
  <c r="GF82" i="1"/>
  <c r="GE82" i="1"/>
  <c r="GD82" i="1"/>
  <c r="GB82" i="1"/>
  <c r="FZ82" i="1"/>
  <c r="FX82" i="1"/>
  <c r="FV82" i="1"/>
  <c r="FT82" i="1"/>
  <c r="FR82" i="1"/>
  <c r="FP82" i="1"/>
  <c r="FO82" i="1"/>
  <c r="FN82" i="1"/>
  <c r="FL82" i="1"/>
  <c r="FJ82" i="1"/>
  <c r="FH82" i="1"/>
  <c r="FG82" i="1"/>
  <c r="FF82" i="1"/>
  <c r="FD82" i="1"/>
  <c r="FB82" i="1"/>
  <c r="EZ82" i="1"/>
  <c r="EY82" i="1"/>
  <c r="EX82" i="1"/>
  <c r="EV82" i="1"/>
  <c r="ET82" i="1"/>
  <c r="ER82" i="1"/>
  <c r="EP82" i="1"/>
  <c r="EO82" i="1"/>
  <c r="EN82" i="1"/>
  <c r="EL82" i="1"/>
  <c r="EJ82" i="1"/>
  <c r="EH82" i="1"/>
  <c r="EG82" i="1"/>
  <c r="EF82" i="1"/>
  <c r="ED82" i="1"/>
  <c r="EB82" i="1"/>
  <c r="DZ82" i="1"/>
  <c r="DY82" i="1"/>
  <c r="DX82" i="1"/>
  <c r="DV82" i="1"/>
  <c r="DT82" i="1"/>
  <c r="DR82" i="1"/>
  <c r="DP82" i="1"/>
  <c r="DN82" i="1"/>
  <c r="DL82" i="1"/>
  <c r="DJ82" i="1"/>
  <c r="DH82" i="1"/>
  <c r="DF82" i="1"/>
  <c r="DD82" i="1"/>
  <c r="DB82" i="1"/>
  <c r="AK82" i="1"/>
  <c r="A82" i="1"/>
  <c r="GV81" i="1"/>
  <c r="GV80" i="1"/>
  <c r="GF80" i="1"/>
  <c r="GE80" i="1"/>
  <c r="GD80" i="1"/>
  <c r="GB80" i="1"/>
  <c r="FZ80" i="1"/>
  <c r="FX80" i="1"/>
  <c r="FV80" i="1"/>
  <c r="FT80" i="1"/>
  <c r="FR80" i="1"/>
  <c r="FP80" i="1"/>
  <c r="FO80" i="1"/>
  <c r="FN80" i="1"/>
  <c r="FL80" i="1"/>
  <c r="FJ80" i="1"/>
  <c r="FH80" i="1"/>
  <c r="FG80" i="1"/>
  <c r="FF80" i="1"/>
  <c r="FD80" i="1"/>
  <c r="FB80" i="1"/>
  <c r="EZ80" i="1"/>
  <c r="EY80" i="1"/>
  <c r="EX80" i="1"/>
  <c r="EV80" i="1"/>
  <c r="ET80" i="1"/>
  <c r="ER80" i="1"/>
  <c r="EP80" i="1"/>
  <c r="EO80" i="1"/>
  <c r="EN80" i="1"/>
  <c r="EL80" i="1"/>
  <c r="EJ80" i="1"/>
  <c r="EH80" i="1"/>
  <c r="EG80" i="1"/>
  <c r="EF80" i="1"/>
  <c r="ED80" i="1"/>
  <c r="EB80" i="1"/>
  <c r="DZ80" i="1"/>
  <c r="DY80" i="1"/>
  <c r="DX80" i="1"/>
  <c r="DV80" i="1"/>
  <c r="DT80" i="1"/>
  <c r="DR80" i="1"/>
  <c r="DP80" i="1"/>
  <c r="DN80" i="1"/>
  <c r="DL80" i="1"/>
  <c r="DJ80" i="1"/>
  <c r="DH80" i="1"/>
  <c r="DF80" i="1"/>
  <c r="DD80" i="1"/>
  <c r="DB80" i="1"/>
  <c r="AK80" i="1"/>
  <c r="A80" i="1"/>
  <c r="GV79" i="1"/>
  <c r="GF79" i="1"/>
  <c r="GE79" i="1"/>
  <c r="GD79" i="1"/>
  <c r="GB79" i="1"/>
  <c r="FZ79" i="1"/>
  <c r="FX79" i="1"/>
  <c r="FV79" i="1"/>
  <c r="FT79" i="1"/>
  <c r="FR79" i="1"/>
  <c r="FP79" i="1"/>
  <c r="FO79" i="1"/>
  <c r="FN79" i="1"/>
  <c r="FL79" i="1"/>
  <c r="FJ79" i="1"/>
  <c r="FH79" i="1"/>
  <c r="FG79" i="1"/>
  <c r="FF79" i="1"/>
  <c r="FD79" i="1"/>
  <c r="FB79" i="1"/>
  <c r="EZ79" i="1"/>
  <c r="EY79" i="1"/>
  <c r="EX79" i="1"/>
  <c r="EV79" i="1"/>
  <c r="ET79" i="1"/>
  <c r="ER79" i="1"/>
  <c r="EP79" i="1"/>
  <c r="EO79" i="1"/>
  <c r="EN79" i="1"/>
  <c r="EL79" i="1"/>
  <c r="EJ79" i="1"/>
  <c r="EH79" i="1"/>
  <c r="EG79" i="1"/>
  <c r="EF79" i="1"/>
  <c r="ED79" i="1"/>
  <c r="EB79" i="1"/>
  <c r="DZ79" i="1"/>
  <c r="DY79" i="1"/>
  <c r="DX79" i="1"/>
  <c r="DV79" i="1"/>
  <c r="DT79" i="1"/>
  <c r="DR79" i="1"/>
  <c r="DP79" i="1"/>
  <c r="DN79" i="1"/>
  <c r="DL79" i="1"/>
  <c r="DJ79" i="1"/>
  <c r="DH79" i="1"/>
  <c r="DF79" i="1"/>
  <c r="DD79" i="1"/>
  <c r="DB79" i="1"/>
  <c r="AK79" i="1"/>
  <c r="A79" i="1"/>
  <c r="GV78" i="1"/>
  <c r="GF78" i="1"/>
  <c r="GE78" i="1"/>
  <c r="GD78" i="1"/>
  <c r="GB78" i="1"/>
  <c r="FZ78" i="1"/>
  <c r="FX78" i="1"/>
  <c r="FV78" i="1"/>
  <c r="FT78" i="1"/>
  <c r="FR78" i="1"/>
  <c r="FP78" i="1"/>
  <c r="FO78" i="1"/>
  <c r="FN78" i="1"/>
  <c r="FL78" i="1"/>
  <c r="FJ78" i="1"/>
  <c r="FH78" i="1"/>
  <c r="FG78" i="1"/>
  <c r="FF78" i="1"/>
  <c r="FD78" i="1"/>
  <c r="FB78" i="1"/>
  <c r="EZ78" i="1"/>
  <c r="EY78" i="1"/>
  <c r="EX78" i="1"/>
  <c r="EV78" i="1"/>
  <c r="ET78" i="1"/>
  <c r="ER78" i="1"/>
  <c r="EP78" i="1"/>
  <c r="EO78" i="1"/>
  <c r="EN78" i="1"/>
  <c r="EL78" i="1"/>
  <c r="EJ78" i="1"/>
  <c r="EH78" i="1"/>
  <c r="EG78" i="1"/>
  <c r="EF78" i="1"/>
  <c r="ED78" i="1"/>
  <c r="EB78" i="1"/>
  <c r="DZ78" i="1"/>
  <c r="DY78" i="1"/>
  <c r="DX78" i="1"/>
  <c r="DV78" i="1"/>
  <c r="DT78" i="1"/>
  <c r="DR78" i="1"/>
  <c r="DP78" i="1"/>
  <c r="DN78" i="1"/>
  <c r="DL78" i="1"/>
  <c r="DJ78" i="1"/>
  <c r="DH78" i="1"/>
  <c r="DF78" i="1"/>
  <c r="DD78" i="1"/>
  <c r="DB78" i="1"/>
  <c r="AK78" i="1"/>
  <c r="A78" i="1"/>
  <c r="GV77" i="1"/>
  <c r="GF77" i="1"/>
  <c r="GE77" i="1"/>
  <c r="GD77" i="1"/>
  <c r="GB77" i="1"/>
  <c r="FZ77" i="1"/>
  <c r="FX77" i="1"/>
  <c r="FV77" i="1"/>
  <c r="FT77" i="1"/>
  <c r="FR77" i="1"/>
  <c r="FP77" i="1"/>
  <c r="FO77" i="1"/>
  <c r="FN77" i="1"/>
  <c r="FL77" i="1"/>
  <c r="FJ77" i="1"/>
  <c r="FH77" i="1"/>
  <c r="FG77" i="1"/>
  <c r="FF77" i="1"/>
  <c r="FD77" i="1"/>
  <c r="FB77" i="1"/>
  <c r="EZ77" i="1"/>
  <c r="EY77" i="1"/>
  <c r="EX77" i="1"/>
  <c r="EV77" i="1"/>
  <c r="ET77" i="1"/>
  <c r="ER77" i="1"/>
  <c r="EP77" i="1"/>
  <c r="EO77" i="1"/>
  <c r="EN77" i="1"/>
  <c r="EL77" i="1"/>
  <c r="EJ77" i="1"/>
  <c r="EH77" i="1"/>
  <c r="EG77" i="1"/>
  <c r="EF77" i="1"/>
  <c r="ED77" i="1"/>
  <c r="EB77" i="1"/>
  <c r="DZ77" i="1"/>
  <c r="DY77" i="1"/>
  <c r="DX77" i="1"/>
  <c r="DV77" i="1"/>
  <c r="DT77" i="1"/>
  <c r="DR77" i="1"/>
  <c r="DP77" i="1"/>
  <c r="DN77" i="1"/>
  <c r="DL77" i="1"/>
  <c r="DJ77" i="1"/>
  <c r="DH77" i="1"/>
  <c r="DF77" i="1"/>
  <c r="DD77" i="1"/>
  <c r="DB77" i="1"/>
  <c r="AK77" i="1"/>
  <c r="A77" i="1"/>
  <c r="GV76" i="1"/>
  <c r="GF76" i="1"/>
  <c r="GE76" i="1"/>
  <c r="GD76" i="1"/>
  <c r="GB76" i="1"/>
  <c r="FZ76" i="1"/>
  <c r="FX76" i="1"/>
  <c r="FV76" i="1"/>
  <c r="FT76" i="1"/>
  <c r="FR76" i="1"/>
  <c r="FP76" i="1"/>
  <c r="FO76" i="1"/>
  <c r="FN76" i="1"/>
  <c r="FL76" i="1"/>
  <c r="FJ76" i="1"/>
  <c r="FH76" i="1"/>
  <c r="FG76" i="1"/>
  <c r="FF76" i="1"/>
  <c r="FD76" i="1"/>
  <c r="FB76" i="1"/>
  <c r="EZ76" i="1"/>
  <c r="EY76" i="1"/>
  <c r="EX76" i="1"/>
  <c r="EV76" i="1"/>
  <c r="ET76" i="1"/>
  <c r="ER76" i="1"/>
  <c r="EP76" i="1"/>
  <c r="EO76" i="1"/>
  <c r="EN76" i="1"/>
  <c r="EL76" i="1"/>
  <c r="EJ76" i="1"/>
  <c r="EH76" i="1"/>
  <c r="EG76" i="1"/>
  <c r="EF76" i="1"/>
  <c r="ED76" i="1"/>
  <c r="EB76" i="1"/>
  <c r="DZ76" i="1"/>
  <c r="DY76" i="1"/>
  <c r="DX76" i="1"/>
  <c r="DV76" i="1"/>
  <c r="DT76" i="1"/>
  <c r="DR76" i="1"/>
  <c r="DP76" i="1"/>
  <c r="DN76" i="1"/>
  <c r="DL76" i="1"/>
  <c r="DJ76" i="1"/>
  <c r="DH76" i="1"/>
  <c r="DF76" i="1"/>
  <c r="DD76" i="1"/>
  <c r="DB76" i="1"/>
  <c r="AK76" i="1"/>
  <c r="A76" i="1"/>
  <c r="GV75" i="1"/>
  <c r="GF75" i="1"/>
  <c r="GE75" i="1"/>
  <c r="GD75" i="1"/>
  <c r="GB75" i="1"/>
  <c r="FZ75" i="1"/>
  <c r="FX75" i="1"/>
  <c r="FV75" i="1"/>
  <c r="FT75" i="1"/>
  <c r="FR75" i="1"/>
  <c r="FP75" i="1"/>
  <c r="FO75" i="1"/>
  <c r="FN75" i="1"/>
  <c r="FL75" i="1"/>
  <c r="FJ75" i="1"/>
  <c r="FH75" i="1"/>
  <c r="FG75" i="1"/>
  <c r="FF75" i="1"/>
  <c r="FD75" i="1"/>
  <c r="FB75" i="1"/>
  <c r="EZ75" i="1"/>
  <c r="EY75" i="1"/>
  <c r="EX75" i="1"/>
  <c r="EV75" i="1"/>
  <c r="ET75" i="1"/>
  <c r="ER75" i="1"/>
  <c r="EP75" i="1"/>
  <c r="EO75" i="1"/>
  <c r="EN75" i="1"/>
  <c r="EL75" i="1"/>
  <c r="EJ75" i="1"/>
  <c r="EH75" i="1"/>
  <c r="EG75" i="1"/>
  <c r="EF75" i="1"/>
  <c r="ED75" i="1"/>
  <c r="EB75" i="1"/>
  <c r="DZ75" i="1"/>
  <c r="DY75" i="1"/>
  <c r="DX75" i="1"/>
  <c r="DV75" i="1"/>
  <c r="DT75" i="1"/>
  <c r="DR75" i="1"/>
  <c r="DP75" i="1"/>
  <c r="DN75" i="1"/>
  <c r="DL75" i="1"/>
  <c r="DJ75" i="1"/>
  <c r="DH75" i="1"/>
  <c r="DF75" i="1"/>
  <c r="DD75" i="1"/>
  <c r="DB75" i="1"/>
  <c r="AK75" i="1"/>
  <c r="A75" i="1"/>
  <c r="GV74" i="1"/>
  <c r="GF74" i="1"/>
  <c r="GE74" i="1"/>
  <c r="GD74" i="1"/>
  <c r="GB74" i="1"/>
  <c r="FZ74" i="1"/>
  <c r="FX74" i="1"/>
  <c r="FV74" i="1"/>
  <c r="FT74" i="1"/>
  <c r="FR74" i="1"/>
  <c r="FP74" i="1"/>
  <c r="FO74" i="1"/>
  <c r="FN74" i="1"/>
  <c r="FL74" i="1"/>
  <c r="FJ74" i="1"/>
  <c r="FH74" i="1"/>
  <c r="FG74" i="1"/>
  <c r="FF74" i="1"/>
  <c r="FD74" i="1"/>
  <c r="FB74" i="1"/>
  <c r="EZ74" i="1"/>
  <c r="EY74" i="1"/>
  <c r="EX74" i="1"/>
  <c r="EV74" i="1"/>
  <c r="ET74" i="1"/>
  <c r="ER74" i="1"/>
  <c r="EP74" i="1"/>
  <c r="EO74" i="1"/>
  <c r="EN74" i="1"/>
  <c r="EL74" i="1"/>
  <c r="EJ74" i="1"/>
  <c r="EH74" i="1"/>
  <c r="EG74" i="1"/>
  <c r="EF74" i="1"/>
  <c r="ED74" i="1"/>
  <c r="EB74" i="1"/>
  <c r="DZ74" i="1"/>
  <c r="DY74" i="1"/>
  <c r="DX74" i="1"/>
  <c r="DV74" i="1"/>
  <c r="DT74" i="1"/>
  <c r="DR74" i="1"/>
  <c r="DP74" i="1"/>
  <c r="DN74" i="1"/>
  <c r="DL74" i="1"/>
  <c r="DJ74" i="1"/>
  <c r="DH74" i="1"/>
  <c r="DF74" i="1"/>
  <c r="DD74" i="1"/>
  <c r="DB74" i="1"/>
  <c r="AK74" i="1"/>
  <c r="A74" i="1"/>
  <c r="GV73" i="1"/>
  <c r="GF73" i="1"/>
  <c r="GE73" i="1"/>
  <c r="GD73" i="1"/>
  <c r="GB73" i="1"/>
  <c r="FZ73" i="1"/>
  <c r="FX73" i="1"/>
  <c r="FV73" i="1"/>
  <c r="FT73" i="1"/>
  <c r="FR73" i="1"/>
  <c r="FP73" i="1"/>
  <c r="FO73" i="1"/>
  <c r="FN73" i="1"/>
  <c r="FL73" i="1"/>
  <c r="FJ73" i="1"/>
  <c r="FH73" i="1"/>
  <c r="FG73" i="1"/>
  <c r="FF73" i="1"/>
  <c r="FD73" i="1"/>
  <c r="FB73" i="1"/>
  <c r="EZ73" i="1"/>
  <c r="EY73" i="1"/>
  <c r="EX73" i="1"/>
  <c r="EV73" i="1"/>
  <c r="ET73" i="1"/>
  <c r="ER73" i="1"/>
  <c r="EP73" i="1"/>
  <c r="EO73" i="1"/>
  <c r="EN73" i="1"/>
  <c r="EL73" i="1"/>
  <c r="EJ73" i="1"/>
  <c r="EH73" i="1"/>
  <c r="EG73" i="1"/>
  <c r="EF73" i="1"/>
  <c r="ED73" i="1"/>
  <c r="EB73" i="1"/>
  <c r="DZ73" i="1"/>
  <c r="DY73" i="1"/>
  <c r="DX73" i="1"/>
  <c r="DV73" i="1"/>
  <c r="DT73" i="1"/>
  <c r="DR73" i="1"/>
  <c r="DP73" i="1"/>
  <c r="DN73" i="1"/>
  <c r="DL73" i="1"/>
  <c r="DJ73" i="1"/>
  <c r="DH73" i="1"/>
  <c r="DF73" i="1"/>
  <c r="DD73" i="1"/>
  <c r="DB73" i="1"/>
  <c r="AK73" i="1"/>
  <c r="A73" i="1"/>
  <c r="GV72" i="1"/>
  <c r="GF72" i="1"/>
  <c r="GE72" i="1"/>
  <c r="GD72" i="1"/>
  <c r="GB72" i="1"/>
  <c r="FZ72" i="1"/>
  <c r="FX72" i="1"/>
  <c r="FV72" i="1"/>
  <c r="FT72" i="1"/>
  <c r="FR72" i="1"/>
  <c r="FP72" i="1"/>
  <c r="FO72" i="1"/>
  <c r="FN72" i="1"/>
  <c r="FL72" i="1"/>
  <c r="FJ72" i="1"/>
  <c r="FH72" i="1"/>
  <c r="FG72" i="1"/>
  <c r="FF72" i="1"/>
  <c r="FD72" i="1"/>
  <c r="FB72" i="1"/>
  <c r="EZ72" i="1"/>
  <c r="EY72" i="1"/>
  <c r="EX72" i="1"/>
  <c r="EV72" i="1"/>
  <c r="ET72" i="1"/>
  <c r="ER72" i="1"/>
  <c r="EP72" i="1"/>
  <c r="EO72" i="1"/>
  <c r="EN72" i="1"/>
  <c r="EL72" i="1"/>
  <c r="EJ72" i="1"/>
  <c r="EH72" i="1"/>
  <c r="EG72" i="1"/>
  <c r="EF72" i="1"/>
  <c r="ED72" i="1"/>
  <c r="EB72" i="1"/>
  <c r="DZ72" i="1"/>
  <c r="DY72" i="1"/>
  <c r="DX72" i="1"/>
  <c r="DV72" i="1"/>
  <c r="DT72" i="1"/>
  <c r="DR72" i="1"/>
  <c r="DP72" i="1"/>
  <c r="DN72" i="1"/>
  <c r="DL72" i="1"/>
  <c r="DJ72" i="1"/>
  <c r="DH72" i="1"/>
  <c r="DF72" i="1"/>
  <c r="DD72" i="1"/>
  <c r="DB72" i="1"/>
  <c r="AK72" i="1"/>
  <c r="A72" i="1"/>
  <c r="GV71" i="1"/>
  <c r="GV70" i="1"/>
  <c r="GF70" i="1"/>
  <c r="GE70" i="1"/>
  <c r="GD70" i="1"/>
  <c r="GB70" i="1"/>
  <c r="FZ70" i="1"/>
  <c r="FX70" i="1"/>
  <c r="FV70" i="1"/>
  <c r="FT70" i="1"/>
  <c r="FR70" i="1"/>
  <c r="FP70" i="1"/>
  <c r="FO70" i="1"/>
  <c r="FN70" i="1"/>
  <c r="FL70" i="1"/>
  <c r="FJ70" i="1"/>
  <c r="FH70" i="1"/>
  <c r="FG70" i="1"/>
  <c r="FF70" i="1"/>
  <c r="FD70" i="1"/>
  <c r="FB70" i="1"/>
  <c r="EZ70" i="1"/>
  <c r="EY70" i="1"/>
  <c r="EX70" i="1"/>
  <c r="EV70" i="1"/>
  <c r="ET70" i="1"/>
  <c r="ER70" i="1"/>
  <c r="EP70" i="1"/>
  <c r="EO70" i="1"/>
  <c r="EN70" i="1"/>
  <c r="EL70" i="1"/>
  <c r="EJ70" i="1"/>
  <c r="EH70" i="1"/>
  <c r="EG70" i="1"/>
  <c r="EF70" i="1"/>
  <c r="ED70" i="1"/>
  <c r="EB70" i="1"/>
  <c r="DZ70" i="1"/>
  <c r="DY70" i="1"/>
  <c r="DX70" i="1"/>
  <c r="DV70" i="1"/>
  <c r="DT70" i="1"/>
  <c r="DR70" i="1"/>
  <c r="DP70" i="1"/>
  <c r="DN70" i="1"/>
  <c r="DL70" i="1"/>
  <c r="DJ70" i="1"/>
  <c r="DH70" i="1"/>
  <c r="DF70" i="1"/>
  <c r="DD70" i="1"/>
  <c r="DB70" i="1"/>
  <c r="AK70" i="1"/>
  <c r="A70" i="1"/>
  <c r="GV69" i="1"/>
  <c r="GF69" i="1"/>
  <c r="GE69" i="1"/>
  <c r="GD69" i="1"/>
  <c r="GB69" i="1"/>
  <c r="FZ69" i="1"/>
  <c r="FX69" i="1"/>
  <c r="FV69" i="1"/>
  <c r="FT69" i="1"/>
  <c r="FR69" i="1"/>
  <c r="FP69" i="1"/>
  <c r="FO69" i="1"/>
  <c r="FN69" i="1"/>
  <c r="FL69" i="1"/>
  <c r="FJ69" i="1"/>
  <c r="FH69" i="1"/>
  <c r="FG69" i="1"/>
  <c r="FF69" i="1"/>
  <c r="FD69" i="1"/>
  <c r="FB69" i="1"/>
  <c r="EZ69" i="1"/>
  <c r="EY69" i="1"/>
  <c r="EX69" i="1"/>
  <c r="EV69" i="1"/>
  <c r="ET69" i="1"/>
  <c r="ER69" i="1"/>
  <c r="EP69" i="1"/>
  <c r="EO69" i="1"/>
  <c r="EN69" i="1"/>
  <c r="EL69" i="1"/>
  <c r="EJ69" i="1"/>
  <c r="EH69" i="1"/>
  <c r="EG69" i="1"/>
  <c r="EF69" i="1"/>
  <c r="ED69" i="1"/>
  <c r="EB69" i="1"/>
  <c r="DZ69" i="1"/>
  <c r="DY69" i="1"/>
  <c r="DX69" i="1"/>
  <c r="DV69" i="1"/>
  <c r="DT69" i="1"/>
  <c r="DR69" i="1"/>
  <c r="DP69" i="1"/>
  <c r="DN69" i="1"/>
  <c r="DL69" i="1"/>
  <c r="DJ69" i="1"/>
  <c r="DH69" i="1"/>
  <c r="DF69" i="1"/>
  <c r="DD69" i="1"/>
  <c r="DB69" i="1"/>
  <c r="AK69" i="1"/>
  <c r="A69" i="1"/>
  <c r="GV68" i="1"/>
  <c r="GV67" i="1"/>
  <c r="GF67" i="1"/>
  <c r="GE67" i="1"/>
  <c r="GD67" i="1"/>
  <c r="GB67" i="1"/>
  <c r="FZ67" i="1"/>
  <c r="FX67" i="1"/>
  <c r="FV67" i="1"/>
  <c r="FT67" i="1"/>
  <c r="FR67" i="1"/>
  <c r="FP67" i="1"/>
  <c r="FO67" i="1"/>
  <c r="FN67" i="1"/>
  <c r="FL67" i="1"/>
  <c r="FJ67" i="1"/>
  <c r="FH67" i="1"/>
  <c r="FG67" i="1"/>
  <c r="FF67" i="1"/>
  <c r="FD67" i="1"/>
  <c r="FB67" i="1"/>
  <c r="EZ67" i="1"/>
  <c r="EY67" i="1"/>
  <c r="EX67" i="1"/>
  <c r="EV67" i="1"/>
  <c r="ET67" i="1"/>
  <c r="ER67" i="1"/>
  <c r="EP67" i="1"/>
  <c r="EO67" i="1"/>
  <c r="EN67" i="1"/>
  <c r="EL67" i="1"/>
  <c r="EJ67" i="1"/>
  <c r="EH67" i="1"/>
  <c r="EG67" i="1"/>
  <c r="EF67" i="1"/>
  <c r="ED67" i="1"/>
  <c r="EB67" i="1"/>
  <c r="DZ67" i="1"/>
  <c r="DY67" i="1"/>
  <c r="DX67" i="1"/>
  <c r="DV67" i="1"/>
  <c r="DT67" i="1"/>
  <c r="DR67" i="1"/>
  <c r="DP67" i="1"/>
  <c r="DN67" i="1"/>
  <c r="DL67" i="1"/>
  <c r="DJ67" i="1"/>
  <c r="DH67" i="1"/>
  <c r="DF67" i="1"/>
  <c r="DD67" i="1"/>
  <c r="DB67" i="1"/>
  <c r="AK67" i="1"/>
  <c r="A67" i="1"/>
  <c r="GV66" i="1"/>
  <c r="GV65" i="1"/>
  <c r="GF65" i="1"/>
  <c r="GE65" i="1"/>
  <c r="GD65" i="1"/>
  <c r="GB65" i="1"/>
  <c r="FZ65" i="1"/>
  <c r="FX65" i="1"/>
  <c r="FV65" i="1"/>
  <c r="FT65" i="1"/>
  <c r="FR65" i="1"/>
  <c r="FP65" i="1"/>
  <c r="FO65" i="1"/>
  <c r="FN65" i="1"/>
  <c r="FL65" i="1"/>
  <c r="FJ65" i="1"/>
  <c r="FH65" i="1"/>
  <c r="FG65" i="1"/>
  <c r="FF65" i="1"/>
  <c r="FD65" i="1"/>
  <c r="FB65" i="1"/>
  <c r="EZ65" i="1"/>
  <c r="EY65" i="1"/>
  <c r="EX65" i="1"/>
  <c r="EV65" i="1"/>
  <c r="ET65" i="1"/>
  <c r="ER65" i="1"/>
  <c r="EP65" i="1"/>
  <c r="EO65" i="1"/>
  <c r="EN65" i="1"/>
  <c r="EL65" i="1"/>
  <c r="EJ65" i="1"/>
  <c r="EH65" i="1"/>
  <c r="EG65" i="1"/>
  <c r="EF65" i="1"/>
  <c r="ED65" i="1"/>
  <c r="EB65" i="1"/>
  <c r="DZ65" i="1"/>
  <c r="DY65" i="1"/>
  <c r="DX65" i="1"/>
  <c r="DV65" i="1"/>
  <c r="DT65" i="1"/>
  <c r="DR65" i="1"/>
  <c r="DP65" i="1"/>
  <c r="DN65" i="1"/>
  <c r="DL65" i="1"/>
  <c r="DJ65" i="1"/>
  <c r="DH65" i="1"/>
  <c r="DF65" i="1"/>
  <c r="DD65" i="1"/>
  <c r="DB65" i="1"/>
  <c r="AK65" i="1"/>
  <c r="A65" i="1"/>
  <c r="GV64" i="1"/>
  <c r="GF64" i="1"/>
  <c r="GE64" i="1"/>
  <c r="GD64" i="1"/>
  <c r="GB64" i="1"/>
  <c r="FZ64" i="1"/>
  <c r="FX64" i="1"/>
  <c r="FV64" i="1"/>
  <c r="FT64" i="1"/>
  <c r="FR64" i="1"/>
  <c r="FP64" i="1"/>
  <c r="FO64" i="1"/>
  <c r="FN64" i="1"/>
  <c r="FL64" i="1"/>
  <c r="FJ64" i="1"/>
  <c r="FH64" i="1"/>
  <c r="FG64" i="1"/>
  <c r="FF64" i="1"/>
  <c r="FD64" i="1"/>
  <c r="FB64" i="1"/>
  <c r="EZ64" i="1"/>
  <c r="EY64" i="1"/>
  <c r="EX64" i="1"/>
  <c r="EV64" i="1"/>
  <c r="ET64" i="1"/>
  <c r="ER64" i="1"/>
  <c r="EP64" i="1"/>
  <c r="EO64" i="1"/>
  <c r="EN64" i="1"/>
  <c r="EL64" i="1"/>
  <c r="EJ64" i="1"/>
  <c r="EH64" i="1"/>
  <c r="EG64" i="1"/>
  <c r="EF64" i="1"/>
  <c r="ED64" i="1"/>
  <c r="EB64" i="1"/>
  <c r="DZ64" i="1"/>
  <c r="DY64" i="1"/>
  <c r="DX64" i="1"/>
  <c r="DV64" i="1"/>
  <c r="DT64" i="1"/>
  <c r="DR64" i="1"/>
  <c r="DP64" i="1"/>
  <c r="DN64" i="1"/>
  <c r="DL64" i="1"/>
  <c r="DJ64" i="1"/>
  <c r="DH64" i="1"/>
  <c r="DF64" i="1"/>
  <c r="DD64" i="1"/>
  <c r="DB64" i="1"/>
  <c r="AK64" i="1"/>
  <c r="A64" i="1"/>
  <c r="GV63" i="1"/>
  <c r="GF63" i="1"/>
  <c r="GE63" i="1"/>
  <c r="GD63" i="1"/>
  <c r="GB63" i="1"/>
  <c r="FZ63" i="1"/>
  <c r="FX63" i="1"/>
  <c r="FV63" i="1"/>
  <c r="FT63" i="1"/>
  <c r="FR63" i="1"/>
  <c r="FP63" i="1"/>
  <c r="FO63" i="1"/>
  <c r="FN63" i="1"/>
  <c r="FL63" i="1"/>
  <c r="FJ63" i="1"/>
  <c r="FH63" i="1"/>
  <c r="FG63" i="1"/>
  <c r="FF63" i="1"/>
  <c r="FD63" i="1"/>
  <c r="FB63" i="1"/>
  <c r="EZ63" i="1"/>
  <c r="EY63" i="1"/>
  <c r="EX63" i="1"/>
  <c r="EV63" i="1"/>
  <c r="ET63" i="1"/>
  <c r="ER63" i="1"/>
  <c r="EP63" i="1"/>
  <c r="EO63" i="1"/>
  <c r="EN63" i="1"/>
  <c r="EL63" i="1"/>
  <c r="EJ63" i="1"/>
  <c r="EH63" i="1"/>
  <c r="EG63" i="1"/>
  <c r="EF63" i="1"/>
  <c r="ED63" i="1"/>
  <c r="EB63" i="1"/>
  <c r="DZ63" i="1"/>
  <c r="DY63" i="1"/>
  <c r="DX63" i="1"/>
  <c r="DV63" i="1"/>
  <c r="DT63" i="1"/>
  <c r="DR63" i="1"/>
  <c r="DP63" i="1"/>
  <c r="DN63" i="1"/>
  <c r="DL63" i="1"/>
  <c r="DJ63" i="1"/>
  <c r="DH63" i="1"/>
  <c r="DF63" i="1"/>
  <c r="DD63" i="1"/>
  <c r="DB63" i="1"/>
  <c r="AK63" i="1"/>
  <c r="A63" i="1"/>
  <c r="GV62" i="1"/>
  <c r="GF62" i="1"/>
  <c r="GE62" i="1"/>
  <c r="GD62" i="1"/>
  <c r="GB62" i="1"/>
  <c r="FZ62" i="1"/>
  <c r="FX62" i="1"/>
  <c r="FV62" i="1"/>
  <c r="FT62" i="1"/>
  <c r="FR62" i="1"/>
  <c r="FP62" i="1"/>
  <c r="FO62" i="1"/>
  <c r="FN62" i="1"/>
  <c r="FL62" i="1"/>
  <c r="FJ62" i="1"/>
  <c r="FH62" i="1"/>
  <c r="FG62" i="1"/>
  <c r="FF62" i="1"/>
  <c r="FD62" i="1"/>
  <c r="FB62" i="1"/>
  <c r="EZ62" i="1"/>
  <c r="EY62" i="1"/>
  <c r="EX62" i="1"/>
  <c r="EV62" i="1"/>
  <c r="ET62" i="1"/>
  <c r="ER62" i="1"/>
  <c r="EP62" i="1"/>
  <c r="EO62" i="1"/>
  <c r="EN62" i="1"/>
  <c r="EL62" i="1"/>
  <c r="EJ62" i="1"/>
  <c r="EH62" i="1"/>
  <c r="EG62" i="1"/>
  <c r="EF62" i="1"/>
  <c r="ED62" i="1"/>
  <c r="EB62" i="1"/>
  <c r="DZ62" i="1"/>
  <c r="DY62" i="1"/>
  <c r="DX62" i="1"/>
  <c r="DV62" i="1"/>
  <c r="DT62" i="1"/>
  <c r="DR62" i="1"/>
  <c r="DP62" i="1"/>
  <c r="DN62" i="1"/>
  <c r="DL62" i="1"/>
  <c r="DJ62" i="1"/>
  <c r="DH62" i="1"/>
  <c r="DF62" i="1"/>
  <c r="DD62" i="1"/>
  <c r="DB62" i="1"/>
  <c r="AK62" i="1"/>
  <c r="A62" i="1"/>
  <c r="GV61" i="1"/>
  <c r="GF61" i="1"/>
  <c r="GE61" i="1"/>
  <c r="GD61" i="1"/>
  <c r="GB61" i="1"/>
  <c r="FZ61" i="1"/>
  <c r="FX61" i="1"/>
  <c r="FV61" i="1"/>
  <c r="FT61" i="1"/>
  <c r="FR61" i="1"/>
  <c r="FP61" i="1"/>
  <c r="FO61" i="1"/>
  <c r="FN61" i="1"/>
  <c r="FL61" i="1"/>
  <c r="FJ61" i="1"/>
  <c r="FH61" i="1"/>
  <c r="FG61" i="1"/>
  <c r="FF61" i="1"/>
  <c r="FD61" i="1"/>
  <c r="FB61" i="1"/>
  <c r="EZ61" i="1"/>
  <c r="EY61" i="1"/>
  <c r="EX61" i="1"/>
  <c r="EV61" i="1"/>
  <c r="ET61" i="1"/>
  <c r="ER61" i="1"/>
  <c r="EP61" i="1"/>
  <c r="EO61" i="1"/>
  <c r="EN61" i="1"/>
  <c r="EL61" i="1"/>
  <c r="EJ61" i="1"/>
  <c r="EH61" i="1"/>
  <c r="EG61" i="1"/>
  <c r="EF61" i="1"/>
  <c r="ED61" i="1"/>
  <c r="EB61" i="1"/>
  <c r="DZ61" i="1"/>
  <c r="DY61" i="1"/>
  <c r="DX61" i="1"/>
  <c r="DV61" i="1"/>
  <c r="DT61" i="1"/>
  <c r="DR61" i="1"/>
  <c r="DP61" i="1"/>
  <c r="DN61" i="1"/>
  <c r="DL61" i="1"/>
  <c r="DJ61" i="1"/>
  <c r="DH61" i="1"/>
  <c r="DF61" i="1"/>
  <c r="DD61" i="1"/>
  <c r="DB61" i="1"/>
  <c r="AK61" i="1"/>
  <c r="A61" i="1"/>
  <c r="GV60" i="1"/>
  <c r="GF60" i="1"/>
  <c r="GE60" i="1"/>
  <c r="GD60" i="1"/>
  <c r="GB60" i="1"/>
  <c r="FZ60" i="1"/>
  <c r="FX60" i="1"/>
  <c r="FV60" i="1"/>
  <c r="FT60" i="1"/>
  <c r="FR60" i="1"/>
  <c r="FP60" i="1"/>
  <c r="FO60" i="1"/>
  <c r="FN60" i="1"/>
  <c r="FL60" i="1"/>
  <c r="FJ60" i="1"/>
  <c r="FH60" i="1"/>
  <c r="FG60" i="1"/>
  <c r="FF60" i="1"/>
  <c r="FD60" i="1"/>
  <c r="FB60" i="1"/>
  <c r="EZ60" i="1"/>
  <c r="EY60" i="1"/>
  <c r="EX60" i="1"/>
  <c r="EV60" i="1"/>
  <c r="ET60" i="1"/>
  <c r="ER60" i="1"/>
  <c r="EP60" i="1"/>
  <c r="EO60" i="1"/>
  <c r="EN60" i="1"/>
  <c r="EL60" i="1"/>
  <c r="EJ60" i="1"/>
  <c r="EH60" i="1"/>
  <c r="EG60" i="1"/>
  <c r="EF60" i="1"/>
  <c r="ED60" i="1"/>
  <c r="EB60" i="1"/>
  <c r="DZ60" i="1"/>
  <c r="DY60" i="1"/>
  <c r="DX60" i="1"/>
  <c r="DV60" i="1"/>
  <c r="DT60" i="1"/>
  <c r="DR60" i="1"/>
  <c r="DP60" i="1"/>
  <c r="DN60" i="1"/>
  <c r="DL60" i="1"/>
  <c r="DJ60" i="1"/>
  <c r="DH60" i="1"/>
  <c r="DF60" i="1"/>
  <c r="DD60" i="1"/>
  <c r="DB60" i="1"/>
  <c r="AK60" i="1"/>
  <c r="A60" i="1"/>
  <c r="GV59" i="1"/>
  <c r="GF59" i="1"/>
  <c r="GE59" i="1"/>
  <c r="GD59" i="1"/>
  <c r="GB59" i="1"/>
  <c r="FZ59" i="1"/>
  <c r="FX59" i="1"/>
  <c r="FV59" i="1"/>
  <c r="FT59" i="1"/>
  <c r="FR59" i="1"/>
  <c r="FP59" i="1"/>
  <c r="FO59" i="1"/>
  <c r="FN59" i="1"/>
  <c r="FL59" i="1"/>
  <c r="FJ59" i="1"/>
  <c r="FH59" i="1"/>
  <c r="FG59" i="1"/>
  <c r="FF59" i="1"/>
  <c r="FD59" i="1"/>
  <c r="FB59" i="1"/>
  <c r="EZ59" i="1"/>
  <c r="EY59" i="1"/>
  <c r="EX59" i="1"/>
  <c r="EV59" i="1"/>
  <c r="ET59" i="1"/>
  <c r="ER59" i="1"/>
  <c r="EP59" i="1"/>
  <c r="EO59" i="1"/>
  <c r="EN59" i="1"/>
  <c r="EL59" i="1"/>
  <c r="EJ59" i="1"/>
  <c r="EH59" i="1"/>
  <c r="EG59" i="1"/>
  <c r="EF59" i="1"/>
  <c r="ED59" i="1"/>
  <c r="EB59" i="1"/>
  <c r="DZ59" i="1"/>
  <c r="DY59" i="1"/>
  <c r="DX59" i="1"/>
  <c r="DV59" i="1"/>
  <c r="DT59" i="1"/>
  <c r="DR59" i="1"/>
  <c r="DP59" i="1"/>
  <c r="DN59" i="1"/>
  <c r="DL59" i="1"/>
  <c r="DJ59" i="1"/>
  <c r="DH59" i="1"/>
  <c r="DF59" i="1"/>
  <c r="DD59" i="1"/>
  <c r="DB59" i="1"/>
  <c r="AK59" i="1"/>
  <c r="A59" i="1"/>
  <c r="GV58" i="1"/>
  <c r="GF58" i="1"/>
  <c r="GE58" i="1"/>
  <c r="GD58" i="1"/>
  <c r="GB58" i="1"/>
  <c r="FZ58" i="1"/>
  <c r="FX58" i="1"/>
  <c r="FV58" i="1"/>
  <c r="FT58" i="1"/>
  <c r="FR58" i="1"/>
  <c r="FP58" i="1"/>
  <c r="FO58" i="1"/>
  <c r="FN58" i="1"/>
  <c r="FL58" i="1"/>
  <c r="FJ58" i="1"/>
  <c r="FH58" i="1"/>
  <c r="FG58" i="1"/>
  <c r="FF58" i="1"/>
  <c r="FD58" i="1"/>
  <c r="FB58" i="1"/>
  <c r="EZ58" i="1"/>
  <c r="EY58" i="1"/>
  <c r="EX58" i="1"/>
  <c r="EV58" i="1"/>
  <c r="ET58" i="1"/>
  <c r="ER58" i="1"/>
  <c r="EP58" i="1"/>
  <c r="EO58" i="1"/>
  <c r="EN58" i="1"/>
  <c r="EL58" i="1"/>
  <c r="EJ58" i="1"/>
  <c r="EH58" i="1"/>
  <c r="EG58" i="1"/>
  <c r="EF58" i="1"/>
  <c r="ED58" i="1"/>
  <c r="EB58" i="1"/>
  <c r="DZ58" i="1"/>
  <c r="DY58" i="1"/>
  <c r="DX58" i="1"/>
  <c r="DV58" i="1"/>
  <c r="DT58" i="1"/>
  <c r="DR58" i="1"/>
  <c r="DP58" i="1"/>
  <c r="DN58" i="1"/>
  <c r="DL58" i="1"/>
  <c r="DJ58" i="1"/>
  <c r="DH58" i="1"/>
  <c r="DF58" i="1"/>
  <c r="DD58" i="1"/>
  <c r="DB58" i="1"/>
  <c r="AK58" i="1"/>
  <c r="A58" i="1"/>
  <c r="GV57" i="1"/>
  <c r="GF57" i="1"/>
  <c r="GE57" i="1"/>
  <c r="GD57" i="1"/>
  <c r="GB57" i="1"/>
  <c r="FZ57" i="1"/>
  <c r="FX57" i="1"/>
  <c r="FV57" i="1"/>
  <c r="FT57" i="1"/>
  <c r="FR57" i="1"/>
  <c r="FP57" i="1"/>
  <c r="FO57" i="1"/>
  <c r="FN57" i="1"/>
  <c r="FL57" i="1"/>
  <c r="FJ57" i="1"/>
  <c r="FH57" i="1"/>
  <c r="FG57" i="1"/>
  <c r="FF57" i="1"/>
  <c r="FD57" i="1"/>
  <c r="FB57" i="1"/>
  <c r="EZ57" i="1"/>
  <c r="EY57" i="1"/>
  <c r="EX57" i="1"/>
  <c r="EV57" i="1"/>
  <c r="ET57" i="1"/>
  <c r="ER57" i="1"/>
  <c r="EP57" i="1"/>
  <c r="EO57" i="1"/>
  <c r="EN57" i="1"/>
  <c r="EL57" i="1"/>
  <c r="EJ57" i="1"/>
  <c r="EH57" i="1"/>
  <c r="EG57" i="1"/>
  <c r="EF57" i="1"/>
  <c r="ED57" i="1"/>
  <c r="EB57" i="1"/>
  <c r="DZ57" i="1"/>
  <c r="DY57" i="1"/>
  <c r="DX57" i="1"/>
  <c r="DV57" i="1"/>
  <c r="DT57" i="1"/>
  <c r="DR57" i="1"/>
  <c r="DP57" i="1"/>
  <c r="DN57" i="1"/>
  <c r="DL57" i="1"/>
  <c r="DJ57" i="1"/>
  <c r="DH57" i="1"/>
  <c r="DF57" i="1"/>
  <c r="DD57" i="1"/>
  <c r="DB57" i="1"/>
  <c r="AK57" i="1"/>
  <c r="A57" i="1"/>
  <c r="GV56" i="1"/>
  <c r="GF56" i="1"/>
  <c r="GE56" i="1"/>
  <c r="GD56" i="1"/>
  <c r="GB56" i="1"/>
  <c r="FZ56" i="1"/>
  <c r="FX56" i="1"/>
  <c r="FV56" i="1"/>
  <c r="FT56" i="1"/>
  <c r="FR56" i="1"/>
  <c r="FP56" i="1"/>
  <c r="FO56" i="1"/>
  <c r="FN56" i="1"/>
  <c r="FL56" i="1"/>
  <c r="FJ56" i="1"/>
  <c r="FH56" i="1"/>
  <c r="FG56" i="1"/>
  <c r="FF56" i="1"/>
  <c r="FD56" i="1"/>
  <c r="FB56" i="1"/>
  <c r="EZ56" i="1"/>
  <c r="EY56" i="1"/>
  <c r="EX56" i="1"/>
  <c r="EV56" i="1"/>
  <c r="ET56" i="1"/>
  <c r="ER56" i="1"/>
  <c r="EP56" i="1"/>
  <c r="EO56" i="1"/>
  <c r="EN56" i="1"/>
  <c r="EL56" i="1"/>
  <c r="EJ56" i="1"/>
  <c r="EH56" i="1"/>
  <c r="EG56" i="1"/>
  <c r="EF56" i="1"/>
  <c r="ED56" i="1"/>
  <c r="EB56" i="1"/>
  <c r="DZ56" i="1"/>
  <c r="DY56" i="1"/>
  <c r="DX56" i="1"/>
  <c r="DV56" i="1"/>
  <c r="DT56" i="1"/>
  <c r="DR56" i="1"/>
  <c r="DP56" i="1"/>
  <c r="DN56" i="1"/>
  <c r="DL56" i="1"/>
  <c r="DJ56" i="1"/>
  <c r="DH56" i="1"/>
  <c r="DF56" i="1"/>
  <c r="DD56" i="1"/>
  <c r="DB56" i="1"/>
  <c r="AK56" i="1"/>
  <c r="A56" i="1"/>
  <c r="GV55" i="1"/>
  <c r="GF55" i="1"/>
  <c r="GE55" i="1"/>
  <c r="GD55" i="1"/>
  <c r="GB55" i="1"/>
  <c r="FZ55" i="1"/>
  <c r="FX55" i="1"/>
  <c r="FV55" i="1"/>
  <c r="FT55" i="1"/>
  <c r="FR55" i="1"/>
  <c r="FP55" i="1"/>
  <c r="FO55" i="1"/>
  <c r="FN55" i="1"/>
  <c r="FL55" i="1"/>
  <c r="FJ55" i="1"/>
  <c r="FH55" i="1"/>
  <c r="FG55" i="1"/>
  <c r="FF55" i="1"/>
  <c r="FD55" i="1"/>
  <c r="FB55" i="1"/>
  <c r="EZ55" i="1"/>
  <c r="EY55" i="1"/>
  <c r="EX55" i="1"/>
  <c r="EV55" i="1"/>
  <c r="ET55" i="1"/>
  <c r="ER55" i="1"/>
  <c r="EP55" i="1"/>
  <c r="EO55" i="1"/>
  <c r="EN55" i="1"/>
  <c r="EL55" i="1"/>
  <c r="EJ55" i="1"/>
  <c r="EH55" i="1"/>
  <c r="EG55" i="1"/>
  <c r="EF55" i="1"/>
  <c r="ED55" i="1"/>
  <c r="EB55" i="1"/>
  <c r="DZ55" i="1"/>
  <c r="DY55" i="1"/>
  <c r="DX55" i="1"/>
  <c r="DV55" i="1"/>
  <c r="DT55" i="1"/>
  <c r="DR55" i="1"/>
  <c r="DP55" i="1"/>
  <c r="DN55" i="1"/>
  <c r="DL55" i="1"/>
  <c r="DJ55" i="1"/>
  <c r="DH55" i="1"/>
  <c r="DF55" i="1"/>
  <c r="DD55" i="1"/>
  <c r="DB55" i="1"/>
  <c r="AK55" i="1"/>
  <c r="A55" i="1"/>
  <c r="GV54" i="1"/>
  <c r="GF54" i="1"/>
  <c r="GE54" i="1"/>
  <c r="GD54" i="1"/>
  <c r="GB54" i="1"/>
  <c r="FZ54" i="1"/>
  <c r="FX54" i="1"/>
  <c r="FV54" i="1"/>
  <c r="FT54" i="1"/>
  <c r="FR54" i="1"/>
  <c r="FP54" i="1"/>
  <c r="FO54" i="1"/>
  <c r="FN54" i="1"/>
  <c r="FL54" i="1"/>
  <c r="FJ54" i="1"/>
  <c r="FH54" i="1"/>
  <c r="FG54" i="1"/>
  <c r="FF54" i="1"/>
  <c r="FD54" i="1"/>
  <c r="FB54" i="1"/>
  <c r="EZ54" i="1"/>
  <c r="EY54" i="1"/>
  <c r="EX54" i="1"/>
  <c r="EV54" i="1"/>
  <c r="ET54" i="1"/>
  <c r="ER54" i="1"/>
  <c r="EP54" i="1"/>
  <c r="EO54" i="1"/>
  <c r="EN54" i="1"/>
  <c r="EL54" i="1"/>
  <c r="EJ54" i="1"/>
  <c r="EH54" i="1"/>
  <c r="EG54" i="1"/>
  <c r="EF54" i="1"/>
  <c r="ED54" i="1"/>
  <c r="EB54" i="1"/>
  <c r="DZ54" i="1"/>
  <c r="DY54" i="1"/>
  <c r="DX54" i="1"/>
  <c r="DV54" i="1"/>
  <c r="DT54" i="1"/>
  <c r="DR54" i="1"/>
  <c r="DP54" i="1"/>
  <c r="DN54" i="1"/>
  <c r="DL54" i="1"/>
  <c r="DJ54" i="1"/>
  <c r="DH54" i="1"/>
  <c r="DF54" i="1"/>
  <c r="DD54" i="1"/>
  <c r="DB54" i="1"/>
  <c r="AK54" i="1"/>
  <c r="A54" i="1"/>
  <c r="GV53" i="1"/>
  <c r="GF53" i="1"/>
  <c r="GE53" i="1"/>
  <c r="GD53" i="1"/>
  <c r="GB53" i="1"/>
  <c r="FZ53" i="1"/>
  <c r="FX53" i="1"/>
  <c r="FV53" i="1"/>
  <c r="FT53" i="1"/>
  <c r="FR53" i="1"/>
  <c r="FP53" i="1"/>
  <c r="FO53" i="1"/>
  <c r="FN53" i="1"/>
  <c r="FL53" i="1"/>
  <c r="FJ53" i="1"/>
  <c r="FH53" i="1"/>
  <c r="FG53" i="1"/>
  <c r="FF53" i="1"/>
  <c r="FD53" i="1"/>
  <c r="FB53" i="1"/>
  <c r="EZ53" i="1"/>
  <c r="EY53" i="1"/>
  <c r="EX53" i="1"/>
  <c r="EV53" i="1"/>
  <c r="ET53" i="1"/>
  <c r="ER53" i="1"/>
  <c r="EP53" i="1"/>
  <c r="EO53" i="1"/>
  <c r="EN53" i="1"/>
  <c r="EL53" i="1"/>
  <c r="EJ53" i="1"/>
  <c r="EH53" i="1"/>
  <c r="EG53" i="1"/>
  <c r="EF53" i="1"/>
  <c r="ED53" i="1"/>
  <c r="EB53" i="1"/>
  <c r="DZ53" i="1"/>
  <c r="DY53" i="1"/>
  <c r="DX53" i="1"/>
  <c r="DV53" i="1"/>
  <c r="DT53" i="1"/>
  <c r="DR53" i="1"/>
  <c r="DP53" i="1"/>
  <c r="DN53" i="1"/>
  <c r="DL53" i="1"/>
  <c r="DJ53" i="1"/>
  <c r="DH53" i="1"/>
  <c r="DF53" i="1"/>
  <c r="DD53" i="1"/>
  <c r="DB53" i="1"/>
  <c r="AK53" i="1"/>
  <c r="A53" i="1"/>
  <c r="GV52" i="1"/>
  <c r="GF52" i="1"/>
  <c r="GE52" i="1"/>
  <c r="GD52" i="1"/>
  <c r="GB52" i="1"/>
  <c r="FZ52" i="1"/>
  <c r="FX52" i="1"/>
  <c r="FV52" i="1"/>
  <c r="FT52" i="1"/>
  <c r="FR52" i="1"/>
  <c r="FP52" i="1"/>
  <c r="FO52" i="1"/>
  <c r="FN52" i="1"/>
  <c r="FL52" i="1"/>
  <c r="FJ52" i="1"/>
  <c r="FH52" i="1"/>
  <c r="FG52" i="1"/>
  <c r="FF52" i="1"/>
  <c r="FD52" i="1"/>
  <c r="FB52" i="1"/>
  <c r="EZ52" i="1"/>
  <c r="EY52" i="1"/>
  <c r="EX52" i="1"/>
  <c r="EV52" i="1"/>
  <c r="ET52" i="1"/>
  <c r="ER52" i="1"/>
  <c r="EP52" i="1"/>
  <c r="EO52" i="1"/>
  <c r="EN52" i="1"/>
  <c r="EL52" i="1"/>
  <c r="EJ52" i="1"/>
  <c r="EH52" i="1"/>
  <c r="EG52" i="1"/>
  <c r="EF52" i="1"/>
  <c r="ED52" i="1"/>
  <c r="EB52" i="1"/>
  <c r="DZ52" i="1"/>
  <c r="DY52" i="1"/>
  <c r="DX52" i="1"/>
  <c r="DV52" i="1"/>
  <c r="DT52" i="1"/>
  <c r="DR52" i="1"/>
  <c r="DP52" i="1"/>
  <c r="DN52" i="1"/>
  <c r="DL52" i="1"/>
  <c r="DJ52" i="1"/>
  <c r="DH52" i="1"/>
  <c r="DF52" i="1"/>
  <c r="DD52" i="1"/>
  <c r="DB52" i="1"/>
  <c r="AK52" i="1"/>
  <c r="A52" i="1"/>
  <c r="GV51" i="1"/>
  <c r="GF51" i="1"/>
  <c r="GE51" i="1"/>
  <c r="GD51" i="1"/>
  <c r="GB51" i="1"/>
  <c r="FZ51" i="1"/>
  <c r="FX51" i="1"/>
  <c r="FV51" i="1"/>
  <c r="FT51" i="1"/>
  <c r="FR51" i="1"/>
  <c r="FP51" i="1"/>
  <c r="FO51" i="1"/>
  <c r="FN51" i="1"/>
  <c r="FL51" i="1"/>
  <c r="FJ51" i="1"/>
  <c r="FH51" i="1"/>
  <c r="FG51" i="1"/>
  <c r="FF51" i="1"/>
  <c r="FD51" i="1"/>
  <c r="FB51" i="1"/>
  <c r="EZ51" i="1"/>
  <c r="EY51" i="1"/>
  <c r="EX51" i="1"/>
  <c r="EV51" i="1"/>
  <c r="ET51" i="1"/>
  <c r="ER51" i="1"/>
  <c r="EP51" i="1"/>
  <c r="EO51" i="1"/>
  <c r="EN51" i="1"/>
  <c r="EL51" i="1"/>
  <c r="EJ51" i="1"/>
  <c r="EH51" i="1"/>
  <c r="EG51" i="1"/>
  <c r="EF51" i="1"/>
  <c r="ED51" i="1"/>
  <c r="EB51" i="1"/>
  <c r="DZ51" i="1"/>
  <c r="DY51" i="1"/>
  <c r="DX51" i="1"/>
  <c r="DV51" i="1"/>
  <c r="DT51" i="1"/>
  <c r="DR51" i="1"/>
  <c r="DP51" i="1"/>
  <c r="DN51" i="1"/>
  <c r="DL51" i="1"/>
  <c r="DJ51" i="1"/>
  <c r="DH51" i="1"/>
  <c r="DF51" i="1"/>
  <c r="DD51" i="1"/>
  <c r="DB51" i="1"/>
  <c r="AK51" i="1"/>
  <c r="A51" i="1"/>
  <c r="GV50" i="1"/>
  <c r="GF50" i="1"/>
  <c r="GE50" i="1"/>
  <c r="GD50" i="1"/>
  <c r="GB50" i="1"/>
  <c r="FZ50" i="1"/>
  <c r="FX50" i="1"/>
  <c r="FV50" i="1"/>
  <c r="FT50" i="1"/>
  <c r="FR50" i="1"/>
  <c r="FP50" i="1"/>
  <c r="FO50" i="1"/>
  <c r="FN50" i="1"/>
  <c r="FL50" i="1"/>
  <c r="FJ50" i="1"/>
  <c r="FH50" i="1"/>
  <c r="FG50" i="1"/>
  <c r="FF50" i="1"/>
  <c r="FD50" i="1"/>
  <c r="FB50" i="1"/>
  <c r="EZ50" i="1"/>
  <c r="EY50" i="1"/>
  <c r="EX50" i="1"/>
  <c r="EV50" i="1"/>
  <c r="ET50" i="1"/>
  <c r="ER50" i="1"/>
  <c r="EP50" i="1"/>
  <c r="EO50" i="1"/>
  <c r="EN50" i="1"/>
  <c r="EL50" i="1"/>
  <c r="EJ50" i="1"/>
  <c r="EH50" i="1"/>
  <c r="EG50" i="1"/>
  <c r="EF50" i="1"/>
  <c r="ED50" i="1"/>
  <c r="EB50" i="1"/>
  <c r="DZ50" i="1"/>
  <c r="DY50" i="1"/>
  <c r="DX50" i="1"/>
  <c r="DV50" i="1"/>
  <c r="DT50" i="1"/>
  <c r="DR50" i="1"/>
  <c r="DP50" i="1"/>
  <c r="DN50" i="1"/>
  <c r="DL50" i="1"/>
  <c r="DJ50" i="1"/>
  <c r="DH50" i="1"/>
  <c r="DF50" i="1"/>
  <c r="DD50" i="1"/>
  <c r="DB50" i="1"/>
  <c r="AK50" i="1"/>
  <c r="A50" i="1"/>
  <c r="GV49" i="1"/>
  <c r="GV48" i="1"/>
  <c r="GV47" i="1"/>
  <c r="GF47" i="1"/>
  <c r="GE47" i="1"/>
  <c r="GD47" i="1"/>
  <c r="GB47" i="1"/>
  <c r="FZ47" i="1"/>
  <c r="FX47" i="1"/>
  <c r="FV47" i="1"/>
  <c r="FT47" i="1"/>
  <c r="FR47" i="1"/>
  <c r="FP47" i="1"/>
  <c r="FO47" i="1"/>
  <c r="FN47" i="1"/>
  <c r="FL47" i="1"/>
  <c r="FJ47" i="1"/>
  <c r="FH47" i="1"/>
  <c r="FG47" i="1"/>
  <c r="FF47" i="1"/>
  <c r="FD47" i="1"/>
  <c r="FB47" i="1"/>
  <c r="EZ47" i="1"/>
  <c r="EY47" i="1"/>
  <c r="EX47" i="1"/>
  <c r="EV47" i="1"/>
  <c r="ET47" i="1"/>
  <c r="ER47" i="1"/>
  <c r="EP47" i="1"/>
  <c r="EO47" i="1"/>
  <c r="EN47" i="1"/>
  <c r="EL47" i="1"/>
  <c r="EJ47" i="1"/>
  <c r="EH47" i="1"/>
  <c r="EG47" i="1"/>
  <c r="EF47" i="1"/>
  <c r="ED47" i="1"/>
  <c r="EB47" i="1"/>
  <c r="DZ47" i="1"/>
  <c r="DY47" i="1"/>
  <c r="DX47" i="1"/>
  <c r="DV47" i="1"/>
  <c r="DT47" i="1"/>
  <c r="DR47" i="1"/>
  <c r="DP47" i="1"/>
  <c r="DN47" i="1"/>
  <c r="DL47" i="1"/>
  <c r="DJ47" i="1"/>
  <c r="DH47" i="1"/>
  <c r="DF47" i="1"/>
  <c r="DD47" i="1"/>
  <c r="DB47" i="1"/>
  <c r="AK47" i="1"/>
  <c r="A47" i="1"/>
  <c r="GV46" i="1"/>
  <c r="GF46" i="1"/>
  <c r="GE46" i="1"/>
  <c r="GD46" i="1"/>
  <c r="GB46" i="1"/>
  <c r="FZ46" i="1"/>
  <c r="FX46" i="1"/>
  <c r="FV46" i="1"/>
  <c r="FT46" i="1"/>
  <c r="FR46" i="1"/>
  <c r="FP46" i="1"/>
  <c r="FO46" i="1"/>
  <c r="FN46" i="1"/>
  <c r="FL46" i="1"/>
  <c r="FJ46" i="1"/>
  <c r="FH46" i="1"/>
  <c r="FG46" i="1"/>
  <c r="FF46" i="1"/>
  <c r="FD46" i="1"/>
  <c r="FB46" i="1"/>
  <c r="EZ46" i="1"/>
  <c r="EY46" i="1"/>
  <c r="EX46" i="1"/>
  <c r="EV46" i="1"/>
  <c r="ET46" i="1"/>
  <c r="ER46" i="1"/>
  <c r="EP46" i="1"/>
  <c r="EO46" i="1"/>
  <c r="EN46" i="1"/>
  <c r="EL46" i="1"/>
  <c r="EJ46" i="1"/>
  <c r="EH46" i="1"/>
  <c r="EG46" i="1"/>
  <c r="EF46" i="1"/>
  <c r="ED46" i="1"/>
  <c r="EB46" i="1"/>
  <c r="DZ46" i="1"/>
  <c r="DY46" i="1"/>
  <c r="DX46" i="1"/>
  <c r="DV46" i="1"/>
  <c r="DT46" i="1"/>
  <c r="DR46" i="1"/>
  <c r="DP46" i="1"/>
  <c r="DN46" i="1"/>
  <c r="DL46" i="1"/>
  <c r="DJ46" i="1"/>
  <c r="DH46" i="1"/>
  <c r="DF46" i="1"/>
  <c r="DD46" i="1"/>
  <c r="DB46" i="1"/>
  <c r="AK46" i="1"/>
  <c r="A46" i="1"/>
  <c r="GV45" i="1"/>
  <c r="GV44" i="1"/>
  <c r="GF44" i="1"/>
  <c r="GE44" i="1"/>
  <c r="GD44" i="1"/>
  <c r="GB44" i="1"/>
  <c r="FZ44" i="1"/>
  <c r="FX44" i="1"/>
  <c r="FV44" i="1"/>
  <c r="FT44" i="1"/>
  <c r="FR44" i="1"/>
  <c r="FP44" i="1"/>
  <c r="FO44" i="1"/>
  <c r="FN44" i="1"/>
  <c r="FL44" i="1"/>
  <c r="FJ44" i="1"/>
  <c r="FH44" i="1"/>
  <c r="FG44" i="1"/>
  <c r="FF44" i="1"/>
  <c r="FD44" i="1"/>
  <c r="FB44" i="1"/>
  <c r="EZ44" i="1"/>
  <c r="EY44" i="1"/>
  <c r="EX44" i="1"/>
  <c r="EV44" i="1"/>
  <c r="ET44" i="1"/>
  <c r="ER44" i="1"/>
  <c r="EP44" i="1"/>
  <c r="EO44" i="1"/>
  <c r="EN44" i="1"/>
  <c r="EL44" i="1"/>
  <c r="EJ44" i="1"/>
  <c r="EH44" i="1"/>
  <c r="EG44" i="1"/>
  <c r="EF44" i="1"/>
  <c r="ED44" i="1"/>
  <c r="EB44" i="1"/>
  <c r="DZ44" i="1"/>
  <c r="DY44" i="1"/>
  <c r="DX44" i="1"/>
  <c r="DV44" i="1"/>
  <c r="DT44" i="1"/>
  <c r="DR44" i="1"/>
  <c r="DP44" i="1"/>
  <c r="DN44" i="1"/>
  <c r="DL44" i="1"/>
  <c r="DJ44" i="1"/>
  <c r="DH44" i="1"/>
  <c r="DF44" i="1"/>
  <c r="DD44" i="1"/>
  <c r="DB44" i="1"/>
  <c r="AK44" i="1"/>
  <c r="A44" i="1"/>
  <c r="GV43" i="1"/>
  <c r="GF43" i="1"/>
  <c r="GE43" i="1"/>
  <c r="GD43" i="1"/>
  <c r="GB43" i="1"/>
  <c r="FZ43" i="1"/>
  <c r="FX43" i="1"/>
  <c r="FV43" i="1"/>
  <c r="FT43" i="1"/>
  <c r="FR43" i="1"/>
  <c r="FP43" i="1"/>
  <c r="FO43" i="1"/>
  <c r="FN43" i="1"/>
  <c r="FL43" i="1"/>
  <c r="FJ43" i="1"/>
  <c r="FH43" i="1"/>
  <c r="FG43" i="1"/>
  <c r="FF43" i="1"/>
  <c r="FD43" i="1"/>
  <c r="FB43" i="1"/>
  <c r="EZ43" i="1"/>
  <c r="EY43" i="1"/>
  <c r="EX43" i="1"/>
  <c r="EV43" i="1"/>
  <c r="ET43" i="1"/>
  <c r="ER43" i="1"/>
  <c r="EP43" i="1"/>
  <c r="EO43" i="1"/>
  <c r="EN43" i="1"/>
  <c r="EL43" i="1"/>
  <c r="EJ43" i="1"/>
  <c r="EH43" i="1"/>
  <c r="EG43" i="1"/>
  <c r="EF43" i="1"/>
  <c r="ED43" i="1"/>
  <c r="EB43" i="1"/>
  <c r="DZ43" i="1"/>
  <c r="DY43" i="1"/>
  <c r="DX43" i="1"/>
  <c r="DV43" i="1"/>
  <c r="DT43" i="1"/>
  <c r="DR43" i="1"/>
  <c r="DP43" i="1"/>
  <c r="DN43" i="1"/>
  <c r="DL43" i="1"/>
  <c r="DJ43" i="1"/>
  <c r="DH43" i="1"/>
  <c r="DF43" i="1"/>
  <c r="DD43" i="1"/>
  <c r="DB43" i="1"/>
  <c r="AK43" i="1"/>
  <c r="A43" i="1"/>
  <c r="GV42" i="1"/>
  <c r="GV41" i="1"/>
  <c r="GF41" i="1"/>
  <c r="GE41" i="1"/>
  <c r="GD41" i="1"/>
  <c r="GB41" i="1"/>
  <c r="FZ41" i="1"/>
  <c r="FX41" i="1"/>
  <c r="FV41" i="1"/>
  <c r="FT41" i="1"/>
  <c r="FR41" i="1"/>
  <c r="FP41" i="1"/>
  <c r="FO41" i="1"/>
  <c r="FN41" i="1"/>
  <c r="FL41" i="1"/>
  <c r="FJ41" i="1"/>
  <c r="FH41" i="1"/>
  <c r="FG41" i="1"/>
  <c r="FF41" i="1"/>
  <c r="FD41" i="1"/>
  <c r="FB41" i="1"/>
  <c r="EZ41" i="1"/>
  <c r="EY41" i="1"/>
  <c r="EX41" i="1"/>
  <c r="EV41" i="1"/>
  <c r="ET41" i="1"/>
  <c r="ER41" i="1"/>
  <c r="EP41" i="1"/>
  <c r="EO41" i="1"/>
  <c r="EN41" i="1"/>
  <c r="EL41" i="1"/>
  <c r="EJ41" i="1"/>
  <c r="EH41" i="1"/>
  <c r="EG41" i="1"/>
  <c r="EF41" i="1"/>
  <c r="ED41" i="1"/>
  <c r="EB41" i="1"/>
  <c r="DZ41" i="1"/>
  <c r="DY41" i="1"/>
  <c r="DX41" i="1"/>
  <c r="DV41" i="1"/>
  <c r="DT41" i="1"/>
  <c r="DR41" i="1"/>
  <c r="DP41" i="1"/>
  <c r="DN41" i="1"/>
  <c r="DL41" i="1"/>
  <c r="DJ41" i="1"/>
  <c r="DH41" i="1"/>
  <c r="DF41" i="1"/>
  <c r="DD41" i="1"/>
  <c r="DB41" i="1"/>
  <c r="AK41" i="1"/>
  <c r="A41" i="1"/>
  <c r="GV40" i="1"/>
  <c r="GF40" i="1"/>
  <c r="GE40" i="1"/>
  <c r="GD40" i="1"/>
  <c r="GB40" i="1"/>
  <c r="FZ40" i="1"/>
  <c r="FX40" i="1"/>
  <c r="FV40" i="1"/>
  <c r="FT40" i="1"/>
  <c r="FR40" i="1"/>
  <c r="FP40" i="1"/>
  <c r="FO40" i="1"/>
  <c r="FN40" i="1"/>
  <c r="FL40" i="1"/>
  <c r="FJ40" i="1"/>
  <c r="FH40" i="1"/>
  <c r="FG40" i="1"/>
  <c r="FF40" i="1"/>
  <c r="FD40" i="1"/>
  <c r="FB40" i="1"/>
  <c r="EZ40" i="1"/>
  <c r="EY40" i="1"/>
  <c r="EX40" i="1"/>
  <c r="EV40" i="1"/>
  <c r="ET40" i="1"/>
  <c r="ER40" i="1"/>
  <c r="EP40" i="1"/>
  <c r="EO40" i="1"/>
  <c r="EN40" i="1"/>
  <c r="EL40" i="1"/>
  <c r="EJ40" i="1"/>
  <c r="EH40" i="1"/>
  <c r="EG40" i="1"/>
  <c r="EF40" i="1"/>
  <c r="ED40" i="1"/>
  <c r="EB40" i="1"/>
  <c r="DZ40" i="1"/>
  <c r="DY40" i="1"/>
  <c r="DX40" i="1"/>
  <c r="DV40" i="1"/>
  <c r="DT40" i="1"/>
  <c r="DR40" i="1"/>
  <c r="DP40" i="1"/>
  <c r="DN40" i="1"/>
  <c r="DL40" i="1"/>
  <c r="DJ40" i="1"/>
  <c r="DH40" i="1"/>
  <c r="DF40" i="1"/>
  <c r="DD40" i="1"/>
  <c r="DB40" i="1"/>
  <c r="AK40" i="1"/>
  <c r="A40" i="1"/>
  <c r="GV39" i="1"/>
  <c r="GF39" i="1"/>
  <c r="GE39" i="1"/>
  <c r="GD39" i="1"/>
  <c r="GB39" i="1"/>
  <c r="FZ39" i="1"/>
  <c r="FX39" i="1"/>
  <c r="FV39" i="1"/>
  <c r="FT39" i="1"/>
  <c r="FR39" i="1"/>
  <c r="FP39" i="1"/>
  <c r="FO39" i="1"/>
  <c r="FN39" i="1"/>
  <c r="FL39" i="1"/>
  <c r="FJ39" i="1"/>
  <c r="FH39" i="1"/>
  <c r="FG39" i="1"/>
  <c r="FF39" i="1"/>
  <c r="FD39" i="1"/>
  <c r="FB39" i="1"/>
  <c r="EZ39" i="1"/>
  <c r="EY39" i="1"/>
  <c r="EX39" i="1"/>
  <c r="EV39" i="1"/>
  <c r="ET39" i="1"/>
  <c r="ER39" i="1"/>
  <c r="EP39" i="1"/>
  <c r="EO39" i="1"/>
  <c r="EN39" i="1"/>
  <c r="EL39" i="1"/>
  <c r="EJ39" i="1"/>
  <c r="EH39" i="1"/>
  <c r="EG39" i="1"/>
  <c r="EF39" i="1"/>
  <c r="ED39" i="1"/>
  <c r="EB39" i="1"/>
  <c r="DZ39" i="1"/>
  <c r="DY39" i="1"/>
  <c r="DX39" i="1"/>
  <c r="DV39" i="1"/>
  <c r="DT39" i="1"/>
  <c r="DR39" i="1"/>
  <c r="DP39" i="1"/>
  <c r="DN39" i="1"/>
  <c r="DL39" i="1"/>
  <c r="DJ39" i="1"/>
  <c r="DH39" i="1"/>
  <c r="DF39" i="1"/>
  <c r="DD39" i="1"/>
  <c r="DB39" i="1"/>
  <c r="AK39" i="1"/>
  <c r="A39" i="1"/>
  <c r="GV38" i="1"/>
  <c r="GF38" i="1"/>
  <c r="GE38" i="1"/>
  <c r="GD38" i="1"/>
  <c r="GB38" i="1"/>
  <c r="FZ38" i="1"/>
  <c r="FX38" i="1"/>
  <c r="FV38" i="1"/>
  <c r="FT38" i="1"/>
  <c r="FR38" i="1"/>
  <c r="FP38" i="1"/>
  <c r="FO38" i="1"/>
  <c r="FN38" i="1"/>
  <c r="FL38" i="1"/>
  <c r="FJ38" i="1"/>
  <c r="FH38" i="1"/>
  <c r="FG38" i="1"/>
  <c r="FF38" i="1"/>
  <c r="FD38" i="1"/>
  <c r="FB38" i="1"/>
  <c r="EZ38" i="1"/>
  <c r="EY38" i="1"/>
  <c r="EX38" i="1"/>
  <c r="EV38" i="1"/>
  <c r="ET38" i="1"/>
  <c r="ER38" i="1"/>
  <c r="EP38" i="1"/>
  <c r="EO38" i="1"/>
  <c r="EN38" i="1"/>
  <c r="EL38" i="1"/>
  <c r="EJ38" i="1"/>
  <c r="EH38" i="1"/>
  <c r="EG38" i="1"/>
  <c r="EF38" i="1"/>
  <c r="ED38" i="1"/>
  <c r="EB38" i="1"/>
  <c r="DZ38" i="1"/>
  <c r="DY38" i="1"/>
  <c r="DX38" i="1"/>
  <c r="DV38" i="1"/>
  <c r="DT38" i="1"/>
  <c r="DR38" i="1"/>
  <c r="DP38" i="1"/>
  <c r="DN38" i="1"/>
  <c r="DL38" i="1"/>
  <c r="DJ38" i="1"/>
  <c r="DH38" i="1"/>
  <c r="DF38" i="1"/>
  <c r="DD38" i="1"/>
  <c r="DB38" i="1"/>
  <c r="AK38" i="1"/>
  <c r="A38" i="1"/>
  <c r="GV37" i="1"/>
  <c r="GF37" i="1"/>
  <c r="GE37" i="1"/>
  <c r="GD37" i="1"/>
  <c r="GB37" i="1"/>
  <c r="FZ37" i="1"/>
  <c r="FX37" i="1"/>
  <c r="FV37" i="1"/>
  <c r="FT37" i="1"/>
  <c r="FR37" i="1"/>
  <c r="FP37" i="1"/>
  <c r="FO37" i="1"/>
  <c r="FN37" i="1"/>
  <c r="FL37" i="1"/>
  <c r="FJ37" i="1"/>
  <c r="FH37" i="1"/>
  <c r="FG37" i="1"/>
  <c r="FF37" i="1"/>
  <c r="FD37" i="1"/>
  <c r="FB37" i="1"/>
  <c r="EZ37" i="1"/>
  <c r="EY37" i="1"/>
  <c r="EX37" i="1"/>
  <c r="EV37" i="1"/>
  <c r="ET37" i="1"/>
  <c r="ER37" i="1"/>
  <c r="EP37" i="1"/>
  <c r="EO37" i="1"/>
  <c r="EN37" i="1"/>
  <c r="EL37" i="1"/>
  <c r="EJ37" i="1"/>
  <c r="EH37" i="1"/>
  <c r="EG37" i="1"/>
  <c r="EF37" i="1"/>
  <c r="ED37" i="1"/>
  <c r="EB37" i="1"/>
  <c r="DZ37" i="1"/>
  <c r="DY37" i="1"/>
  <c r="DX37" i="1"/>
  <c r="DV37" i="1"/>
  <c r="DT37" i="1"/>
  <c r="DR37" i="1"/>
  <c r="DP37" i="1"/>
  <c r="DN37" i="1"/>
  <c r="DL37" i="1"/>
  <c r="DJ37" i="1"/>
  <c r="DH37" i="1"/>
  <c r="DF37" i="1"/>
  <c r="DD37" i="1"/>
  <c r="DB37" i="1"/>
  <c r="AK37" i="1"/>
  <c r="A37" i="1"/>
  <c r="GV36" i="1"/>
  <c r="GF36" i="1"/>
  <c r="GE36" i="1"/>
  <c r="GD36" i="1"/>
  <c r="GB36" i="1"/>
  <c r="FZ36" i="1"/>
  <c r="FX36" i="1"/>
  <c r="FV36" i="1"/>
  <c r="FT36" i="1"/>
  <c r="FR36" i="1"/>
  <c r="FP36" i="1"/>
  <c r="FO36" i="1"/>
  <c r="FN36" i="1"/>
  <c r="FL36" i="1"/>
  <c r="FJ36" i="1"/>
  <c r="FH36" i="1"/>
  <c r="FG36" i="1"/>
  <c r="FF36" i="1"/>
  <c r="FD36" i="1"/>
  <c r="FB36" i="1"/>
  <c r="EZ36" i="1"/>
  <c r="EY36" i="1"/>
  <c r="EX36" i="1"/>
  <c r="EV36" i="1"/>
  <c r="ET36" i="1"/>
  <c r="ER36" i="1"/>
  <c r="EP36" i="1"/>
  <c r="EO36" i="1"/>
  <c r="EN36" i="1"/>
  <c r="EL36" i="1"/>
  <c r="EJ36" i="1"/>
  <c r="EH36" i="1"/>
  <c r="EG36" i="1"/>
  <c r="EF36" i="1"/>
  <c r="ED36" i="1"/>
  <c r="EB36" i="1"/>
  <c r="DZ36" i="1"/>
  <c r="DY36" i="1"/>
  <c r="DX36" i="1"/>
  <c r="DV36" i="1"/>
  <c r="DT36" i="1"/>
  <c r="DR36" i="1"/>
  <c r="DP36" i="1"/>
  <c r="DN36" i="1"/>
  <c r="DL36" i="1"/>
  <c r="DJ36" i="1"/>
  <c r="DH36" i="1"/>
  <c r="DF36" i="1"/>
  <c r="DD36" i="1"/>
  <c r="DB36" i="1"/>
  <c r="AK36" i="1"/>
  <c r="A36" i="1"/>
  <c r="GV35" i="1"/>
  <c r="GF35" i="1"/>
  <c r="GE35" i="1"/>
  <c r="GD35" i="1"/>
  <c r="GB35" i="1"/>
  <c r="FZ35" i="1"/>
  <c r="FX35" i="1"/>
  <c r="FV35" i="1"/>
  <c r="FT35" i="1"/>
  <c r="FR35" i="1"/>
  <c r="FP35" i="1"/>
  <c r="FO35" i="1"/>
  <c r="FN35" i="1"/>
  <c r="FL35" i="1"/>
  <c r="FJ35" i="1"/>
  <c r="FH35" i="1"/>
  <c r="FG35" i="1"/>
  <c r="FF35" i="1"/>
  <c r="FD35" i="1"/>
  <c r="FB35" i="1"/>
  <c r="EZ35" i="1"/>
  <c r="EY35" i="1"/>
  <c r="EX35" i="1"/>
  <c r="EV35" i="1"/>
  <c r="ET35" i="1"/>
  <c r="ER35" i="1"/>
  <c r="EP35" i="1"/>
  <c r="EO35" i="1"/>
  <c r="EN35" i="1"/>
  <c r="EL35" i="1"/>
  <c r="EJ35" i="1"/>
  <c r="EH35" i="1"/>
  <c r="EG35" i="1"/>
  <c r="EF35" i="1"/>
  <c r="ED35" i="1"/>
  <c r="EB35" i="1"/>
  <c r="DZ35" i="1"/>
  <c r="DY35" i="1"/>
  <c r="DX35" i="1"/>
  <c r="DV35" i="1"/>
  <c r="DT35" i="1"/>
  <c r="DR35" i="1"/>
  <c r="DP35" i="1"/>
  <c r="DN35" i="1"/>
  <c r="DL35" i="1"/>
  <c r="DJ35" i="1"/>
  <c r="DH35" i="1"/>
  <c r="DF35" i="1"/>
  <c r="DD35" i="1"/>
  <c r="DB35" i="1"/>
  <c r="AK35" i="1"/>
  <c r="A35" i="1"/>
  <c r="GV34" i="1"/>
  <c r="GF34" i="1"/>
  <c r="GE34" i="1"/>
  <c r="GD34" i="1"/>
  <c r="GB34" i="1"/>
  <c r="FZ34" i="1"/>
  <c r="FX34" i="1"/>
  <c r="FV34" i="1"/>
  <c r="FT34" i="1"/>
  <c r="FR34" i="1"/>
  <c r="FP34" i="1"/>
  <c r="FO34" i="1"/>
  <c r="FN34" i="1"/>
  <c r="FL34" i="1"/>
  <c r="FJ34" i="1"/>
  <c r="FH34" i="1"/>
  <c r="FG34" i="1"/>
  <c r="FF34" i="1"/>
  <c r="FD34" i="1"/>
  <c r="FB34" i="1"/>
  <c r="EZ34" i="1"/>
  <c r="EY34" i="1"/>
  <c r="EX34" i="1"/>
  <c r="EV34" i="1"/>
  <c r="ET34" i="1"/>
  <c r="ER34" i="1"/>
  <c r="EP34" i="1"/>
  <c r="EO34" i="1"/>
  <c r="EN34" i="1"/>
  <c r="EL34" i="1"/>
  <c r="EJ34" i="1"/>
  <c r="EH34" i="1"/>
  <c r="EG34" i="1"/>
  <c r="EF34" i="1"/>
  <c r="ED34" i="1"/>
  <c r="EB34" i="1"/>
  <c r="DZ34" i="1"/>
  <c r="DY34" i="1"/>
  <c r="DX34" i="1"/>
  <c r="DV34" i="1"/>
  <c r="DT34" i="1"/>
  <c r="DR34" i="1"/>
  <c r="DP34" i="1"/>
  <c r="DN34" i="1"/>
  <c r="DL34" i="1"/>
  <c r="DJ34" i="1"/>
  <c r="DH34" i="1"/>
  <c r="DF34" i="1"/>
  <c r="DD34" i="1"/>
  <c r="DB34" i="1"/>
  <c r="AK34" i="1"/>
  <c r="A34" i="1"/>
  <c r="GV33" i="1"/>
  <c r="GF33" i="1"/>
  <c r="GE33" i="1"/>
  <c r="GD33" i="1"/>
  <c r="GB33" i="1"/>
  <c r="FZ33" i="1"/>
  <c r="FX33" i="1"/>
  <c r="FV33" i="1"/>
  <c r="FT33" i="1"/>
  <c r="FR33" i="1"/>
  <c r="FP33" i="1"/>
  <c r="FO33" i="1"/>
  <c r="FN33" i="1"/>
  <c r="FL33" i="1"/>
  <c r="FJ33" i="1"/>
  <c r="FH33" i="1"/>
  <c r="FG33" i="1"/>
  <c r="FF33" i="1"/>
  <c r="FD33" i="1"/>
  <c r="FB33" i="1"/>
  <c r="EZ33" i="1"/>
  <c r="EY33" i="1"/>
  <c r="EX33" i="1"/>
  <c r="EV33" i="1"/>
  <c r="ET33" i="1"/>
  <c r="ER33" i="1"/>
  <c r="EP33" i="1"/>
  <c r="EO33" i="1"/>
  <c r="EN33" i="1"/>
  <c r="EL33" i="1"/>
  <c r="EJ33" i="1"/>
  <c r="EH33" i="1"/>
  <c r="EG33" i="1"/>
  <c r="EF33" i="1"/>
  <c r="ED33" i="1"/>
  <c r="EB33" i="1"/>
  <c r="DZ33" i="1"/>
  <c r="DY33" i="1"/>
  <c r="DX33" i="1"/>
  <c r="DV33" i="1"/>
  <c r="DT33" i="1"/>
  <c r="DR33" i="1"/>
  <c r="DP33" i="1"/>
  <c r="DN33" i="1"/>
  <c r="DL33" i="1"/>
  <c r="DJ33" i="1"/>
  <c r="DH33" i="1"/>
  <c r="DF33" i="1"/>
  <c r="DD33" i="1"/>
  <c r="DB33" i="1"/>
  <c r="AK33" i="1"/>
  <c r="A33" i="1"/>
  <c r="GV32" i="1"/>
  <c r="GF32" i="1"/>
  <c r="GE32" i="1"/>
  <c r="GD32" i="1"/>
  <c r="GB32" i="1"/>
  <c r="FZ32" i="1"/>
  <c r="FX32" i="1"/>
  <c r="FV32" i="1"/>
  <c r="FT32" i="1"/>
  <c r="FR32" i="1"/>
  <c r="FP32" i="1"/>
  <c r="FO32" i="1"/>
  <c r="FN32" i="1"/>
  <c r="FL32" i="1"/>
  <c r="FJ32" i="1"/>
  <c r="FH32" i="1"/>
  <c r="FG32" i="1"/>
  <c r="FF32" i="1"/>
  <c r="FD32" i="1"/>
  <c r="FB32" i="1"/>
  <c r="EZ32" i="1"/>
  <c r="EY32" i="1"/>
  <c r="EX32" i="1"/>
  <c r="EV32" i="1"/>
  <c r="ET32" i="1"/>
  <c r="ER32" i="1"/>
  <c r="EP32" i="1"/>
  <c r="EO32" i="1"/>
  <c r="EN32" i="1"/>
  <c r="EL32" i="1"/>
  <c r="EJ32" i="1"/>
  <c r="EH32" i="1"/>
  <c r="EG32" i="1"/>
  <c r="EF32" i="1"/>
  <c r="ED32" i="1"/>
  <c r="EB32" i="1"/>
  <c r="DZ32" i="1"/>
  <c r="DY32" i="1"/>
  <c r="DX32" i="1"/>
  <c r="DV32" i="1"/>
  <c r="DT32" i="1"/>
  <c r="DR32" i="1"/>
  <c r="DP32" i="1"/>
  <c r="DN32" i="1"/>
  <c r="DL32" i="1"/>
  <c r="DJ32" i="1"/>
  <c r="DH32" i="1"/>
  <c r="DF32" i="1"/>
  <c r="DD32" i="1"/>
  <c r="DB32" i="1"/>
  <c r="AK32" i="1"/>
  <c r="A32" i="1"/>
  <c r="GV31" i="1"/>
  <c r="GF31" i="1"/>
  <c r="GE31" i="1"/>
  <c r="GD31" i="1"/>
  <c r="GB31" i="1"/>
  <c r="FZ31" i="1"/>
  <c r="FX31" i="1"/>
  <c r="FV31" i="1"/>
  <c r="FT31" i="1"/>
  <c r="FR31" i="1"/>
  <c r="FP31" i="1"/>
  <c r="FO31" i="1"/>
  <c r="FN31" i="1"/>
  <c r="FL31" i="1"/>
  <c r="FJ31" i="1"/>
  <c r="FH31" i="1"/>
  <c r="FG31" i="1"/>
  <c r="FF31" i="1"/>
  <c r="FD31" i="1"/>
  <c r="FB31" i="1"/>
  <c r="EZ31" i="1"/>
  <c r="EY31" i="1"/>
  <c r="EX31" i="1"/>
  <c r="EV31" i="1"/>
  <c r="ET31" i="1"/>
  <c r="ER31" i="1"/>
  <c r="EP31" i="1"/>
  <c r="EO31" i="1"/>
  <c r="EN31" i="1"/>
  <c r="EL31" i="1"/>
  <c r="EJ31" i="1"/>
  <c r="EH31" i="1"/>
  <c r="EG31" i="1"/>
  <c r="EF31" i="1"/>
  <c r="ED31" i="1"/>
  <c r="EB31" i="1"/>
  <c r="DZ31" i="1"/>
  <c r="DY31" i="1"/>
  <c r="DX31" i="1"/>
  <c r="DV31" i="1"/>
  <c r="DT31" i="1"/>
  <c r="DR31" i="1"/>
  <c r="DP31" i="1"/>
  <c r="DN31" i="1"/>
  <c r="DL31" i="1"/>
  <c r="DJ31" i="1"/>
  <c r="DH31" i="1"/>
  <c r="DF31" i="1"/>
  <c r="DD31" i="1"/>
  <c r="DB31" i="1"/>
  <c r="AK31" i="1"/>
  <c r="A31" i="1"/>
  <c r="GV30" i="1"/>
  <c r="GF30" i="1"/>
  <c r="GE30" i="1"/>
  <c r="GD30" i="1"/>
  <c r="GB30" i="1"/>
  <c r="FZ30" i="1"/>
  <c r="FX30" i="1"/>
  <c r="FV30" i="1"/>
  <c r="FT30" i="1"/>
  <c r="FR30" i="1"/>
  <c r="FP30" i="1"/>
  <c r="FO30" i="1"/>
  <c r="FN30" i="1"/>
  <c r="FL30" i="1"/>
  <c r="FJ30" i="1"/>
  <c r="FH30" i="1"/>
  <c r="FG30" i="1"/>
  <c r="FF30" i="1"/>
  <c r="FD30" i="1"/>
  <c r="FB30" i="1"/>
  <c r="EZ30" i="1"/>
  <c r="EY30" i="1"/>
  <c r="EX30" i="1"/>
  <c r="EV30" i="1"/>
  <c r="ET30" i="1"/>
  <c r="ER30" i="1"/>
  <c r="EP30" i="1"/>
  <c r="EO30" i="1"/>
  <c r="EN30" i="1"/>
  <c r="EL30" i="1"/>
  <c r="EJ30" i="1"/>
  <c r="EH30" i="1"/>
  <c r="EG30" i="1"/>
  <c r="EF30" i="1"/>
  <c r="ED30" i="1"/>
  <c r="EB30" i="1"/>
  <c r="DZ30" i="1"/>
  <c r="DY30" i="1"/>
  <c r="DX30" i="1"/>
  <c r="DV30" i="1"/>
  <c r="DT30" i="1"/>
  <c r="DR30" i="1"/>
  <c r="DP30" i="1"/>
  <c r="DN30" i="1"/>
  <c r="DL30" i="1"/>
  <c r="DJ30" i="1"/>
  <c r="DH30" i="1"/>
  <c r="DF30" i="1"/>
  <c r="DD30" i="1"/>
  <c r="DB30" i="1"/>
  <c r="AK30" i="1"/>
  <c r="A30" i="1"/>
  <c r="GV29" i="1"/>
  <c r="GF29" i="1"/>
  <c r="GE29" i="1"/>
  <c r="GD29" i="1"/>
  <c r="GB29" i="1"/>
  <c r="FZ29" i="1"/>
  <c r="FX29" i="1"/>
  <c r="FV29" i="1"/>
  <c r="FT29" i="1"/>
  <c r="FR29" i="1"/>
  <c r="FP29" i="1"/>
  <c r="FO29" i="1"/>
  <c r="FN29" i="1"/>
  <c r="FL29" i="1"/>
  <c r="FJ29" i="1"/>
  <c r="FH29" i="1"/>
  <c r="FG29" i="1"/>
  <c r="FF29" i="1"/>
  <c r="FD29" i="1"/>
  <c r="FB29" i="1"/>
  <c r="EZ29" i="1"/>
  <c r="EY29" i="1"/>
  <c r="EX29" i="1"/>
  <c r="EV29" i="1"/>
  <c r="ET29" i="1"/>
  <c r="ER29" i="1"/>
  <c r="EP29" i="1"/>
  <c r="EO29" i="1"/>
  <c r="EN29" i="1"/>
  <c r="EL29" i="1"/>
  <c r="EJ29" i="1"/>
  <c r="EH29" i="1"/>
  <c r="EG29" i="1"/>
  <c r="EF29" i="1"/>
  <c r="ED29" i="1"/>
  <c r="EB29" i="1"/>
  <c r="DZ29" i="1"/>
  <c r="DY29" i="1"/>
  <c r="DX29" i="1"/>
  <c r="DV29" i="1"/>
  <c r="DT29" i="1"/>
  <c r="DR29" i="1"/>
  <c r="DP29" i="1"/>
  <c r="DN29" i="1"/>
  <c r="DL29" i="1"/>
  <c r="DJ29" i="1"/>
  <c r="DH29" i="1"/>
  <c r="DF29" i="1"/>
  <c r="DD29" i="1"/>
  <c r="DB29" i="1"/>
  <c r="AK29" i="1"/>
  <c r="A29" i="1"/>
  <c r="GV28" i="1"/>
  <c r="GV27" i="1"/>
  <c r="GF27" i="1"/>
  <c r="GE27" i="1"/>
  <c r="GD27" i="1"/>
  <c r="GB27" i="1"/>
  <c r="FZ27" i="1"/>
  <c r="FX27" i="1"/>
  <c r="FV27" i="1"/>
  <c r="FT27" i="1"/>
  <c r="FR27" i="1"/>
  <c r="FP27" i="1"/>
  <c r="FO27" i="1"/>
  <c r="FN27" i="1"/>
  <c r="FL27" i="1"/>
  <c r="FJ27" i="1"/>
  <c r="FH27" i="1"/>
  <c r="FG27" i="1"/>
  <c r="FF27" i="1"/>
  <c r="FD27" i="1"/>
  <c r="FB27" i="1"/>
  <c r="EZ27" i="1"/>
  <c r="EY27" i="1"/>
  <c r="EX27" i="1"/>
  <c r="EV27" i="1"/>
  <c r="ET27" i="1"/>
  <c r="ER27" i="1"/>
  <c r="EP27" i="1"/>
  <c r="EO27" i="1"/>
  <c r="EN27" i="1"/>
  <c r="EL27" i="1"/>
  <c r="EJ27" i="1"/>
  <c r="EH27" i="1"/>
  <c r="EG27" i="1"/>
  <c r="EF27" i="1"/>
  <c r="ED27" i="1"/>
  <c r="EB27" i="1"/>
  <c r="DZ27" i="1"/>
  <c r="DY27" i="1"/>
  <c r="DX27" i="1"/>
  <c r="DV27" i="1"/>
  <c r="DT27" i="1"/>
  <c r="DR27" i="1"/>
  <c r="DP27" i="1"/>
  <c r="DN27" i="1"/>
  <c r="DL27" i="1"/>
  <c r="DJ27" i="1"/>
  <c r="DH27" i="1"/>
  <c r="DF27" i="1"/>
  <c r="DD27" i="1"/>
  <c r="DB27" i="1"/>
  <c r="AK27" i="1"/>
  <c r="A27" i="1"/>
  <c r="GV26" i="1"/>
  <c r="GF26" i="1"/>
  <c r="GE26" i="1"/>
  <c r="GD26" i="1"/>
  <c r="GB26" i="1"/>
  <c r="FZ26" i="1"/>
  <c r="FX26" i="1"/>
  <c r="FV26" i="1"/>
  <c r="FT26" i="1"/>
  <c r="FR26" i="1"/>
  <c r="FP26" i="1"/>
  <c r="FO26" i="1"/>
  <c r="FN26" i="1"/>
  <c r="FL26" i="1"/>
  <c r="FJ26" i="1"/>
  <c r="FH26" i="1"/>
  <c r="FG26" i="1"/>
  <c r="FF26" i="1"/>
  <c r="FD26" i="1"/>
  <c r="FB26" i="1"/>
  <c r="EZ26" i="1"/>
  <c r="EY26" i="1"/>
  <c r="EX26" i="1"/>
  <c r="EV26" i="1"/>
  <c r="ET26" i="1"/>
  <c r="ER26" i="1"/>
  <c r="EP26" i="1"/>
  <c r="EO26" i="1"/>
  <c r="EN26" i="1"/>
  <c r="EL26" i="1"/>
  <c r="EJ26" i="1"/>
  <c r="EH26" i="1"/>
  <c r="EG26" i="1"/>
  <c r="EF26" i="1"/>
  <c r="ED26" i="1"/>
  <c r="EB26" i="1"/>
  <c r="DZ26" i="1"/>
  <c r="DY26" i="1"/>
  <c r="DX26" i="1"/>
  <c r="DV26" i="1"/>
  <c r="DT26" i="1"/>
  <c r="DR26" i="1"/>
  <c r="DP26" i="1"/>
  <c r="DN26" i="1"/>
  <c r="DL26" i="1"/>
  <c r="DJ26" i="1"/>
  <c r="DH26" i="1"/>
  <c r="DF26" i="1"/>
  <c r="DD26" i="1"/>
  <c r="DB26" i="1"/>
  <c r="AK26" i="1"/>
  <c r="A26" i="1"/>
  <c r="GV25" i="1"/>
  <c r="GF25" i="1"/>
  <c r="GE25" i="1"/>
  <c r="GD25" i="1"/>
  <c r="GB25" i="1"/>
  <c r="FZ25" i="1"/>
  <c r="FX25" i="1"/>
  <c r="FV25" i="1"/>
  <c r="FT25" i="1"/>
  <c r="FR25" i="1"/>
  <c r="FP25" i="1"/>
  <c r="FO25" i="1"/>
  <c r="FN25" i="1"/>
  <c r="FL25" i="1"/>
  <c r="FJ25" i="1"/>
  <c r="FH25" i="1"/>
  <c r="FG25" i="1"/>
  <c r="FF25" i="1"/>
  <c r="FD25" i="1"/>
  <c r="FB25" i="1"/>
  <c r="EZ25" i="1"/>
  <c r="EY25" i="1"/>
  <c r="EX25" i="1"/>
  <c r="EV25" i="1"/>
  <c r="ET25" i="1"/>
  <c r="ER25" i="1"/>
  <c r="EP25" i="1"/>
  <c r="EO25" i="1"/>
  <c r="EN25" i="1"/>
  <c r="EL25" i="1"/>
  <c r="EJ25" i="1"/>
  <c r="EH25" i="1"/>
  <c r="EG25" i="1"/>
  <c r="EF25" i="1"/>
  <c r="ED25" i="1"/>
  <c r="EB25" i="1"/>
  <c r="DZ25" i="1"/>
  <c r="DY25" i="1"/>
  <c r="DX25" i="1"/>
  <c r="DV25" i="1"/>
  <c r="DT25" i="1"/>
  <c r="DR25" i="1"/>
  <c r="DP25" i="1"/>
  <c r="DN25" i="1"/>
  <c r="DL25" i="1"/>
  <c r="DJ25" i="1"/>
  <c r="DH25" i="1"/>
  <c r="DF25" i="1"/>
  <c r="DD25" i="1"/>
  <c r="DB25" i="1"/>
  <c r="AK25" i="1"/>
  <c r="A25" i="1"/>
  <c r="GV24" i="1"/>
  <c r="GV23" i="1"/>
  <c r="GF23" i="1"/>
  <c r="GE23" i="1"/>
  <c r="GD23" i="1"/>
  <c r="GB23" i="1"/>
  <c r="FZ23" i="1"/>
  <c r="FX23" i="1"/>
  <c r="FV23" i="1"/>
  <c r="FT23" i="1"/>
  <c r="FR23" i="1"/>
  <c r="FP23" i="1"/>
  <c r="FO23" i="1"/>
  <c r="FN23" i="1"/>
  <c r="FL23" i="1"/>
  <c r="FJ23" i="1"/>
  <c r="FH23" i="1"/>
  <c r="FG23" i="1"/>
  <c r="FF23" i="1"/>
  <c r="FD23" i="1"/>
  <c r="FB23" i="1"/>
  <c r="EZ23" i="1"/>
  <c r="EY23" i="1"/>
  <c r="EX23" i="1"/>
  <c r="EV23" i="1"/>
  <c r="ET23" i="1"/>
  <c r="ER23" i="1"/>
  <c r="EP23" i="1"/>
  <c r="EO23" i="1"/>
  <c r="EN23" i="1"/>
  <c r="EL23" i="1"/>
  <c r="EJ23" i="1"/>
  <c r="EH23" i="1"/>
  <c r="EG23" i="1"/>
  <c r="EF23" i="1"/>
  <c r="ED23" i="1"/>
  <c r="EB23" i="1"/>
  <c r="DZ23" i="1"/>
  <c r="DY23" i="1"/>
  <c r="DX23" i="1"/>
  <c r="DV23" i="1"/>
  <c r="DT23" i="1"/>
  <c r="DR23" i="1"/>
  <c r="DP23" i="1"/>
  <c r="DN23" i="1"/>
  <c r="DL23" i="1"/>
  <c r="DJ23" i="1"/>
  <c r="DH23" i="1"/>
  <c r="DF23" i="1"/>
  <c r="DD23" i="1"/>
  <c r="DB23" i="1"/>
  <c r="AK23" i="1"/>
  <c r="A23" i="1"/>
  <c r="GV22" i="1"/>
  <c r="GF22" i="1"/>
  <c r="GE22" i="1"/>
  <c r="GD22" i="1"/>
  <c r="GB22" i="1"/>
  <c r="FZ22" i="1"/>
  <c r="FX22" i="1"/>
  <c r="FV22" i="1"/>
  <c r="FT22" i="1"/>
  <c r="FR22" i="1"/>
  <c r="FP22" i="1"/>
  <c r="FO22" i="1"/>
  <c r="FN22" i="1"/>
  <c r="FL22" i="1"/>
  <c r="FJ22" i="1"/>
  <c r="FH22" i="1"/>
  <c r="FG22" i="1"/>
  <c r="FF22" i="1"/>
  <c r="FD22" i="1"/>
  <c r="FB22" i="1"/>
  <c r="EZ22" i="1"/>
  <c r="EY22" i="1"/>
  <c r="EX22" i="1"/>
  <c r="EV22" i="1"/>
  <c r="ET22" i="1"/>
  <c r="ER22" i="1"/>
  <c r="EP22" i="1"/>
  <c r="EO22" i="1"/>
  <c r="EN22" i="1"/>
  <c r="EL22" i="1"/>
  <c r="EJ22" i="1"/>
  <c r="EH22" i="1"/>
  <c r="EG22" i="1"/>
  <c r="EF22" i="1"/>
  <c r="ED22" i="1"/>
  <c r="EB22" i="1"/>
  <c r="DZ22" i="1"/>
  <c r="DY22" i="1"/>
  <c r="DX22" i="1"/>
  <c r="DV22" i="1"/>
  <c r="DT22" i="1"/>
  <c r="DR22" i="1"/>
  <c r="DP22" i="1"/>
  <c r="DN22" i="1"/>
  <c r="DL22" i="1"/>
  <c r="DJ22" i="1"/>
  <c r="DH22" i="1"/>
  <c r="DF22" i="1"/>
  <c r="DD22" i="1"/>
  <c r="DB22" i="1"/>
  <c r="AK22" i="1"/>
  <c r="A22" i="1"/>
  <c r="GV21" i="1"/>
  <c r="GV20" i="1"/>
  <c r="GV19" i="1"/>
  <c r="GF19" i="1"/>
  <c r="GE19" i="1"/>
  <c r="GD19" i="1"/>
  <c r="GB19" i="1"/>
  <c r="FZ19" i="1"/>
  <c r="FX19" i="1"/>
  <c r="FV19" i="1"/>
  <c r="FT19" i="1"/>
  <c r="FR19" i="1"/>
  <c r="FP19" i="1"/>
  <c r="FO19" i="1"/>
  <c r="FN19" i="1"/>
  <c r="FL19" i="1"/>
  <c r="FJ19" i="1"/>
  <c r="FH19" i="1"/>
  <c r="FG19" i="1"/>
  <c r="FF19" i="1"/>
  <c r="FD19" i="1"/>
  <c r="FB19" i="1"/>
  <c r="EZ19" i="1"/>
  <c r="EY19" i="1"/>
  <c r="EX19" i="1"/>
  <c r="EV19" i="1"/>
  <c r="ET19" i="1"/>
  <c r="ER19" i="1"/>
  <c r="EP19" i="1"/>
  <c r="EO19" i="1"/>
  <c r="EN19" i="1"/>
  <c r="EL19" i="1"/>
  <c r="EJ19" i="1"/>
  <c r="EH19" i="1"/>
  <c r="EG19" i="1"/>
  <c r="EF19" i="1"/>
  <c r="ED19" i="1"/>
  <c r="EB19" i="1"/>
  <c r="DZ19" i="1"/>
  <c r="DY19" i="1"/>
  <c r="DX19" i="1"/>
  <c r="DV19" i="1"/>
  <c r="DT19" i="1"/>
  <c r="DR19" i="1"/>
  <c r="DP19" i="1"/>
  <c r="DN19" i="1"/>
  <c r="DL19" i="1"/>
  <c r="DJ19" i="1"/>
  <c r="DH19" i="1"/>
  <c r="DF19" i="1"/>
  <c r="DD19" i="1"/>
  <c r="DB19" i="1"/>
  <c r="AK19" i="1"/>
  <c r="A19" i="1"/>
  <c r="GV18" i="1"/>
  <c r="GF18" i="1"/>
  <c r="GE18" i="1"/>
  <c r="GD18" i="1"/>
  <c r="GB18" i="1"/>
  <c r="FZ18" i="1"/>
  <c r="FX18" i="1"/>
  <c r="FV18" i="1"/>
  <c r="FT18" i="1"/>
  <c r="FR18" i="1"/>
  <c r="FP18" i="1"/>
  <c r="FO18" i="1"/>
  <c r="FN18" i="1"/>
  <c r="FL18" i="1"/>
  <c r="FJ18" i="1"/>
  <c r="FH18" i="1"/>
  <c r="FG18" i="1"/>
  <c r="FF18" i="1"/>
  <c r="FD18" i="1"/>
  <c r="FB18" i="1"/>
  <c r="EZ18" i="1"/>
  <c r="EY18" i="1"/>
  <c r="EX18" i="1"/>
  <c r="EV18" i="1"/>
  <c r="ET18" i="1"/>
  <c r="ER18" i="1"/>
  <c r="EP18" i="1"/>
  <c r="EO18" i="1"/>
  <c r="EN18" i="1"/>
  <c r="EL18" i="1"/>
  <c r="EJ18" i="1"/>
  <c r="EH18" i="1"/>
  <c r="EG18" i="1"/>
  <c r="EF18" i="1"/>
  <c r="ED18" i="1"/>
  <c r="EB18" i="1"/>
  <c r="DZ18" i="1"/>
  <c r="DY18" i="1"/>
  <c r="DX18" i="1"/>
  <c r="DV18" i="1"/>
  <c r="DT18" i="1"/>
  <c r="DR18" i="1"/>
  <c r="DP18" i="1"/>
  <c r="DN18" i="1"/>
  <c r="DL18" i="1"/>
  <c r="DJ18" i="1"/>
  <c r="DH18" i="1"/>
  <c r="DF18" i="1"/>
  <c r="DD18" i="1"/>
  <c r="DB18" i="1"/>
  <c r="AK18" i="1"/>
  <c r="A18" i="1"/>
  <c r="GV17" i="1"/>
  <c r="GF17" i="1"/>
  <c r="GE17" i="1"/>
  <c r="GD17" i="1"/>
  <c r="GB17" i="1"/>
  <c r="FZ17" i="1"/>
  <c r="FX17" i="1"/>
  <c r="FV17" i="1"/>
  <c r="FT17" i="1"/>
  <c r="FR17" i="1"/>
  <c r="FP17" i="1"/>
  <c r="FO17" i="1"/>
  <c r="FN17" i="1"/>
  <c r="FL17" i="1"/>
  <c r="FJ17" i="1"/>
  <c r="FH17" i="1"/>
  <c r="FG17" i="1"/>
  <c r="FF17" i="1"/>
  <c r="FD17" i="1"/>
  <c r="FB17" i="1"/>
  <c r="EZ17" i="1"/>
  <c r="EY17" i="1"/>
  <c r="EX17" i="1"/>
  <c r="EV17" i="1"/>
  <c r="ET17" i="1"/>
  <c r="ER17" i="1"/>
  <c r="EP17" i="1"/>
  <c r="EO17" i="1"/>
  <c r="EN17" i="1"/>
  <c r="EL17" i="1"/>
  <c r="EJ17" i="1"/>
  <c r="EH17" i="1"/>
  <c r="EG17" i="1"/>
  <c r="EF17" i="1"/>
  <c r="ED17" i="1"/>
  <c r="EB17" i="1"/>
  <c r="DZ17" i="1"/>
  <c r="DY17" i="1"/>
  <c r="DX17" i="1"/>
  <c r="DV17" i="1"/>
  <c r="DT17" i="1"/>
  <c r="DR17" i="1"/>
  <c r="DP17" i="1"/>
  <c r="DN17" i="1"/>
  <c r="DL17" i="1"/>
  <c r="DJ17" i="1"/>
  <c r="DH17" i="1"/>
  <c r="DF17" i="1"/>
  <c r="DD17" i="1"/>
  <c r="DB17" i="1"/>
  <c r="AK17" i="1"/>
  <c r="A17" i="1"/>
  <c r="GV16" i="1"/>
  <c r="GF16" i="1"/>
  <c r="GE16" i="1"/>
  <c r="GD16" i="1"/>
  <c r="GB16" i="1"/>
  <c r="FZ16" i="1"/>
  <c r="FX16" i="1"/>
  <c r="FV16" i="1"/>
  <c r="FT16" i="1"/>
  <c r="FR16" i="1"/>
  <c r="FP16" i="1"/>
  <c r="FO16" i="1"/>
  <c r="FN16" i="1"/>
  <c r="FL16" i="1"/>
  <c r="FJ16" i="1"/>
  <c r="FH16" i="1"/>
  <c r="FG16" i="1"/>
  <c r="FF16" i="1"/>
  <c r="FD16" i="1"/>
  <c r="FB16" i="1"/>
  <c r="EZ16" i="1"/>
  <c r="EY16" i="1"/>
  <c r="EX16" i="1"/>
  <c r="EV16" i="1"/>
  <c r="ET16" i="1"/>
  <c r="ER16" i="1"/>
  <c r="EP16" i="1"/>
  <c r="EO16" i="1"/>
  <c r="EN16" i="1"/>
  <c r="EL16" i="1"/>
  <c r="EJ16" i="1"/>
  <c r="EH16" i="1"/>
  <c r="EG16" i="1"/>
  <c r="EF16" i="1"/>
  <c r="ED16" i="1"/>
  <c r="EB16" i="1"/>
  <c r="DZ16" i="1"/>
  <c r="DY16" i="1"/>
  <c r="DX16" i="1"/>
  <c r="DV16" i="1"/>
  <c r="DT16" i="1"/>
  <c r="DR16" i="1"/>
  <c r="DP16" i="1"/>
  <c r="DN16" i="1"/>
  <c r="DL16" i="1"/>
  <c r="DJ16" i="1"/>
  <c r="DH16" i="1"/>
  <c r="DF16" i="1"/>
  <c r="DD16" i="1"/>
  <c r="DB16" i="1"/>
  <c r="AK16" i="1"/>
  <c r="A16" i="1"/>
  <c r="GV15" i="1"/>
  <c r="GV14" i="1"/>
  <c r="GV13" i="1"/>
  <c r="GV12" i="1"/>
  <c r="GF12" i="1"/>
  <c r="GE12" i="1"/>
  <c r="GD12" i="1"/>
  <c r="GB12" i="1"/>
  <c r="FZ12" i="1"/>
  <c r="FX12" i="1"/>
  <c r="FV12" i="1"/>
  <c r="FT12" i="1"/>
  <c r="FR12" i="1"/>
  <c r="FP12" i="1"/>
  <c r="FO12" i="1"/>
  <c r="FN12" i="1"/>
  <c r="FL12" i="1"/>
  <c r="FJ12" i="1"/>
  <c r="FH12" i="1"/>
  <c r="FG12" i="1"/>
  <c r="FF12" i="1"/>
  <c r="FD12" i="1"/>
  <c r="FB12" i="1"/>
  <c r="EZ12" i="1"/>
  <c r="EY12" i="1"/>
  <c r="EX12" i="1"/>
  <c r="EV12" i="1"/>
  <c r="ET12" i="1"/>
  <c r="ER12" i="1"/>
  <c r="EP12" i="1"/>
  <c r="EO12" i="1"/>
  <c r="EN12" i="1"/>
  <c r="EL12" i="1"/>
  <c r="EJ12" i="1"/>
  <c r="EH12" i="1"/>
  <c r="EG12" i="1"/>
  <c r="EF12" i="1"/>
  <c r="ED12" i="1"/>
  <c r="EB12" i="1"/>
  <c r="DZ12" i="1"/>
  <c r="DY12" i="1"/>
  <c r="DX12" i="1"/>
  <c r="DV12" i="1"/>
  <c r="DT12" i="1"/>
  <c r="DR12" i="1"/>
  <c r="DP12" i="1"/>
  <c r="DN12" i="1"/>
  <c r="DL12" i="1"/>
  <c r="DJ12" i="1"/>
  <c r="DH12" i="1"/>
  <c r="DF12" i="1"/>
  <c r="DD12" i="1"/>
  <c r="DB12" i="1"/>
  <c r="AK12" i="1"/>
  <c r="A12" i="1"/>
  <c r="GV11" i="1"/>
  <c r="GV10" i="1"/>
  <c r="GF10" i="1"/>
  <c r="GE10" i="1"/>
  <c r="GD10" i="1"/>
  <c r="GB10" i="1"/>
  <c r="FZ10" i="1"/>
  <c r="FX10" i="1"/>
  <c r="FV10" i="1"/>
  <c r="FT10" i="1"/>
  <c r="FR10" i="1"/>
  <c r="FP10" i="1"/>
  <c r="FO10" i="1"/>
  <c r="FN10" i="1"/>
  <c r="FL10" i="1"/>
  <c r="FJ10" i="1"/>
  <c r="FH10" i="1"/>
  <c r="FG10" i="1"/>
  <c r="FF10" i="1"/>
  <c r="FD10" i="1"/>
  <c r="FB10" i="1"/>
  <c r="EZ10" i="1"/>
  <c r="EY10" i="1"/>
  <c r="EX10" i="1"/>
  <c r="EV10" i="1"/>
  <c r="ET10" i="1"/>
  <c r="ER10" i="1"/>
  <c r="EP10" i="1"/>
  <c r="EO10" i="1"/>
  <c r="EN10" i="1"/>
  <c r="EL10" i="1"/>
  <c r="EJ10" i="1"/>
  <c r="EH10" i="1"/>
  <c r="EG10" i="1"/>
  <c r="EF10" i="1"/>
  <c r="ED10" i="1"/>
  <c r="EB10" i="1"/>
  <c r="DZ10" i="1"/>
  <c r="DY10" i="1"/>
  <c r="DX10" i="1"/>
  <c r="DV10" i="1"/>
  <c r="DT10" i="1"/>
  <c r="DR10" i="1"/>
  <c r="DP10" i="1"/>
  <c r="DN10" i="1"/>
  <c r="DL10" i="1"/>
  <c r="DJ10" i="1"/>
  <c r="DH10" i="1"/>
  <c r="DF10" i="1"/>
  <c r="DD10" i="1"/>
  <c r="DB10" i="1"/>
  <c r="AK10" i="1"/>
  <c r="A10" i="1"/>
  <c r="GV9" i="1"/>
  <c r="GF9" i="1"/>
  <c r="GE9" i="1"/>
  <c r="GD9" i="1"/>
  <c r="GB9" i="1"/>
  <c r="FZ9" i="1"/>
  <c r="FX9" i="1"/>
  <c r="FV9" i="1"/>
  <c r="FT9" i="1"/>
  <c r="FR9" i="1"/>
  <c r="FP9" i="1"/>
  <c r="FO9" i="1"/>
  <c r="FN9" i="1"/>
  <c r="FL9" i="1"/>
  <c r="FJ9" i="1"/>
  <c r="FH9" i="1"/>
  <c r="FG9" i="1"/>
  <c r="FF9" i="1"/>
  <c r="FD9" i="1"/>
  <c r="FB9" i="1"/>
  <c r="EZ9" i="1"/>
  <c r="EY9" i="1"/>
  <c r="EX9" i="1"/>
  <c r="EV9" i="1"/>
  <c r="ET9" i="1"/>
  <c r="ER9" i="1"/>
  <c r="EP9" i="1"/>
  <c r="EO9" i="1"/>
  <c r="EN9" i="1"/>
  <c r="EL9" i="1"/>
  <c r="EJ9" i="1"/>
  <c r="EH9" i="1"/>
  <c r="EG9" i="1"/>
  <c r="EF9" i="1"/>
  <c r="ED9" i="1"/>
  <c r="EB9" i="1"/>
  <c r="DZ9" i="1"/>
  <c r="DY9" i="1"/>
  <c r="DX9" i="1"/>
  <c r="DV9" i="1"/>
  <c r="DT9" i="1"/>
  <c r="DR9" i="1"/>
  <c r="DP9" i="1"/>
  <c r="DN9" i="1"/>
  <c r="DL9" i="1"/>
  <c r="DJ9" i="1"/>
  <c r="DH9" i="1"/>
  <c r="DF9" i="1"/>
  <c r="DD9" i="1"/>
  <c r="DB9" i="1"/>
  <c r="AK9" i="1"/>
  <c r="A9" i="1"/>
  <c r="GV8" i="1"/>
  <c r="GV7" i="1"/>
  <c r="GF7" i="1"/>
  <c r="GE7" i="1"/>
  <c r="GD7" i="1"/>
  <c r="GB7" i="1"/>
  <c r="FZ7" i="1"/>
  <c r="FX7" i="1"/>
  <c r="FV7" i="1"/>
  <c r="FT7" i="1"/>
  <c r="FR7" i="1"/>
  <c r="FP7" i="1"/>
  <c r="FO7" i="1"/>
  <c r="FN7" i="1"/>
  <c r="FL7" i="1"/>
  <c r="FJ7" i="1"/>
  <c r="FH7" i="1"/>
  <c r="FG7" i="1"/>
  <c r="FF7" i="1"/>
  <c r="FD7" i="1"/>
  <c r="FB7" i="1"/>
  <c r="EZ7" i="1"/>
  <c r="EY7" i="1"/>
  <c r="EX7" i="1"/>
  <c r="EV7" i="1"/>
  <c r="ET7" i="1"/>
  <c r="ER7" i="1"/>
  <c r="EP7" i="1"/>
  <c r="EO7" i="1"/>
  <c r="EN7" i="1"/>
  <c r="EL7" i="1"/>
  <c r="EJ7" i="1"/>
  <c r="EH7" i="1"/>
  <c r="EG7" i="1"/>
  <c r="EF7" i="1"/>
  <c r="ED7" i="1"/>
  <c r="EB7" i="1"/>
  <c r="DZ7" i="1"/>
  <c r="DY7" i="1"/>
  <c r="DX7" i="1"/>
  <c r="DV7" i="1"/>
  <c r="DT7" i="1"/>
  <c r="DR7" i="1"/>
  <c r="DP7" i="1"/>
  <c r="DN7" i="1"/>
  <c r="DL7" i="1"/>
  <c r="DJ7" i="1"/>
  <c r="DH7" i="1"/>
  <c r="DF7" i="1"/>
  <c r="DD7" i="1"/>
  <c r="DB7" i="1"/>
  <c r="AK7" i="1"/>
  <c r="A7" i="1"/>
  <c r="GV6" i="1"/>
  <c r="GV5" i="1"/>
  <c r="GV4" i="1"/>
  <c r="GF4" i="1"/>
  <c r="GE4" i="1"/>
  <c r="GD4" i="1"/>
  <c r="GB4" i="1"/>
  <c r="FZ4" i="1"/>
  <c r="FX4" i="1"/>
  <c r="FV4" i="1"/>
  <c r="FT4" i="1"/>
  <c r="FR4" i="1"/>
  <c r="FP4" i="1"/>
  <c r="FO4" i="1"/>
  <c r="FN4" i="1"/>
  <c r="FL4" i="1"/>
  <c r="FJ4" i="1"/>
  <c r="FH4" i="1"/>
  <c r="FG4" i="1"/>
  <c r="FF4" i="1"/>
  <c r="FD4" i="1"/>
  <c r="FB4" i="1"/>
  <c r="EZ4" i="1"/>
  <c r="EY4" i="1"/>
  <c r="EX4" i="1"/>
  <c r="EV4" i="1"/>
  <c r="ET4" i="1"/>
  <c r="ER4" i="1"/>
  <c r="EP4" i="1"/>
  <c r="EO4" i="1"/>
  <c r="EN4" i="1"/>
  <c r="EL4" i="1"/>
  <c r="EJ4" i="1"/>
  <c r="EH4" i="1"/>
  <c r="EG4" i="1"/>
  <c r="EF4" i="1"/>
  <c r="ED4" i="1"/>
  <c r="EB4" i="1"/>
  <c r="DZ4" i="1"/>
  <c r="DY4" i="1"/>
  <c r="DX4" i="1"/>
  <c r="DV4" i="1"/>
  <c r="DT4" i="1"/>
  <c r="DR4" i="1"/>
  <c r="DP4" i="1"/>
  <c r="DN4" i="1"/>
  <c r="DL4" i="1"/>
  <c r="DJ4" i="1"/>
  <c r="DH4" i="1"/>
  <c r="DF4" i="1"/>
  <c r="DD4" i="1"/>
  <c r="DB4" i="1"/>
  <c r="AK4" i="1"/>
  <c r="A4" i="1"/>
  <c r="GV3" i="1"/>
  <c r="GV2" i="1"/>
</calcChain>
</file>

<file path=xl/sharedStrings.xml><?xml version="1.0" encoding="utf-8"?>
<sst xmlns="http://schemas.openxmlformats.org/spreadsheetml/2006/main" count="79257" uniqueCount="1025">
  <si>
    <t>row</t>
  </si>
  <si>
    <t>Submission Date</t>
  </si>
  <si>
    <t>1. Habiendo leído lo anterior, ¿acepta participar de esta encuesta?</t>
  </si>
  <si>
    <t>1. ¿Es o se considera perteneciente a algún pueblo indígena u originario?</t>
  </si>
  <si>
    <t>2. ¿A cuál?</t>
  </si>
  <si>
    <t>3. En su hogar, aparte de los ingresos provenientes de su trabajo principal y considerando... &gt;&gt; b. Fuentes no laborales (arriendos, pensiones de vejez autofinanciadas, etc.)</t>
  </si>
  <si>
    <t>3. En su hogar, aparte de los ingresos provenientes de su trabajo principal y considerando... &gt;&gt; c. Ayuda del Estado (subsidios, pensiones asistenciales, PGU)</t>
  </si>
  <si>
    <t>3. En su hogar, aparte de los ingresos provenientes de su trabajo principal y considerando... &gt;&gt; d. Familiares o conocidos que no residen en el hogar</t>
  </si>
  <si>
    <t>4. Este bloque busca estimar el gasto mensual aproximado por... &gt;&gt; a) Alimentos &gt;&gt; Menos de $50.000</t>
  </si>
  <si>
    <t>4. Este bloque busca estimar el gasto mensual aproximado por... &gt;&gt; a) Alimentos &gt;&gt; $50.001 a $100.000</t>
  </si>
  <si>
    <t>4. Este bloque busca estimar el gasto mensual aproximado por... &gt;&gt; a) Alimentos &gt;&gt; $100.001 a $200.000</t>
  </si>
  <si>
    <t>4. Este bloque busca estimar el gasto mensual aproximado por... &gt;&gt; a) Alimentos &gt;&gt; Más de $200.000</t>
  </si>
  <si>
    <t>4. Este bloque busca estimar el gasto mensual aproximado por... &gt;&gt; a) Alimentos &gt;&gt; No aplica</t>
  </si>
  <si>
    <t>4. Este bloque busca estimar el gasto mensual aproximado por... &gt;&gt; b) Cuentas básicas (luz, agua, internet) &gt;&gt; Menos de $50.000</t>
  </si>
  <si>
    <t>4. Este bloque busca estimar el gasto mensual aproximado por... &gt;&gt; b) Cuentas básicas (luz, agua, internet) &gt;&gt; $50.001 a $100.000</t>
  </si>
  <si>
    <t>4. Este bloque busca estimar el gasto mensual aproximado por... &gt;&gt; b) Cuentas básicas (luz, agua, internet) &gt;&gt; $100.001 a $200.000</t>
  </si>
  <si>
    <t>4. Este bloque busca estimar el gasto mensual aproximado por... &gt;&gt; b) Cuentas básicas (luz, agua, internet) &gt;&gt; Más de $200.000</t>
  </si>
  <si>
    <t>4. Este bloque busca estimar el gasto mensual aproximado por... &gt;&gt; b) Cuentas básicas (luz, agua, internet) &gt;&gt; No aplica</t>
  </si>
  <si>
    <t>4. Este bloque busca estimar el gasto mensual aproximado por... &gt;&gt; c) Transporte &gt;&gt; Menos de $50.000</t>
  </si>
  <si>
    <t>4. Este bloque busca estimar el gasto mensual aproximado por... &gt;&gt; c) Transporte &gt;&gt; $50.001 a $100.000</t>
  </si>
  <si>
    <t>4. Este bloque busca estimar el gasto mensual aproximado por... &gt;&gt; c) Transporte &gt;&gt; $100.001 a $200.000</t>
  </si>
  <si>
    <t>4. Este bloque busca estimar el gasto mensual aproximado por... &gt;&gt; c) Transporte &gt;&gt; Más de $200.000</t>
  </si>
  <si>
    <t>4. Este bloque busca estimar el gasto mensual aproximado por... &gt;&gt; c) Transporte &gt;&gt; No aplica</t>
  </si>
  <si>
    <t>4. Este bloque busca estimar el gasto mensual aproximado por... &gt;&gt; d) Necesidades de salud &gt;&gt; Menos de $50.000</t>
  </si>
  <si>
    <t>4. Este bloque busca estimar el gasto mensual aproximado por... &gt;&gt; d) Necesidades de salud &gt;&gt; $50.001 a $100.000</t>
  </si>
  <si>
    <t>4. Este bloque busca estimar el gasto mensual aproximado por... &gt;&gt; d) Necesidades de salud &gt;&gt; $100.001 a $200.000</t>
  </si>
  <si>
    <t>4. Este bloque busca estimar el gasto mensual aproximado por... &gt;&gt; d) Necesidades de salud &gt;&gt; Más de $200.000</t>
  </si>
  <si>
    <t>4. Este bloque busca estimar el gasto mensual aproximado por... &gt;&gt; d) Necesidades de salud &gt;&gt; No aplica</t>
  </si>
  <si>
    <t>4. Este bloque busca estimar el gasto mensual aproximado por... &gt;&gt; e) Educación de los/as hijos/as &gt;&gt; Menos de $50.000</t>
  </si>
  <si>
    <t>4. Este bloque busca estimar el gasto mensual aproximado por... &gt;&gt; e) Educación de los/as hijos/as &gt;&gt; $50.001 a $100.000</t>
  </si>
  <si>
    <t>4. Este bloque busca estimar el gasto mensual aproximado por... &gt;&gt; e) Educación de los/as hijos/as &gt;&gt; $100.001 a $200.000</t>
  </si>
  <si>
    <t>4. Este bloque busca estimar el gasto mensual aproximado por... &gt;&gt; e) Educación de los/as hijos/as &gt;&gt; Más de $200.000</t>
  </si>
  <si>
    <t>4. Este bloque busca estimar el gasto mensual aproximado por... &gt;&gt; e) Educación de los/as hijos/as &gt;&gt; No aplica</t>
  </si>
  <si>
    <t>1. La distribución de su jornada de trabajo es:</t>
  </si>
  <si>
    <t>2. ¿En qué año comenzó a trabajar en su ocupación principal actual?</t>
  </si>
  <si>
    <t>3. ¿Usted es...?</t>
  </si>
  <si>
    <t>Categoria</t>
  </si>
  <si>
    <t>4. ¿Cuál sería la principal razón por la que decidiría inici... &gt;&gt; Seleccione la alternativa que corresponda &gt;&gt; Para cumplir la ley</t>
  </si>
  <si>
    <t>4. ¿Cuál sería la principal razón por la que decidiría inici... &gt;&gt; Seleccione la alternativa que corresponda &gt;&gt; Para acceder a programas y beneficios</t>
  </si>
  <si>
    <t>4. ¿Cuál sería la principal razón por la que decidiría inici... &gt;&gt; Seleccione la alternativa que corresponda &gt;&gt; Para cotizar en los sistemas de pensiones y salud</t>
  </si>
  <si>
    <t>4. ¿Cuál sería la principal razón por la que decidiría inici... &gt;&gt; Seleccione la alternativa que corresponda &gt;&gt; Otro. Especifique:</t>
  </si>
  <si>
    <t>5. ¿Qué condiciones harían que volviera a trabajar como Dependiente?</t>
  </si>
  <si>
    <t>6. Durante los últimos 12 meses, ¿usted ha cotizado o cotiza bajo algún sistema de previsión social (AFP o INP/PS)?</t>
  </si>
  <si>
    <t>7. ¿Qué tan satisfecha/o se siente con los siguientes aspectos de su trabajo actual? &gt;&gt; a) La cantidad de trabajo que realiza</t>
  </si>
  <si>
    <t>7. ¿Qué tan satisfecha/o se siente con los siguientes aspectos de su trabajo actual? &gt;&gt; b) El horario de trabajo</t>
  </si>
  <si>
    <t>7. ¿Qué tan satisfecha/o se siente con los siguientes aspectos de su trabajo actual? &gt;&gt; c) El tiempo de descanso durante la jornada laboral</t>
  </si>
  <si>
    <t>7. ¿Qué tan satisfecha/o se siente con los siguientes aspectos de su trabajo actual? &gt;&gt; d) El tiempo libre o de ocio fuera del trabajo</t>
  </si>
  <si>
    <t>1. ¿Cuál es su estado conyugal o civil actual?</t>
  </si>
  <si>
    <t>2. Actualmente, ¿tiene usted una pareja o cónyuge, ya sea que viva o no con usted? Considere pareja conviviente o relación estable</t>
  </si>
  <si>
    <t>3. Actualmente, ¿su pareja tiene trabajo remunerado?</t>
  </si>
  <si>
    <t>4. ¿Hace cuánto tiene su pareja este trabajo? (Si tiene más de un trabajo remunerado, responda por el que le reporta más ingresos)</t>
  </si>
  <si>
    <t>5. ¿Su pareja aporta al ingreso de su hogar?</t>
  </si>
  <si>
    <t>6. ¿En su ocupación principal su pareja es…?</t>
  </si>
  <si>
    <t>7. ¿El negocio o actividad por cuenta propia de su pareja o cónyuge realiza alguno de los ... &gt;&gt; a) Declaración mensual de IVA</t>
  </si>
  <si>
    <t>7. ¿El negocio o actividad por cuenta propia de su pareja o cónyuge realiza alguno de los ... &gt;&gt; b) Declaración anual de impuestos a la renta</t>
  </si>
  <si>
    <t>a) Salud (Isapre o Fonasa)</t>
  </si>
  <si>
    <t>b) AFP o INP (IPS)</t>
  </si>
  <si>
    <t>1. ¿Realiza usted trabajo doméstico en su hogar, como cocinar, limpiar, lavar la ropa, los platos o cuidar de niños?</t>
  </si>
  <si>
    <t>2. Durante un día habitual de la semana (lunes a viernes), ¿Cuántas horas al día le dedica... &gt;&gt; a) Cuidado de crianza de niños(as), de personas mayores, dependientes o enfermas en el hog...</t>
  </si>
  <si>
    <t>2. Durante un día habitual de la semana (lunes a viernes), ¿Cuántas horas al día le dedica... &gt;&gt; b) Tareas que realiza en su casa sin recibir un pago a cambio tales como hacer el aseo, pr...</t>
  </si>
  <si>
    <t>3. Durante un fin de semana habitual, ¿Cuántas horas al día le dedica usted al…? &gt;&gt; a) Cuidado de crianza de niños (as), de personas mayores, dependientes o enfermas en el ho...</t>
  </si>
  <si>
    <t>3. Durante un fin de semana habitual, ¿Cuántas horas al día le dedica usted al…? &gt;&gt; b) Tareas que realiza en su casa sin recibir un pago a cambio tales como hacer el aseo, pr...</t>
  </si>
  <si>
    <t>4. Las siguientes afirmaciones se refieren al trabajo doméstico que realiza en su hogar, c... &gt;&gt; a) A menudo siento una gran presión de tiempo para llevar a cabo las tareas del hogar</t>
  </si>
  <si>
    <t>4. Las siguientes afirmaciones se refieren al trabajo doméstico que realiza en su hogar, c... &gt;&gt; b) Frecuentemente soy interrumpida y/o perturbada mientras realizo las tareas del hogar</t>
  </si>
  <si>
    <t>4. Las siguientes afirmaciones se refieren al trabajo doméstico que realiza en su hogar, c... &gt;&gt; c) A menudo siento que estoy siempre haciendo tareas del hogar</t>
  </si>
  <si>
    <t>4. Las siguientes afirmaciones se refieren al trabajo doméstico que realiza en su hogar, c... &gt;&gt; d) Necesitaría más horas en el día para completar todas las tareas del hogar</t>
  </si>
  <si>
    <t>4. Las siguientes afirmaciones se refieren al trabajo doméstico que realiza en su hogar, c... &gt;&gt; e) Las tareas del hogar se han vuelto cada vez más grandes y exigentes</t>
  </si>
  <si>
    <t>4. Las siguientes afirmaciones se refieren al trabajo doméstico que realiza en su hogar, c... &gt;&gt; f) Me veo obligada a realizar múltiples tareas al mismo tiempo</t>
  </si>
  <si>
    <t>4. Las siguientes afirmaciones se refieren al trabajo doméstico que realiza en su hogar, c... &gt;&gt; g) Me siento abrumada por la cantidad de responsabilidades que tengo en mi hogar</t>
  </si>
  <si>
    <t>4. Las siguientes afirmaciones se refieren al trabajo doméstico que realiza en su hogar, c... &gt;&gt; h) Raramente tengo un momento de descanso durante el día</t>
  </si>
  <si>
    <t>5. ¿Con qué frecuencia le ocurren las siguientes situaciones? &gt;&gt; a) Piensas en las tareas domésticas y familiares cuándo estas en el trabajo</t>
  </si>
  <si>
    <t>5. ¿Con qué frecuencia le ocurren las siguientes situaciones? &gt;&gt; b) Hay situaciones en las que deberías estar en el trabajo y en casa a la vez</t>
  </si>
  <si>
    <t>5. ¿Con qué frecuencia le ocurren las siguientes situaciones? &gt;&gt; c) Tu trabajo te quita tiempo que te hubiera gustado pasar con tu pareja/familia/amigos</t>
  </si>
  <si>
    <t>5. ¿Con qué frecuencia le ocurren las siguientes situaciones? &gt;&gt; d) Te resulta complicado atender a tus obligaciones domésticas porque estás constantemente...</t>
  </si>
  <si>
    <t>5. ¿Con qué frecuencia le ocurren las siguientes situaciones? &gt;&gt; e) Tienes que trabajar tanto que no tienes tiempo para tus hobbies</t>
  </si>
  <si>
    <t>5. ¿Con qué frecuencia le ocurren las siguientes situaciones? &gt;&gt; f) Tus obligaciones laborales hacen que te resulte complicado relajarte en casa</t>
  </si>
  <si>
    <t>5. ¿Con qué frecuencia le ocurren las siguientes situaciones? &gt;&gt; g) Las exigencias de tu trabajo interfieren con tu vida familiar y en el hogar</t>
  </si>
  <si>
    <t>6. En relación al trabajo doméstico, ¿cuán de acuerdo o en desacuerdo está con las siguien... &gt;&gt; a) Me encuentro fácilmente bajo presión de tiempo para realizar las tareas domésticas y de...</t>
  </si>
  <si>
    <t>6. En relación al trabajo doméstico, ¿cuán de acuerdo o en desacuerdo está con las siguien... &gt;&gt; b) Incluso por la mañana, comienzo a preocuparme por el trabajo familiar</t>
  </si>
  <si>
    <t>6. En relación al trabajo doméstico, ¿cuán de acuerdo o en desacuerdo está con las siguien... &gt;&gt; c) Si pospongo alguna tarea doméstica, tengo dificultades para dormir por la noche.</t>
  </si>
  <si>
    <t>6. En relación al trabajo doméstico, ¿cuán de acuerdo o en desacuerdo está con las siguien... &gt;&gt; d) Constantemente pienso en mis responsabilidades en casa.</t>
  </si>
  <si>
    <t>7. La semana pasada, ¿recibió apoyo de alguna persona que no sea integrante del hogar, como abuela, tío, vecino, amiga, en su hogar para realizar algún quehacer doméstico o cuidar a alguien del hogar?</t>
  </si>
  <si>
    <t>8. Y esta ayuda, ¿fue de tipo…?</t>
  </si>
  <si>
    <t>9. ¿La persona de la que recibe ayuda es hombre o mujer? En caso de que reciba ayuda de más de una persona, piense en quien lo hace con mayor frecuencia.</t>
  </si>
  <si>
    <t>10. ¿Esta persona recibe pago? Ya sea monetario o en especies.</t>
  </si>
  <si>
    <t>11. Aparte de las labores de cuidados y del hogar, ¿usted cuida de otras personas o hace labores domésticas fuera de su hogar sin remuneración?</t>
  </si>
  <si>
    <t>12. A lo largo de su vida, ¿ha tenido que cuidar de otras personas, ya sea adultos mayores, personas en situación de discapacidad, u otro(s) niño(s) que no sean su(s) propio(s) hijo(s) por período prolongado (más de 6 meses)?</t>
  </si>
  <si>
    <t>13. ¿Cuántas personas ha cuidado con anterioridad? (Nº de personas)</t>
  </si>
  <si>
    <t>1. ¿Cuál es su nacionalidad? &gt;&gt; Seleccione la alternativa que corresponda &gt;&gt; Chilena (exclusivamente)</t>
  </si>
  <si>
    <t>1. ¿Cuál es su nacionalidad? &gt;&gt; Seleccione la alternativa que corresponda &gt;&gt; Chilena y otra (doble nacionalidad). Especifique país:</t>
  </si>
  <si>
    <t>1. ¿Cuál es su nacionalidad? &gt;&gt; Seleccione la alternativa que corresponda &gt;&gt; Venezuela</t>
  </si>
  <si>
    <t>1. ¿Cuál es su nacionalidad? &gt;&gt; Seleccione la alternativa que corresponda &gt;&gt; Perú</t>
  </si>
  <si>
    <t>1. ¿Cuál es su nacionalidad? &gt;&gt; Seleccione la alternativa que corresponda &gt;&gt; Colombia</t>
  </si>
  <si>
    <t>1. ¿Cuál es su nacionalidad? &gt;&gt; Seleccione la alternativa que corresponda &gt;&gt; Haití</t>
  </si>
  <si>
    <t>1. ¿Cuál es su nacionalidad? &gt;&gt; Seleccione la alternativa que corresponda &gt;&gt; Bolivia</t>
  </si>
  <si>
    <t>1. ¿Cuál es su nacionalidad? &gt;&gt; Seleccione la alternativa que corresponda &gt;&gt; Argentina</t>
  </si>
  <si>
    <t>1. ¿Cuál es su nacionalidad? &gt;&gt; Seleccione la alternativa que corresponda &gt;&gt; Ecuador</t>
  </si>
  <si>
    <t>1. ¿Cuál es su nacionalidad? &gt;&gt; Seleccione la alternativa que corresponda &gt;&gt; Otro. Especifique país:</t>
  </si>
  <si>
    <t>2. ¿Eres migrante?</t>
  </si>
  <si>
    <t>3. ¿Cuál es tu situación migratoria actual?</t>
  </si>
  <si>
    <t>4. Marque el periodo en que llegó a vivir a Chile:</t>
  </si>
  <si>
    <t>5. En el país donde vivía antes, tu situación laboral era..</t>
  </si>
  <si>
    <t>6. ¿Tu situación laboral en Chile ha cambiado respecto a tu país de origen?</t>
  </si>
  <si>
    <t>7. ¿Tienes más dificultades para acceder a financiamiento que una persona nacida en Chile?</t>
  </si>
  <si>
    <t>1. Salud mental</t>
  </si>
  <si>
    <t>scoring_salud_mental_1</t>
  </si>
  <si>
    <t xml:space="preserve"> &gt;&gt; ¿Sus preocupaciones le han hecho perder mucho sueño?</t>
  </si>
  <si>
    <t>scoring_salud_mental_2</t>
  </si>
  <si>
    <t xml:space="preserve"> &gt;&gt; ¿Se ha sentido constantemente agobiado(a) y en tensión?</t>
  </si>
  <si>
    <t>scoring_salud_mental_3</t>
  </si>
  <si>
    <t xml:space="preserve"> &gt;&gt; ¿Ha sentido que no puede superar sus dificultades?</t>
  </si>
  <si>
    <t>scoring_salud_mental_4</t>
  </si>
  <si>
    <t xml:space="preserve"> &gt;&gt; ¿Se ha sentido poco feliz y deprimido(a)?</t>
  </si>
  <si>
    <t>scoring_salud_mental_5</t>
  </si>
  <si>
    <t xml:space="preserve"> &gt;&gt; ¿Ha perdido confianza en sí mismo?</t>
  </si>
  <si>
    <t>scoring_salud_mental_6</t>
  </si>
  <si>
    <t xml:space="preserve"> &gt;&gt; ¿Ha pensado que usted es una persona que no vale para nada?</t>
  </si>
  <si>
    <t>scoring_salud_mental_7</t>
  </si>
  <si>
    <t xml:space="preserve"> &gt;&gt; ¿Ha sentido que está jugando un papel útil en la vida?</t>
  </si>
  <si>
    <t>scoring_salud_mental_8</t>
  </si>
  <si>
    <t xml:space="preserve"> &gt;&gt; ¿Se ha sentido capaz de tomar decisiones?</t>
  </si>
  <si>
    <t>scoring_salud_mental_9</t>
  </si>
  <si>
    <t xml:space="preserve"> &gt;&gt; ¿Ha sido capaz de disfrutar sus actividades normales de cada día?</t>
  </si>
  <si>
    <t>scoring_salud_mental_10</t>
  </si>
  <si>
    <t xml:space="preserve"> &gt;&gt; ¿Ha sido capaz de hacer frente a sus problemas?</t>
  </si>
  <si>
    <t>scoring_salud_mental_11</t>
  </si>
  <si>
    <t xml:space="preserve"> &gt;&gt; ¿Se siente razonablemente feliz considerando todas las circunstancias?</t>
  </si>
  <si>
    <t>scoring_salud_mental_12</t>
  </si>
  <si>
    <t>score_salud_mental</t>
  </si>
  <si>
    <t>score_salud_mental_riesgo</t>
  </si>
  <si>
    <t>1.2 Condiciones del trabajo &gt;&gt; ¿Su carga de trabajo se distribuye de manera desigual de modo que se le acumula el trabajo...</t>
  </si>
  <si>
    <t>score_condiciones_de_trabajo_carga_de_trabajo_1</t>
  </si>
  <si>
    <t>1.2 Condiciones del trabajo &gt;&gt; ¿Con qué frecuencia le falta tiempo para completar sus tareas?</t>
  </si>
  <si>
    <t>score_condiciones_de_trabajo_carga_de_trabajo_2</t>
  </si>
  <si>
    <t>1.2 Condiciones del trabajo &gt;&gt; ¿Se retrasa en la entrega de su trabajo?</t>
  </si>
  <si>
    <t>score_condiciones_de_trabajo_carga_de_trabajo_3</t>
  </si>
  <si>
    <t>score_carga_de_trabajo</t>
  </si>
  <si>
    <t>score_carga_de_trabajo_categorizado_riesgo</t>
  </si>
  <si>
    <t>1.2 Condiciones del trabajo &gt;&gt; Su trabajo, ¿le coloca en situaciones emocionalmente perturbadoras?</t>
  </si>
  <si>
    <t>score_condiciones_de_trabajo_exigencias_emocionales_1</t>
  </si>
  <si>
    <t>1.2 Condiciones del trabajo &gt;&gt; Como parte de su trabajo, ¿tiene que lidiar con los problemas personales de usuarios o cli...</t>
  </si>
  <si>
    <t>score_condiciones_de_trabajo_exigencias_emocionales_2</t>
  </si>
  <si>
    <t>1.2 Condiciones del trabajo &gt;&gt; Su trabajo, ¿le exige esconder sus emociones?</t>
  </si>
  <si>
    <t>score_condiciones_de_trabajo_exigencias_emocionales_3</t>
  </si>
  <si>
    <t>score_condiciones_de_trabajo_exigencias_emocionales_total</t>
  </si>
  <si>
    <t>score_condiciones_de_trabajo_exigencias_emocionales_categorizado</t>
  </si>
  <si>
    <t>1.2 Condiciones del trabajo &gt;&gt; De ser necesario, ¿con qué frecuencia obtiene ayuda y apoyo de sus compañeros(as) de traba...</t>
  </si>
  <si>
    <t>score_condiciones_de_trabajo_compañerismo_1</t>
  </si>
  <si>
    <t>1.2 Condiciones del trabajo &gt;&gt; De ser necesario, ¿con qué frecuencia sus compañeros(as) de trabajo están dispuestos(as) a...</t>
  </si>
  <si>
    <t>score_condiciones_de_trabajo_compañerismo_2</t>
  </si>
  <si>
    <t>1.2 Condiciones del trabajo &gt;&gt; ¿Hay buen ambiente entre usted y sus compañeros(as) de trabajo?</t>
  </si>
  <si>
    <t>score_condiciones_de_trabajo_compañerismo_3</t>
  </si>
  <si>
    <t>1.2 Condiciones del trabajo &gt;&gt; En su trabajo, ¿usted siente que forma parte de un equipo?</t>
  </si>
  <si>
    <t>score_condiciones_de_trabajo_compañerismo_4</t>
  </si>
  <si>
    <t>score_condiciones_de_trabajo_compañerismo_total</t>
  </si>
  <si>
    <t>score_condiciones_de_trabajo_compañerismo_categorizado</t>
  </si>
  <si>
    <t>1.2 Condiciones del trabajo &gt;&gt; ¿Está preocupado(a) que cambie sus tareas cotidianas en contra de su voluntad?</t>
  </si>
  <si>
    <t>score_condiciones_de_trabajo_INSEGURIDAD</t>
  </si>
  <si>
    <t>1.2 Condiciones del trabajo &gt;&gt; ¿Está preocupado(a) por si la trasladan a otro lugar de trabajo, obra, funciones en contra...</t>
  </si>
  <si>
    <t>score_condiciones_de_trabajo_INSEGURIDAD_2</t>
  </si>
  <si>
    <t>1.2 Condiciones del trabajo &gt;&gt; ¿Está preocupado(a) que cambie el horario (jornada, días de la semana, hora de entrada y s...</t>
  </si>
  <si>
    <t>score_condiciones_de_trabajo_INSEGURIDAD_3</t>
  </si>
  <si>
    <t>score_condiciones_de_trabajo_INSEGURIDAD_total</t>
  </si>
  <si>
    <t>score_condiciones_de_trabajo_INSEGURIDAD_categorizado</t>
  </si>
  <si>
    <t>1.2 Condiciones del trabajo &gt;&gt; ¿Siente que su trabajo le consume demasiada ENERGÍA teniendo un efecto negativo en su vida...</t>
  </si>
  <si>
    <t>score_condiciones_de_trabajo_EQUILIBRIO TRABAJO /VIDA PRIVADA</t>
  </si>
  <si>
    <t>1.2 Condiciones del trabajo &gt;&gt; ¿Siente que su trabajo le consume demasiado TIEMPO teniendo un efecto negativo en su vida ...</t>
  </si>
  <si>
    <t>score_condiciones_de_trabajo_EQUILIBRIO TRABAJO /VIDA PRIVADA_2</t>
  </si>
  <si>
    <t>1.2 Condiciones del trabajo &gt;&gt; Las exigencias de su trabajo, ¿interfieren con su vida privada y familiar?</t>
  </si>
  <si>
    <t>score_condiciones_de_trabajo_EQUILIBRIO TRABAJO /VIDA PRIVADA_3</t>
  </si>
  <si>
    <t>score_condiciones_de_trabajo_EQUILIBRIO TRABAJO /VIDA PRIVADA_total</t>
  </si>
  <si>
    <t>score_condiciones_de_trabajo_EQUILIBRIO TRABAJO /VIDA PRIVADA_categorizado</t>
  </si>
  <si>
    <t xml:space="preserve"> &gt;&gt; En su trabajo, durante los últimos 12 meses, ¿ha estado involucrado(a) en disputas o confl...</t>
  </si>
  <si>
    <t>score_condiciones_de_trabajo_VIOLENCIA Y ACOSO_1</t>
  </si>
  <si>
    <t xml:space="preserve"> &gt;&gt; En su trabajo, durante los últimos 12 meses, ¿ha estado expuesto(a) a bromas desagradables...</t>
  </si>
  <si>
    <t>score_condiciones_de_trabajo_VIOLENCIA Y ACOSO_2</t>
  </si>
  <si>
    <t xml:space="preserve"> &gt;&gt; En los últimos 12 meses, ¿ha estado expuesto(a) a acoso relacionado al trabajo por correo ...</t>
  </si>
  <si>
    <t>score_condiciones_de_trabajo_VIOLENCIA Y ACOSO_3</t>
  </si>
  <si>
    <t xml:space="preserve"> &gt;&gt; En su trabajo, durante los últimos 12 meses, ¿ha estado expuesta(o) a acoso sexual? </t>
  </si>
  <si>
    <t>score_condiciones_de_trabajo_VIOLENCIA Y ACOSO_4</t>
  </si>
  <si>
    <t xml:space="preserve"> &gt;&gt; En su trabajo, en los últimos 12 meses, ¿ha estado expuesta(o) a violencia física?</t>
  </si>
  <si>
    <t>score_condiciones_de_trabajo_VIOLENCIA Y ACOSO_5</t>
  </si>
  <si>
    <t xml:space="preserve"> &gt;&gt; El bullying o acoso significa que una persona está expuesta a un trato desagradable o deni...</t>
  </si>
  <si>
    <t>score_condiciones_de_trabajo_VIOLENCIA Y ACOSO_6</t>
  </si>
  <si>
    <t xml:space="preserve"> &gt;&gt; ¿Con qué frecuencia se siente intimidado(a), colocado(a) en ridículo o injustamente critic...</t>
  </si>
  <si>
    <t>score_condiciones_de_trabajo_VIOLENCIA Y ACOSO_7</t>
  </si>
  <si>
    <t>score_condiciones_de_trabajo_VIOLENCIA Y ACOSO_total</t>
  </si>
  <si>
    <t>score_condiciones_de_trabajo_VIOLENCIA Y ACOSO_categorizado</t>
  </si>
  <si>
    <t>1. ¿Con qué frecuencia utiliza las siguientes herramientas tecnológicas en sus actividades... &gt;&gt; a) Teléfono móvil (llamadas, mensajes, WhatsApp)</t>
  </si>
  <si>
    <t>1. ¿Con qué frecuencia utiliza las siguientes herramientas tecnológicas en sus actividades... &gt;&gt; b) Redes sociales (Instagram, Facebook, etc.)</t>
  </si>
  <si>
    <t>1. ¿Con qué frecuencia utiliza las siguientes herramientas tecnológicas en sus actividades... &gt;&gt; c) Internet (buscar información, ver tutoriales, clases)</t>
  </si>
  <si>
    <t>1. ¿Con qué frecuencia utiliza las siguientes herramientas tecnológicas en sus actividades... &gt;&gt; d) Computador o tableta</t>
  </si>
  <si>
    <t>1. ¿Con qué frecuencia utiliza las siguientes herramientas tecnológicas en sus actividades... &gt;&gt; e) Herramientas de apoyo físico (silla de ruedas, bastón, órtesis)</t>
  </si>
  <si>
    <t>1. ¿Con qué frecuencia utiliza las siguientes herramientas tecnológicas en sus actividades... &gt;&gt; f) Herramientas de apoyo cognitivo o visual (cuadernos, pizarra, etc.)</t>
  </si>
  <si>
    <t/>
  </si>
  <si>
    <t>2. En el contexto de sus labores [cuidado/emprendimiento], considera que las herramientas ... &gt;&gt; …facilitan mis labores de [cuidado/emprendimiento]</t>
  </si>
  <si>
    <t>2. En el contexto de sus labores [cuidado/emprendimiento], considera que las herramientas ... &gt;&gt; …reducen mi carga física diaria</t>
  </si>
  <si>
    <t>2. En el contexto de sus labores [cuidado/emprendimiento], considera que las herramientas ... &gt;&gt; ...reducen mi carga mental diaria</t>
  </si>
  <si>
    <t>2. En el contexto de sus labores [cuidado/emprendimiento], considera que las herramientas ... &gt;&gt; ...me ayudan a tener más tiempo libre para mis necesidades básicas (comer, dormir, etcéter...</t>
  </si>
  <si>
    <t>2. En el contexto de sus labores [cuidado/emprendimiento], considera que las herramientas ... &gt;&gt; ... me ayudan a tener más tiempo para realizar actividades personales (deportivas, recreac...</t>
  </si>
  <si>
    <t>2. En el contexto de sus labores [cuidado/emprendimiento], considera que las herramientas ... &gt;&gt; ...me ayudan a tener más tiempo para participar en actividades comunitarias (organizacione...</t>
  </si>
  <si>
    <t>2. En el contexto de sus labores [cuidado/emprendimiento], considera que las herramientas ... &gt;&gt; ...me ayudan a mejorar mi relación con [la persona a quién entrego cuidados/mis clientes]</t>
  </si>
  <si>
    <t>3.  ¿Qué impacto cree que vaya a tener la inteligencia artificial en sus labores de [cuidado/emprendimiento]?</t>
  </si>
  <si>
    <t>Submission ID</t>
  </si>
  <si>
    <t>Sí</t>
  </si>
  <si>
    <t>Yagán</t>
  </si>
  <si>
    <t>No</t>
  </si>
  <si>
    <t>No aplica</t>
  </si>
  <si>
    <t>Menos de $50.000</t>
  </si>
  <si>
    <t>$50.001 a $100.000</t>
  </si>
  <si>
    <t>De lunes a viernes y a veces sábado, domingo y festivos</t>
  </si>
  <si>
    <t>Servicio doméstico (puertas adentro o puertas afuera)</t>
  </si>
  <si>
    <t>(1) Muy satisfecho/a</t>
  </si>
  <si>
    <t>Soltera</t>
  </si>
  <si>
    <t>Más de 3 años</t>
  </si>
  <si>
    <t>Más de 2 horas y menos de 4 horas</t>
  </si>
  <si>
    <t>Muy en desacuerdo</t>
  </si>
  <si>
    <t>Nunca</t>
  </si>
  <si>
    <t>Ocasional</t>
  </si>
  <si>
    <t>Mujer</t>
  </si>
  <si>
    <t>Sí, monetario</t>
  </si>
  <si>
    <t>Sí, hago labores domésticas</t>
  </si>
  <si>
    <t>Sí, de otro(s) niño(s)
No</t>
  </si>
  <si>
    <t>Chilena (exclusivamente)</t>
  </si>
  <si>
    <t>Visa de trabajo o temporal</t>
  </si>
  <si>
    <t>Entre 2023 y 2024</t>
  </si>
  <si>
    <t>Trabajadora por cuenta propia informal (sin reportar ventas del Estado)</t>
  </si>
  <si>
    <t>Se mantuvo igual</t>
  </si>
  <si>
    <t>Si</t>
  </si>
  <si>
    <t>Mucho menos que lo habitual</t>
  </si>
  <si>
    <t>No más que lo habitual</t>
  </si>
  <si>
    <t>Igual que lo habitual</t>
  </si>
  <si>
    <t>A menudo</t>
  </si>
  <si>
    <t>(1) Nunca</t>
  </si>
  <si>
    <t>Totalmente en desacuerdo</t>
  </si>
  <si>
    <t>PRUEBAAAAAAAA</t>
  </si>
  <si>
    <t>Más de $200.000</t>
  </si>
  <si>
    <t>$100.001 a $200.000</t>
  </si>
  <si>
    <t>Trabajadora por cuenta propia</t>
  </si>
  <si>
    <t>Para cumplir la ley</t>
  </si>
  <si>
    <t>Le ofrecieran un ingreso mayor al actual</t>
  </si>
  <si>
    <t>(4) Satisfecho/a</t>
  </si>
  <si>
    <t>Entre 4 a 6 horas</t>
  </si>
  <si>
    <t>De acuerdo</t>
  </si>
  <si>
    <t>En desacuerdo</t>
  </si>
  <si>
    <t>Muy de acuerdo</t>
  </si>
  <si>
    <t>Ni de acuerdo ni en desacuerdo</t>
  </si>
  <si>
    <t>A veces</t>
  </si>
  <si>
    <t>Rara vez</t>
  </si>
  <si>
    <t>Sí, de personas dependientes (personas con enfermedades y/o discapacidades)</t>
  </si>
  <si>
    <t>Bastante más que lo habitual</t>
  </si>
  <si>
    <t>No, en absoluto</t>
  </si>
  <si>
    <t>Menos que lo habitual</t>
  </si>
  <si>
    <t>Nunca/ casi nunca</t>
  </si>
  <si>
    <t>Siempre</t>
  </si>
  <si>
    <t>(5) Siempre</t>
  </si>
  <si>
    <t>Totalmente de acuerdo</t>
  </si>
  <si>
    <t>Neutral</t>
  </si>
  <si>
    <t>Buena ya q se tienen respuestas rápidas</t>
  </si>
  <si>
    <t>Sólo fines de semana o festivos</t>
  </si>
  <si>
    <t>Empleada a honorarios</t>
  </si>
  <si>
    <t>(3) Ni satisfecho/a ni insatisfecho/a</t>
  </si>
  <si>
    <t>Conviviente civil (con acuerdo de unión civil)</t>
  </si>
  <si>
    <t>Empleado del sector privado</t>
  </si>
  <si>
    <t>Entre 1 a 2 horas</t>
  </si>
  <si>
    <t>Sí, unas pocas veces</t>
  </si>
  <si>
    <t>(3) A veces</t>
  </si>
  <si>
    <t>Muy necesarios</t>
  </si>
  <si>
    <t>De lunes a viernes</t>
  </si>
  <si>
    <t>Conviviente o pareja sin acuerdo de unión civil</t>
  </si>
  <si>
    <t>Entre 1 a 3 años</t>
  </si>
  <si>
    <t>Más de 6 horas y menos de 8 horas</t>
  </si>
  <si>
    <t>Mejor que lo habitual</t>
  </si>
  <si>
    <t>(4) A menudo</t>
  </si>
  <si>
    <t>Va a ayudarme a mejorar mi promocion de mi emprendimiento</t>
  </si>
  <si>
    <t>De lunes a domingo</t>
  </si>
  <si>
    <t>(1) Muy insatisfecho/a</t>
  </si>
  <si>
    <t>Divorciada</t>
  </si>
  <si>
    <t>Más de 8 horas</t>
  </si>
  <si>
    <t>Hombre</t>
  </si>
  <si>
    <t>Mucho más que lo habitual</t>
  </si>
  <si>
    <t>Más que lo habitual</t>
  </si>
  <si>
    <t>Todo</t>
  </si>
  <si>
    <t>Aymara</t>
  </si>
  <si>
    <t>Bajo ninguna condición</t>
  </si>
  <si>
    <t>Casada</t>
  </si>
  <si>
    <t>Frecuente</t>
  </si>
  <si>
    <t>LA IA ES MUY IMPORTANTE EN MI TRABAJO , ME AYUDA A TENER INFORMACION DETALLADA , REDACCION EN LAS IDEAS DE MI TRABAJO , CONOCIMIENTOS Y MUCHO MAS</t>
  </si>
  <si>
    <t>Para cotizar en los sistemas de pensiones y salud</t>
  </si>
  <si>
    <t>Empleador o empresario</t>
  </si>
  <si>
    <t>Sí, en Sistema Público (FONASA Grupo B, C y D)</t>
  </si>
  <si>
    <t>Sí, de adultos mayores</t>
  </si>
  <si>
    <t>No es un impacto para mí en lo personal ya que cada persona elige con quién trabajar, y quién le realice el trabajo. Alcanza para todo</t>
  </si>
  <si>
    <t>Empleadora o empresaria</t>
  </si>
  <si>
    <t>(2) Insatisfecho/a</t>
  </si>
  <si>
    <t>Trabajador por cuenta propia</t>
  </si>
  <si>
    <t>Siempre uso inteligencia artificial, ya sea para realizar publicaciones y publicidad en redes sociales, o para realizar planillas contables, resolver dudas relacionadas al emprendimiento, etc.
Para mí el uso de la inteligencia artificial me ha facilitado muchas tareas del trabajo y familiar</t>
  </si>
  <si>
    <t>Si su negocio se fuera a perdida</t>
  </si>
  <si>
    <t>(2) Rara vez</t>
  </si>
  <si>
    <t>DE AYUDA, SOBRE TODO EN CONOCIMIENTO</t>
  </si>
  <si>
    <t>Un impacto muy positivo al tener posibilidades de acceder a aprender mejores conocimientos en el desarrollo de mi labor .</t>
  </si>
  <si>
    <t>(5) Muy satisfecho/a</t>
  </si>
  <si>
    <t>Separada</t>
  </si>
  <si>
    <t>Ninguna</t>
  </si>
  <si>
    <t>Familiar no remunerado (por ej., trabajando en almacén o repartos)</t>
  </si>
  <si>
    <t>No lo sé ...ayuda mucho ,pero se que no supera mi diligencia</t>
  </si>
  <si>
    <t>Sí, en Sistema Público (FONASA Grupo A Indigente)</t>
  </si>
  <si>
    <t>Sí, de otro(s) niño(s)</t>
  </si>
  <si>
    <t>Mucho</t>
  </si>
  <si>
    <t>Para acceder a programas y beneficios</t>
  </si>
  <si>
    <t>Sí, cuido de niños(as)</t>
  </si>
  <si>
    <t>Lo que sea ,hay que adaptarse</t>
  </si>
  <si>
    <t>Afro</t>
  </si>
  <si>
    <t>Domingo miércoles jueves  viernes</t>
  </si>
  <si>
    <t>Trabajo en dependiente y Independiente</t>
  </si>
  <si>
    <t>Será o ya es un Salto a la inteligencia del sistema en acelerar más las ventas</t>
  </si>
  <si>
    <t>Creo q no tendrá impacto.</t>
  </si>
  <si>
    <t>Anulada</t>
  </si>
  <si>
    <t>Sí, de adultos mayores
Sí, de otro(s) niño(s)</t>
  </si>
  <si>
    <t>Creo que es será de mucho impacto positivo para la creación y soluciones para nuevos desafíos.</t>
  </si>
  <si>
    <t>Muchisimo</t>
  </si>
  <si>
    <t>Le ofrecieran beneficios laborales (cotizaciones de salud, seguro de desempleo, vacaciones), pero con un ingreso menor al actual</t>
  </si>
  <si>
    <t>No creo ke afecte mucho</t>
  </si>
  <si>
    <t>Otro</t>
  </si>
  <si>
    <t>Ofrecieran beneficios laborales, pero con un ingreso mucho mayor al actual</t>
  </si>
  <si>
    <t>Sí, mensualmente</t>
  </si>
  <si>
    <t>No demasiado, ya que mis labores son presenciales y realizadas con mis manos, es algo "artesanal".Sí es de ayuda en la parte creativa, pero el trabajo no lo puede realizar por mí.</t>
  </si>
  <si>
    <t>Mi emprendimiento es más físico no creo que impida, es más acelera la productividad.</t>
  </si>
  <si>
    <t>No estoy de acuerdo conbla IA me gusta pensar que aún puedo hacer cosas por mi vista y no sólo seguir la moda, utilizar artefactos esta bien, pero dejar de pensar para que una máquina lo haga por uno teniendo las capacidades, me parece bien para las personas con capacidades limitadas debido a enfermedades, accidentes, etc para poder comunicarse o expresarse como la mayoría.</t>
  </si>
  <si>
    <t>Realmente no se</t>
  </si>
  <si>
    <t>Empleada del sector privado</t>
  </si>
  <si>
    <t>Sí, cuido de personas mayores</t>
  </si>
  <si>
    <t>Sí, de personas dependientes (personas con enfermedades y/o discapacidades)
Sí, de adultos mayores</t>
  </si>
  <si>
    <t>Ninguna porque los enfermos mentales no les sirve la inteligencia artificial</t>
  </si>
  <si>
    <t>La verdad, nada podrá reemplazar  al ser humano , no creo en su impacto pir lo menos a mi no me interesa</t>
  </si>
  <si>
    <t>Mapuche</t>
  </si>
  <si>
    <t>Bueno</t>
  </si>
  <si>
    <t>Empleada del sector público</t>
  </si>
  <si>
    <t>Ninguno</t>
  </si>
  <si>
    <t>Entre 3 y 6 meses</t>
  </si>
  <si>
    <t>Impacto positivo ya que se puede utilizar como una herramienta para potenciar el emprendimiento ya que brinda una amplia variedad de beneficios, incluyendo la automatización de procesos, el análisis de grandes cantidades de datos, la mejora de la experiencia del cliente y la reducción de errores humanos, entre otros.</t>
  </si>
  <si>
    <t>Facilita , compras y presupuesto</t>
  </si>
  <si>
    <t>De lunes a lunes</t>
  </si>
  <si>
    <t>Para mi emprendimiento sería muy buena</t>
  </si>
  <si>
    <t>Empleado del sector público</t>
  </si>
  <si>
    <t>Facilidades</t>
  </si>
  <si>
    <t>No trabajo</t>
  </si>
  <si>
    <t>Sí, de personas dependientes (personas con enfermedades y/o discapacidades)
Sí, de adultos mayores
Sí, de otro(s) niño(s)</t>
  </si>
  <si>
    <t>Empleado a honorarios</t>
  </si>
  <si>
    <t>Bolivia</t>
  </si>
  <si>
    <t>Residencia permanente</t>
  </si>
  <si>
    <t>Entre 2017 y 2019</t>
  </si>
  <si>
    <t>Asalariada para un empleador/a, empresa o negocio con seguridad social</t>
  </si>
  <si>
    <t>Mejoró</t>
  </si>
  <si>
    <t>Mucho, demasiado diria yo son muy útiles en la vida de ahora</t>
  </si>
  <si>
    <t>Mmm  siento que puede ser espada de doble filo si te ayudara bastante a encontrar de todo para hacer algo pero a costo de que ?</t>
  </si>
  <si>
    <t>Creando formas de ventas más rápidas e ideas más modernas en exposición a productos para la venta  ,como catálagos y ventas online..</t>
  </si>
  <si>
    <t>Lunes a sábado</t>
  </si>
  <si>
    <t>Venezuela</t>
  </si>
  <si>
    <t>Empeoró</t>
  </si>
  <si>
    <t>No lo se</t>
  </si>
  <si>
    <t>Sí, semanalmente</t>
  </si>
  <si>
    <t>A que falle el sistema y me arroje errores</t>
  </si>
  <si>
    <t>Un impacto positivo porque permite tener acceso a conocimientos sin movernos de casa y nos entrega herramientas para mejorar nuestros emprendimientos sin tener que pagar dinero de más por capacitarnos.</t>
  </si>
  <si>
    <t>Mi trabajo es más bien interactivo , por lo tanto no se cómo podría influir</t>
  </si>
  <si>
    <t>Le ofrecieran un ingreso fijo pero similar al actual</t>
  </si>
  <si>
    <t>Menos de 3 meses</t>
  </si>
  <si>
    <t>Sí, hago labores domésticas
Sí, cuido de niños(as)</t>
  </si>
  <si>
    <t>Aumenta la creatividad y expectativas en mi trabajo como manicurista</t>
  </si>
  <si>
    <t>Sí, cuido de personas dependientes (personas con enfermedades y/o discapacidades)</t>
  </si>
  <si>
    <t>Para nada bueno..ya que pienso que Dios le dio la sabiduria he inteligencia al hombre (ambos sexos)..por lo tanto una maquina es imposible que pueda funcionar sin un humano.debe permanecer controlado,un corte de luz otro problema,sin señal nada funciona.
La inteligencia artificial es solo momentánea.
Que puede ayudar a un poco si ..pero sustituir a la raza humana nunca .</t>
  </si>
  <si>
    <t>Entre 2014 y 2016</t>
  </si>
  <si>
    <t>Mm la verdad no me lo imagino que tan útil baya ser para mí</t>
  </si>
  <si>
    <t>Sí, en especies</t>
  </si>
  <si>
    <t>Mejor llegada con la gente</t>
  </si>
  <si>
    <t>Impacto negativo,la raza humana será sustituida</t>
  </si>
  <si>
    <t>Pésima idea.</t>
  </si>
  <si>
    <t>martes a domingos</t>
  </si>
  <si>
    <t>Italiana</t>
  </si>
  <si>
    <t>No le veo razón a reemplazar personas por máquinas</t>
  </si>
  <si>
    <t>No manejo ese tema</t>
  </si>
  <si>
    <t>Acercamiento a más pesonas atraves de redes sociales</t>
  </si>
  <si>
    <t>Asta el momento no creo que m afecte al contrario me ayuda a crear mejor contenido para las redes</t>
  </si>
  <si>
    <t>Sí, de personas dependientes (personas con enfermedades y/o discapacidades)
Sí, de otro(s) niño(s)</t>
  </si>
  <si>
    <t>Ups, no lo se</t>
  </si>
  <si>
    <t>Que el horario sea compatible con mis hijo.</t>
  </si>
  <si>
    <t>Brasil</t>
  </si>
  <si>
    <t>Un avance pero a la vez, el
Ser humano será cada día más inútil.</t>
  </si>
  <si>
    <t>No lo sé</t>
  </si>
  <si>
    <t>Nunca la e ocupado</t>
  </si>
  <si>
    <t>Beneficios para el emprendimiento</t>
  </si>
  <si>
    <t>Sí, diariamente</t>
  </si>
  <si>
    <t>Labores de optimización de recursos forma de cómo llegar a mi público objetivo y como poder levantar recursos para generar más trabajo</t>
  </si>
  <si>
    <t>Sería bueno ya que en mi emprendimientomme ayudaría a tener más clientela</t>
  </si>
  <si>
    <t>Un muy buen impacto, ya que puedo hacer que me cree anuncios muy buenos y ahorrarme ese tiempo de hacerlo yo</t>
  </si>
  <si>
    <t>Retraso emocional en el ser humano</t>
  </si>
  <si>
    <t>Flexibilidad horaria</t>
  </si>
  <si>
    <t>Si se sabe ocupar sería un impacto positivo pero es uno quien tiene que pensar y actuar</t>
  </si>
  <si>
    <t>Nos quitara trabajos</t>
  </si>
  <si>
    <t>Ayuda totslmente</t>
  </si>
  <si>
    <t>no entiendo , lo de inteligencia artificial</t>
  </si>
  <si>
    <t>Aun no entiendo bien la inteligencia artificial,no la ocupo actualmente</t>
  </si>
  <si>
    <t>Sí, hago labores domésticas
Sí, cuido de personas dependientes (personas con enfermedades y/o discapacidades)</t>
  </si>
  <si>
    <t>Creo que no aplica</t>
  </si>
  <si>
    <t>Va hacer u a gran ayuda para mi emprendimiento.</t>
  </si>
  <si>
    <t>Bueno yo trabajo independiente tengo un local de verdulería en mi casa vendo verduras de huerta y necesito recrear más mi local para seguir creciendo de mi emprendimiento independiente</t>
  </si>
  <si>
    <t>Entre 7 meses y 1 año</t>
  </si>
  <si>
    <t>Mal. Porque para mis clientes yo soy su inteligencia.</t>
  </si>
  <si>
    <t>Puede ayudar a personas con discapacidad a salir a delante</t>
  </si>
  <si>
    <t>ѕєríα gєníαl tєnєr єѕα llegada</t>
  </si>
  <si>
    <t>Muy grave, dejando a personas sin trabajo</t>
  </si>
  <si>
    <t>Me facilita muchas cosas además de que ahorro tiempo.</t>
  </si>
  <si>
    <t>Poder mejorará en muchos aspectos</t>
  </si>
  <si>
    <t>Muchísima, me alivianan mi trabajo al crear proyectos para mis eventos y también canalizar energía mental .</t>
  </si>
  <si>
    <t>Argentina</t>
  </si>
  <si>
    <t>Ayudarme a organizar mus redes sociales y finanzas</t>
  </si>
  <si>
    <t>En ayudar a crecer mi negocio para poder crear más contenido para las redes sociales sobre nuevos productos y stock de productos</t>
  </si>
  <si>
    <t>Huilliche</t>
  </si>
  <si>
    <t>En lo que realizó ninguno ya que trabajo en ventas de telecomunicaciones y artículos electrónicos y nada reemplazará a un persona en este tipo de trabajos ya que el convencer a una persona de lo que vendo lo puedo hacer solo yo no un robot ya que nadie le creería a alguien sin sentimientos ,ni valores ,en lo que realizó se necesita conocimiento y entregarle algo realmente que necesite un cliente y la inteligencia artificial su nombre lo dice es todo artificial hace y dice todo lo que la mayoría quiere escuchar pero nada certero alo que una persona puede hacer ,las personas jamaz serán reemplazadas por algo artificial y ala ayuda laboral que puede generar difícil ya que tenemos que pensar y actuar en base a nuestro conocimiento así mantenemos vivas nuestras neuronas ,esto so va traer más gente con demencia ya que la mente de los jóvenes ahora nada lo leen ,nada buscan en bibliotecas solo les encomiendan algo y hablan con la Siri o con Alexa y ellos les dan la respuesta esos mismos en 30 serán afectados ya no habrá comunicación es lamentable este tipo de tecnología cuando no se da buen uso.</t>
  </si>
  <si>
    <t>muy importante</t>
  </si>
  <si>
    <t>Sí, cuido de personas dependientes (personas con enfermedades y/o discapacidades)
Sí, cuido de niños(as)</t>
  </si>
  <si>
    <t>Mucho ya que es el principal contacto para las ventas de mis productos y promocionarlos</t>
  </si>
  <si>
    <t>Nose aun</t>
  </si>
  <si>
    <t>Por el momento yo me hago mis horarios</t>
  </si>
  <si>
    <t>Por motivos de salud de mi pequeño ...tengo que trabajar independiente para poder pasar más tiempo con el</t>
  </si>
  <si>
    <t>Ayudaría bastante para propaganda y ventas del.comercio</t>
  </si>
  <si>
    <t>Brasilera</t>
  </si>
  <si>
    <t>Apoyo y crecimiento</t>
  </si>
  <si>
    <t>Relativo</t>
  </si>
  <si>
    <t>La verdad cada vez es mejor la inteligencia, ayuda bastante en emprendimiento o en cosas del hogar</t>
  </si>
  <si>
    <t>Una forma de disminuir en ámbito laboral</t>
  </si>
  <si>
    <t>No se</t>
  </si>
  <si>
    <t>Muy bueno  ya que me ayudan ,para mi negocio</t>
  </si>
  <si>
    <t>Colombia</t>
  </si>
  <si>
    <t>Entre 2010 y 2013</t>
  </si>
  <si>
    <t>Asalariada para un empleador/a, empresa o negocio sin seguridad social</t>
  </si>
  <si>
    <t>Saber cómo se reflejará mi emprendimiento.</t>
  </si>
  <si>
    <t>Un gran impacto ya que ha ido evolucionando la forma en que se realizan los cuidados en las uñas.</t>
  </si>
  <si>
    <t>La IA siempre es ayuda mientras se utilice con moderación. Cada día vemos más desempleo ya que las personas están siendo reemplazas con máquinas manejadas con IA. Por que temo en un futuro no muy lejano las labores que cumplo yo también sean innecesarias por uso de IA</t>
  </si>
  <si>
    <t>Creo q alludara demasiado para mejorar cada día más y superarnos a nosotros mismo será genial rn mi opinion</t>
  </si>
  <si>
    <t>Mucho creo que hoy en día existen menos trabajos para las personas ya que están haciendo mucha tecnología prácticamente las máquinas hacen todo</t>
  </si>
  <si>
    <t>Mi emprendimiento es realizar costuras y ropa y accesorios de casa relacionado con telas. La inteligencia artificial me ayuda a buscar insumos y a resolver preguntas a los proyectos que quiera postular o realizar independiente, es una muy buena herramienta</t>
  </si>
  <si>
    <t>Mucho impacto</t>
  </si>
  <si>
    <t>Mucho te ayuda a resolver dudas y teda respuestas contundentes a lo que quieres Aser y dudas</t>
  </si>
  <si>
    <t>nada</t>
  </si>
  <si>
    <t>Sí, cuido de personas mayores
Sí, cuido de niños(as)</t>
  </si>
  <si>
    <t>Hacer todo por mi</t>
  </si>
  <si>
    <t>Ninguno. Tal vez una ayuda para promocionar</t>
  </si>
  <si>
    <t>para orientar cuando tenemos dudas de como vender un nuevo producto</t>
  </si>
  <si>
    <t>La inteligencia artificial, más que nada el uso de inteligencia como chat gpt, perpléxyti me han ayudado bastante a facilitar el trabajo y los estudios, siempre usándolas de manera ética y correcta para agilizar procesos y quitarme un poco de carga. Creo que es una buena herramienta, todo lo que facilite, la vida, procesos, etc siempre es un apoyo, una buena herramienta mientras se use de manera responsable y ética.</t>
  </si>
  <si>
    <t>Si, reemplazara al trabajador</t>
  </si>
  <si>
    <t>varía según la cantidad de trabajo, puede haber una semana en que me toque trabajar solo el Sábado y otra de Lunes a Viernes.</t>
  </si>
  <si>
    <t>muchísimas, la utilizo mucho para crear guiones de mis publicaciones, fotografías para mis diseños etc</t>
  </si>
  <si>
    <t>Creo que a medida que se vaya desarrollando más la inteligencia artificial será de mucha ayuda para todo es lo mismo cuando llegaron los primeros computadores mucha gente no lo sentía necesario ahora en cada casa casa hay un computador</t>
  </si>
  <si>
    <t>En mi emprendimiento, a tener nuevos patrones de tejidos, modo de entrega, calidad de las lanas. 
No creo pueda superar un chaleco hecho a mano y con amor.</t>
  </si>
  <si>
    <t>No muchas, ya que son tareas manuales</t>
  </si>
  <si>
    <t>Buena</t>
  </si>
  <si>
    <t>Viuda</t>
  </si>
  <si>
    <t>Entrega nuevas oportunidades laborales,educación en tiempos…
También  interactuamos y accedemos a la información necesaria.
A la vez también tiene sus riesgos.</t>
  </si>
  <si>
    <t>Será un gran avance</t>
  </si>
  <si>
    <t>Para lo que consierne a Marketing digital, muy útil, pero no es indispensable, ya que de igual modo siempre se necesitará el servicio al cliente presencial, humano, en cuanto a repartos, cambios, etc</t>
  </si>
  <si>
    <t>hasta el momento estado utilizando la inteligencia artificial y a tenido un impacto a nuestro mundo como emprendedora de diseños a sido utilizado</t>
  </si>
  <si>
    <t>En mi emprendimiento sirve con ideas y búsquedas de nuevos proyectos. En ambas cosas un impacto positivo</t>
  </si>
  <si>
    <t>Lunes martes miércoles jueves sabados</t>
  </si>
  <si>
    <t>.</t>
  </si>
  <si>
    <t>Sí, hago labores domésticas
Sí, cuido de personas dependientes (personas con enfermedades y/o discapacidades)
Sí, cuido de personas mayores
Sí, cuido de niños(as)</t>
  </si>
  <si>
    <t>Podría remplaza alos humanos</t>
  </si>
  <si>
    <t>Según cómo se ocupe en mi caso, me ha facilitado la vida ya que yo trabajo en papelería y en hacer y crear cosas me ha ahorrado mucho tiempo y dinero Asique es una buena herramienta si se sabe utilizar bien</t>
  </si>
  <si>
    <t>Atención a las personas permanentes
Y ayuda permanente en el emprendimiento</t>
  </si>
  <si>
    <t>En esté momento no puedo porque soy cuidadora de dos personas</t>
  </si>
  <si>
    <t>Sí, cuido de personas dependientes (personas con enfermedades y/o discapacidades)
Sí, cuido de personas mayores</t>
  </si>
  <si>
    <t>mucha creatividad 
Pero yo aún no lo utilizo, sé que algún día lo tendré que hacer</t>
  </si>
  <si>
    <t>Mucho impacto, cada vez estamos más tecnológicos con los pedidos y la difusion</t>
  </si>
  <si>
    <t>Ninguno por que mi emprendiendo es de diversión juegos para cumpleaños</t>
  </si>
  <si>
    <t>FFAA y de Orden</t>
  </si>
  <si>
    <t>La inteligencia artificial puede tener un impacto significativo en algunos emprendimiento, poder automatizar tareas, mejorar la toma de decisiones, mayor eficiencia y productividad, desarrollo de habilidades, entre otras, la inteligencia artificial si la sabemos ocupar será útil se podrán crear nuevas oportunidades.</t>
  </si>
  <si>
    <t>MALA</t>
  </si>
  <si>
    <t>No creo que mucho presencial es m trabajo y clientes</t>
  </si>
  <si>
    <t>Creo que me ayudan con el tema de publicidad y contactar clientes</t>
  </si>
  <si>
    <t>Más ayuda  y la vez un poco de miedo si será bueno o malo  para mi enprendimiento pero siempre el avancé es bueno  seria de ayuda   si me sirve en mi enprendimiento</t>
  </si>
  <si>
    <t>creo que sera muy favorable me puede ayudar a reducir mis tiempos de trabajo.</t>
  </si>
  <si>
    <t>Creo que es una herramienta que puede servir mucho, pero debo aprender en qué casos utilizar</t>
  </si>
  <si>
    <t>Impacto positivo ya que mejora las ventas y llega a más clientes</t>
  </si>
  <si>
    <t>other</t>
  </si>
  <si>
    <t>No lo sé no creo mucho en ella</t>
  </si>
  <si>
    <t>tiene su lado favorable y negativo, dado a que a veces pasamos de un extremos a otro en lugar de ayudar nos enviciamos y perdemos tiempo navegando en redes sociales</t>
  </si>
  <si>
    <t>Bajo ninguna circunstancia, si mi negocio fuera a pérdida intentaría reinventarme y buscar nuevas estrategias</t>
  </si>
  <si>
    <t>Un impacto significativo, dado que es una herramienta que se está utilizando de manera universal y permite llegar a un amplio grupo de clientes</t>
  </si>
  <si>
    <t>Tiene sus ventajas y desventajas, dado que el miedo hacer reemplaza por ella es inminente, pero también se que es un herramienta fortalecer o a la hora de hacer teorías del caso.</t>
  </si>
  <si>
    <t>Un apoyo para las personas</t>
  </si>
  <si>
    <t>No mucho</t>
  </si>
  <si>
    <t>Sí, en ISAPRE</t>
  </si>
  <si>
    <t>Más apoyo , en ideas para el negocio 
Fotos , videos etc</t>
  </si>
  <si>
    <t>PROBABLEMENTE, SI SE SABE UTILIZAR, PODRIA IMPACTAR POSITIVAMENTE</t>
  </si>
  <si>
    <t>Ojalá pueda ser una ayuda en nuestros trabajos ya que no cuesta tener un negocio y levantarlos todos los días con ideas nueva,</t>
  </si>
  <si>
    <t>Diaguita</t>
  </si>
  <si>
    <t>Martes a Domingo</t>
  </si>
  <si>
    <t>Actualmente utilizo mucho IA  para diseñar y  para buscar información relevante para mi emprendimiento, lo que ha disminuido mucho mi carga mental y física.</t>
  </si>
  <si>
    <t>Acortar tiempo en trámites, tareas y trabajo. Y así tener más tiempo para la familia esparcimiento y actividades independientes. Esto facilitará el índice de la felicidad en la personas. Y por el otro lado también dejará a personas sin trabajo, hay controversias en este impacto.</t>
  </si>
  <si>
    <t>Jueves, viernes y sábados</t>
  </si>
  <si>
    <t>Para bien, ya que en algún momento no tendré que hacerlo yo si no la inteligencia</t>
  </si>
  <si>
    <t>Atacameño o Lickanantay</t>
  </si>
  <si>
    <t>Impacto mayor, ya lo estamos viendo, facilita el trabajo en algunas áreas. Trabajos administrativos, como realizar informes o redactar un correo.</t>
  </si>
  <si>
    <t>Ayudara a capacitación, pero no ha suplir mi trabajo y el entorno,</t>
  </si>
  <si>
    <t>Yo creo que es el futuro y será así y hay que ya acostumbrarse</t>
  </si>
  <si>
    <t>Me ayudarían en sobremanera a responder mensajes de clientes</t>
  </si>
  <si>
    <t>Un gran impacto de ayuda para los emprendimientos y poder llegar a clientes potenciales</t>
  </si>
  <si>
    <t>Demasiado</t>
  </si>
  <si>
    <t>Más ideas de desarrollo</t>
  </si>
  <si>
    <t>Por el momento ninguna</t>
  </si>
  <si>
    <t>mucho impacto positivo facilitando la comunicacion con los clientes y el alcance con ellos</t>
  </si>
  <si>
    <t>Apoyo para ahorrar tiempo</t>
  </si>
  <si>
    <t>Yo pienso k ningun impacto</t>
  </si>
  <si>
    <t>Cesante</t>
  </si>
  <si>
    <t>Muy positiva</t>
  </si>
  <si>
    <t>Es algo que se implementó en la vida no estoy muy en acuerdo con eso ya que se puede prestar para muchas cosas 
Es algo que tiene beneficios positivos como negativos</t>
  </si>
  <si>
    <t>En mi trabajo no</t>
  </si>
  <si>
    <t>me ayudan a estudiar lo que no sé, puedo crear estrategias de venta, diseñar pubicaciones</t>
  </si>
  <si>
    <t>Mejoras en cuanto a dar a conocer el emprendimiento</t>
  </si>
  <si>
    <t>Un gran impacto</t>
  </si>
  <si>
    <t>La gente Est a buscando más cosas en la ia pero nl razonan qué son creadas por eso las tortas hay que explicar que esa foto son de ia para que el. Cliente ve que no se puede imitar todo lo que el pide pero si se puede entregar algo parecido.
Ayuda oportunamente si en creaciones de publicidad y marketing</t>
  </si>
  <si>
    <t>para cada tipo de persona dependiendo de la edad bueno de la capacidad de adaptarse a la tecnologia, siempre demora un tiempo, pero a las personas mas jovenes es ya una buena herramienta de trabajo respaldo y una manera más actualizada para llegar a diferentes tipos de clientes de distintos lugares. mas merdado.</t>
  </si>
  <si>
    <t>Muy buen impacto. Es muy util</t>
  </si>
  <si>
    <t>No creo que mucha ya que traslado gente en un bus</t>
  </si>
  <si>
    <t>Positivo, porque se podrá publicitar de mejor manera y más accesible.</t>
  </si>
  <si>
    <t>Dueña de casa</t>
  </si>
  <si>
    <t>Por mi parte ninguna</t>
  </si>
  <si>
    <t>Algo bueno</t>
  </si>
  <si>
    <t>Ningun impacto, porque nada podrá reemplazar mis manos.</t>
  </si>
  <si>
    <t>No estoy seguro...</t>
  </si>
  <si>
    <t>Sí, hago labores domésticas
Sí, cuido de personas mayores
Sí, cuido de niños(as)</t>
  </si>
  <si>
    <t>Bueno ya que muchas microemprendedoras cómo yo.. nos apoyamos mucho de las redes sociales para poder vender nuestros productos</t>
  </si>
  <si>
    <t>Participar en algún programa</t>
  </si>
  <si>
    <t>Ayuda mejorando textos y propuestas pero eso hará que las personas dejemos de pensar y realizar las labores</t>
  </si>
  <si>
    <t>Ya no habría conexión directa con las personas</t>
  </si>
  <si>
    <t>La verdad al nivel  estupidistico que lo estan utilizando no traera nada bueno</t>
  </si>
  <si>
    <t>Si absolutamente para crear ideas de ventas y marketing</t>
  </si>
  <si>
    <t>Que me ayuda a vender y tengo tiempo libre para cuidar a mis hijo y hacer las cosas de la cass</t>
  </si>
  <si>
    <t>La verdad no se</t>
  </si>
  <si>
    <t>Hay que analizar la situación por qué no siempre es bueno</t>
  </si>
  <si>
    <t>Más fácil la publicidad</t>
  </si>
  <si>
    <t>Tremedo hoy todo se vasa en tecnologia</t>
  </si>
  <si>
    <t>depnde como la utilicemos,pero es muy bueno, es genial poder contar con una app que nos facilite de tal manera las cosas que nos ahorra mucho tiempo,  para generar ideas, gestionar respuestas, incluso para administrar todo tipo de actividades dentro del emprendimiento</t>
  </si>
  <si>
    <t>Creo va ser un impacto en lo laboral debido a que cada ves menos manos de obra van a necesitar las grandes empresas..</t>
  </si>
  <si>
    <t>Muchas cosas cambiarían con la inteligencia artificial</t>
  </si>
  <si>
    <t>Mucha una fuente de muchas ideas</t>
  </si>
  <si>
    <t>NO LO SÉ</t>
  </si>
  <si>
    <t>Bastante ya que ayuda mucho para informar.</t>
  </si>
  <si>
    <t>No lo pensado</t>
  </si>
  <si>
    <t>Que la gente pida perfección a un bajo costo.</t>
  </si>
  <si>
    <t>Más ayuda y menos cansancio fisico</t>
  </si>
  <si>
    <t>No lo tengo claro</t>
  </si>
  <si>
    <t>Martes,viernes,sábado y domingo</t>
  </si>
  <si>
    <t>Creo que será interesante</t>
  </si>
  <si>
    <t>Me ayudará a facilitar mi trabajo</t>
  </si>
  <si>
    <t>Cesantía</t>
  </si>
  <si>
    <t>Publicidad</t>
  </si>
  <si>
    <t>Haití</t>
  </si>
  <si>
    <t>De martes a domingo</t>
  </si>
  <si>
    <t>Un apoyo para nuestro emprendimiento</t>
  </si>
  <si>
    <t>es de gran ayuda para la organización  no creo que tenga algo mas alla de eso ayuda</t>
  </si>
  <si>
    <t>no puedo trabajar como dependiente pq tengo una enfermedad en mis piernas que me invalida para estar de pie</t>
  </si>
  <si>
    <t>Para mi emprendimiento tiene arto impactó ya que las utilizo diariamente en mi librería, para promover mi negocio y por el servicio ofrecido ya que imprimo, saco libros, trabajos, busco información, en fin varias cosas que ayudan a mis clientes y ellos confían en mi trabajo</t>
  </si>
  <si>
    <t>trato de no seguir las recomendaciones dadas por IA</t>
  </si>
  <si>
    <t>Siento que los humanos muchos quedaremos sin trabajo...</t>
  </si>
  <si>
    <t>Puede que la inteligencia artificial cumpla con más rapidez de elaboración</t>
  </si>
  <si>
    <t>Positivo</t>
  </si>
  <si>
    <t>SERIA BUENO</t>
  </si>
  <si>
    <t>Para mí impacto negativo ,no me gusta la i a</t>
  </si>
  <si>
    <t>Desconozco el tema</t>
  </si>
  <si>
    <t>Como va avanzando no impacta en nis labores pero si puede haber cambios favorables en el marketing del negocio</t>
  </si>
  <si>
    <t>Tener mayor tiempo para el cuidado y que el emprendimiento se pueda masificar más en redes sociales sin tener que ocupar tanto mi tiempo</t>
  </si>
  <si>
    <t>Muy conveniente</t>
  </si>
  <si>
    <t>Ayudaría y disminuye carga emocional y social que uno carga</t>
  </si>
  <si>
    <t>Sabiendo usarla  puede ser útil</t>
  </si>
  <si>
    <t>Aún no</t>
  </si>
  <si>
    <t>Nada relevante</t>
  </si>
  <si>
    <t>seria un apoyo emocional aun quea no vital, debido a que se puede ocupar como un trabajador mas sin necesidad de salir de la casa</t>
  </si>
  <si>
    <t>Mejorar la experiencia del cliente, la reducción de nuestros errores
Analizar la gran cantidad de datos 
Ee la puntualidad de entrega o ciTa de algún cliente</t>
  </si>
  <si>
    <t>Puede que sea de gran ayuda</t>
  </si>
  <si>
    <t>Quizás más facil en todo</t>
  </si>
  <si>
    <t>Uf harto xq la tecnología nos facilita las cosas de la vida y sobre todo el tiempo q están reducido uno como madre de una niña de 3 añitos y madre soltera q es el doble de trabajo pero lo hago con amor xq ella es todo para mí y x eso me gustan mis proyectos xq es para un futuro para mí y mi hija aún más mejor...y con la ayuda de ustedes fondo esperanza sin fines ni lucros... gracias</t>
  </si>
  <si>
    <t>Es un tremendo apoyo para diferentes funciones en mi trabajo,.cómo publicidad, obtener mejores clientes, contactos, y desarrollar en menor tiempo mis planes de trabajo, como ser cursos, talleres , capacitación, etc</t>
  </si>
  <si>
    <t>Martes miércoles viernes sábado y domingo</t>
  </si>
  <si>
    <t>Aportan para optimizar tiempo</t>
  </si>
  <si>
    <t>Me ayuda con estrategias de marketing y automatización de procesos</t>
  </si>
  <si>
    <t>Creo que la IA finalmente hará más del 50% del trabajo de todos por lo mismo creo que seremos muchos trabajadores que quedaremos sin trabajo</t>
  </si>
  <si>
    <t>Creo que en mi rubro no es trascendental</t>
  </si>
  <si>
    <t>Facilitara tiempo 
Apoyo creativo 
Para llamar la atención y propaganda</t>
  </si>
  <si>
    <t>Tendría un impacto muy positivo ya que me ayudaría mucho más a promocionar mi emprendimiento</t>
  </si>
  <si>
    <t>Me facilitara el uso de las redes sociales y en implentar publicidad de mi negocio</t>
  </si>
  <si>
    <t>Alguno días a la semana</t>
  </si>
  <si>
    <t>No entiendo mucho de inteligencia artificial</t>
  </si>
  <si>
    <t>Acomodación de horario</t>
  </si>
  <si>
    <t>Ningumo</t>
  </si>
  <si>
    <t>¿¿¿¿</t>
  </si>
  <si>
    <t>rapidez, avances tecnológicos, mejor comunicación.</t>
  </si>
  <si>
    <t>Más fácil de organizar actividades</t>
  </si>
  <si>
    <t>Un buen impacto ya que es una herramienta útil que me a ayudado con mi emprendimiento si se aprende a utilizar se saca bastante provecho.</t>
  </si>
  <si>
    <t>Para mí ninguno ya que yo mi emprendimiento lo llevo yo mi imaginaciones en contruir productos</t>
  </si>
  <si>
    <t>Que facilita para poder encontrar herramientas para poder desarrollar mejor la publicidad y manejo de las actividades.</t>
  </si>
  <si>
    <t>Respuesta (para emprendimiento):
Creo que la inteligencia artificial tendrá un gran impacto en el emprendimiento, sobre todo en la optimización del tiempo y la eficiencia. Herramientas con IA pueden ayudar a crear contenido, automatizar tareas repetitivas, analizar datos de ventas o redes sociales, e incluso asistir en la atención al cliente. Esto permite que uno se enfoque más en la parte creativa y estratégica del negocio. Para emprendimientos pequeños, como el mío, la IA puede ser una gran aliada para profesionalizar procesos sin necesidad de grandes inversiones.
Respuesta (para labores de cuidado):
En el ámbito del cuidado, la inteligencia artificial puede ser muy útil, por ejemplo, para organizar rutinas, recordar medicamentos o citas, o incluso para monitorear el bienestar de las personas a través de dispositivos inteligentes. Si bien no reemplaza el contacto humano ni el cariño, sí puede apoyar mucho en la gestión del tiempo y en tareas de seguimiento, ayudando a dar un mejor cuidado con menos carga.</t>
  </si>
  <si>
    <t>Ninguno ya solo es una opcion</t>
  </si>
  <si>
    <t>Sera una buena ayuda</t>
  </si>
  <si>
    <t>Horario x condiciones de salud</t>
  </si>
  <si>
    <t>No me preocupa x el momento</t>
  </si>
  <si>
    <t>Me ayuda a tener mayor conocimiento de temas que me interesan</t>
  </si>
  <si>
    <t>Mucho impacto, ya que la inteligencia artificial nos quitara mucho trabajo.</t>
  </si>
  <si>
    <t>tener mas publicidad. llegar a mas publico</t>
  </si>
  <si>
    <t>La inteligencia artificial crece cada vez mas y tendra un impacto significativo algunoa ejemplos son recordatorio de medicamentos analisis de signos vitales agendamientos de citas/ y en el emorendimiento asistentes virtuales chatbots analisis de datos orden y conteo de inventarios</t>
  </si>
  <si>
    <t>Horario de trabajo acorde a mi necesidad para poder hacerme cargo de mis hijos</t>
  </si>
  <si>
    <t>Solo me ayudaría aun más con mis ventas y rapidez para comunicar y llegar a más gente cada día . Es una muy necesaria herramienta</t>
  </si>
  <si>
    <t>el impacto sería positivo 
para más difusión y mejores fotografías y videos de mis trabajos del emprendimiento</t>
  </si>
  <si>
    <t>No entiendo mucho sobre ese tema, hasta ahora no me a interesado saber mas</t>
  </si>
  <si>
    <t>No sabría decirte algo hasta k lo vivamos 
Pero creo k es una muy buena herramienta 
En algunos aspectos laborales 
En el mío no creo k me afecte ?</t>
  </si>
  <si>
    <t>No me gusta la inteligencia artificial</t>
  </si>
  <si>
    <t>Muchísimo ya que utilizo mucho redes sociales
Para poder mostrar y auspiciar mi emprendimiento</t>
  </si>
  <si>
    <t>Satisfactorio</t>
  </si>
  <si>
    <t>Perú</t>
  </si>
  <si>
    <t>Entre 2000 y 2009</t>
  </si>
  <si>
    <t>No lo he probado todavía</t>
  </si>
  <si>
    <t>No m afecta mucho con el empredimiento que tengo, pienso que m ayudaría bastante.</t>
  </si>
  <si>
    <t>Poca</t>
  </si>
  <si>
    <t>Bastante</t>
  </si>
  <si>
    <t>Sería un apoyo pero no una necesidad</t>
  </si>
  <si>
    <t>Horario que me permita cuidar a hijo con discapacidad, o sea fin de semana o trabajo remoto</t>
  </si>
  <si>
    <t>En estos momentos no la uso, pero estoy consiente que será parte de casi todo en nuestro diario vivir. Ojalá sirve de manera terapéutica para mi hijo (adulto con autismo)</t>
  </si>
  <si>
    <t>En estos momentos la uso para mejorar mis fotos, para hacer mis publicaciones y me ayuda mucho a mejorar el aspecto de mi página.</t>
  </si>
  <si>
    <t>Ventaja ayuda a mejorar productividad se gana tiempo,difícil para las personas mayores y beneficia a los jovenes</t>
  </si>
  <si>
    <t>Ninguno útil de momento ya que mi sello es la atención personalizada a cada cliente</t>
  </si>
  <si>
    <t>Varias</t>
  </si>
  <si>
    <t>Trabajo en plantas, por el momento para mi no impactaria, en lo que realizo, ya que utilizo mucho mis manos, lo que si seria una ayuda, mas que nada en hacer trabajo de fuerza. Ya que con la edad , es mas dificil tomar cosas pesadas.</t>
  </si>
  <si>
    <t>Sí, hago labores domésticas
Sí, cuido de personas dependientes (personas con enfermedades y/o discapacidades)
Sí, cuido de personas mayores
Sí, cuido de niños(as)
No</t>
  </si>
  <si>
    <t>Sí, de personas dependientes (personas con enfermedades y/o discapacidades)
Sí, de adultos mayores
No</t>
  </si>
  <si>
    <t>Generar más recursos y seguir trabajando</t>
  </si>
  <si>
    <t>Positivo  una vez que pueda manejar lo habilmente.</t>
  </si>
  <si>
    <t>No lo sé aun, no confóo mucho</t>
  </si>
  <si>
    <t>No se, pero creo que ayudaría.</t>
  </si>
  <si>
    <t>Facilita el trabajo diario</t>
  </si>
  <si>
    <t>No ninguna</t>
  </si>
  <si>
    <t>Cuarto turno</t>
  </si>
  <si>
    <t>Facilitan los tiempos porque ayuda a ordenar ideas y luego uno explayarse con sus propias palabras.</t>
  </si>
  <si>
    <t>Automatización en las labores</t>
  </si>
  <si>
    <t>Estar mástil por con mis hijos</t>
  </si>
  <si>
    <t>Negativo</t>
  </si>
  <si>
    <t>Chilena</t>
  </si>
  <si>
    <t>Depende las ventas qué haga</t>
  </si>
  <si>
    <t>No hacer las cosas que hago que lo haga una máquina</t>
  </si>
  <si>
    <t>Venezolana</t>
  </si>
  <si>
    <t>Por lo pronto ningún impacto</t>
  </si>
  <si>
    <t>No losé</t>
  </si>
  <si>
    <t>Ningún impacto</t>
  </si>
  <si>
    <t>Turnos 7x7</t>
  </si>
  <si>
    <t>Aun no la aplico</t>
  </si>
  <si>
    <t>Podría ayudarme a crear videos sin que yo tenga que aparecer y textos sin pensar en que escribir. Eso le da inmediatez.</t>
  </si>
  <si>
    <t>En arto</t>
  </si>
  <si>
    <t>Me ayuda y facilita la tarea de mi emprendimiento tecnológicamente es muy útil para realizar  publicidad y llegar a tener más clientes y nuevos clientes .</t>
  </si>
  <si>
    <t>La facilidad de hacer mas publicidad con logotipos videos para promocionar más mi emprendimiento y llegar a más clientes en las distintas redes sociales.</t>
  </si>
  <si>
    <t>Considero que la inteligencia artificial es una herramienta neutral que facilita el acceso a cierta información, no obstante, invade en parte aspectos de privacidad asociado al medio con el que se utiliza considerando los permisos que la misma requiere</t>
  </si>
  <si>
    <t>Nunguno</t>
  </si>
  <si>
    <t>Creo que va ser un impacto de apoyo y bienestar al ser humano</t>
  </si>
  <si>
    <t>Mar rapidez
Mejores productos</t>
  </si>
  <si>
    <t>Espero que no vaya afectarme tanto</t>
  </si>
  <si>
    <t>Desconozco el término.</t>
  </si>
  <si>
    <t>Si pudiera tener los cuidados de mi hija cubiertos en tiempos en los que debo trabajar (buen colegio, niñera, pensión por parte del padre,etc)</t>
  </si>
  <si>
    <t>Muchísimos, incluso amenazantes para el trabajo que yo hago.</t>
  </si>
  <si>
    <t>Mucho porque ayuda bastante</t>
  </si>
  <si>
    <t>creo que no me afectará en mi negocio ya que es muy poco tecnologico</t>
  </si>
  <si>
    <t>Jueves a domingo</t>
  </si>
  <si>
    <t>Ayudará a crear publicidad mad creativa</t>
  </si>
  <si>
    <t>Me ayudaría a mejorar</t>
  </si>
  <si>
    <t>En que aveces se dan respuesta ilogicas</t>
  </si>
  <si>
    <t>Sí, en FF.AA y de Orden</t>
  </si>
  <si>
    <t>Sí, hago labores domésticas
Sí, cuido de personas dependientes (personas con enfermedades y/o discapacidades)
Sí, cuido de niños(as)</t>
  </si>
  <si>
    <t>La imagen</t>
  </si>
  <si>
    <t>Mejoras</t>
  </si>
  <si>
    <t>Colla</t>
  </si>
  <si>
    <t>Avance</t>
  </si>
  <si>
    <t>No entiendo mucho</t>
  </si>
  <si>
    <t>Positivo si lo dirijo bien</t>
  </si>
  <si>
    <t>Sí, monetario
Sí, en especies</t>
  </si>
  <si>
    <t>Muy buena</t>
  </si>
  <si>
    <t>Un impacto brutal! Ya que podemos crear millones de ideas y  todas son reales para la inteligencia artificial no tiene limite !</t>
  </si>
  <si>
    <t>No trabajaba</t>
  </si>
  <si>
    <t>Ayuda mucho</t>
  </si>
  <si>
    <t>Ke aprenderemos más</t>
  </si>
  <si>
    <t>Creo que aprendiendo a utilizarla sería un buen aliado en mi trabajo</t>
  </si>
  <si>
    <t>Podría tener impacto positivo como herramienta de ilustración y aprendizaje al momento de necesitar ideas nuevas o conocimiento para desarrollar destrezas, reduce el tiempo de búsqueda y administración de materiales. Optimiza el manejo de las redes sociales al momento de necesitar de la Inteligencia artificial para dirigirnos al público adecuado con el emprendimiento, la clave es saber usarla.</t>
  </si>
  <si>
    <t>Facilitara y automatizara los procesos de mi trabajo</t>
  </si>
  <si>
    <t>Soy independiente, es relativo</t>
  </si>
  <si>
    <t>Si mi esposo quedará cesante y fuera estrictamente necesario necesario</t>
  </si>
  <si>
    <t>Puede ser útil, para el desarrollo de publicidad y apoyo visual de mi emprendimiento</t>
  </si>
  <si>
    <t>Mejores ideas para aumentar las ventas de mi servicio</t>
  </si>
  <si>
    <t>No creo que sea bu3no para mi yo con un celular trabajo bi3n</t>
  </si>
  <si>
    <t>Yo opino que el impacto de la inteligencia artificial. Sería de gran ayuda, para mantener los canales de comunicación y publicidad para nuestros emprendimientos. Favorece la economía también. Por ejemplo: con la publicación y publicidad de ellos</t>
  </si>
  <si>
    <t>Alto impacto, la IA facilita las labores</t>
  </si>
  <si>
    <t>Permite automatizar tareas y enfocarnos en actividades creativas</t>
  </si>
  <si>
    <t>Por turnos</t>
  </si>
  <si>
    <t>Creo que iría en alza, por tiempo y modernidad</t>
  </si>
  <si>
    <t>Una linda recompensa</t>
  </si>
  <si>
    <t>Mejoras en procesos administrativos</t>
  </si>
  <si>
    <t>Que  ya no ,ha habrá trabajo</t>
  </si>
  <si>
    <t>Podria ayudar a realizar publicidad gratis</t>
  </si>
  <si>
    <t>Creo que tendría un gran impacto.  
Ya que  si esta dentro del rubro,  puede impactar de gran manera</t>
  </si>
  <si>
    <t>Puede ser positivo porque ayudan a llegar a más personas.</t>
  </si>
  <si>
    <t>Exelente</t>
  </si>
  <si>
    <t>La necesidad de cubrir deudas; sin embargo sería complementario a lo que realizo actualmente.</t>
  </si>
  <si>
    <t>Considero que es una buena herramienta que aprender.</t>
  </si>
  <si>
    <t>Nada, porque lo que realizó no ocupa tecnología</t>
  </si>
  <si>
    <t>En nada x que mi trabajo es manual ..</t>
  </si>
  <si>
    <t>Creo que podria tener un alto porcentaje de impacto,ya que al usar inteligencia artificial amplía las capacidades y conocimientos que se pueden tener respecto a un tema en especifico</t>
  </si>
  <si>
    <t>Como estamos viviendo hoy en día tenemos que ir de la mano con la tecnología o quedamos atrás eso significa que para un emprendimiento tendrá mayor venta y sustentabilidad en el tiempo</t>
  </si>
  <si>
    <t>Nada bueno ,desconcierto</t>
  </si>
  <si>
    <t>Nose</t>
  </si>
  <si>
    <t>Poder especializarme en mi carrera estoy terminando mis. Estudios en el. Instituto</t>
  </si>
  <si>
    <t>La inteligencia artificial optimizará tareas rutinarias, permitiendo enfocarse más en la creatividad y la toma de decisiones estratégicas. Además, facilitará la personalización y eficiencia en el cuidado o los negocios.</t>
  </si>
  <si>
    <t>Que bueno amor</t>
  </si>
  <si>
    <t>Me podría ayudar</t>
  </si>
  <si>
    <t>En emprendimiento algo positivo ya que se puede usar para favorecer la venta de los productos</t>
  </si>
  <si>
    <t>Espero que rl mejor impacto para incrementar clientes y ventas, para demostrar calidad de los productos,  visualizado por las redes y lleguen a todos lados</t>
  </si>
  <si>
    <t>Un impacto positivo ya que nos ayudará a crecer creando contenido audio visual para nuestros clientes</t>
  </si>
  <si>
    <t>Los horarios fueran más flexibles y compatibles con la maternidad</t>
  </si>
  <si>
    <t>Vendo por internet y me facilitaría la creación de contenidos, me ayudaría en estrategias de marketing para así llegar mejor a mi público objetivo</t>
  </si>
  <si>
    <t>En mi caso no mucho , por suerte mi negocio depende de mi en todo ámbito</t>
  </si>
  <si>
    <t>Ayuda a facilitar el desempeño laboral 
Facilita información</t>
  </si>
  <si>
    <t>No creo que mucho impacto ya que soy mi propia jefa</t>
  </si>
  <si>
    <t>Mayor rapidez y economía de tiempo.</t>
  </si>
  <si>
    <t>La verdad nose ..yo creo que no sería muy bueno pero hay que verlo</t>
  </si>
  <si>
    <t>Me Ayuda a llegar a más personas , por medios de videos( públicidad)a conocer mis productos y la calidad así uno solo los comparte fácilmente en los grupos de redes .hacer igual envivos para vender siertos días así los otros días uno se encarga a enviar los productos a los clientes que compraron .</t>
  </si>
  <si>
    <t>Podría haber mnos empleo, seríamos reemplazados, quizas bajaría el sueldo, habría más pobreza,</t>
  </si>
  <si>
    <t>Mejorar mis ventas</t>
  </si>
  <si>
    <t>Paraguay</t>
  </si>
  <si>
    <t>Mejorar</t>
  </si>
  <si>
    <t>Mejorar mi productividad y exposición en redes sociales</t>
  </si>
  <si>
    <t>No mucha si uno sigue con lo que hace sin tener necesidad de ocupar la
Además para que simplificar mi trabajo que haría yo y como me desarrollo</t>
  </si>
  <si>
    <t>Ojalá que positivos una vez que sepa usarlos y manejar bien</t>
  </si>
  <si>
    <t>Por el momento,ninguno.</t>
  </si>
  <si>
    <t>Mucho sera mas facil</t>
  </si>
  <si>
    <t>Sí, cuido de personas dependientes (personas con enfermedades y/o discapacidades)
Sí, cuido de personas mayores
Sí, cuido de niños(as)</t>
  </si>
  <si>
    <t>La IA es de mucha ayuda, para crear publicidad en mi emprendimiento de venta de joyas de plata, me ayuda a buscar ideas buscar nuevas herramientas, nuevas tendencias y ordenarme con pagos y calendarios.</t>
  </si>
  <si>
    <t>Va ser muy bueno, ya que aveces no avanzamos en algunas situaciones y con esto nos puede dar claridad</t>
  </si>
  <si>
    <t>Facilitador</t>
  </si>
  <si>
    <t>Me ayudan a vender más rápido mi mercadería 
Sólo con un msj me legan mis clientes</t>
  </si>
  <si>
    <t>Facilita el dar información, redacción, automatización, conocer nuevas estrategias</t>
  </si>
  <si>
    <t>Ayudaría bastante</t>
  </si>
  <si>
    <t>De lines a lunes</t>
  </si>
  <si>
    <t>Lo desconozco.</t>
  </si>
  <si>
    <t>Buenisima para todos</t>
  </si>
  <si>
    <t>Ayudara a reducir tiempo</t>
  </si>
  <si>
    <t>Gracias a Dios soy jubilada y otros ingresos.No requiero volver a ser dependiente.</t>
  </si>
  <si>
    <t>Difícil respuesta, hay que conocer resultados para utilizarla.</t>
  </si>
  <si>
    <t>Será quien genere todo, publicidad, formas de trabajo etc</t>
  </si>
  <si>
    <t>Trabajadora por cuenta propia formal (reportaba ventas ante el Estado)</t>
  </si>
  <si>
    <t>Un impacto importante, depende el uso será muy beneficioso</t>
  </si>
  <si>
    <t>Por tuno 10por 10</t>
  </si>
  <si>
    <t>En lo personal creo que será de mucha ayuda .porque me ahorraría el tiempo y mejoría mis productos calidad precio .</t>
  </si>
  <si>
    <t>en un futuro muchas cosas serán reemplazadas por la IA, lo cual de cierto modo perjudicara en las relaciones que se crean, o tendremos menos contacto con las personas al ser todo digital</t>
  </si>
  <si>
    <t>Sí, cuido de niños(as)
No</t>
  </si>
  <si>
    <t>Creo que como está todo tiene que usar la tecnología</t>
  </si>
  <si>
    <t>Posibles estafas con la creación de videos falsos !!!</t>
  </si>
  <si>
    <t>Un buen impacto ya que así será más fácil con la inteligencia artificial</t>
  </si>
  <si>
    <t>Sí, hago labores domésticas
Sí, cuido de personas mayores</t>
  </si>
  <si>
    <t>Ayuda a crear contenido para poder vender mejor cualquier producto</t>
  </si>
  <si>
    <t>Wuayu</t>
  </si>
  <si>
    <t>Un impacto positivo, si se utiliza con el conocimiento y responsabilidad adecuados.</t>
  </si>
  <si>
    <t>Ayuda mucho para dar a conocer el negocio</t>
  </si>
  <si>
    <t>Más rapidez y más ventas</t>
  </si>
  <si>
    <t>Ayuda a mejorar las fotografías</t>
  </si>
  <si>
    <t>Ayuda necesaria</t>
  </si>
  <si>
    <t>Mucha</t>
  </si>
  <si>
    <t>Que fuera un trabajo con flexibilidad de horario en la semana y me permitiera tener un ingreso extra</t>
  </si>
  <si>
    <t>Impactos positivos</t>
  </si>
  <si>
    <t>Creo que es una buena opcion para dar a conocer los emprendimientos</t>
  </si>
  <si>
    <t>Una tecnología que crece a pasos agigantados, todo es en ayuda para cada reteil o pyme , en unos años creo que las tiendas físicas dejarán de existir y creo será de gran ayuda ya que andar en la calle es muy peligroso.</t>
  </si>
  <si>
    <t>ayuda</t>
  </si>
  <si>
    <t>Tiene un impacto favorable en cuento a marketing publicidad e información</t>
  </si>
  <si>
    <t>Hasta el momento me ha facilitado mucho parte de mi trabajo y creo que lo seguirá haciendo.</t>
  </si>
  <si>
    <t>creo que van a ser una aporte si se aprende a guiar bien ll que se requiere para personalizar y contextualizar la información que esta genere</t>
  </si>
  <si>
    <t>No lo he utilizado pero creo que es mejor tratar con personas reales.</t>
  </si>
  <si>
    <t>Un gran impacto ya que con cosas así podría perder mi trabajo ya que día a día está avanzando más la tecnología</t>
  </si>
  <si>
    <t>Lunes a sabado</t>
  </si>
  <si>
    <t>Espero que sea de gran ayuda</t>
  </si>
  <si>
    <t>Va a servir mucho para agilizar las redes sociales y crear nuevos contenidos</t>
  </si>
  <si>
    <t>ninguno</t>
  </si>
  <si>
    <t>Una semana 5x2 y otra 6x1</t>
  </si>
  <si>
    <t>No lo se pero en algun momento pedí ayuda y me sirvió mucho creo que tendrá un buen impacto</t>
  </si>
  <si>
    <t>Me facilita mucho la venta de mis productos, me ayuda con las ideas y a organizarme para seguir adelante</t>
  </si>
  <si>
    <t>Ninguna antes creo. Que podría ayudar mucho</t>
  </si>
  <si>
    <t>Nose, por que cuando eso pase yo creo que no estaré en este mundo</t>
  </si>
  <si>
    <t>Impacto positivo, me ha ayudado a crear e inspirarme en nuevas formas de comunicación y desarrollo ya sea en rrss y clientas.</t>
  </si>
  <si>
    <t>turno 4*4, de 12 horas</t>
  </si>
  <si>
    <t>por el momento ninguna ya que realizo trabajo manuales</t>
  </si>
  <si>
    <t>Positiva, ayudará a la entrega más clara de información y de mejor manera visual la muestra de un producto.</t>
  </si>
  <si>
    <t>Facilitando y optimizando el tiempo</t>
  </si>
  <si>
    <t>Espero me ayuden</t>
  </si>
  <si>
    <t>Amplio dado que todo tiene inteligencia</t>
  </si>
  <si>
    <t>Gran impacto, es una tremenda herramienta digital que nos conecta con todas las respuestas que estamos buscando de manera rápida y asertiva.</t>
  </si>
  <si>
    <t>Nolo se pero estoy dispuesta a descubrirlo</t>
  </si>
  <si>
    <t>Depende como la utilices te favorece o decae tu trabajo</t>
  </si>
  <si>
    <t>La inteligencia artificial es muy util y sirve para todo</t>
  </si>
  <si>
    <t>Mejorando lo que es  fotografías videos</t>
  </si>
  <si>
    <t>En lo q yo ago en mi vida nada</t>
  </si>
  <si>
    <t>horario flexible para el cuidado de mi hijo</t>
  </si>
  <si>
    <t>mal es algo que esta quitando lo pocom y nada de la inteligencia del ser humano</t>
  </si>
  <si>
    <t>Facilitará el trabajo, por lo que se traduce en más tiempo para ocuparse en otras cosas que son aspectos y procesos medular es en el negocio.</t>
  </si>
  <si>
    <t>Me ayuda con dudas y a aprender nuevas cosas</t>
  </si>
  <si>
    <t>No entiendo mucho lo de inteligencia artificial</t>
  </si>
  <si>
    <t>Asi como está todo...nos controlaran en tpdo ambito aunque uno trabaje en una frria infoemal siempre quieren saber todo. Ya no hay privacidad en nada</t>
  </si>
  <si>
    <t>En solucionar mas rápido cualquier inquietud en mi trabajo</t>
  </si>
  <si>
    <t>Facilitar desde ya muchas acciones</t>
  </si>
  <si>
    <t>gran impacto. es una herramienta que aporta pero no reemplazara la calidez humna</t>
  </si>
  <si>
    <t>no muchas ya que son cosas manuales</t>
  </si>
  <si>
    <t>Sí, en especies
No</t>
  </si>
  <si>
    <t>LO DESCONOZCO</t>
  </si>
  <si>
    <t>Ok</t>
  </si>
  <si>
    <t>Por una parte buena por qué ayuda a buscar información fácilmente y por otro lado es mala por qué la gente abusa de eso inventando cosas para hacer daño</t>
  </si>
  <si>
    <t>Cuatro días de trabajo y 4 días de descanso</t>
  </si>
  <si>
    <t>Muchas acciones de estafa se producirán con la IA</t>
  </si>
  <si>
    <t>Creo que la IA pronto será una herramienta más de trabajo para mí emprendimiento tal como un depto de Layout y asesoramiento en muchos aspectos</t>
  </si>
  <si>
    <t>Positiva</t>
  </si>
  <si>
    <t>Fundamental ya que la tecnologia va de la mano con la ia por lo que es invitable se relacionen</t>
  </si>
  <si>
    <t>Ayuda al conocimiento y al ahorro de tiempo</t>
  </si>
  <si>
    <t>En todo momento</t>
  </si>
  <si>
    <t>No lo sé :(</t>
  </si>
  <si>
    <t>Que cada día seremos menos útiles,  creo que en mi caso ayuda a ver muchos diseños pero no se pueden plasmar en la realidad ya que en la uña nunca van a quedar como se ve en la foto, bien sea porque usen filtro o la inteligencia artificial.</t>
  </si>
  <si>
    <t>No sabría responder esta pregunta</t>
  </si>
  <si>
    <t>Muy buena ya que podré tener respuestas a mis dudas de forma más inmediata</t>
  </si>
  <si>
    <t>Por el rubro al que me dedico,.depende como se aplique, facilitará algunas publicaciones, solo eso</t>
  </si>
  <si>
    <t>Mucha el solo hecho reemplaze sl ser humano lo encuentro malo</t>
  </si>
  <si>
    <t>Simplificar</t>
  </si>
  <si>
    <t>No se no.me e puesto a pensar en eso todavia</t>
  </si>
  <si>
    <t>Mejorará eficiencia y estandarizará de mejor forma las recetas y procedimientos</t>
  </si>
  <si>
    <t>Va ayudar a promover</t>
  </si>
  <si>
    <t>Ninguno , trabajo cuidando niños y artesanías echas a mano ...</t>
  </si>
  <si>
    <t>Sabiendo ocuparla me ayudara a seguir con mi emprendimiento</t>
  </si>
  <si>
    <t>Tele trabajo</t>
  </si>
  <si>
    <t>Mas eficiencia y organización en labores administrativas, prioridad en tareas</t>
  </si>
  <si>
    <t>No he pensado en eso la verdad</t>
  </si>
  <si>
    <t>Mucha salen nuevas cosas todos los días</t>
  </si>
  <si>
    <t>No lo sé todavía</t>
  </si>
  <si>
    <t>Nada nos sorprende pero el.ser humano siempre tiene la facilidad de superar la tecnología  e incluso la inteligencia artificial la máquina no puede  con el ser  humano</t>
  </si>
  <si>
    <t>No creo que genere impacto ya que no lo necesito</t>
  </si>
  <si>
    <t>Sirven de mucha utilidad para facilitar tareas y conectar de mejor forma con los clientes</t>
  </si>
  <si>
    <t>Bueno ya que todo ahora se ve por la tecnología y redes sociales</t>
  </si>
  <si>
    <t>Que nos ayuda mucho a poder realizar más rápido y fácil los trabajos laborales como domésticos igual</t>
  </si>
  <si>
    <t>Yo creo que mucha que ya la inteligencia artificial va aumentando y creando cosas que superan alo que uno asé aveses</t>
  </si>
  <si>
    <t>Independiente</t>
  </si>
  <si>
    <t>Fuerza mayor</t>
  </si>
  <si>
    <t>Creo que para el marketing es muy útil, pero me asusta</t>
  </si>
  <si>
    <t>La IA puede apoyar mi difusión y gestión</t>
  </si>
  <si>
    <t>Sistema de turno larga 8 a 20hr y noche de 20 a 8hrs luego libre libre y después se repite larga y noche, además de turnos extras que te vayan poniendo</t>
  </si>
  <si>
    <t>Facilitar la comunicación</t>
  </si>
  <si>
    <t>Aun no lo veo que afecte enosue hago.</t>
  </si>
  <si>
    <t>Un impacto positivo ya que sería varias cosas más fácil de realizar</t>
  </si>
  <si>
    <t>Se contacte y poderoso</t>
  </si>
  <si>
    <t>Impactaría ya que con esta herramienta tendemos a no indagar o investigar</t>
  </si>
  <si>
    <t>A MI PERSONALMENTE, NO  ME GUSTA LA INTELIGENCIA ARTIFICAL</t>
  </si>
  <si>
    <t>Una impacto cada vez mejor, de mayor eficiencia con menor esfuerzo físico</t>
  </si>
  <si>
    <t>Un buen impacto ya que muestra  algo que a veces normalmente no se puede realizar</t>
  </si>
  <si>
    <t>Ningún impacto ya que yo debo realizar todo manualmente</t>
  </si>
  <si>
    <t>Siento que en mi caso no tendré ningún tipo de impacto, mi trabajo no requiere IA.</t>
  </si>
  <si>
    <t>Podría ayudar como herramienta de marketing</t>
  </si>
  <si>
    <t>Beneficiosa ocupando como corresponde</t>
  </si>
  <si>
    <t>La IA es de gran utilidad siempre y cuando se sepa utilizar bien y aprovechar al máximo la tecnología para un  buen fin</t>
  </si>
  <si>
    <t>Ayuda</t>
  </si>
  <si>
    <t>O</t>
  </si>
  <si>
    <t>Martes /miercoles/viernes /sábado y domingo</t>
  </si>
  <si>
    <t>Como independiente</t>
  </si>
  <si>
    <t>En mi trabajo no tendría impactl</t>
  </si>
  <si>
    <t>Solo crecimiento y habilidad para explorar mucho mas de mi capacidad</t>
  </si>
  <si>
    <t>Más ayuda</t>
  </si>
  <si>
    <t>Impacto muy fuerte</t>
  </si>
  <si>
    <t>Creo que es buena ya que puedo contar con esto para hacerle cualquier consulta que tenga dudas.</t>
  </si>
  <si>
    <t>Es una ayuda mas amplia, en aspectos de redes sociales, seria mucho mas facil buscar o obtener comunicacion cn mis futuros clientes.</t>
  </si>
  <si>
    <t>Poder general más creatividad a la hora de vender mi producto. Por ende me tengo que autoexigir más estudio de mercado.</t>
  </si>
  <si>
    <t>De agradecimiento mi emprendimiento</t>
  </si>
  <si>
    <t>Muy beneficioso porque nos facilita todo, desde investigación,aprender, enseñar, emplear y disfrutar.</t>
  </si>
  <si>
    <t>Como trabajo sola no me afecta mucho, en cuanto a comprar creo que podria afectar ya que mucha gente quedara desempleada para aplicar la auto atención</t>
  </si>
  <si>
    <t>disminución en el tiempo invertido para promocionar o vender</t>
  </si>
  <si>
    <t>con inteligencia aritificial en un futuro practicamente una podra tener la libertad .</t>
  </si>
  <si>
    <t>Hará que me ayude más, con los diseños de vestuario.</t>
  </si>
  <si>
    <t>Solo trabajo independiente en verduras de huerta todo fresquito</t>
  </si>
  <si>
    <t>Solucionar tareas</t>
  </si>
  <si>
    <t>Creo que no ,ya que uno tiene que estudiar y actualizarse en varias maneras para que no te gane la tecnología</t>
  </si>
  <si>
    <t>No se que impacto pueda tener en mi vida diaria, pero creo que en un emprendimiento si puede ayudar en contabilidad o en inventarios para mantener un orden adecuado</t>
  </si>
  <si>
    <t>A veces nos ayuda a imaginar y crear</t>
  </si>
  <si>
    <t>Muchísimo me puede ayudar a llegar a más personas</t>
  </si>
  <si>
    <t>Un buen impacto.</t>
  </si>
  <si>
    <t>Lunes a lunes</t>
  </si>
  <si>
    <t>Desconozco.</t>
  </si>
  <si>
    <t>Mmm yo creo que mucha</t>
  </si>
  <si>
    <t>Positivo ya que se deben manejar con prudencia se puede hacer afiches,páginas con anuncios llamativos fotos muy reales infinitas posibilidades</t>
  </si>
  <si>
    <t>En,lo laboral, muy poco</t>
  </si>
  <si>
    <t>Mejor información y claridad en desarrollo de mi labor, potenciará y hará que sea más fácil el acceso a todo con respecto a las confeccones</t>
  </si>
  <si>
    <t>no deberia afectar mis productos</t>
  </si>
  <si>
    <t>La verdad que aún no lo se</t>
  </si>
  <si>
    <t>Entrega información completa de manera más fácil.</t>
  </si>
  <si>
    <t>No creo que resulte mucho por que siempre se equivocan</t>
  </si>
  <si>
    <t>Puede que sea útil aunque también hay que ser cuidadoso</t>
  </si>
  <si>
    <t>Hasta el momento ha sido de gran ayuda aunque sé que es un mundo infinito</t>
  </si>
  <si>
    <t>Para mi ningún impacto.</t>
  </si>
  <si>
    <t>Me va ayudar en campo de expectativa de movimiento de personar y sus variadas expectativas</t>
  </si>
  <si>
    <t>Posiblemente bueno</t>
  </si>
  <si>
    <t>Ayuda en que mejore en los cuidados y emprendimiento para que suba</t>
  </si>
  <si>
    <t>Puede ayudar en algunas, cosas en cuanto a ser fuerza fisica. Pero en atender clientes, lo veo mas dificil, ya que mi trabajo es mas personalizado</t>
  </si>
  <si>
    <t>No me gusta la IA, me provoca miedo</t>
  </si>
  <si>
    <t>En nada</t>
  </si>
  <si>
    <t>Aumento con clientes y ventas</t>
  </si>
  <si>
    <t>El impacto que tengo miedo seria que les pasara algo malo a mid hijos</t>
  </si>
  <si>
    <t>Dejar sin trabajo ah muchas de nosotras</t>
  </si>
  <si>
    <t>Lunes miercoles viernes  y fin de semana aveces</t>
  </si>
  <si>
    <t>Personalmente pienso que una maquina o algo artificial nunca podra reemplazar a un ser humano por mucha actualidad o tecnologia</t>
  </si>
  <si>
    <t>Siento que sera un gran impacto</t>
  </si>
  <si>
    <t>Muy malo.estoy acostumbrada a trabajar yo en mi emprendimiento.</t>
  </si>
  <si>
    <t>Un alto impacto positivo es una ayuda bastante buena</t>
  </si>
  <si>
    <t>Ninguno.</t>
  </si>
  <si>
    <t>No creo que vaya a influir.</t>
  </si>
  <si>
    <t>Creo que a mí en lo personal no me afectaría tanto la IA,ya que me dedico a venta de ropa americana</t>
  </si>
  <si>
    <t>No tendrá ni un impacto en mis cosas</t>
  </si>
  <si>
    <t>No manejo mucha información</t>
  </si>
  <si>
    <t>Muchísimo</t>
  </si>
  <si>
    <t>Algo negativo</t>
  </si>
  <si>
    <t>Chango</t>
  </si>
  <si>
    <t>Simplificar algunas tareas</t>
  </si>
  <si>
    <t>Difícil responder hasta tener informacion más acabada y resultados comprobados</t>
  </si>
  <si>
    <t>va a simplificar mi trabajo y me orientara en un  mejor impulso a mis campañas de ventas</t>
  </si>
  <si>
    <t>Podría ayudar a facilitar muchas cosas si se usa de la manera correcta</t>
  </si>
  <si>
    <t>Bueno, me sirve para publicidad o ideas</t>
  </si>
  <si>
    <t>No me gusta la inteligencia artificial en ves de ayudar perjudica en muchos ambientes</t>
  </si>
  <si>
    <t>Trabajo en i hogar y a mi horario</t>
  </si>
  <si>
    <t>Me facilitaría mi trabajo ya que mi trabajo es referente a esto</t>
  </si>
  <si>
    <t>buena ayuda nos facilitará en llevar mejor nuestros emprendimientos</t>
  </si>
  <si>
    <t>Soy estudiante de ingeniería y me gustaría trabajar en lo edtufiado Una vez terminad el proces</t>
  </si>
  <si>
    <t>La inrelegencia ayuda bastante pero también afecta en nuestros conocimientos ya que uno utiliza la Inteligente. Aún así uno trata de no utilízarla tanto</t>
  </si>
  <si>
    <t>Q me valla bien en la vida</t>
  </si>
  <si>
    <t>Creo que a mí particularmente no me afectaría</t>
  </si>
  <si>
    <t>Creo que son de mucho ayuda si se sabe utilizar. Nos ayudan con nuestras dudas e ideas.</t>
  </si>
  <si>
    <t>Hay que adecuarse</t>
  </si>
  <si>
    <t>Facilidad pars ejecutar trabajos</t>
  </si>
  <si>
    <t>Muy alto, para el buen desarrollo y mejorar a alto nivel de rendimiento.</t>
  </si>
  <si>
    <t>Creo que facilita el acceder a nuevos ideas a crear nuevas cosas y buscar soluciones a problemas que se pueden presentar. De todas maneras creo que genera un impacto positivo</t>
  </si>
  <si>
    <t>No me gusta. No encuentro que sea algo verdadero en las relaciones interpersonales , el cara a cara con tu cliente.</t>
  </si>
  <si>
    <t>Va ser genial no habrá mucho que pensar para compartir mi emprendimiento</t>
  </si>
  <si>
    <t>Mucho ya que todos debemos adaptarnos en algún minuto donde lo que conocemos deje de servir o funcionar</t>
  </si>
  <si>
    <t>Se puede profesinalizar los videos, fotos del emprendimiento</t>
  </si>
  <si>
    <t>No me gusta me damiedo</t>
  </si>
  <si>
    <t>Creo que tendría quizás un impacto positivo en cuanto a aprendizaje y entrega de herramientas, pero a la vez negativo en cuanto a relacionarse con las personas y sus experiencias.</t>
  </si>
  <si>
    <t>Quechua</t>
  </si>
  <si>
    <t>Ecuador</t>
  </si>
  <si>
    <t>Para un crecimiento mejor en la familia y agradecer x este emprendimiento</t>
  </si>
  <si>
    <t>Entre 2020 y 2022</t>
  </si>
  <si>
    <t>Bueno muy bueno</t>
  </si>
  <si>
    <t>La verdad es que la inteligencia artificial puede que tenga algun impacto en relación a la promoción de mi emprendimiento por redes sociales, pero no creo que en algo más</t>
  </si>
  <si>
    <t>Trabajo por turno 4 x 4 noche</t>
  </si>
  <si>
    <t>Bueno es una parten importante ya que a través de esta puedo difundir mostrar y promocionar mis productos</t>
  </si>
  <si>
    <t>No tengo trabajo</t>
  </si>
  <si>
    <t>Arto impacto</t>
  </si>
  <si>
    <t>Solamente sábado</t>
  </si>
  <si>
    <t>A favor de ofrecer los productos, con mayor definición</t>
  </si>
  <si>
    <t>Ayuda como también amenaza</t>
  </si>
  <si>
    <t>No me perjudica</t>
  </si>
  <si>
    <t>Tiene Cosas Buenas y Cosas Que No Aportan</t>
  </si>
  <si>
    <t>Un impacto de transformación y revolucionará con el monitoreo automatizando todo en el área de cuidado y en rl área emprendedor, personalización de productos, automatización de procesos, toma de decisiones pasada en datos de la IA, optimizacion de marketing y descubrimiento de nichos de mercado.</t>
  </si>
  <si>
    <t>La inteligencia artificial obviamente se verá al inicio que replazara algunas tareas que realiza el humano pero siempre tendrá algo que no logrará</t>
  </si>
  <si>
    <t>En el ámbito empresarial, la inteligencia artificial en las empresas permite a los empleados centrarse en tareas más estratégicas y creativas, con el objetivo de mejorar la eficiencia y la productividad</t>
  </si>
  <si>
    <t>Mucho en el progreso de publicidad marketing digital</t>
  </si>
  <si>
    <t>score_salud_mental_total</t>
  </si>
  <si>
    <t>score_salud_mental_riesgo_categorizado</t>
  </si>
  <si>
    <t>score_carga_de_trabajo_total</t>
  </si>
  <si>
    <t>Estado Civil</t>
  </si>
  <si>
    <t>Migrante</t>
  </si>
  <si>
    <t xml:space="preserve">Pareja apoya al ingreso </t>
  </si>
  <si>
    <t>Trabajo doméstico</t>
  </si>
  <si>
    <t xml:space="preserve">horas dedicación cuidado de niños </t>
  </si>
  <si>
    <t>Horas dedicación trabajo doméstico</t>
  </si>
  <si>
    <t>persona_edad</t>
  </si>
  <si>
    <t>región</t>
  </si>
  <si>
    <t>persona_nivel_educacional</t>
  </si>
  <si>
    <t>actividad_principal_negocio</t>
  </si>
  <si>
    <t>persona_ingreso_liquido</t>
  </si>
  <si>
    <t>numero_integrantes_hogar</t>
  </si>
  <si>
    <t>Nivel de riesgo alto</t>
  </si>
  <si>
    <t>Nivel de riesgo medio</t>
  </si>
  <si>
    <t>Nivel de riesgo bajo</t>
  </si>
  <si>
    <t>Asalariada</t>
  </si>
  <si>
    <t>Estado civil</t>
  </si>
  <si>
    <t>region_hogar_glosa</t>
  </si>
  <si>
    <t>VALPARAÍSO</t>
  </si>
  <si>
    <t>LOS RÍOS</t>
  </si>
  <si>
    <t>METROPOLITANA</t>
  </si>
  <si>
    <t>BIO BÍO</t>
  </si>
  <si>
    <t>LOS LAGOS</t>
  </si>
  <si>
    <t>ATACAMA</t>
  </si>
  <si>
    <t>`</t>
  </si>
  <si>
    <t>ARICA Y PARINACOTA</t>
  </si>
  <si>
    <t>LA ARAUCANÍA</t>
  </si>
  <si>
    <t>ÑUBLE</t>
  </si>
  <si>
    <t>TARAPACÁ</t>
  </si>
  <si>
    <t>MAULE</t>
  </si>
  <si>
    <t>ANTOFAGASTA</t>
  </si>
  <si>
    <t>COQUIMBO</t>
  </si>
  <si>
    <t>LIB GRAL B OHIGGINS</t>
  </si>
  <si>
    <t>ID</t>
  </si>
  <si>
    <t>SSMT</t>
  </si>
  <si>
    <t>SSMC</t>
  </si>
  <si>
    <t>RS1</t>
  </si>
  <si>
    <t>RS1C</t>
  </si>
  <si>
    <t>RS2</t>
  </si>
  <si>
    <t>RS2C</t>
  </si>
  <si>
    <t>RS3</t>
  </si>
  <si>
    <t>RS3C</t>
  </si>
  <si>
    <t>RS4</t>
  </si>
  <si>
    <t>RS4C</t>
  </si>
  <si>
    <t>RS5</t>
  </si>
  <si>
    <t>RS5C</t>
  </si>
  <si>
    <t>RS6</t>
  </si>
  <si>
    <t>RS6C</t>
  </si>
  <si>
    <t>Cuidado niños</t>
  </si>
  <si>
    <t>Trabajo Hogar</t>
  </si>
  <si>
    <t>Edad</t>
  </si>
  <si>
    <t>Región</t>
  </si>
  <si>
    <t>Educación</t>
  </si>
  <si>
    <t>Actividad</t>
  </si>
  <si>
    <t>Ingreso</t>
  </si>
  <si>
    <t>Integrantes hogar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</si>
</sst>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5" x14ac:knownFonts="1">
    <font>
      <sz val="10"/>
      <color rgb="FF000000"/>
      <name val="Arial"/>
      <scheme val="minor"/>
    </font>
    <font>
      <sz val="10"/>
      <color theme="1"/>
      <name val="Arial"/>
      <family val="2"/>
      <scheme val="minor"/>
    </font>
    <font>
      <b/>
      <sz val="11"/>
      <color theme="1"/>
      <name val="Arial"/>
      <family val="2"/>
    </font>
    <font>
      <sz val="10"/>
      <color theme="1"/>
      <name val="Arial"/>
      <family val="2"/>
    </font>
    <font>
      <sz val="10"/>
      <color rgb="FF000000"/>
      <name val="Arial"/>
      <family val="2"/>
    </font>
  </fonts>
  <fills count="5">
    <fill>
      <patternFill patternType="none"/>
    </fill>
    <fill>
      <patternFill patternType="gray125"/>
    </fill>
    <fill>
      <patternFill patternType="solid">
        <fgColor rgb="FFCCFFCC"/>
        <bgColor rgb="FFCCFFCC"/>
      </patternFill>
    </fill>
    <fill>
      <patternFill patternType="solid">
        <fgColor rgb="FFFFFF00"/>
        <bgColor rgb="FFFFFF00"/>
      </patternFill>
    </fill>
    <fill>
      <patternFill patternType="solid">
        <fgColor rgb="FFFFC000"/>
        <bgColor indexed="64"/>
      </patternFill>
    </fill>
  </fills>
  <borders count="3">
    <border>
      <left/>
      <right/>
      <top/>
      <bottom/>
      <diagonal/>
    </border>
    <border>
      <left/>
      <right style="thin">
        <color rgb="FF000000"/>
      </right>
      <top/>
      <bottom style="medium">
        <color rgb="FF000000"/>
      </bottom>
      <diagonal/>
    </border>
    <border>
      <left/>
      <right/>
      <top/>
      <bottom/>
      <diagonal/>
    </border>
  </borders>
  <cellStyleXfs count="1">
    <xf numFmtId="0" fontId="0" fillId="0" borderId="0"/>
  </cellStyleXfs>
  <cellXfs count="12">
    <xf numFmtId="0" fontId="0" fillId="0" borderId="0" xfId="0"/>
    <xf numFmtId="0" fontId="1" fillId="0" borderId="0" xfId="0" applyFont="1"/>
    <xf numFmtId="0" fontId="2" fillId="2" borderId="1" xfId="0" applyFont="1" applyFill="1" applyBorder="1" applyAlignment="1">
      <alignment horizontal="center"/>
    </xf>
    <xf numFmtId="0" fontId="2" fillId="2" borderId="1" xfId="0" quotePrefix="1" applyFont="1" applyFill="1" applyBorder="1" applyAlignment="1">
      <alignment horizontal="center"/>
    </xf>
    <xf numFmtId="164" fontId="3" fillId="0" borderId="0" xfId="0" applyNumberFormat="1" applyFont="1"/>
    <xf numFmtId="0" fontId="3" fillId="0" borderId="0" xfId="0" applyFont="1"/>
    <xf numFmtId="0" fontId="3" fillId="3" borderId="2" xfId="0" applyFont="1" applyFill="1" applyBorder="1"/>
    <xf numFmtId="0" fontId="4" fillId="0" borderId="0" xfId="0" applyFont="1"/>
    <xf numFmtId="1" fontId="4" fillId="0" borderId="0" xfId="0" applyNumberFormat="1" applyFont="1"/>
    <xf numFmtId="0" fontId="4" fillId="3" borderId="0" xfId="0" applyFont="1" applyFill="1"/>
    <xf numFmtId="0" fontId="0" fillId="0" borderId="2" xfId="0" applyBorder="1"/>
    <xf numFmtId="0" fontId="1"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GV599"/>
  <sheetViews>
    <sheetView tabSelected="1" topLeftCell="GI1" workbookViewId="0">
      <pane ySplit="1" topLeftCell="A4" activePane="bottomLeft" state="frozen"/>
      <selection pane="bottomLeft" activeCell="GO1" sqref="GO1"/>
    </sheetView>
  </sheetViews>
  <sheetFormatPr baseColWidth="10" defaultColWidth="12.5" defaultRowHeight="15" customHeight="1" x14ac:dyDescent="0.15"/>
  <cols>
    <col min="1" max="1" width="12.5" customWidth="1"/>
    <col min="2" max="2" width="22.6640625" customWidth="1"/>
    <col min="3" max="3" width="53.83203125" customWidth="1"/>
    <col min="4" max="4" width="59.5" customWidth="1"/>
    <col min="5" max="5" width="9.6640625" customWidth="1"/>
    <col min="6" max="6" width="138.5" customWidth="1"/>
    <col min="7" max="7" width="126.83203125" customWidth="1"/>
    <col min="8" max="8" width="119.33203125" customWidth="1"/>
    <col min="9" max="9" width="83.5" customWidth="1"/>
    <col min="10" max="10" width="84.5" customWidth="1"/>
    <col min="11" max="11" width="85.5" customWidth="1"/>
    <col min="12" max="12" width="82.5" customWidth="1"/>
    <col min="13" max="13" width="75.83203125" customWidth="1"/>
    <col min="14" max="14" width="104.5" customWidth="1"/>
    <col min="15" max="15" width="105.6640625" customWidth="1"/>
    <col min="16" max="16" width="106.6640625" customWidth="1"/>
    <col min="17" max="17" width="103.5" customWidth="1"/>
    <col min="18" max="18" width="97.1640625" customWidth="1"/>
    <col min="19" max="19" width="84" customWidth="1"/>
    <col min="20" max="20" width="85.33203125" customWidth="1"/>
    <col min="21" max="21" width="86.33203125" customWidth="1"/>
    <col min="22" max="22" width="83" customWidth="1"/>
    <col min="23" max="23" width="76.5" customWidth="1"/>
    <col min="24" max="24" width="92.83203125" customWidth="1"/>
    <col min="25" max="25" width="94.1640625" customWidth="1"/>
    <col min="26" max="26" width="95.1640625" customWidth="1"/>
    <col min="27" max="27" width="91.83203125" customWidth="1"/>
    <col min="28" max="28" width="85.5" customWidth="1"/>
    <col min="29" max="29" width="98.33203125" customWidth="1"/>
    <col min="30" max="30" width="99.5" customWidth="1"/>
    <col min="31" max="31" width="100.5" customWidth="1"/>
    <col min="32" max="32" width="97.33203125" customWidth="1"/>
    <col min="33" max="33" width="90.6640625" customWidth="1"/>
    <col min="34" max="34" width="41.33203125" customWidth="1"/>
    <col min="35" max="35" width="55.6640625" customWidth="1"/>
    <col min="36" max="37" width="49.1640625" customWidth="1"/>
    <col min="38" max="38" width="101.33203125" customWidth="1"/>
    <col min="39" max="39" width="117.5" customWidth="1"/>
    <col min="40" max="40" width="126.5" customWidth="1"/>
    <col min="41" max="41" width="100.6640625" customWidth="1"/>
    <col min="42" max="42" width="94.33203125" customWidth="1"/>
    <col min="43" max="43" width="94.5" customWidth="1"/>
    <col min="44" max="44" width="99.83203125" customWidth="1"/>
    <col min="45" max="45" width="89" customWidth="1"/>
    <col min="46" max="46" width="111.83203125" customWidth="1"/>
    <col min="47" max="47" width="105.6640625" customWidth="1"/>
    <col min="48" max="48" width="37.1640625" customWidth="1"/>
    <col min="49" max="49" width="106.1640625" customWidth="1"/>
    <col min="50" max="50" width="43.83203125" customWidth="1"/>
    <col min="51" max="51" width="105.83203125" customWidth="1"/>
    <col min="52" max="52" width="36.1640625" customWidth="1"/>
    <col min="53" max="53" width="40" customWidth="1"/>
    <col min="54" max="54" width="101.1640625" customWidth="1"/>
    <col min="55" max="55" width="112.1640625" customWidth="1"/>
    <col min="56" max="56" width="38" customWidth="1"/>
    <col min="57" max="57" width="15.5" customWidth="1"/>
    <col min="58" max="58" width="91.6640625" customWidth="1"/>
    <col min="59" max="59" width="153" customWidth="1"/>
    <col min="60" max="60" width="149.5" customWidth="1"/>
    <col min="61" max="61" width="143.83203125" customWidth="1"/>
    <col min="62" max="62" width="141.1640625" customWidth="1"/>
    <col min="63" max="63" width="145.5" customWidth="1"/>
    <col min="64" max="64" width="147.6640625" customWidth="1"/>
    <col min="65" max="65" width="128.5" customWidth="1"/>
    <col min="66" max="66" width="137.5" customWidth="1"/>
    <col min="67" max="67" width="133.83203125" customWidth="1"/>
    <col min="68" max="68" width="126.5" customWidth="1"/>
    <col min="69" max="69" width="143.5" customWidth="1"/>
    <col min="70" max="70" width="124.83203125" customWidth="1"/>
    <col min="71" max="72" width="113.1640625" customWidth="1"/>
    <col min="73" max="73" width="122.83203125" customWidth="1"/>
    <col min="74" max="74" width="130" customWidth="1"/>
    <col min="75" max="75" width="106" customWidth="1"/>
    <col min="76" max="76" width="116.33203125" customWidth="1"/>
    <col min="77" max="77" width="112.6640625" customWidth="1"/>
    <col min="78" max="78" width="152.83203125" customWidth="1"/>
    <col min="79" max="79" width="136.83203125" customWidth="1"/>
    <col min="80" max="80" width="145.5" customWidth="1"/>
    <col min="81" max="81" width="127.5" customWidth="1"/>
    <col min="82" max="82" width="163.5" customWidth="1"/>
    <col min="83" max="83" width="25.6640625" customWidth="1"/>
    <col min="84" max="84" width="127.83203125" customWidth="1"/>
    <col min="85" max="85" width="52.5" customWidth="1"/>
    <col min="86" max="86" width="118" customWidth="1"/>
    <col min="87" max="87" width="181.6640625" customWidth="1"/>
    <col min="88" max="88" width="57.1640625" customWidth="1"/>
    <col min="89" max="89" width="83.1640625" customWidth="1"/>
    <col min="90" max="90" width="105.5" customWidth="1"/>
    <col min="91" max="91" width="71.1640625" customWidth="1"/>
    <col min="92" max="92" width="66.5" customWidth="1"/>
    <col min="93" max="93" width="70.5" customWidth="1"/>
    <col min="94" max="94" width="66.5" customWidth="1"/>
    <col min="95" max="95" width="68.33203125" customWidth="1"/>
    <col min="96" max="96" width="70.5" customWidth="1"/>
    <col min="97" max="97" width="69.5" customWidth="1"/>
    <col min="98" max="98" width="81" customWidth="1"/>
    <col min="99" max="99" width="15.83203125" customWidth="1"/>
    <col min="100" max="100" width="34.5" customWidth="1"/>
    <col min="101" max="101" width="39.5" customWidth="1"/>
    <col min="102" max="102" width="52.1640625" customWidth="1"/>
    <col min="103" max="103" width="60.83203125" customWidth="1"/>
    <col min="104" max="104" width="75.1640625" customWidth="1"/>
    <col min="105" max="105" width="22.33203125" customWidth="1"/>
    <col min="106" max="106" width="69.6640625" customWidth="1"/>
    <col min="107" max="108" width="49.5" customWidth="1"/>
    <col min="109" max="110" width="50.1640625" customWidth="1"/>
    <col min="111" max="112" width="45.1640625" customWidth="1"/>
    <col min="113" max="114" width="36.6640625" customWidth="1"/>
    <col min="115" max="116" width="32.6640625" customWidth="1"/>
    <col min="117" max="118" width="54" customWidth="1"/>
    <col min="119" max="120" width="46.6640625" customWidth="1"/>
    <col min="121" max="122" width="38.33203125" customWidth="1"/>
    <col min="123" max="124" width="57" customWidth="1"/>
    <col min="125" max="126" width="43" customWidth="1"/>
    <col min="127" max="130" width="61.5" customWidth="1"/>
    <col min="131" max="131" width="43" customWidth="1"/>
    <col min="132" max="132" width="54.83203125" customWidth="1"/>
    <col min="133" max="134" width="76.5" customWidth="1"/>
    <col min="135" max="138" width="57.33203125" customWidth="1"/>
    <col min="139" max="140" width="81.5" customWidth="1"/>
    <col min="141" max="142" width="99.33203125" customWidth="1"/>
    <col min="143" max="146" width="63.1640625" customWidth="1"/>
    <col min="147" max="204" width="21.6640625" customWidth="1"/>
  </cols>
  <sheetData>
    <row r="1" spans="1:204" ht="15.75" customHeight="1" x14ac:dyDescent="0.1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3" t="s">
        <v>194</v>
      </c>
      <c r="GN1" s="2" t="s">
        <v>195</v>
      </c>
      <c r="GO1" s="2" t="s">
        <v>196</v>
      </c>
      <c r="GP1" s="2" t="s">
        <v>197</v>
      </c>
      <c r="GQ1" s="2" t="s">
        <v>198</v>
      </c>
      <c r="GR1" s="2" t="s">
        <v>199</v>
      </c>
      <c r="GS1" s="2" t="s">
        <v>200</v>
      </c>
      <c r="GT1" s="2" t="s">
        <v>201</v>
      </c>
      <c r="GU1" s="2" t="s">
        <v>202</v>
      </c>
      <c r="GV1" s="2" t="s">
        <v>203</v>
      </c>
    </row>
    <row r="2" spans="1:204" ht="15.75" hidden="1" customHeight="1" x14ac:dyDescent="0.15">
      <c r="B2" s="4">
        <v>45820.452430555553</v>
      </c>
      <c r="C2" s="5" t="s">
        <v>204</v>
      </c>
      <c r="D2" s="5" t="s">
        <v>204</v>
      </c>
      <c r="E2" s="5" t="s">
        <v>205</v>
      </c>
      <c r="F2" s="5" t="s">
        <v>204</v>
      </c>
      <c r="G2" s="5" t="s">
        <v>206</v>
      </c>
      <c r="H2" s="5" t="s">
        <v>206</v>
      </c>
      <c r="M2" s="5" t="s">
        <v>207</v>
      </c>
      <c r="N2" s="5" t="s">
        <v>208</v>
      </c>
      <c r="T2" s="5" t="s">
        <v>209</v>
      </c>
      <c r="Y2" s="5" t="s">
        <v>209</v>
      </c>
      <c r="AD2" s="5" t="s">
        <v>209</v>
      </c>
      <c r="AH2" s="5" t="s">
        <v>210</v>
      </c>
      <c r="AI2" s="5">
        <v>2024</v>
      </c>
      <c r="AJ2" s="5" t="s">
        <v>211</v>
      </c>
      <c r="AK2" s="5"/>
      <c r="AQ2" s="5" t="s">
        <v>206</v>
      </c>
      <c r="AR2" s="5" t="s">
        <v>212</v>
      </c>
      <c r="AS2" s="5" t="s">
        <v>212</v>
      </c>
      <c r="AT2" s="5" t="s">
        <v>212</v>
      </c>
      <c r="AU2" s="5" t="s">
        <v>212</v>
      </c>
      <c r="AV2" s="5" t="s">
        <v>213</v>
      </c>
      <c r="AW2" s="5" t="s">
        <v>204</v>
      </c>
      <c r="AX2" s="5" t="s">
        <v>204</v>
      </c>
      <c r="AY2" s="5" t="s">
        <v>214</v>
      </c>
      <c r="AZ2" s="5" t="s">
        <v>204</v>
      </c>
      <c r="BA2" s="5" t="s">
        <v>211</v>
      </c>
      <c r="BF2" s="5" t="s">
        <v>204</v>
      </c>
      <c r="BG2" s="5" t="s">
        <v>207</v>
      </c>
      <c r="BH2" s="5" t="s">
        <v>207</v>
      </c>
      <c r="BI2" s="5" t="s">
        <v>215</v>
      </c>
      <c r="BJ2" s="5" t="s">
        <v>215</v>
      </c>
      <c r="BK2" s="5" t="s">
        <v>216</v>
      </c>
      <c r="BL2" s="5" t="s">
        <v>216</v>
      </c>
      <c r="BM2" s="5" t="s">
        <v>216</v>
      </c>
      <c r="BN2" s="5" t="s">
        <v>216</v>
      </c>
      <c r="BO2" s="5" t="s">
        <v>216</v>
      </c>
      <c r="BP2" s="5" t="s">
        <v>216</v>
      </c>
      <c r="BQ2" s="5" t="s">
        <v>216</v>
      </c>
      <c r="BR2" s="5" t="s">
        <v>216</v>
      </c>
      <c r="BS2" s="5" t="s">
        <v>217</v>
      </c>
      <c r="BT2" s="5" t="s">
        <v>217</v>
      </c>
      <c r="BU2" s="5" t="s">
        <v>217</v>
      </c>
      <c r="BV2" s="5" t="s">
        <v>217</v>
      </c>
      <c r="BW2" s="5" t="s">
        <v>217</v>
      </c>
      <c r="BX2" s="5" t="s">
        <v>217</v>
      </c>
      <c r="BY2" s="5" t="s">
        <v>217</v>
      </c>
      <c r="BZ2" s="5" t="s">
        <v>216</v>
      </c>
      <c r="CA2" s="5" t="s">
        <v>216</v>
      </c>
      <c r="CB2" s="5" t="s">
        <v>216</v>
      </c>
      <c r="CC2" s="5" t="s">
        <v>216</v>
      </c>
      <c r="CD2" s="5" t="s">
        <v>204</v>
      </c>
      <c r="CE2" s="5" t="s">
        <v>218</v>
      </c>
      <c r="CF2" s="5" t="s">
        <v>219</v>
      </c>
      <c r="CG2" s="5" t="s">
        <v>220</v>
      </c>
      <c r="CH2" s="5" t="s">
        <v>221</v>
      </c>
      <c r="CI2" s="5" t="s">
        <v>222</v>
      </c>
      <c r="CJ2" s="5">
        <v>4</v>
      </c>
      <c r="CK2" s="5" t="s">
        <v>223</v>
      </c>
      <c r="CU2" s="5" t="s">
        <v>204</v>
      </c>
      <c r="CV2" s="5" t="s">
        <v>224</v>
      </c>
      <c r="CW2" s="5" t="s">
        <v>225</v>
      </c>
      <c r="CX2" s="5" t="s">
        <v>226</v>
      </c>
      <c r="CY2" s="5" t="s">
        <v>227</v>
      </c>
      <c r="CZ2" s="5" t="s">
        <v>228</v>
      </c>
      <c r="DA2" s="5" t="s">
        <v>229</v>
      </c>
      <c r="DB2" s="5"/>
      <c r="DC2" s="5" t="s">
        <v>230</v>
      </c>
      <c r="DD2" s="5"/>
      <c r="DE2" s="5" t="s">
        <v>230</v>
      </c>
      <c r="DF2" s="5"/>
      <c r="DG2" s="5" t="s">
        <v>230</v>
      </c>
      <c r="DH2" s="5"/>
      <c r="DI2" s="5" t="s">
        <v>230</v>
      </c>
      <c r="DJ2" s="5"/>
      <c r="DK2" s="5" t="s">
        <v>230</v>
      </c>
      <c r="DL2" s="5"/>
      <c r="DM2" s="5" t="s">
        <v>230</v>
      </c>
      <c r="DN2" s="5"/>
      <c r="DO2" s="5" t="s">
        <v>231</v>
      </c>
      <c r="DP2" s="5"/>
      <c r="DQ2" s="5" t="s">
        <v>231</v>
      </c>
      <c r="DR2" s="5"/>
      <c r="DS2" s="5" t="s">
        <v>231</v>
      </c>
      <c r="DT2" s="5"/>
      <c r="DU2" s="5" t="s">
        <v>231</v>
      </c>
      <c r="DV2" s="5"/>
      <c r="DW2" s="5" t="s">
        <v>231</v>
      </c>
      <c r="DX2" s="5"/>
      <c r="DY2" s="5"/>
      <c r="DZ2" s="5"/>
      <c r="EA2" s="5" t="s">
        <v>232</v>
      </c>
      <c r="EB2" s="5"/>
      <c r="EC2" s="5" t="s">
        <v>232</v>
      </c>
      <c r="ED2" s="5"/>
      <c r="EE2" s="5" t="s">
        <v>232</v>
      </c>
      <c r="EF2" s="5"/>
      <c r="EG2" s="5"/>
      <c r="EH2" s="5"/>
      <c r="EI2" s="5" t="s">
        <v>232</v>
      </c>
      <c r="EJ2" s="5"/>
      <c r="EK2" s="5" t="s">
        <v>232</v>
      </c>
      <c r="EL2" s="5"/>
      <c r="EM2" s="5" t="s">
        <v>232</v>
      </c>
      <c r="EN2" s="5"/>
      <c r="EO2" s="5"/>
      <c r="EP2" s="5"/>
      <c r="EQ2" s="5" t="s">
        <v>232</v>
      </c>
      <c r="ER2" s="5"/>
      <c r="ES2" s="5" t="s">
        <v>232</v>
      </c>
      <c r="ET2" s="5"/>
      <c r="EU2" s="5" t="s">
        <v>232</v>
      </c>
      <c r="EV2" s="5"/>
      <c r="EW2" s="5" t="s">
        <v>232</v>
      </c>
      <c r="EX2" s="5"/>
      <c r="EY2" s="5"/>
      <c r="EZ2" s="5"/>
      <c r="FA2" s="5" t="s">
        <v>232</v>
      </c>
      <c r="FB2" s="5"/>
      <c r="FC2" s="5" t="s">
        <v>232</v>
      </c>
      <c r="FD2" s="5"/>
      <c r="FE2" s="5" t="s">
        <v>232</v>
      </c>
      <c r="FF2" s="5"/>
      <c r="FG2" s="5"/>
      <c r="FH2" s="5"/>
      <c r="FI2" s="5" t="s">
        <v>232</v>
      </c>
      <c r="FJ2" s="5"/>
      <c r="FK2" s="5" t="s">
        <v>232</v>
      </c>
      <c r="FL2" s="5"/>
      <c r="FM2" s="5" t="s">
        <v>232</v>
      </c>
      <c r="FN2" s="5"/>
      <c r="FO2" s="5"/>
      <c r="FP2" s="5"/>
      <c r="FQ2" s="5" t="s">
        <v>206</v>
      </c>
      <c r="FR2" s="5"/>
      <c r="FS2" s="5" t="s">
        <v>206</v>
      </c>
      <c r="FT2" s="5"/>
      <c r="FU2" s="5" t="s">
        <v>206</v>
      </c>
      <c r="FV2" s="5"/>
      <c r="FW2" s="5" t="s">
        <v>206</v>
      </c>
      <c r="FX2" s="5"/>
      <c r="FY2" s="5" t="s">
        <v>206</v>
      </c>
      <c r="FZ2" s="5"/>
      <c r="GA2" s="5" t="s">
        <v>206</v>
      </c>
      <c r="GB2" s="5"/>
      <c r="GC2" s="5" t="s">
        <v>206</v>
      </c>
      <c r="GD2" s="5"/>
      <c r="GE2" s="5"/>
      <c r="GF2" s="5"/>
      <c r="GG2" s="5" t="s">
        <v>233</v>
      </c>
      <c r="GH2" s="5" t="s">
        <v>233</v>
      </c>
      <c r="GI2" s="5" t="s">
        <v>233</v>
      </c>
      <c r="GJ2" s="5" t="s">
        <v>233</v>
      </c>
      <c r="GK2" s="5" t="s">
        <v>233</v>
      </c>
      <c r="GL2" s="5" t="s">
        <v>233</v>
      </c>
      <c r="GM2" s="5" t="s">
        <v>233</v>
      </c>
      <c r="GN2" s="5" t="s">
        <v>234</v>
      </c>
      <c r="GO2" s="5" t="s">
        <v>234</v>
      </c>
      <c r="GP2" s="5" t="s">
        <v>234</v>
      </c>
      <c r="GQ2" s="5" t="s">
        <v>234</v>
      </c>
      <c r="GR2" s="5" t="s">
        <v>234</v>
      </c>
      <c r="GS2" s="5" t="s">
        <v>234</v>
      </c>
      <c r="GT2" s="5" t="s">
        <v>234</v>
      </c>
      <c r="GU2" s="5" t="s">
        <v>235</v>
      </c>
      <c r="GV2" s="5" t="str">
        <f>TEXT("6255490895912577892","0")</f>
        <v>6255490895912570000</v>
      </c>
    </row>
    <row r="3" spans="1:204" ht="15.75" hidden="1" customHeight="1" x14ac:dyDescent="0.15">
      <c r="B3" s="4">
        <v>45827.352210648147</v>
      </c>
      <c r="C3" s="5" t="s">
        <v>206</v>
      </c>
      <c r="GV3" s="5" t="str">
        <f>TEXT("6261452306514480063","0")</f>
        <v>6261452306514480000</v>
      </c>
    </row>
    <row r="4" spans="1:204" ht="15.75" customHeight="1" x14ac:dyDescent="0.15">
      <c r="A4" s="1">
        <f>ROW(A4)</f>
        <v>4</v>
      </c>
      <c r="B4" s="4">
        <v>45827.382199074076</v>
      </c>
      <c r="C4" s="5" t="s">
        <v>204</v>
      </c>
      <c r="D4" s="5" t="s">
        <v>206</v>
      </c>
      <c r="F4" s="5" t="s">
        <v>206</v>
      </c>
      <c r="G4" s="5" t="s">
        <v>204</v>
      </c>
      <c r="H4" s="5" t="s">
        <v>206</v>
      </c>
      <c r="L4" s="5" t="s">
        <v>236</v>
      </c>
      <c r="P4" s="5" t="s">
        <v>237</v>
      </c>
      <c r="S4" s="5" t="s">
        <v>208</v>
      </c>
      <c r="X4" s="5" t="s">
        <v>208</v>
      </c>
      <c r="AD4" s="5" t="s">
        <v>209</v>
      </c>
      <c r="AH4" s="5" t="s">
        <v>210</v>
      </c>
      <c r="AI4" s="5">
        <v>2018</v>
      </c>
      <c r="AJ4" s="5" t="s">
        <v>238</v>
      </c>
      <c r="AK4" s="5" t="str">
        <f>IF(OR(AJ4="Empleada del sector privado",AJ4="Empleada del sector público"),"Asalariada",
IF(AJ4="Trabajadora por cuenta propia","Trabajadora por cuenta propia",""))</f>
        <v>Trabajadora por cuenta propia</v>
      </c>
      <c r="AL4" s="5" t="s">
        <v>239</v>
      </c>
      <c r="AP4" s="5" t="s">
        <v>240</v>
      </c>
      <c r="AR4" s="5" t="s">
        <v>241</v>
      </c>
      <c r="AS4" s="5" t="s">
        <v>241</v>
      </c>
      <c r="AT4" s="5" t="s">
        <v>241</v>
      </c>
      <c r="AU4" s="5" t="s">
        <v>241</v>
      </c>
      <c r="AV4" s="5" t="s">
        <v>213</v>
      </c>
      <c r="AW4" s="5" t="s">
        <v>206</v>
      </c>
      <c r="BF4" s="5" t="s">
        <v>204</v>
      </c>
      <c r="BG4" s="5" t="s">
        <v>242</v>
      </c>
      <c r="BH4" s="5" t="s">
        <v>242</v>
      </c>
      <c r="BI4" s="5" t="s">
        <v>215</v>
      </c>
      <c r="BJ4" s="5" t="s">
        <v>215</v>
      </c>
      <c r="BK4" s="5" t="s">
        <v>243</v>
      </c>
      <c r="BL4" s="5" t="s">
        <v>244</v>
      </c>
      <c r="BM4" s="5" t="s">
        <v>245</v>
      </c>
      <c r="BN4" s="5" t="s">
        <v>246</v>
      </c>
      <c r="BO4" s="5" t="s">
        <v>244</v>
      </c>
      <c r="BP4" s="5" t="s">
        <v>243</v>
      </c>
      <c r="BQ4" s="5" t="s">
        <v>245</v>
      </c>
      <c r="BR4" s="5" t="s">
        <v>243</v>
      </c>
      <c r="BS4" s="5" t="s">
        <v>247</v>
      </c>
      <c r="BT4" s="5" t="s">
        <v>217</v>
      </c>
      <c r="BU4" s="5" t="s">
        <v>247</v>
      </c>
      <c r="BV4" s="5" t="s">
        <v>248</v>
      </c>
      <c r="BW4" s="5" t="s">
        <v>232</v>
      </c>
      <c r="BX4" s="5" t="s">
        <v>248</v>
      </c>
      <c r="BY4" s="5" t="s">
        <v>232</v>
      </c>
      <c r="CD4" s="5" t="s">
        <v>206</v>
      </c>
      <c r="CH4" s="5" t="s">
        <v>221</v>
      </c>
      <c r="CI4" s="5" t="s">
        <v>249</v>
      </c>
      <c r="CJ4" s="5">
        <v>2</v>
      </c>
      <c r="CK4" s="5" t="s">
        <v>223</v>
      </c>
      <c r="CU4" s="5" t="s">
        <v>206</v>
      </c>
      <c r="DA4" s="5" t="s">
        <v>231</v>
      </c>
      <c r="DB4" s="5">
        <f>IF(DA4="Mejor que lo habitual",1,
IF(DA4="Igual que lo habitual",2,
IF(DA4="Menos que lo habitual",3,
IF(DA4="Mucho menos que lo habitual",4,""))))</f>
        <v>2</v>
      </c>
      <c r="DC4" s="5" t="s">
        <v>250</v>
      </c>
      <c r="DD4" s="5">
        <f>IF(DC4="No, en absoluto",1,
IF(DC4="No más que lo habitual",2,
IF(DC4="Bastante más que lo habitual",3,
IF(DC4="Mucho más que lo habitual",4,""))))</f>
        <v>3</v>
      </c>
      <c r="DE4" s="5" t="s">
        <v>230</v>
      </c>
      <c r="DF4" s="5">
        <f>IF(DE4="No, en absoluto",1,
IF(DE4="No más que lo habitual",2,
IF(DE4="Bastante más que lo habitual",3,
IF(DE4="Mucho más que lo habitual",4,""))))</f>
        <v>2</v>
      </c>
      <c r="DG4" s="5" t="s">
        <v>251</v>
      </c>
      <c r="DH4" s="5">
        <f>IF(DG4="No, en absoluto",1,
IF(DG4="No más que lo habitual",2,
IF(DG4="Bastante más que lo habitual",3,
IF(DG4="Mucho más que lo habitual",4,""))))</f>
        <v>1</v>
      </c>
      <c r="DI4" s="5" t="s">
        <v>230</v>
      </c>
      <c r="DJ4" s="5">
        <f>IF(DI4="No, en absoluto",1,
IF(DI4="No más que lo habitual",2,
IF(DI4="Bastante más que lo habitual",3,
IF(DI4="Mucho más que lo habitual",4,""))))</f>
        <v>2</v>
      </c>
      <c r="DK4" s="5" t="s">
        <v>251</v>
      </c>
      <c r="DL4" s="5">
        <f>IF(DK4="No, en absoluto",1,
IF(DK4="No más que lo habitual",2,
IF(DK4="Bastante más que lo habitual",3,
IF(DK4="Mucho más que lo habitual",4,""))))</f>
        <v>1</v>
      </c>
      <c r="DM4" s="5" t="s">
        <v>251</v>
      </c>
      <c r="DN4" s="5">
        <f>IF(DM4="No, en absoluto",1,
IF(DM4="No más que lo habitual",2,
IF(DM4="Bastante más que lo habitual",3,
IF(DM4="Mucho más que lo habitual",4,""))))</f>
        <v>1</v>
      </c>
      <c r="DO4" s="5" t="s">
        <v>229</v>
      </c>
      <c r="DP4" s="5">
        <f>IF(DO4="Más que lo habitual",1,
IF(DO4="Igual que lo habitual",2,
IF(DO4="Menos que lo habitual",3,
IF(DO4="Mucho menos que lo habitual",4,""))))</f>
        <v>4</v>
      </c>
      <c r="DQ4" s="5" t="s">
        <v>229</v>
      </c>
      <c r="DR4" s="5">
        <f>IF(DQ4="Más que lo habitual",1,
IF(DQ4="Igual que lo habitual",2,
IF(DQ4="Menos que lo habitual",3,
IF(DQ4="Mucho menos que lo habitual",4,""))))</f>
        <v>4</v>
      </c>
      <c r="DS4" s="5" t="s">
        <v>229</v>
      </c>
      <c r="DT4" s="5">
        <f>IF(DS4="Más que lo habitual",1,
IF(DS4="Igual que lo habitual",2,
IF(DS4="Menos que lo habitual",3,
IF(DS4="Mucho menos que lo habitual",4,""))))</f>
        <v>4</v>
      </c>
      <c r="DU4" s="5" t="s">
        <v>229</v>
      </c>
      <c r="DV4" s="5">
        <f>IF(DU4="Más que lo habitual",1,
IF(DU4="Igual que lo habitual",2,
IF(DU4="Menos que lo habitual",3,
IF(DU4="Mucho menos que lo habitual",4,""))))</f>
        <v>4</v>
      </c>
      <c r="DW4" s="5" t="s">
        <v>252</v>
      </c>
      <c r="DX4" s="5">
        <f>IF(DW4="Más que lo habitual",1,
IF(DW4="Igual que lo habitual",2,
IF(DW4="Menos que lo habitual",3,
IF(DW4="Mucho menos que lo habitual",4,""))))</f>
        <v>3</v>
      </c>
      <c r="DY4" s="5">
        <f>SUM(DB4,DD4,DF4,DH4,DJ4,DL4,DN4,DP4,DR4,DT4,DV4,DX4)</f>
        <v>31</v>
      </c>
      <c r="DZ4" s="5" t="str">
        <f>IF(DY4&lt;=18,"Nivel de riesgo bajo",
IF(DY4&lt;=23,"Nivel de riesgo medio",
"Nivel de riesgo alto"))</f>
        <v>Nivel de riesgo alto</v>
      </c>
      <c r="EA4" s="5" t="s">
        <v>247</v>
      </c>
      <c r="EB4" s="5">
        <f>IF(EA4="Nunca/ casi nunca",0,
IF(EA4="Rara vez",1,
IF(EA4="A veces",2,
IF(EA4="A menudo",3,
IF(EA4="Siempre",4,"")))))</f>
        <v>2</v>
      </c>
      <c r="EC4" s="5" t="s">
        <v>248</v>
      </c>
      <c r="ED4" s="5">
        <f>IF(EC4="Nunca/ casi nunca",0,
IF(EC4="Rara vez",1,
IF(EC4="A veces",2,
IF(EC4="A menudo",3,
IF(EC4="Siempre",4,"")))))</f>
        <v>1</v>
      </c>
      <c r="EE4" s="5" t="s">
        <v>253</v>
      </c>
      <c r="EF4" s="5">
        <f>IF(EE4="Nunca/ casi nunca",0,
IF(EE4="Rara vez",1,
IF(EE4="A veces",2,
IF(EE4="A menudo",3,
IF(EE4="Siempre",4,"")))))</f>
        <v>0</v>
      </c>
      <c r="EG4" s="5">
        <f>SUM(EB4,ED4,EF4)</f>
        <v>3</v>
      </c>
      <c r="EH4" s="5" t="str">
        <f>IF(EG4&lt;=1,"Nivel de riesgo bajo",
IF(EG4&lt;=4,"Nivel de riesgo medio",
"Nivel de riesgo alto"))</f>
        <v>Nivel de riesgo medio</v>
      </c>
      <c r="EI4" s="5" t="s">
        <v>248</v>
      </c>
      <c r="EJ4" s="5">
        <f>IF(EI4="Nunca/ casi nunca",0,
IF(EI4="Rara vez",1,
IF(EI4="A veces",2,
IF(EI4="A menudo",3,
IF(EI4="Siempre",4,"")))))</f>
        <v>1</v>
      </c>
      <c r="EK4" s="5" t="s">
        <v>232</v>
      </c>
      <c r="EL4" s="5">
        <f>IF(EK4="Nunca/ casi nunca",0,
IF(EK4="Rara vez",1,
IF(EK4="A veces",2,
IF(EK4="A menudo",3,
IF(EK4="Siempre",4,"")))))</f>
        <v>3</v>
      </c>
      <c r="EM4" s="5" t="s">
        <v>254</v>
      </c>
      <c r="EN4" s="5">
        <f>IF(EM4="Nunca/ casi nunca",0,
IF(EM4="Rara vez",1,
IF(EM4="A veces",2,
IF(EM4="A menudo",3,
IF(EM4="Siempre",4,"")))))</f>
        <v>4</v>
      </c>
      <c r="EO4" s="5">
        <f>SUM(EJ4,EL4,EN4)</f>
        <v>8</v>
      </c>
      <c r="EP4" s="5" t="str">
        <f>IF(EO4&lt;=1,"Nivel de riesgo bajo",
IF(EO4&lt;=5,"Nivel de riesgo medio",
"Nivel de riesgo alto"))</f>
        <v>Nivel de riesgo alto</v>
      </c>
      <c r="EQ4" s="5" t="s">
        <v>253</v>
      </c>
      <c r="ER4" s="5">
        <f>IF(EQ4="Nunca/ casi nunca",4,
IF(EQ4="Rara vez",3,
IF(EQ4="A veces",2,
IF(EQ4="A menudo",1,
IF(EQ4="Siempre",0,"")))))</f>
        <v>4</v>
      </c>
      <c r="ES4" s="5" t="s">
        <v>253</v>
      </c>
      <c r="ET4" s="5">
        <f>IF(ES4="Nunca/ casi nunca",4,
IF(ES4="Rara vez",3,
IF(ES4="A veces",2,
IF(ES4="A menudo",1,
IF(ES4="Siempre",0,"")))))</f>
        <v>4</v>
      </c>
      <c r="EU4" s="5" t="s">
        <v>253</v>
      </c>
      <c r="EV4" s="5">
        <f>IF(EU4="Nunca/ casi nunca",4,
IF(EU4="Rara vez",3,
IF(EU4="A veces",2,
IF(EU4="A menudo",1,
IF(EU4="Siempre",0,"")))))</f>
        <v>4</v>
      </c>
      <c r="EW4" s="5" t="s">
        <v>253</v>
      </c>
      <c r="EX4" s="5">
        <f>IF(EW4="Nunca/ casi nunca",4,
IF(EW4="Rara vez",3,
IF(EW4="A veces",2,
IF(EW4="A menudo",1,
IF(EW4="Siempre",0,"")))))</f>
        <v>4</v>
      </c>
      <c r="EY4" s="5">
        <f>SUM(ER4,ET4,EV4,EX4)</f>
        <v>16</v>
      </c>
      <c r="EZ4" s="5" t="str">
        <f>IF(EY4&lt;=0,"Nivel de riesgo bajo",
IF(EY4&lt;=4,"Nivel de riesgo medio",
"Nivel de riesgo alto"))</f>
        <v>Nivel de riesgo alto</v>
      </c>
      <c r="FA4" s="5" t="s">
        <v>253</v>
      </c>
      <c r="FB4" s="5">
        <f>IF(FA4="Nunca/ casi nunca",0,
IF(FA4="Rara vez",1,
IF(FA4="A veces",2,
IF(FA4="A menudo",3,
IF(FA4="Siempre",4,"")))))</f>
        <v>0</v>
      </c>
      <c r="FC4" s="5" t="s">
        <v>253</v>
      </c>
      <c r="FD4" s="5">
        <f>IF(FC4="Nunca/ casi nunca",0,
IF(FC4="Rara vez",1,
IF(FC4="A veces",2,
IF(FC4="A menudo",3,
IF(FC4="Siempre",4,"")))))</f>
        <v>0</v>
      </c>
      <c r="FE4" s="5" t="s">
        <v>254</v>
      </c>
      <c r="FF4" s="5">
        <f>IF(FE4="Nunca/ casi nunca",0,
IF(FE4="Rara vez",1,
IF(FE4="A veces",2,
IF(FE4="A menudo",3,
IF(FE4="Siempre",4,"")))))</f>
        <v>4</v>
      </c>
      <c r="FG4" s="5">
        <f>SUM(FB4,FD4,FF4)</f>
        <v>4</v>
      </c>
      <c r="FH4" s="5" t="str">
        <f>IF(FG4&lt;=2,"Nivel de riesgo bajo",
IF(FG4&lt;=5,"Nivel de riesgo medio",
"Nivel de riesgo alto"))</f>
        <v>Nivel de riesgo medio</v>
      </c>
      <c r="FI4" s="5" t="s">
        <v>254</v>
      </c>
      <c r="FJ4" s="5">
        <f>IF(FI4="Nunca/ casi nunca",0,
IF(FI4="Rara vez",1,
IF(FI4="A veces",2,
IF(FI4="A menudo",3,
IF(FI4="Siempre",4,"")))))</f>
        <v>4</v>
      </c>
      <c r="FK4" s="5" t="s">
        <v>254</v>
      </c>
      <c r="FL4" s="5">
        <f>IF(FK4="Nunca/ casi nunca",0,
IF(FK4="Rara vez",1,
IF(FK4="A veces",2,
IF(FK4="A menudo",3,
IF(FK4="Siempre",4,"")))))</f>
        <v>4</v>
      </c>
      <c r="FM4" s="5" t="s">
        <v>254</v>
      </c>
      <c r="FN4" s="5">
        <f>IF(FM4="Nunca/ casi nunca",0,
IF(FM4="Rara vez",1,
IF(FM4="A veces",2,
IF(FM4="A menudo",3,
IF(FM4="Siempre",4,"")))))</f>
        <v>4</v>
      </c>
      <c r="FO4" s="5">
        <f>SUM(FJ4,FL4,FN4)</f>
        <v>12</v>
      </c>
      <c r="FP4" s="5" t="str">
        <f>IF(FO4&lt;=2,"Nivel de riesgo bajo",
IF(FO4&lt;=5,"Nivel de riesgo medio",
"Nivel de riesgo alto"))</f>
        <v>Nivel de riesgo alto</v>
      </c>
      <c r="FQ4" s="5" t="s">
        <v>206</v>
      </c>
      <c r="FR4" s="5">
        <f>IF(FQ4="No",0,
IF(FQ4="Sí, unas pocas veces",1,
IF(FQ4="Sí, mensualmente",2,
IF(FQ4="Sí, semanalmente",3,
IF(FQ4="Sí, diariamente",4,"")))))</f>
        <v>0</v>
      </c>
      <c r="FS4" s="5" t="s">
        <v>206</v>
      </c>
      <c r="FT4" s="5">
        <f>IF(FS4="No",0,
IF(FS4="Sí, unas pocas veces",1,
IF(FS4="Sí, mensualmente",2,
IF(FS4="Sí, semanalmente",3,
IF(FS4="Sí, diariamente",4,"")))))</f>
        <v>0</v>
      </c>
      <c r="FU4" s="5" t="s">
        <v>206</v>
      </c>
      <c r="FV4" s="5">
        <f>IF(FU4="No",0,
IF(FU4="Sí, unas pocas veces",1,
IF(FU4="Sí, mensualmente",2,
IF(FU4="Sí, semanalmente",3,
IF(FU4="Sí, diariamente",4,"")))))</f>
        <v>0</v>
      </c>
      <c r="FW4" s="5" t="s">
        <v>206</v>
      </c>
      <c r="FX4" s="5">
        <f>IF(FW4="No",0,
IF(FW4="Sí, unas pocas veces",1,
IF(FW4="Sí, mensualmente",2,
IF(FW4="Sí, semanalmente",3,
IF(FW4="Sí, diariamente",4,"")))))</f>
        <v>0</v>
      </c>
      <c r="FY4" s="5" t="s">
        <v>206</v>
      </c>
      <c r="FZ4" s="5">
        <f>IF(FY4="No",0,
IF(FY4="Sí, unas pocas veces",1,
IF(FY4="Sí, mensualmente",2,
IF(FY4="Sí, semanalmente",3,
IF(FY4="Sí, diariamente",4,"")))))</f>
        <v>0</v>
      </c>
      <c r="GA4" s="5" t="s">
        <v>206</v>
      </c>
      <c r="GB4" s="5">
        <f>IF(GA4="No",0,
IF(GA4="Sí, unas pocas veces",1,
IF(GA4="Sí, mensualmente",2,
IF(GA4="Sí, semanalmente",3,
IF(GA4="Sí, diariamente",4,"")))))</f>
        <v>0</v>
      </c>
      <c r="GC4" s="5" t="s">
        <v>206</v>
      </c>
      <c r="GD4" s="5">
        <f>IF(GC4="No",0,
IF(GC4="Sí, unas pocas veces",1,
IF(GC4="Sí, mensualmente",2,
IF(GC4="Sí, semanalmente",3,
IF(GC4="Sí, diariamente",4,"")))))</f>
        <v>0</v>
      </c>
      <c r="GE4" s="5">
        <f>SUM(FR4,FT4,FV4,FX4,FZ4,GB4,GD4)</f>
        <v>0</v>
      </c>
      <c r="GF4" s="5" t="str">
        <f>IF(GE4&lt;=0,"Nivel de riesgo bajo",
IF(GE4&lt;=14,"Nivel de riesgo medio",
"Nivel de riesgo alto"))</f>
        <v>Nivel de riesgo bajo</v>
      </c>
      <c r="GG4" s="5" t="s">
        <v>255</v>
      </c>
      <c r="GH4" s="5" t="s">
        <v>255</v>
      </c>
      <c r="GI4" s="5" t="s">
        <v>255</v>
      </c>
      <c r="GJ4" s="5" t="s">
        <v>255</v>
      </c>
      <c r="GK4" s="5" t="s">
        <v>233</v>
      </c>
      <c r="GL4" s="5" t="s">
        <v>233</v>
      </c>
      <c r="GM4" s="5" t="s">
        <v>255</v>
      </c>
      <c r="GN4" s="5" t="s">
        <v>256</v>
      </c>
      <c r="GO4" s="5" t="s">
        <v>234</v>
      </c>
      <c r="GP4" s="5" t="s">
        <v>256</v>
      </c>
      <c r="GQ4" s="5" t="s">
        <v>257</v>
      </c>
      <c r="GR4" s="5" t="s">
        <v>256</v>
      </c>
      <c r="GS4" s="5" t="s">
        <v>256</v>
      </c>
      <c r="GT4" s="5" t="s">
        <v>256</v>
      </c>
      <c r="GU4" s="5" t="s">
        <v>258</v>
      </c>
      <c r="GV4" s="5" t="str">
        <f>TEXT("6261478221732431271","0")</f>
        <v>6261478221732430000</v>
      </c>
    </row>
    <row r="5" spans="1:204" ht="15.75" hidden="1" customHeight="1" x14ac:dyDescent="0.15">
      <c r="B5" s="4">
        <v>45827.382835648146</v>
      </c>
      <c r="C5" s="5" t="s">
        <v>204</v>
      </c>
      <c r="D5" s="5" t="s">
        <v>206</v>
      </c>
      <c r="F5" s="5" t="s">
        <v>206</v>
      </c>
      <c r="G5" s="5" t="s">
        <v>204</v>
      </c>
      <c r="H5" s="5" t="s">
        <v>206</v>
      </c>
      <c r="J5" s="5" t="s">
        <v>209</v>
      </c>
      <c r="P5" s="5" t="s">
        <v>237</v>
      </c>
      <c r="T5" s="5" t="s">
        <v>209</v>
      </c>
      <c r="X5" s="5" t="s">
        <v>208</v>
      </c>
      <c r="AD5" s="5" t="s">
        <v>209</v>
      </c>
      <c r="AH5" s="5" t="s">
        <v>259</v>
      </c>
      <c r="AI5" s="5">
        <v>2022</v>
      </c>
      <c r="AJ5" s="5" t="s">
        <v>260</v>
      </c>
      <c r="AK5" s="5"/>
      <c r="AR5" s="5" t="s">
        <v>261</v>
      </c>
      <c r="AS5" s="5" t="s">
        <v>261</v>
      </c>
      <c r="AT5" s="5" t="s">
        <v>261</v>
      </c>
      <c r="AU5" s="5" t="s">
        <v>261</v>
      </c>
      <c r="AV5" s="5" t="s">
        <v>262</v>
      </c>
      <c r="AW5" s="5" t="s">
        <v>204</v>
      </c>
      <c r="AX5" s="5" t="s">
        <v>204</v>
      </c>
      <c r="AY5" s="5" t="s">
        <v>214</v>
      </c>
      <c r="AZ5" s="5" t="s">
        <v>204</v>
      </c>
      <c r="BA5" s="5" t="s">
        <v>263</v>
      </c>
      <c r="BF5" s="5" t="s">
        <v>204</v>
      </c>
      <c r="BG5" s="5" t="s">
        <v>207</v>
      </c>
      <c r="BH5" s="5" t="s">
        <v>242</v>
      </c>
      <c r="BI5" s="5" t="s">
        <v>242</v>
      </c>
      <c r="BJ5" s="5" t="s">
        <v>264</v>
      </c>
      <c r="BK5" s="5" t="s">
        <v>216</v>
      </c>
      <c r="BL5" s="5" t="s">
        <v>216</v>
      </c>
      <c r="BM5" s="5" t="s">
        <v>216</v>
      </c>
      <c r="BN5" s="5" t="s">
        <v>244</v>
      </c>
      <c r="BO5" s="5" t="s">
        <v>244</v>
      </c>
      <c r="BP5" s="5" t="s">
        <v>216</v>
      </c>
      <c r="BQ5" s="5" t="s">
        <v>246</v>
      </c>
      <c r="BR5" s="5" t="s">
        <v>246</v>
      </c>
      <c r="BS5" s="5" t="s">
        <v>248</v>
      </c>
      <c r="BT5" s="5" t="s">
        <v>232</v>
      </c>
      <c r="BU5" s="5" t="s">
        <v>232</v>
      </c>
      <c r="BV5" s="5" t="s">
        <v>248</v>
      </c>
      <c r="BW5" s="5" t="s">
        <v>248</v>
      </c>
      <c r="BX5" s="5" t="s">
        <v>248</v>
      </c>
      <c r="BY5" s="5" t="s">
        <v>248</v>
      </c>
      <c r="BZ5" s="5" t="s">
        <v>216</v>
      </c>
      <c r="CA5" s="5" t="s">
        <v>216</v>
      </c>
      <c r="CB5" s="5" t="s">
        <v>216</v>
      </c>
      <c r="CC5" s="5" t="s">
        <v>216</v>
      </c>
      <c r="CD5" s="5" t="s">
        <v>206</v>
      </c>
      <c r="CH5" s="5" t="s">
        <v>206</v>
      </c>
      <c r="CI5" s="5" t="s">
        <v>249</v>
      </c>
      <c r="CJ5" s="5">
        <v>2</v>
      </c>
      <c r="CK5" s="5" t="s">
        <v>223</v>
      </c>
      <c r="CU5" s="5" t="s">
        <v>206</v>
      </c>
      <c r="DA5" s="5" t="s">
        <v>252</v>
      </c>
      <c r="DB5" s="5"/>
      <c r="DC5" s="5" t="s">
        <v>230</v>
      </c>
      <c r="DD5" s="5"/>
      <c r="DE5" s="5" t="s">
        <v>250</v>
      </c>
      <c r="DF5" s="5"/>
      <c r="DG5" s="5" t="s">
        <v>250</v>
      </c>
      <c r="DH5" s="5"/>
      <c r="DI5" s="5" t="s">
        <v>250</v>
      </c>
      <c r="DJ5" s="5"/>
      <c r="DK5" s="5" t="s">
        <v>250</v>
      </c>
      <c r="DL5" s="5"/>
      <c r="DM5" s="5" t="s">
        <v>250</v>
      </c>
      <c r="DN5" s="5"/>
      <c r="DO5" s="5" t="s">
        <v>252</v>
      </c>
      <c r="DP5" s="5"/>
      <c r="DQ5" s="5" t="s">
        <v>252</v>
      </c>
      <c r="DR5" s="5"/>
      <c r="DS5" s="5" t="s">
        <v>252</v>
      </c>
      <c r="DT5" s="5"/>
      <c r="DU5" s="5" t="s">
        <v>252</v>
      </c>
      <c r="DV5" s="5"/>
      <c r="DW5" s="5" t="s">
        <v>252</v>
      </c>
      <c r="DX5" s="5"/>
      <c r="DY5" s="5"/>
      <c r="DZ5" s="5"/>
      <c r="EA5" s="5" t="s">
        <v>248</v>
      </c>
      <c r="EB5" s="5"/>
      <c r="EC5" s="5" t="s">
        <v>248</v>
      </c>
      <c r="ED5" s="5"/>
      <c r="EE5" s="5" t="s">
        <v>248</v>
      </c>
      <c r="EF5" s="5"/>
      <c r="EG5" s="5"/>
      <c r="EH5" s="5"/>
      <c r="EI5" s="5" t="s">
        <v>248</v>
      </c>
      <c r="EJ5" s="5"/>
      <c r="EK5" s="5" t="s">
        <v>248</v>
      </c>
      <c r="EL5" s="5"/>
      <c r="EM5" s="5" t="s">
        <v>248</v>
      </c>
      <c r="EN5" s="5"/>
      <c r="EO5" s="5"/>
      <c r="EP5" s="5"/>
      <c r="EQ5" s="5" t="s">
        <v>248</v>
      </c>
      <c r="ER5" s="5"/>
      <c r="ES5" s="5" t="s">
        <v>248</v>
      </c>
      <c r="ET5" s="5"/>
      <c r="EU5" s="5" t="s">
        <v>254</v>
      </c>
      <c r="EV5" s="5"/>
      <c r="EW5" s="5" t="s">
        <v>232</v>
      </c>
      <c r="EX5" s="5"/>
      <c r="EY5" s="5"/>
      <c r="EZ5" s="5"/>
      <c r="FA5" s="5" t="s">
        <v>248</v>
      </c>
      <c r="FB5" s="5"/>
      <c r="FC5" s="5" t="s">
        <v>248</v>
      </c>
      <c r="FD5" s="5"/>
      <c r="FE5" s="5" t="s">
        <v>248</v>
      </c>
      <c r="FF5" s="5"/>
      <c r="FG5" s="5"/>
      <c r="FH5" s="5"/>
      <c r="FI5" s="5" t="s">
        <v>248</v>
      </c>
      <c r="FJ5" s="5"/>
      <c r="FK5" s="5" t="s">
        <v>248</v>
      </c>
      <c r="FL5" s="5"/>
      <c r="FM5" s="5" t="s">
        <v>248</v>
      </c>
      <c r="FN5" s="5"/>
      <c r="FO5" s="5"/>
      <c r="FP5" s="5"/>
      <c r="FQ5" s="5" t="s">
        <v>265</v>
      </c>
      <c r="FR5" s="5"/>
      <c r="FS5" s="5" t="s">
        <v>206</v>
      </c>
      <c r="FT5" s="5"/>
      <c r="FU5" s="5" t="s">
        <v>206</v>
      </c>
      <c r="FV5" s="5"/>
      <c r="FW5" s="5" t="s">
        <v>206</v>
      </c>
      <c r="FX5" s="5"/>
      <c r="FY5" s="5" t="s">
        <v>206</v>
      </c>
      <c r="FZ5" s="5"/>
      <c r="GA5" s="5" t="s">
        <v>206</v>
      </c>
      <c r="GB5" s="5"/>
      <c r="GC5" s="5" t="s">
        <v>206</v>
      </c>
      <c r="GD5" s="5"/>
      <c r="GE5" s="5"/>
      <c r="GF5" s="5"/>
      <c r="GG5" s="5" t="s">
        <v>255</v>
      </c>
      <c r="GH5" s="5" t="s">
        <v>255</v>
      </c>
      <c r="GI5" s="5" t="s">
        <v>255</v>
      </c>
      <c r="GJ5" s="5" t="s">
        <v>266</v>
      </c>
      <c r="GK5" s="5" t="s">
        <v>233</v>
      </c>
      <c r="GL5" s="5" t="s">
        <v>233</v>
      </c>
      <c r="GM5" s="5" t="s">
        <v>255</v>
      </c>
      <c r="GN5" s="5" t="s">
        <v>257</v>
      </c>
      <c r="GO5" s="5" t="s">
        <v>244</v>
      </c>
      <c r="GP5" s="5" t="s">
        <v>244</v>
      </c>
      <c r="GQ5" s="5" t="s">
        <v>257</v>
      </c>
      <c r="GR5" s="5" t="s">
        <v>257</v>
      </c>
      <c r="GS5" s="5" t="s">
        <v>234</v>
      </c>
      <c r="GT5" s="5" t="s">
        <v>234</v>
      </c>
      <c r="GU5" s="5" t="s">
        <v>267</v>
      </c>
      <c r="GV5" s="5" t="str">
        <f>TEXT("6261478770751225154","0")</f>
        <v>6261478770751220000</v>
      </c>
    </row>
    <row r="6" spans="1:204" ht="15.75" hidden="1" customHeight="1" x14ac:dyDescent="0.15">
      <c r="B6" s="4">
        <v>45827.396469907406</v>
      </c>
      <c r="C6" s="5" t="s">
        <v>204</v>
      </c>
      <c r="D6" s="5" t="s">
        <v>206</v>
      </c>
      <c r="F6" s="5" t="s">
        <v>206</v>
      </c>
      <c r="G6" s="5" t="s">
        <v>206</v>
      </c>
      <c r="H6" s="5" t="s">
        <v>206</v>
      </c>
      <c r="K6" s="5" t="s">
        <v>237</v>
      </c>
      <c r="O6" s="5" t="s">
        <v>209</v>
      </c>
      <c r="T6" s="5" t="s">
        <v>209</v>
      </c>
      <c r="Y6" s="5" t="s">
        <v>209</v>
      </c>
      <c r="AE6" s="5" t="s">
        <v>237</v>
      </c>
      <c r="AH6" s="5" t="s">
        <v>268</v>
      </c>
      <c r="AI6" s="5">
        <v>2019</v>
      </c>
      <c r="AJ6" s="5" t="s">
        <v>260</v>
      </c>
      <c r="AK6" s="5"/>
      <c r="AR6" s="5" t="s">
        <v>241</v>
      </c>
      <c r="AS6" s="5" t="s">
        <v>241</v>
      </c>
      <c r="AT6" s="5" t="s">
        <v>241</v>
      </c>
      <c r="AU6" s="5" t="s">
        <v>241</v>
      </c>
      <c r="AV6" s="5" t="s">
        <v>269</v>
      </c>
      <c r="AW6" s="5" t="s">
        <v>204</v>
      </c>
      <c r="AX6" s="5" t="s">
        <v>204</v>
      </c>
      <c r="AY6" s="5" t="s">
        <v>270</v>
      </c>
      <c r="AZ6" s="5" t="s">
        <v>204</v>
      </c>
      <c r="BA6" s="5" t="s">
        <v>263</v>
      </c>
      <c r="BF6" s="5" t="s">
        <v>204</v>
      </c>
      <c r="BG6" s="5" t="s">
        <v>271</v>
      </c>
      <c r="BH6" s="5" t="s">
        <v>271</v>
      </c>
      <c r="BI6" s="5" t="s">
        <v>271</v>
      </c>
      <c r="BJ6" s="5" t="s">
        <v>271</v>
      </c>
      <c r="BK6" s="5" t="s">
        <v>243</v>
      </c>
      <c r="BL6" s="5" t="s">
        <v>246</v>
      </c>
      <c r="BM6" s="5" t="s">
        <v>243</v>
      </c>
      <c r="BN6" s="5" t="s">
        <v>246</v>
      </c>
      <c r="BO6" s="5" t="s">
        <v>243</v>
      </c>
      <c r="BP6" s="5" t="s">
        <v>243</v>
      </c>
      <c r="BQ6" s="5" t="s">
        <v>246</v>
      </c>
      <c r="BR6" s="5" t="s">
        <v>246</v>
      </c>
      <c r="BS6" s="5" t="s">
        <v>247</v>
      </c>
      <c r="BT6" s="5" t="s">
        <v>247</v>
      </c>
      <c r="BU6" s="5" t="s">
        <v>247</v>
      </c>
      <c r="BV6" s="5" t="s">
        <v>248</v>
      </c>
      <c r="BW6" s="5" t="s">
        <v>248</v>
      </c>
      <c r="BX6" s="5" t="s">
        <v>248</v>
      </c>
      <c r="BY6" s="5" t="s">
        <v>248</v>
      </c>
      <c r="BZ6" s="5" t="s">
        <v>246</v>
      </c>
      <c r="CA6" s="5" t="s">
        <v>246</v>
      </c>
      <c r="CB6" s="5" t="s">
        <v>216</v>
      </c>
      <c r="CC6" s="5" t="s">
        <v>246</v>
      </c>
      <c r="CD6" s="5" t="s">
        <v>206</v>
      </c>
      <c r="CH6" s="5" t="s">
        <v>206</v>
      </c>
      <c r="CI6" s="5" t="s">
        <v>206</v>
      </c>
      <c r="CJ6" s="5">
        <v>0</v>
      </c>
      <c r="CK6" s="5" t="s">
        <v>223</v>
      </c>
      <c r="CU6" s="5" t="s">
        <v>206</v>
      </c>
      <c r="DA6" s="5" t="s">
        <v>272</v>
      </c>
      <c r="DB6" s="5"/>
      <c r="DC6" s="5" t="s">
        <v>230</v>
      </c>
      <c r="DD6" s="5"/>
      <c r="DE6" s="5" t="s">
        <v>230</v>
      </c>
      <c r="DF6" s="5"/>
      <c r="DG6" s="5" t="s">
        <v>250</v>
      </c>
      <c r="DH6" s="5"/>
      <c r="DI6" s="5" t="s">
        <v>230</v>
      </c>
      <c r="DJ6" s="5"/>
      <c r="DK6" s="5" t="s">
        <v>230</v>
      </c>
      <c r="DL6" s="5"/>
      <c r="DM6" s="5" t="s">
        <v>251</v>
      </c>
      <c r="DN6" s="5"/>
      <c r="DO6" s="5" t="s">
        <v>231</v>
      </c>
      <c r="DP6" s="5"/>
      <c r="DQ6" s="5" t="s">
        <v>231</v>
      </c>
      <c r="DR6" s="5"/>
      <c r="DS6" s="5" t="s">
        <v>231</v>
      </c>
      <c r="DT6" s="5"/>
      <c r="DU6" s="5" t="s">
        <v>231</v>
      </c>
      <c r="DV6" s="5"/>
      <c r="DW6" s="5" t="s">
        <v>231</v>
      </c>
      <c r="DX6" s="5"/>
      <c r="DY6" s="5"/>
      <c r="DZ6" s="5"/>
      <c r="EA6" s="5" t="s">
        <v>248</v>
      </c>
      <c r="EB6" s="5"/>
      <c r="EC6" s="5" t="s">
        <v>248</v>
      </c>
      <c r="ED6" s="5"/>
      <c r="EE6" s="5" t="s">
        <v>248</v>
      </c>
      <c r="EF6" s="5"/>
      <c r="EG6" s="5"/>
      <c r="EH6" s="5"/>
      <c r="EI6" s="5" t="s">
        <v>247</v>
      </c>
      <c r="EJ6" s="5"/>
      <c r="EK6" s="5" t="s">
        <v>247</v>
      </c>
      <c r="EL6" s="5"/>
      <c r="EM6" s="5" t="s">
        <v>247</v>
      </c>
      <c r="EN6" s="5"/>
      <c r="EO6" s="5"/>
      <c r="EP6" s="5"/>
      <c r="EQ6" s="5" t="s">
        <v>254</v>
      </c>
      <c r="ER6" s="5"/>
      <c r="ES6" s="5" t="s">
        <v>232</v>
      </c>
      <c r="ET6" s="5"/>
      <c r="EU6" s="5" t="s">
        <v>232</v>
      </c>
      <c r="EV6" s="5"/>
      <c r="EW6" s="5" t="s">
        <v>232</v>
      </c>
      <c r="EX6" s="5"/>
      <c r="EY6" s="5"/>
      <c r="EZ6" s="5"/>
      <c r="FA6" s="5" t="s">
        <v>232</v>
      </c>
      <c r="FB6" s="5"/>
      <c r="FC6" s="5" t="s">
        <v>232</v>
      </c>
      <c r="FD6" s="5"/>
      <c r="FE6" s="5" t="s">
        <v>232</v>
      </c>
      <c r="FF6" s="5"/>
      <c r="FG6" s="5"/>
      <c r="FH6" s="5"/>
      <c r="FI6" s="5" t="s">
        <v>247</v>
      </c>
      <c r="FJ6" s="5"/>
      <c r="FK6" s="5" t="s">
        <v>247</v>
      </c>
      <c r="FL6" s="5"/>
      <c r="FM6" s="5" t="s">
        <v>247</v>
      </c>
      <c r="FN6" s="5"/>
      <c r="FO6" s="5"/>
      <c r="FP6" s="5"/>
      <c r="FQ6" s="5" t="s">
        <v>206</v>
      </c>
      <c r="FR6" s="5"/>
      <c r="FS6" s="5" t="s">
        <v>206</v>
      </c>
      <c r="FT6" s="5"/>
      <c r="FU6" s="5" t="s">
        <v>206</v>
      </c>
      <c r="FV6" s="5"/>
      <c r="FW6" s="5" t="s">
        <v>206</v>
      </c>
      <c r="FX6" s="5"/>
      <c r="FY6" s="5" t="s">
        <v>206</v>
      </c>
      <c r="FZ6" s="5"/>
      <c r="GA6" s="5" t="s">
        <v>206</v>
      </c>
      <c r="GB6" s="5"/>
      <c r="GC6" s="5" t="s">
        <v>206</v>
      </c>
      <c r="GD6" s="5"/>
      <c r="GE6" s="5"/>
      <c r="GF6" s="5"/>
      <c r="GG6" s="5" t="s">
        <v>273</v>
      </c>
      <c r="GH6" s="5" t="s">
        <v>273</v>
      </c>
      <c r="GI6" s="5" t="s">
        <v>273</v>
      </c>
      <c r="GJ6" s="5" t="s">
        <v>273</v>
      </c>
      <c r="GK6" s="5" t="s">
        <v>233</v>
      </c>
      <c r="GL6" s="5" t="s">
        <v>273</v>
      </c>
      <c r="GM6" s="5" t="s">
        <v>266</v>
      </c>
      <c r="GN6" s="5" t="s">
        <v>243</v>
      </c>
      <c r="GO6" s="5" t="s">
        <v>243</v>
      </c>
      <c r="GP6" s="5" t="s">
        <v>243</v>
      </c>
      <c r="GQ6" s="5" t="s">
        <v>243</v>
      </c>
      <c r="GR6" s="5" t="s">
        <v>243</v>
      </c>
      <c r="GS6" s="5" t="s">
        <v>243</v>
      </c>
      <c r="GT6" s="5" t="s">
        <v>243</v>
      </c>
      <c r="GU6" s="5" t="s">
        <v>274</v>
      </c>
      <c r="GV6" s="5" t="str">
        <f>TEXT("6261490548212609831","0")</f>
        <v>6261490548212600000</v>
      </c>
    </row>
    <row r="7" spans="1:204" ht="15.75" customHeight="1" x14ac:dyDescent="0.15">
      <c r="A7" s="1">
        <f>ROW(A7)</f>
        <v>7</v>
      </c>
      <c r="B7" s="4">
        <v>45827.398402777777</v>
      </c>
      <c r="C7" s="5" t="s">
        <v>204</v>
      </c>
      <c r="D7" s="5" t="s">
        <v>206</v>
      </c>
      <c r="F7" s="5" t="s">
        <v>206</v>
      </c>
      <c r="G7" s="5" t="s">
        <v>206</v>
      </c>
      <c r="H7" s="5" t="s">
        <v>204</v>
      </c>
      <c r="J7" s="5" t="s">
        <v>209</v>
      </c>
      <c r="N7" s="5" t="s">
        <v>208</v>
      </c>
      <c r="T7" s="5" t="s">
        <v>209</v>
      </c>
      <c r="X7" s="5" t="s">
        <v>208</v>
      </c>
      <c r="AC7" s="5" t="s">
        <v>208</v>
      </c>
      <c r="AH7" s="5" t="s">
        <v>275</v>
      </c>
      <c r="AI7" s="5">
        <v>2023</v>
      </c>
      <c r="AJ7" s="5" t="s">
        <v>238</v>
      </c>
      <c r="AK7" s="5" t="str">
        <f>IF(OR(AJ7="Empleada del sector privado",AJ7="Empleada del sector público"),"Asalariada",
IF(AJ7="Trabajadora por cuenta propia","Trabajadora por cuenta propia",""))</f>
        <v>Trabajadora por cuenta propia</v>
      </c>
      <c r="AL7" s="5" t="s">
        <v>239</v>
      </c>
      <c r="AP7" s="5" t="s">
        <v>240</v>
      </c>
      <c r="AR7" s="5" t="s">
        <v>276</v>
      </c>
      <c r="AS7" s="5" t="s">
        <v>276</v>
      </c>
      <c r="AT7" s="5" t="s">
        <v>276</v>
      </c>
      <c r="AU7" s="5" t="s">
        <v>276</v>
      </c>
      <c r="AV7" s="5" t="s">
        <v>277</v>
      </c>
      <c r="AW7" s="5" t="s">
        <v>206</v>
      </c>
      <c r="BF7" s="5" t="s">
        <v>204</v>
      </c>
      <c r="BG7" s="5" t="s">
        <v>278</v>
      </c>
      <c r="BH7" s="5" t="s">
        <v>278</v>
      </c>
      <c r="BI7" s="5" t="s">
        <v>278</v>
      </c>
      <c r="BJ7" s="5" t="s">
        <v>278</v>
      </c>
      <c r="BK7" s="5" t="s">
        <v>246</v>
      </c>
      <c r="BL7" s="5" t="s">
        <v>246</v>
      </c>
      <c r="BM7" s="5" t="s">
        <v>246</v>
      </c>
      <c r="BN7" s="5" t="s">
        <v>216</v>
      </c>
      <c r="BO7" s="5" t="s">
        <v>216</v>
      </c>
      <c r="BP7" s="5" t="s">
        <v>216</v>
      </c>
      <c r="BQ7" s="5" t="s">
        <v>244</v>
      </c>
      <c r="BR7" s="5" t="s">
        <v>216</v>
      </c>
      <c r="BS7" s="5" t="s">
        <v>232</v>
      </c>
      <c r="BT7" s="5" t="s">
        <v>232</v>
      </c>
      <c r="BU7" s="5" t="s">
        <v>247</v>
      </c>
      <c r="BV7" s="5" t="s">
        <v>247</v>
      </c>
      <c r="BW7" s="5" t="s">
        <v>247</v>
      </c>
      <c r="BX7" s="5" t="s">
        <v>248</v>
      </c>
      <c r="BY7" s="5" t="s">
        <v>248</v>
      </c>
      <c r="CD7" s="5" t="s">
        <v>204</v>
      </c>
      <c r="CE7" s="5" t="s">
        <v>218</v>
      </c>
      <c r="CF7" s="5" t="s">
        <v>279</v>
      </c>
      <c r="CG7" s="5" t="s">
        <v>220</v>
      </c>
      <c r="CH7" s="5" t="s">
        <v>206</v>
      </c>
      <c r="CI7" s="5" t="s">
        <v>249</v>
      </c>
      <c r="CJ7" s="5">
        <v>1</v>
      </c>
      <c r="CK7" s="5" t="s">
        <v>223</v>
      </c>
      <c r="CU7" s="5" t="s">
        <v>206</v>
      </c>
      <c r="DA7" s="5" t="s">
        <v>231</v>
      </c>
      <c r="DB7" s="5">
        <f>IF(DA7="Mejor que lo habitual",1,
IF(DA7="Igual que lo habitual",2,
IF(DA7="Menos que lo habitual",3,
IF(DA7="Mucho menos que lo habitual",4,""))))</f>
        <v>2</v>
      </c>
      <c r="DC7" s="5" t="s">
        <v>250</v>
      </c>
      <c r="DD7" s="5">
        <f>IF(DC7="No, en absoluto",1,
IF(DC7="No más que lo habitual",2,
IF(DC7="Bastante más que lo habitual",3,
IF(DC7="Mucho más que lo habitual",4,""))))</f>
        <v>3</v>
      </c>
      <c r="DE7" s="5" t="s">
        <v>250</v>
      </c>
      <c r="DF7" s="5">
        <f>IF(DE7="No, en absoluto",1,
IF(DE7="No más que lo habitual",2,
IF(DE7="Bastante más que lo habitual",3,
IF(DE7="Mucho más que lo habitual",4,""))))</f>
        <v>3</v>
      </c>
      <c r="DG7" s="5" t="s">
        <v>280</v>
      </c>
      <c r="DH7" s="5">
        <f>IF(DG7="No, en absoluto",1,
IF(DG7="No más que lo habitual",2,
IF(DG7="Bastante más que lo habitual",3,
IF(DG7="Mucho más que lo habitual",4,""))))</f>
        <v>4</v>
      </c>
      <c r="DI7" s="5" t="s">
        <v>280</v>
      </c>
      <c r="DJ7" s="5">
        <f>IF(DI7="No, en absoluto",1,
IF(DI7="No más que lo habitual",2,
IF(DI7="Bastante más que lo habitual",3,
IF(DI7="Mucho más que lo habitual",4,""))))</f>
        <v>4</v>
      </c>
      <c r="DK7" s="5" t="s">
        <v>251</v>
      </c>
      <c r="DL7" s="5">
        <f>IF(DK7="No, en absoluto",1,
IF(DK7="No más que lo habitual",2,
IF(DK7="Bastante más que lo habitual",3,
IF(DK7="Mucho más que lo habitual",4,""))))</f>
        <v>1</v>
      </c>
      <c r="DM7" s="5" t="s">
        <v>251</v>
      </c>
      <c r="DN7" s="5">
        <f>IF(DM7="No, en absoluto",1,
IF(DM7="No más que lo habitual",2,
IF(DM7="Bastante más que lo habitual",3,
IF(DM7="Mucho más que lo habitual",4,""))))</f>
        <v>1</v>
      </c>
      <c r="DO7" s="5" t="s">
        <v>229</v>
      </c>
      <c r="DP7" s="5">
        <f>IF(DO7="Más que lo habitual",1,
IF(DO7="Igual que lo habitual",2,
IF(DO7="Menos que lo habitual",3,
IF(DO7="Mucho menos que lo habitual",4,""))))</f>
        <v>4</v>
      </c>
      <c r="DQ7" s="5" t="s">
        <v>281</v>
      </c>
      <c r="DR7" s="5">
        <f>IF(DQ7="Más que lo habitual",1,
IF(DQ7="Igual que lo habitual",2,
IF(DQ7="Menos que lo habitual",3,
IF(DQ7="Mucho menos que lo habitual",4,""))))</f>
        <v>1</v>
      </c>
      <c r="DS7" s="5" t="s">
        <v>231</v>
      </c>
      <c r="DT7" s="5">
        <f>IF(DS7="Más que lo habitual",1,
IF(DS7="Igual que lo habitual",2,
IF(DS7="Menos que lo habitual",3,
IF(DS7="Mucho menos que lo habitual",4,""))))</f>
        <v>2</v>
      </c>
      <c r="DU7" s="5" t="s">
        <v>281</v>
      </c>
      <c r="DV7" s="5">
        <f>IF(DU7="Más que lo habitual",1,
IF(DU7="Igual que lo habitual",2,
IF(DU7="Menos que lo habitual",3,
IF(DU7="Mucho menos que lo habitual",4,""))))</f>
        <v>1</v>
      </c>
      <c r="DW7" s="5" t="s">
        <v>281</v>
      </c>
      <c r="DX7" s="5">
        <f>IF(DW7="Más que lo habitual",1,
IF(DW7="Igual que lo habitual",2,
IF(DW7="Menos que lo habitual",3,
IF(DW7="Mucho menos que lo habitual",4,""))))</f>
        <v>1</v>
      </c>
      <c r="DY7" s="5">
        <f>SUM(DB7,DD7,DF7,DH7,DJ7,DL7,DN7,DP7,DR7,DT7,DV7,DX7)</f>
        <v>27</v>
      </c>
      <c r="DZ7" s="5" t="str">
        <f>IF(DY7&lt;=18,"Nivel de riesgo bajo",
IF(DY7&lt;=23,"Nivel de riesgo medio",
"Nivel de riesgo alto"))</f>
        <v>Nivel de riesgo alto</v>
      </c>
      <c r="EA7" s="5" t="s">
        <v>254</v>
      </c>
      <c r="EB7" s="5">
        <f>IF(EA7="Nunca/ casi nunca",0,
IF(EA7="Rara vez",1,
IF(EA7="A veces",2,
IF(EA7="A menudo",3,
IF(EA7="Siempre",4,"")))))</f>
        <v>4</v>
      </c>
      <c r="EC7" s="5" t="s">
        <v>254</v>
      </c>
      <c r="ED7" s="5">
        <f>IF(EC7="Nunca/ casi nunca",0,
IF(EC7="Rara vez",1,
IF(EC7="A veces",2,
IF(EC7="A menudo",3,
IF(EC7="Siempre",4,"")))))</f>
        <v>4</v>
      </c>
      <c r="EE7" s="5" t="s">
        <v>248</v>
      </c>
      <c r="EF7" s="5">
        <f>IF(EE7="Nunca/ casi nunca",0,
IF(EE7="Rara vez",1,
IF(EE7="A veces",2,
IF(EE7="A menudo",3,
IF(EE7="Siempre",4,"")))))</f>
        <v>1</v>
      </c>
      <c r="EG7" s="5">
        <f>SUM(EB7,ED7,EF7)</f>
        <v>9</v>
      </c>
      <c r="EH7" s="5" t="str">
        <f>IF(EG7&lt;=1,"Nivel de riesgo bajo",
IF(EG7&lt;=4,"Nivel de riesgo medio",
"Nivel de riesgo alto"))</f>
        <v>Nivel de riesgo alto</v>
      </c>
      <c r="EI7" s="5" t="s">
        <v>247</v>
      </c>
      <c r="EJ7" s="5">
        <f>IF(EI7="Nunca/ casi nunca",0,
IF(EI7="Rara vez",1,
IF(EI7="A veces",2,
IF(EI7="A menudo",3,
IF(EI7="Siempre",4,"")))))</f>
        <v>2</v>
      </c>
      <c r="EK7" s="5" t="s">
        <v>254</v>
      </c>
      <c r="EL7" s="5">
        <f>IF(EK7="Nunca/ casi nunca",0,
IF(EK7="Rara vez",1,
IF(EK7="A veces",2,
IF(EK7="A menudo",3,
IF(EK7="Siempre",4,"")))))</f>
        <v>4</v>
      </c>
      <c r="EM7" s="5" t="s">
        <v>254</v>
      </c>
      <c r="EN7" s="5">
        <f>IF(EM7="Nunca/ casi nunca",0,
IF(EM7="Rara vez",1,
IF(EM7="A veces",2,
IF(EM7="A menudo",3,
IF(EM7="Siempre",4,"")))))</f>
        <v>4</v>
      </c>
      <c r="EO7" s="5">
        <f>SUM(EJ7,EL7,EN7)</f>
        <v>10</v>
      </c>
      <c r="EP7" s="5" t="str">
        <f>IF(EO7&lt;=1,"Nivel de riesgo bajo",
IF(EO7&lt;=5,"Nivel de riesgo medio",
"Nivel de riesgo alto"))</f>
        <v>Nivel de riesgo alto</v>
      </c>
      <c r="EQ7" s="5" t="s">
        <v>254</v>
      </c>
      <c r="ER7" s="5">
        <f>IF(EQ7="Nunca/ casi nunca",4,
IF(EQ7="Rara vez",3,
IF(EQ7="A veces",2,
IF(EQ7="A menudo",1,
IF(EQ7="Siempre",0,"")))))</f>
        <v>0</v>
      </c>
      <c r="ES7" s="5" t="s">
        <v>254</v>
      </c>
      <c r="ET7" s="5">
        <f>IF(ES7="Nunca/ casi nunca",4,
IF(ES7="Rara vez",3,
IF(ES7="A veces",2,
IF(ES7="A menudo",1,
IF(ES7="Siempre",0,"")))))</f>
        <v>0</v>
      </c>
      <c r="EU7" s="5" t="s">
        <v>254</v>
      </c>
      <c r="EV7" s="5">
        <f>IF(EU7="Nunca/ casi nunca",4,
IF(EU7="Rara vez",3,
IF(EU7="A veces",2,
IF(EU7="A menudo",1,
IF(EU7="Siempre",0,"")))))</f>
        <v>0</v>
      </c>
      <c r="EW7" s="5" t="s">
        <v>254</v>
      </c>
      <c r="EX7" s="5">
        <f>IF(EW7="Nunca/ casi nunca",4,
IF(EW7="Rara vez",3,
IF(EW7="A veces",2,
IF(EW7="A menudo",1,
IF(EW7="Siempre",0,"")))))</f>
        <v>0</v>
      </c>
      <c r="EY7" s="5">
        <f>SUM(ER7,ET7,EV7,EX7)</f>
        <v>0</v>
      </c>
      <c r="EZ7" s="5" t="str">
        <f>IF(EY7&lt;=0,"Nivel de riesgo bajo",
IF(EY7&lt;=4,"Nivel de riesgo medio",
"Nivel de riesgo alto"))</f>
        <v>Nivel de riesgo bajo</v>
      </c>
      <c r="FA7" s="5" t="s">
        <v>254</v>
      </c>
      <c r="FB7" s="5">
        <f>IF(FA7="Nunca/ casi nunca",0,
IF(FA7="Rara vez",1,
IF(FA7="A veces",2,
IF(FA7="A menudo",3,
IF(FA7="Siempre",4,"")))))</f>
        <v>4</v>
      </c>
      <c r="FC7" s="5" t="s">
        <v>247</v>
      </c>
      <c r="FD7" s="5">
        <f>IF(FC7="Nunca/ casi nunca",0,
IF(FC7="Rara vez",1,
IF(FC7="A veces",2,
IF(FC7="A menudo",3,
IF(FC7="Siempre",4,"")))))</f>
        <v>2</v>
      </c>
      <c r="FE7" s="5" t="s">
        <v>254</v>
      </c>
      <c r="FF7" s="5">
        <f>IF(FE7="Nunca/ casi nunca",0,
IF(FE7="Rara vez",1,
IF(FE7="A veces",2,
IF(FE7="A menudo",3,
IF(FE7="Siempre",4,"")))))</f>
        <v>4</v>
      </c>
      <c r="FG7" s="5">
        <f>SUM(FB7,FD7,FF7)</f>
        <v>10</v>
      </c>
      <c r="FH7" s="5" t="str">
        <f>IF(FG7&lt;=2,"Nivel de riesgo bajo",
IF(FG7&lt;=5,"Nivel de riesgo medio",
"Nivel de riesgo alto"))</f>
        <v>Nivel de riesgo alto</v>
      </c>
      <c r="FI7" s="5" t="s">
        <v>254</v>
      </c>
      <c r="FJ7" s="5">
        <f>IF(FI7="Nunca/ casi nunca",0,
IF(FI7="Rara vez",1,
IF(FI7="A veces",2,
IF(FI7="A menudo",3,
IF(FI7="Siempre",4,"")))))</f>
        <v>4</v>
      </c>
      <c r="FK7" s="5" t="s">
        <v>254</v>
      </c>
      <c r="FL7" s="5">
        <f>IF(FK7="Nunca/ casi nunca",0,
IF(FK7="Rara vez",1,
IF(FK7="A veces",2,
IF(FK7="A menudo",3,
IF(FK7="Siempre",4,"")))))</f>
        <v>4</v>
      </c>
      <c r="FM7" s="5" t="s">
        <v>232</v>
      </c>
      <c r="FN7" s="5">
        <f>IF(FM7="Nunca/ casi nunca",0,
IF(FM7="Rara vez",1,
IF(FM7="A veces",2,
IF(FM7="A menudo",3,
IF(FM7="Siempre",4,"")))))</f>
        <v>3</v>
      </c>
      <c r="FO7" s="5">
        <f>SUM(FJ7,FL7,FN7)</f>
        <v>11</v>
      </c>
      <c r="FP7" s="5" t="str">
        <f>IF(FO7&lt;=2,"Nivel de riesgo bajo",
IF(FO7&lt;=5,"Nivel de riesgo medio",
"Nivel de riesgo alto"))</f>
        <v>Nivel de riesgo alto</v>
      </c>
      <c r="FQ7" s="5" t="s">
        <v>206</v>
      </c>
      <c r="FR7" s="5">
        <f>IF(FQ7="No",0,
IF(FQ7="Sí, unas pocas veces",1,
IF(FQ7="Sí, mensualmente",2,
IF(FQ7="Sí, semanalmente",3,
IF(FQ7="Sí, diariamente",4,"")))))</f>
        <v>0</v>
      </c>
      <c r="FS7" s="5" t="s">
        <v>206</v>
      </c>
      <c r="FT7" s="5">
        <f>IF(FS7="No",0,
IF(FS7="Sí, unas pocas veces",1,
IF(FS7="Sí, mensualmente",2,
IF(FS7="Sí, semanalmente",3,
IF(FS7="Sí, diariamente",4,"")))))</f>
        <v>0</v>
      </c>
      <c r="FU7" s="5" t="s">
        <v>265</v>
      </c>
      <c r="FV7" s="5">
        <f>IF(FU7="No",0,
IF(FU7="Sí, unas pocas veces",1,
IF(FU7="Sí, mensualmente",2,
IF(FU7="Sí, semanalmente",3,
IF(FU7="Sí, diariamente",4,"")))))</f>
        <v>1</v>
      </c>
      <c r="FW7" s="5" t="s">
        <v>206</v>
      </c>
      <c r="FX7" s="5">
        <f>IF(FW7="No",0,
IF(FW7="Sí, unas pocas veces",1,
IF(FW7="Sí, mensualmente",2,
IF(FW7="Sí, semanalmente",3,
IF(FW7="Sí, diariamente",4,"")))))</f>
        <v>0</v>
      </c>
      <c r="FY7" s="5" t="s">
        <v>206</v>
      </c>
      <c r="FZ7" s="5">
        <f>IF(FY7="No",0,
IF(FY7="Sí, unas pocas veces",1,
IF(FY7="Sí, mensualmente",2,
IF(FY7="Sí, semanalmente",3,
IF(FY7="Sí, diariamente",4,"")))))</f>
        <v>0</v>
      </c>
      <c r="GA7" s="5" t="s">
        <v>265</v>
      </c>
      <c r="GB7" s="5">
        <f>IF(GA7="No",0,
IF(GA7="Sí, unas pocas veces",1,
IF(GA7="Sí, mensualmente",2,
IF(GA7="Sí, semanalmente",3,
IF(GA7="Sí, diariamente",4,"")))))</f>
        <v>1</v>
      </c>
      <c r="GC7" s="5" t="s">
        <v>265</v>
      </c>
      <c r="GD7" s="5">
        <f>IF(GC7="No",0,
IF(GC7="Sí, unas pocas veces",1,
IF(GC7="Sí, mensualmente",2,
IF(GC7="Sí, semanalmente",3,
IF(GC7="Sí, diariamente",4,"")))))</f>
        <v>1</v>
      </c>
      <c r="GE7" s="5">
        <f>SUM(FR7,FT7,FV7,FX7,FZ7,GB7,GD7)</f>
        <v>3</v>
      </c>
      <c r="GF7" s="5" t="str">
        <f>IF(GE7&lt;=0,"Nivel de riesgo bajo",
IF(GE7&lt;=14,"Nivel de riesgo medio",
"Nivel de riesgo alto"))</f>
        <v>Nivel de riesgo medio</v>
      </c>
      <c r="GG7" s="5" t="s">
        <v>273</v>
      </c>
      <c r="GH7" s="5" t="s">
        <v>273</v>
      </c>
      <c r="GI7" s="5" t="s">
        <v>273</v>
      </c>
      <c r="GJ7" s="5" t="s">
        <v>273</v>
      </c>
      <c r="GK7" s="5" t="s">
        <v>233</v>
      </c>
      <c r="GL7" s="5" t="s">
        <v>273</v>
      </c>
      <c r="GM7" s="5" t="s">
        <v>273</v>
      </c>
      <c r="GN7" s="5" t="s">
        <v>234</v>
      </c>
      <c r="GO7" s="5" t="s">
        <v>234</v>
      </c>
      <c r="GP7" s="5" t="s">
        <v>234</v>
      </c>
      <c r="GQ7" s="5" t="s">
        <v>244</v>
      </c>
      <c r="GR7" s="5" t="s">
        <v>244</v>
      </c>
      <c r="GS7" s="5" t="s">
        <v>244</v>
      </c>
      <c r="GT7" s="5" t="s">
        <v>244</v>
      </c>
      <c r="GU7" s="5" t="s">
        <v>282</v>
      </c>
      <c r="GV7" s="5" t="str">
        <f>TEXT("6261492210327311049","0")</f>
        <v>6261492210327310000</v>
      </c>
    </row>
    <row r="8" spans="1:204" ht="15.75" hidden="1" customHeight="1" x14ac:dyDescent="0.15">
      <c r="B8" s="4">
        <v>45827.42559027778</v>
      </c>
      <c r="C8" s="5" t="s">
        <v>206</v>
      </c>
      <c r="GV8" s="5" t="str">
        <f>TEXT("6261515717921977580","0")</f>
        <v>6261515717921970000</v>
      </c>
    </row>
    <row r="9" spans="1:204" ht="15.75" customHeight="1" x14ac:dyDescent="0.15">
      <c r="A9" s="1">
        <f>ROW(A9)</f>
        <v>9</v>
      </c>
      <c r="B9" s="4">
        <v>45827.439768518518</v>
      </c>
      <c r="C9" s="5" t="s">
        <v>204</v>
      </c>
      <c r="D9" s="5" t="s">
        <v>204</v>
      </c>
      <c r="E9" s="5" t="s">
        <v>283</v>
      </c>
      <c r="F9" s="5" t="s">
        <v>206</v>
      </c>
      <c r="G9" s="5" t="s">
        <v>206</v>
      </c>
      <c r="H9" s="5" t="s">
        <v>206</v>
      </c>
      <c r="K9" s="5" t="s">
        <v>237</v>
      </c>
      <c r="P9" s="5" t="s">
        <v>237</v>
      </c>
      <c r="U9" s="5" t="s">
        <v>237</v>
      </c>
      <c r="Z9" s="5" t="s">
        <v>237</v>
      </c>
      <c r="AE9" s="5" t="s">
        <v>237</v>
      </c>
      <c r="AH9" s="5" t="s">
        <v>275</v>
      </c>
      <c r="AI9" s="5">
        <v>2000</v>
      </c>
      <c r="AJ9" s="5" t="s">
        <v>238</v>
      </c>
      <c r="AK9" s="5" t="str">
        <f>IF(OR(AJ9="Empleada del sector privado",AJ9="Empleada del sector público"),"Asalariada",
IF(AJ9="Trabajadora por cuenta propia","Trabajadora por cuenta propia",""))</f>
        <v>Trabajadora por cuenta propia</v>
      </c>
      <c r="AL9" s="5" t="s">
        <v>239</v>
      </c>
      <c r="AP9" s="5" t="s">
        <v>284</v>
      </c>
      <c r="AR9" s="5" t="s">
        <v>276</v>
      </c>
      <c r="AS9" s="5" t="s">
        <v>276</v>
      </c>
      <c r="AT9" s="5" t="s">
        <v>276</v>
      </c>
      <c r="AU9" s="5" t="s">
        <v>276</v>
      </c>
      <c r="AV9" s="5" t="s">
        <v>285</v>
      </c>
      <c r="AW9" s="5" t="s">
        <v>204</v>
      </c>
      <c r="AX9" s="5" t="s">
        <v>206</v>
      </c>
      <c r="BF9" s="5" t="s">
        <v>204</v>
      </c>
      <c r="BG9" s="5" t="s">
        <v>207</v>
      </c>
      <c r="BH9" s="5" t="s">
        <v>207</v>
      </c>
      <c r="BI9" s="5" t="s">
        <v>207</v>
      </c>
      <c r="BJ9" s="5" t="s">
        <v>207</v>
      </c>
      <c r="BK9" s="5" t="s">
        <v>216</v>
      </c>
      <c r="BL9" s="5" t="s">
        <v>216</v>
      </c>
      <c r="BM9" s="5" t="s">
        <v>216</v>
      </c>
      <c r="BN9" s="5" t="s">
        <v>216</v>
      </c>
      <c r="BO9" s="5" t="s">
        <v>216</v>
      </c>
      <c r="BP9" s="5" t="s">
        <v>216</v>
      </c>
      <c r="BQ9" s="5" t="s">
        <v>216</v>
      </c>
      <c r="BR9" s="5" t="s">
        <v>216</v>
      </c>
      <c r="BS9" s="5" t="s">
        <v>217</v>
      </c>
      <c r="BT9" s="5" t="s">
        <v>247</v>
      </c>
      <c r="BU9" s="5" t="s">
        <v>248</v>
      </c>
      <c r="BV9" s="5" t="s">
        <v>217</v>
      </c>
      <c r="BW9" s="5" t="s">
        <v>217</v>
      </c>
      <c r="BX9" s="5" t="s">
        <v>217</v>
      </c>
      <c r="BY9" s="5" t="s">
        <v>217</v>
      </c>
      <c r="BZ9" s="5" t="s">
        <v>216</v>
      </c>
      <c r="CA9" s="5" t="s">
        <v>216</v>
      </c>
      <c r="CB9" s="5" t="s">
        <v>216</v>
      </c>
      <c r="CC9" s="5" t="s">
        <v>216</v>
      </c>
      <c r="CD9" s="5" t="s">
        <v>204</v>
      </c>
      <c r="CE9" s="5" t="s">
        <v>286</v>
      </c>
      <c r="CF9" s="5" t="s">
        <v>219</v>
      </c>
      <c r="CG9" s="5" t="s">
        <v>206</v>
      </c>
      <c r="CH9" s="5" t="s">
        <v>206</v>
      </c>
      <c r="CI9" s="5" t="s">
        <v>206</v>
      </c>
      <c r="CJ9" s="5">
        <v>0</v>
      </c>
      <c r="CK9" s="5" t="s">
        <v>223</v>
      </c>
      <c r="CU9" s="5" t="s">
        <v>206</v>
      </c>
      <c r="DA9" s="5" t="s">
        <v>272</v>
      </c>
      <c r="DB9" s="5">
        <f>IF(DA9="Mejor que lo habitual",1,
IF(DA9="Igual que lo habitual",2,
IF(DA9="Menos que lo habitual",3,
IF(DA9="Mucho menos que lo habitual",4,""))))</f>
        <v>1</v>
      </c>
      <c r="DC9" s="5" t="s">
        <v>251</v>
      </c>
      <c r="DD9" s="5">
        <f>IF(DC9="No, en absoluto",1,
IF(DC9="No más que lo habitual",2,
IF(DC9="Bastante más que lo habitual",3,
IF(DC9="Mucho más que lo habitual",4,""))))</f>
        <v>1</v>
      </c>
      <c r="DE9" s="5" t="s">
        <v>251</v>
      </c>
      <c r="DF9" s="5">
        <f>IF(DE9="No, en absoluto",1,
IF(DE9="No más que lo habitual",2,
IF(DE9="Bastante más que lo habitual",3,
IF(DE9="Mucho más que lo habitual",4,""))))</f>
        <v>1</v>
      </c>
      <c r="DG9" s="5" t="s">
        <v>251</v>
      </c>
      <c r="DH9" s="5">
        <f>IF(DG9="No, en absoluto",1,
IF(DG9="No más que lo habitual",2,
IF(DG9="Bastante más que lo habitual",3,
IF(DG9="Mucho más que lo habitual",4,""))))</f>
        <v>1</v>
      </c>
      <c r="DI9" s="5" t="s">
        <v>251</v>
      </c>
      <c r="DJ9" s="5">
        <f>IF(DI9="No, en absoluto",1,
IF(DI9="No más que lo habitual",2,
IF(DI9="Bastante más que lo habitual",3,
IF(DI9="Mucho más que lo habitual",4,""))))</f>
        <v>1</v>
      </c>
      <c r="DK9" s="5" t="s">
        <v>251</v>
      </c>
      <c r="DL9" s="5">
        <f>IF(DK9="No, en absoluto",1,
IF(DK9="No más que lo habitual",2,
IF(DK9="Bastante más que lo habitual",3,
IF(DK9="Mucho más que lo habitual",4,""))))</f>
        <v>1</v>
      </c>
      <c r="DM9" s="5" t="s">
        <v>251</v>
      </c>
      <c r="DN9" s="5">
        <f>IF(DM9="No, en absoluto",1,
IF(DM9="No más que lo habitual",2,
IF(DM9="Bastante más que lo habitual",3,
IF(DM9="Mucho más que lo habitual",4,""))))</f>
        <v>1</v>
      </c>
      <c r="DO9" s="5" t="s">
        <v>281</v>
      </c>
      <c r="DP9" s="5">
        <f>IF(DO9="Más que lo habitual",1,
IF(DO9="Igual que lo habitual",2,
IF(DO9="Menos que lo habitual",3,
IF(DO9="Mucho menos que lo habitual",4,""))))</f>
        <v>1</v>
      </c>
      <c r="DQ9" s="5" t="s">
        <v>281</v>
      </c>
      <c r="DR9" s="5">
        <f>IF(DQ9="Más que lo habitual",1,
IF(DQ9="Igual que lo habitual",2,
IF(DQ9="Menos que lo habitual",3,
IF(DQ9="Mucho menos que lo habitual",4,""))))</f>
        <v>1</v>
      </c>
      <c r="DS9" s="5" t="s">
        <v>281</v>
      </c>
      <c r="DT9" s="5">
        <f>IF(DS9="Más que lo habitual",1,
IF(DS9="Igual que lo habitual",2,
IF(DS9="Menos que lo habitual",3,
IF(DS9="Mucho menos que lo habitual",4,""))))</f>
        <v>1</v>
      </c>
      <c r="DU9" s="5" t="s">
        <v>281</v>
      </c>
      <c r="DV9" s="5">
        <f>IF(DU9="Más que lo habitual",1,
IF(DU9="Igual que lo habitual",2,
IF(DU9="Menos que lo habitual",3,
IF(DU9="Mucho menos que lo habitual",4,""))))</f>
        <v>1</v>
      </c>
      <c r="DW9" s="5" t="s">
        <v>281</v>
      </c>
      <c r="DX9" s="5">
        <f>IF(DW9="Más que lo habitual",1,
IF(DW9="Igual que lo habitual",2,
IF(DW9="Menos que lo habitual",3,
IF(DW9="Mucho menos que lo habitual",4,""))))</f>
        <v>1</v>
      </c>
      <c r="DY9" s="5">
        <f>SUM(DB9,DD9,DF9,DH9,DJ9,DL9,DN9,DP9,DR9,DT9,DV9,DX9)</f>
        <v>12</v>
      </c>
      <c r="DZ9" s="5" t="str">
        <f>IF(DY9&lt;=18,"Nivel de riesgo bajo",
IF(DY9&lt;=23,"Nivel de riesgo medio",
"Nivel de riesgo alto"))</f>
        <v>Nivel de riesgo bajo</v>
      </c>
      <c r="EA9" s="5" t="s">
        <v>247</v>
      </c>
      <c r="EB9" s="5">
        <f>IF(EA9="Nunca/ casi nunca",0,
IF(EA9="Rara vez",1,
IF(EA9="A veces",2,
IF(EA9="A menudo",3,
IF(EA9="Siempre",4,"")))))</f>
        <v>2</v>
      </c>
      <c r="EC9" s="5" t="s">
        <v>247</v>
      </c>
      <c r="ED9" s="5">
        <f>IF(EC9="Nunca/ casi nunca",0,
IF(EC9="Rara vez",1,
IF(EC9="A veces",2,
IF(EC9="A menudo",3,
IF(EC9="Siempre",4,"")))))</f>
        <v>2</v>
      </c>
      <c r="EE9" s="5" t="s">
        <v>247</v>
      </c>
      <c r="EF9" s="5">
        <f>IF(EE9="Nunca/ casi nunca",0,
IF(EE9="Rara vez",1,
IF(EE9="A veces",2,
IF(EE9="A menudo",3,
IF(EE9="Siempre",4,"")))))</f>
        <v>2</v>
      </c>
      <c r="EG9" s="5">
        <f>SUM(EB9,ED9,EF9)</f>
        <v>6</v>
      </c>
      <c r="EH9" s="5" t="str">
        <f>IF(EG9&lt;=1,"Nivel de riesgo bajo",
IF(EG9&lt;=4,"Nivel de riesgo medio",
"Nivel de riesgo alto"))</f>
        <v>Nivel de riesgo alto</v>
      </c>
      <c r="EI9" s="5" t="s">
        <v>247</v>
      </c>
      <c r="EJ9" s="5">
        <f>IF(EI9="Nunca/ casi nunca",0,
IF(EI9="Rara vez",1,
IF(EI9="A veces",2,
IF(EI9="A menudo",3,
IF(EI9="Siempre",4,"")))))</f>
        <v>2</v>
      </c>
      <c r="EK9" s="5" t="s">
        <v>247</v>
      </c>
      <c r="EL9" s="5">
        <f>IF(EK9="Nunca/ casi nunca",0,
IF(EK9="Rara vez",1,
IF(EK9="A veces",2,
IF(EK9="A menudo",3,
IF(EK9="Siempre",4,"")))))</f>
        <v>2</v>
      </c>
      <c r="EM9" s="5" t="s">
        <v>247</v>
      </c>
      <c r="EN9" s="5">
        <f>IF(EM9="Nunca/ casi nunca",0,
IF(EM9="Rara vez",1,
IF(EM9="A veces",2,
IF(EM9="A menudo",3,
IF(EM9="Siempre",4,"")))))</f>
        <v>2</v>
      </c>
      <c r="EO9" s="5">
        <f>SUM(EJ9,EL9,EN9)</f>
        <v>6</v>
      </c>
      <c r="EP9" s="5" t="str">
        <f>IF(EO9&lt;=1,"Nivel de riesgo bajo",
IF(EO9&lt;=5,"Nivel de riesgo medio",
"Nivel de riesgo alto"))</f>
        <v>Nivel de riesgo alto</v>
      </c>
      <c r="EQ9" s="5" t="s">
        <v>247</v>
      </c>
      <c r="ER9" s="6">
        <f>IF(EQ9="Nunca/ casi nunca",4,
IF(EQ9="Rara vez",3,
IF(EQ9="A veces",2,
IF(EQ9="A menudo",1,
IF(EQ9="Siempre",0,"")))))</f>
        <v>2</v>
      </c>
      <c r="ES9" s="5" t="s">
        <v>247</v>
      </c>
      <c r="ET9" s="5">
        <f>IF(ES9="Nunca/ casi nunca",4,
IF(ES9="Rara vez",3,
IF(ES9="A veces",2,
IF(ES9="A menudo",1,
IF(ES9="Siempre",0,"")))))</f>
        <v>2</v>
      </c>
      <c r="EU9" s="5" t="s">
        <v>247</v>
      </c>
      <c r="EV9" s="5">
        <f>IF(EU9="Nunca/ casi nunca",4,
IF(EU9="Rara vez",3,
IF(EU9="A veces",2,
IF(EU9="A menudo",1,
IF(EU9="Siempre",0,"")))))</f>
        <v>2</v>
      </c>
      <c r="EW9" s="5" t="s">
        <v>247</v>
      </c>
      <c r="EX9" s="5">
        <f>IF(EW9="Nunca/ casi nunca",4,
IF(EW9="Rara vez",3,
IF(EW9="A veces",2,
IF(EW9="A menudo",1,
IF(EW9="Siempre",0,"")))))</f>
        <v>2</v>
      </c>
      <c r="EY9" s="5">
        <f>SUM(ER9,ET9,EV9,EX9)</f>
        <v>8</v>
      </c>
      <c r="EZ9" s="5" t="str">
        <f>IF(EY9&lt;=0,"Nivel de riesgo bajo",
IF(EY9&lt;=4,"Nivel de riesgo medio",
"Nivel de riesgo alto"))</f>
        <v>Nivel de riesgo alto</v>
      </c>
      <c r="FA9" s="5" t="s">
        <v>247</v>
      </c>
      <c r="FB9" s="5">
        <f>IF(FA9="Nunca/ casi nunca",0,
IF(FA9="Rara vez",1,
IF(FA9="A veces",2,
IF(FA9="A menudo",3,
IF(FA9="Siempre",4,"")))))</f>
        <v>2</v>
      </c>
      <c r="FC9" s="5" t="s">
        <v>247</v>
      </c>
      <c r="FD9" s="5">
        <f>IF(FC9="Nunca/ casi nunca",0,
IF(FC9="Rara vez",1,
IF(FC9="A veces",2,
IF(FC9="A menudo",3,
IF(FC9="Siempre",4,"")))))</f>
        <v>2</v>
      </c>
      <c r="FE9" s="5" t="s">
        <v>247</v>
      </c>
      <c r="FF9" s="5">
        <f>IF(FE9="Nunca/ casi nunca",0,
IF(FE9="Rara vez",1,
IF(FE9="A veces",2,
IF(FE9="A menudo",3,
IF(FE9="Siempre",4,"")))))</f>
        <v>2</v>
      </c>
      <c r="FG9" s="5">
        <f>SUM(FB9,FD9,FF9)</f>
        <v>6</v>
      </c>
      <c r="FH9" s="5" t="str">
        <f>IF(FG9&lt;=2,"Nivel de riesgo bajo",
IF(FG9&lt;=5,"Nivel de riesgo medio",
"Nivel de riesgo alto"))</f>
        <v>Nivel de riesgo alto</v>
      </c>
      <c r="FI9" s="5" t="s">
        <v>247</v>
      </c>
      <c r="FJ9" s="5">
        <f>IF(FI9="Nunca/ casi nunca",0,
IF(FI9="Rara vez",1,
IF(FI9="A veces",2,
IF(FI9="A menudo",3,
IF(FI9="Siempre",4,"")))))</f>
        <v>2</v>
      </c>
      <c r="FK9" s="5" t="s">
        <v>247</v>
      </c>
      <c r="FL9" s="5">
        <f>IF(FK9="Nunca/ casi nunca",0,
IF(FK9="Rara vez",1,
IF(FK9="A veces",2,
IF(FK9="A menudo",3,
IF(FK9="Siempre",4,"")))))</f>
        <v>2</v>
      </c>
      <c r="FM9" s="5" t="s">
        <v>247</v>
      </c>
      <c r="FN9" s="5">
        <f>IF(FM9="Nunca/ casi nunca",0,
IF(FM9="Rara vez",1,
IF(FM9="A veces",2,
IF(FM9="A menudo",3,
IF(FM9="Siempre",4,"")))))</f>
        <v>2</v>
      </c>
      <c r="FO9" s="5">
        <f>SUM(FJ9,FL9,FN9)</f>
        <v>6</v>
      </c>
      <c r="FP9" s="5" t="str">
        <f>IF(FO9&lt;=2,"Nivel de riesgo bajo",
IF(FO9&lt;=5,"Nivel de riesgo medio",
"Nivel de riesgo alto"))</f>
        <v>Nivel de riesgo alto</v>
      </c>
      <c r="FQ9" s="5" t="s">
        <v>206</v>
      </c>
      <c r="FR9" s="5">
        <f>IF(FQ9="No",0,
IF(FQ9="Sí, unas pocas veces",1,
IF(FQ9="Sí, mensualmente",2,
IF(FQ9="Sí, semanalmente",3,
IF(FQ9="Sí, diariamente",4,"")))))</f>
        <v>0</v>
      </c>
      <c r="FS9" s="5" t="s">
        <v>206</v>
      </c>
      <c r="FT9" s="5">
        <f>IF(FS9="No",0,
IF(FS9="Sí, unas pocas veces",1,
IF(FS9="Sí, mensualmente",2,
IF(FS9="Sí, semanalmente",3,
IF(FS9="Sí, diariamente",4,"")))))</f>
        <v>0</v>
      </c>
      <c r="FU9" s="5" t="s">
        <v>206</v>
      </c>
      <c r="FV9" s="5">
        <f>IF(FU9="No",0,
IF(FU9="Sí, unas pocas veces",1,
IF(FU9="Sí, mensualmente",2,
IF(FU9="Sí, semanalmente",3,
IF(FU9="Sí, diariamente",4,"")))))</f>
        <v>0</v>
      </c>
      <c r="FW9" s="5" t="s">
        <v>206</v>
      </c>
      <c r="FX9" s="5">
        <f>IF(FW9="No",0,
IF(FW9="Sí, unas pocas veces",1,
IF(FW9="Sí, mensualmente",2,
IF(FW9="Sí, semanalmente",3,
IF(FW9="Sí, diariamente",4,"")))))</f>
        <v>0</v>
      </c>
      <c r="FY9" s="5" t="s">
        <v>206</v>
      </c>
      <c r="FZ9" s="5">
        <f>IF(FY9="No",0,
IF(FY9="Sí, unas pocas veces",1,
IF(FY9="Sí, mensualmente",2,
IF(FY9="Sí, semanalmente",3,
IF(FY9="Sí, diariamente",4,"")))))</f>
        <v>0</v>
      </c>
      <c r="GA9" s="5" t="s">
        <v>206</v>
      </c>
      <c r="GB9" s="5">
        <f>IF(GA9="No",0,
IF(GA9="Sí, unas pocas veces",1,
IF(GA9="Sí, mensualmente",2,
IF(GA9="Sí, semanalmente",3,
IF(GA9="Sí, diariamente",4,"")))))</f>
        <v>0</v>
      </c>
      <c r="GC9" s="5" t="s">
        <v>206</v>
      </c>
      <c r="GD9" s="5">
        <f>IF(GC9="No",0,
IF(GC9="Sí, unas pocas veces",1,
IF(GC9="Sí, mensualmente",2,
IF(GC9="Sí, semanalmente",3,
IF(GC9="Sí, diariamente",4,"")))))</f>
        <v>0</v>
      </c>
      <c r="GE9" s="5">
        <f>SUM(FR9,FT9,FV9,FX9,FZ9,GB9,GD9)</f>
        <v>0</v>
      </c>
      <c r="GF9" s="5" t="str">
        <f>IF(GE9&lt;=0,"Nivel de riesgo bajo",
IF(GE9&lt;=14,"Nivel de riesgo medio",
"Nivel de riesgo alto"))</f>
        <v>Nivel de riesgo bajo</v>
      </c>
      <c r="GG9" s="5" t="s">
        <v>255</v>
      </c>
      <c r="GH9" s="5" t="s">
        <v>255</v>
      </c>
      <c r="GI9" s="5" t="s">
        <v>255</v>
      </c>
      <c r="GJ9" s="5" t="s">
        <v>255</v>
      </c>
      <c r="GK9" s="5" t="s">
        <v>233</v>
      </c>
      <c r="GL9" s="5" t="s">
        <v>266</v>
      </c>
      <c r="GM9" s="5" t="s">
        <v>273</v>
      </c>
      <c r="GN9" s="5" t="s">
        <v>256</v>
      </c>
      <c r="GO9" s="5" t="s">
        <v>257</v>
      </c>
      <c r="GP9" s="5" t="s">
        <v>257</v>
      </c>
      <c r="GQ9" s="5" t="s">
        <v>257</v>
      </c>
      <c r="GR9" s="5" t="s">
        <v>257</v>
      </c>
      <c r="GS9" s="5" t="s">
        <v>257</v>
      </c>
      <c r="GT9" s="5" t="s">
        <v>257</v>
      </c>
      <c r="GU9" s="5" t="s">
        <v>287</v>
      </c>
      <c r="GV9" s="5" t="str">
        <f>TEXT("6261527957109215043","0")</f>
        <v>6261527957109210000</v>
      </c>
    </row>
    <row r="10" spans="1:204" ht="15.75" customHeight="1" x14ac:dyDescent="0.15">
      <c r="A10" s="1">
        <f>ROW(A10)</f>
        <v>10</v>
      </c>
      <c r="B10" s="4">
        <v>45827.455000000002</v>
      </c>
      <c r="C10" s="5" t="s">
        <v>204</v>
      </c>
      <c r="D10" s="5" t="s">
        <v>206</v>
      </c>
      <c r="F10" s="5" t="s">
        <v>206</v>
      </c>
      <c r="G10" s="5" t="s">
        <v>204</v>
      </c>
      <c r="H10" s="5" t="s">
        <v>206</v>
      </c>
      <c r="K10" s="5" t="s">
        <v>237</v>
      </c>
      <c r="O10" s="5" t="s">
        <v>209</v>
      </c>
      <c r="T10" s="5" t="s">
        <v>209</v>
      </c>
      <c r="Y10" s="5" t="s">
        <v>209</v>
      </c>
      <c r="AD10" s="5" t="s">
        <v>209</v>
      </c>
      <c r="AH10" s="5" t="s">
        <v>210</v>
      </c>
      <c r="AI10" s="5">
        <v>2022</v>
      </c>
      <c r="AJ10" s="5" t="s">
        <v>238</v>
      </c>
      <c r="AK10" s="5" t="str">
        <f>IF(OR(AJ10="Empleada del sector privado",AJ10="Empleada del sector público"),"Asalariada",
IF(AJ10="Trabajadora por cuenta propia","Trabajadora por cuenta propia",""))</f>
        <v>Trabajadora por cuenta propia</v>
      </c>
      <c r="AN10" s="5" t="s">
        <v>288</v>
      </c>
      <c r="AP10" s="5" t="s">
        <v>240</v>
      </c>
      <c r="AR10" s="5" t="s">
        <v>261</v>
      </c>
      <c r="AS10" s="5" t="s">
        <v>261</v>
      </c>
      <c r="AT10" s="5" t="s">
        <v>241</v>
      </c>
      <c r="AU10" s="5" t="s">
        <v>261</v>
      </c>
      <c r="AV10" s="5" t="s">
        <v>269</v>
      </c>
      <c r="AW10" s="5" t="s">
        <v>204</v>
      </c>
      <c r="AX10" s="5" t="s">
        <v>204</v>
      </c>
      <c r="AY10" s="5" t="s">
        <v>270</v>
      </c>
      <c r="AZ10" s="5" t="s">
        <v>204</v>
      </c>
      <c r="BA10" s="5" t="s">
        <v>289</v>
      </c>
      <c r="BB10" s="5" t="s">
        <v>206</v>
      </c>
      <c r="BC10" s="5" t="s">
        <v>206</v>
      </c>
      <c r="BD10" s="5" t="s">
        <v>290</v>
      </c>
      <c r="BE10" s="5" t="s">
        <v>206</v>
      </c>
      <c r="BF10" s="5" t="s">
        <v>204</v>
      </c>
      <c r="BG10" s="5" t="s">
        <v>278</v>
      </c>
      <c r="BH10" s="5" t="s">
        <v>278</v>
      </c>
      <c r="BI10" s="5" t="s">
        <v>271</v>
      </c>
      <c r="BJ10" s="5" t="s">
        <v>271</v>
      </c>
      <c r="BK10" s="5" t="s">
        <v>245</v>
      </c>
      <c r="BL10" s="5" t="s">
        <v>245</v>
      </c>
      <c r="BM10" s="5" t="s">
        <v>243</v>
      </c>
      <c r="BN10" s="5" t="s">
        <v>245</v>
      </c>
      <c r="BO10" s="5" t="s">
        <v>245</v>
      </c>
      <c r="BP10" s="5" t="s">
        <v>245</v>
      </c>
      <c r="BQ10" s="5" t="s">
        <v>245</v>
      </c>
      <c r="BR10" s="5" t="s">
        <v>243</v>
      </c>
      <c r="BS10" s="5" t="s">
        <v>254</v>
      </c>
      <c r="BT10" s="5" t="s">
        <v>232</v>
      </c>
      <c r="BU10" s="5" t="s">
        <v>247</v>
      </c>
      <c r="BV10" s="5" t="s">
        <v>254</v>
      </c>
      <c r="BW10" s="5" t="s">
        <v>232</v>
      </c>
      <c r="BX10" s="5" t="s">
        <v>232</v>
      </c>
      <c r="BY10" s="5" t="s">
        <v>232</v>
      </c>
      <c r="BZ10" s="5" t="s">
        <v>243</v>
      </c>
      <c r="CA10" s="5" t="s">
        <v>245</v>
      </c>
      <c r="CB10" s="5" t="s">
        <v>244</v>
      </c>
      <c r="CC10" s="5" t="s">
        <v>243</v>
      </c>
      <c r="CD10" s="5" t="s">
        <v>206</v>
      </c>
      <c r="CH10" s="5" t="s">
        <v>206</v>
      </c>
      <c r="CI10" s="5" t="s">
        <v>291</v>
      </c>
      <c r="CJ10" s="5">
        <v>5</v>
      </c>
      <c r="CK10" s="5" t="s">
        <v>223</v>
      </c>
      <c r="CU10" s="5" t="s">
        <v>206</v>
      </c>
      <c r="DA10" s="5" t="s">
        <v>252</v>
      </c>
      <c r="DB10" s="5">
        <f>IF(DA10="Mejor que lo habitual",1,
IF(DA10="Igual que lo habitual",2,
IF(DA10="Menos que lo habitual",3,
IF(DA10="Mucho menos que lo habitual",4,""))))</f>
        <v>3</v>
      </c>
      <c r="DC10" s="5" t="s">
        <v>251</v>
      </c>
      <c r="DD10" s="5">
        <f>IF(DC10="No, en absoluto",1,
IF(DC10="No más que lo habitual",2,
IF(DC10="Bastante más que lo habitual",3,
IF(DC10="Mucho más que lo habitual",4,""))))</f>
        <v>1</v>
      </c>
      <c r="DE10" s="5" t="s">
        <v>250</v>
      </c>
      <c r="DF10" s="5">
        <f>IF(DE10="No, en absoluto",1,
IF(DE10="No más que lo habitual",2,
IF(DE10="Bastante más que lo habitual",3,
IF(DE10="Mucho más que lo habitual",4,""))))</f>
        <v>3</v>
      </c>
      <c r="DG10" s="5" t="s">
        <v>230</v>
      </c>
      <c r="DH10" s="5">
        <f>IF(DG10="No, en absoluto",1,
IF(DG10="No más que lo habitual",2,
IF(DG10="Bastante más que lo habitual",3,
IF(DG10="Mucho más que lo habitual",4,""))))</f>
        <v>2</v>
      </c>
      <c r="DI10" s="5" t="s">
        <v>280</v>
      </c>
      <c r="DJ10" s="5">
        <f>IF(DI10="No, en absoluto",1,
IF(DI10="No más que lo habitual",2,
IF(DI10="Bastante más que lo habitual",3,
IF(DI10="Mucho más que lo habitual",4,""))))</f>
        <v>4</v>
      </c>
      <c r="DK10" s="5" t="s">
        <v>250</v>
      </c>
      <c r="DL10" s="5">
        <f>IF(DK10="No, en absoluto",1,
IF(DK10="No más que lo habitual",2,
IF(DK10="Bastante más que lo habitual",3,
IF(DK10="Mucho más que lo habitual",4,""))))</f>
        <v>3</v>
      </c>
      <c r="DM10" s="5" t="s">
        <v>230</v>
      </c>
      <c r="DN10" s="5">
        <f>IF(DM10="No, en absoluto",1,
IF(DM10="No más que lo habitual",2,
IF(DM10="Bastante más que lo habitual",3,
IF(DM10="Mucho más que lo habitual",4,""))))</f>
        <v>2</v>
      </c>
      <c r="DO10" s="5" t="s">
        <v>252</v>
      </c>
      <c r="DP10" s="5">
        <f>IF(DO10="Más que lo habitual",1,
IF(DO10="Igual que lo habitual",2,
IF(DO10="Menos que lo habitual",3,
IF(DO10="Mucho menos que lo habitual",4,""))))</f>
        <v>3</v>
      </c>
      <c r="DQ10" s="5" t="s">
        <v>231</v>
      </c>
      <c r="DR10" s="5">
        <f>IF(DQ10="Más que lo habitual",1,
IF(DQ10="Igual que lo habitual",2,
IF(DQ10="Menos que lo habitual",3,
IF(DQ10="Mucho menos que lo habitual",4,""))))</f>
        <v>2</v>
      </c>
      <c r="DS10" s="5" t="s">
        <v>252</v>
      </c>
      <c r="DT10" s="5">
        <f>IF(DS10="Más que lo habitual",1,
IF(DS10="Igual que lo habitual",2,
IF(DS10="Menos que lo habitual",3,
IF(DS10="Mucho menos que lo habitual",4,""))))</f>
        <v>3</v>
      </c>
      <c r="DU10" s="5" t="s">
        <v>252</v>
      </c>
      <c r="DV10" s="5">
        <f>IF(DU10="Más que lo habitual",1,
IF(DU10="Igual que lo habitual",2,
IF(DU10="Menos que lo habitual",3,
IF(DU10="Mucho menos que lo habitual",4,""))))</f>
        <v>3</v>
      </c>
      <c r="DW10" s="5" t="s">
        <v>252</v>
      </c>
      <c r="DX10" s="5">
        <f>IF(DW10="Más que lo habitual",1,
IF(DW10="Igual que lo habitual",2,
IF(DW10="Menos que lo habitual",3,
IF(DW10="Mucho menos que lo habitual",4,""))))</f>
        <v>3</v>
      </c>
      <c r="DY10" s="5">
        <f>SUM(DB10,DD10,DF10,DH10,DJ10,DL10,DN10,DP10,DR10,DT10,DV10,DX10)</f>
        <v>32</v>
      </c>
      <c r="DZ10" s="5" t="str">
        <f>IF(DY10&lt;=18,"Nivel de riesgo bajo",
IF(DY10&lt;=23,"Nivel de riesgo medio",
"Nivel de riesgo alto"))</f>
        <v>Nivel de riesgo alto</v>
      </c>
      <c r="EA10" s="5" t="s">
        <v>232</v>
      </c>
      <c r="EB10" s="5">
        <f>IF(EA10="Nunca/ casi nunca",0,
IF(EA10="Rara vez",1,
IF(EA10="A veces",2,
IF(EA10="A menudo",3,
IF(EA10="Siempre",4,"")))))</f>
        <v>3</v>
      </c>
      <c r="EC10" s="5" t="s">
        <v>232</v>
      </c>
      <c r="ED10" s="5">
        <f>IF(EC10="Nunca/ casi nunca",0,
IF(EC10="Rara vez",1,
IF(EC10="A veces",2,
IF(EC10="A menudo",3,
IF(EC10="Siempre",4,"")))))</f>
        <v>3</v>
      </c>
      <c r="EE10" s="5" t="s">
        <v>247</v>
      </c>
      <c r="EF10" s="5">
        <f>IF(EE10="Nunca/ casi nunca",0,
IF(EE10="Rara vez",1,
IF(EE10="A veces",2,
IF(EE10="A menudo",3,
IF(EE10="Siempre",4,"")))))</f>
        <v>2</v>
      </c>
      <c r="EG10" s="5">
        <f>SUM(EB10,ED10,EF10)</f>
        <v>8</v>
      </c>
      <c r="EH10" s="5" t="str">
        <f>IF(EG10&lt;=1,"Nivel de riesgo bajo",
IF(EG10&lt;=4,"Nivel de riesgo medio",
"Nivel de riesgo alto"))</f>
        <v>Nivel de riesgo alto</v>
      </c>
      <c r="EI10" s="5" t="s">
        <v>247</v>
      </c>
      <c r="EJ10" s="5">
        <f>IF(EI10="Nunca/ casi nunca",0,
IF(EI10="Rara vez",1,
IF(EI10="A veces",2,
IF(EI10="A menudo",3,
IF(EI10="Siempre",4,"")))))</f>
        <v>2</v>
      </c>
      <c r="EK10" s="5" t="s">
        <v>247</v>
      </c>
      <c r="EL10" s="5">
        <f>IF(EK10="Nunca/ casi nunca",0,
IF(EK10="Rara vez",1,
IF(EK10="A veces",2,
IF(EK10="A menudo",3,
IF(EK10="Siempre",4,"")))))</f>
        <v>2</v>
      </c>
      <c r="EM10" s="5" t="s">
        <v>232</v>
      </c>
      <c r="EN10" s="5">
        <f>IF(EM10="Nunca/ casi nunca",0,
IF(EM10="Rara vez",1,
IF(EM10="A veces",2,
IF(EM10="A menudo",3,
IF(EM10="Siempre",4,"")))))</f>
        <v>3</v>
      </c>
      <c r="EO10" s="5">
        <f>SUM(EJ10,EL10,EN10)</f>
        <v>7</v>
      </c>
      <c r="EP10" s="5" t="str">
        <f>IF(EO10&lt;=1,"Nivel de riesgo bajo",
IF(EO10&lt;=5,"Nivel de riesgo medio",
"Nivel de riesgo alto"))</f>
        <v>Nivel de riesgo alto</v>
      </c>
      <c r="EQ10" s="5" t="s">
        <v>253</v>
      </c>
      <c r="ER10" s="5">
        <f>IF(EQ10="Nunca/ casi nunca",4,
IF(EQ10="Rara vez",3,
IF(EQ10="A veces",2,
IF(EQ10="A menudo",1,
IF(EQ10="Siempre",0,"")))))</f>
        <v>4</v>
      </c>
      <c r="ES10" s="5" t="s">
        <v>253</v>
      </c>
      <c r="ET10" s="5">
        <f>IF(ES10="Nunca/ casi nunca",4,
IF(ES10="Rara vez",3,
IF(ES10="A veces",2,
IF(ES10="A menudo",1,
IF(ES10="Siempre",0,"")))))</f>
        <v>4</v>
      </c>
      <c r="EU10" s="5" t="s">
        <v>253</v>
      </c>
      <c r="EV10" s="5">
        <f>IF(EU10="Nunca/ casi nunca",4,
IF(EU10="Rara vez",3,
IF(EU10="A veces",2,
IF(EU10="A menudo",1,
IF(EU10="Siempre",0,"")))))</f>
        <v>4</v>
      </c>
      <c r="EW10" s="5" t="s">
        <v>253</v>
      </c>
      <c r="EX10" s="5">
        <f>IF(EW10="Nunca/ casi nunca",4,
IF(EW10="Rara vez",3,
IF(EW10="A veces",2,
IF(EW10="A menudo",1,
IF(EW10="Siempre",0,"")))))</f>
        <v>4</v>
      </c>
      <c r="EY10" s="5">
        <f>SUM(ER10,ET10,EV10,EX10)</f>
        <v>16</v>
      </c>
      <c r="EZ10" s="5" t="str">
        <f>IF(EY10&lt;=0,"Nivel de riesgo bajo",
IF(EY10&lt;=4,"Nivel de riesgo medio",
"Nivel de riesgo alto"))</f>
        <v>Nivel de riesgo alto</v>
      </c>
      <c r="FA10" s="5" t="s">
        <v>253</v>
      </c>
      <c r="FB10" s="5">
        <f>IF(FA10="Nunca/ casi nunca",0,
IF(FA10="Rara vez",1,
IF(FA10="A veces",2,
IF(FA10="A menudo",3,
IF(FA10="Siempre",4,"")))))</f>
        <v>0</v>
      </c>
      <c r="FC10" s="5" t="s">
        <v>253</v>
      </c>
      <c r="FD10" s="5">
        <f>IF(FC10="Nunca/ casi nunca",0,
IF(FC10="Rara vez",1,
IF(FC10="A veces",2,
IF(FC10="A menudo",3,
IF(FC10="Siempre",4,"")))))</f>
        <v>0</v>
      </c>
      <c r="FE10" s="5" t="s">
        <v>253</v>
      </c>
      <c r="FF10" s="5">
        <f>IF(FE10="Nunca/ casi nunca",0,
IF(FE10="Rara vez",1,
IF(FE10="A veces",2,
IF(FE10="A menudo",3,
IF(FE10="Siempre",4,"")))))</f>
        <v>0</v>
      </c>
      <c r="FG10" s="5">
        <f>SUM(FB10,FD10,FF10)</f>
        <v>0</v>
      </c>
      <c r="FH10" s="5" t="str">
        <f>IF(FG10&lt;=2,"Nivel de riesgo bajo",
IF(FG10&lt;=5,"Nivel de riesgo medio",
"Nivel de riesgo alto"))</f>
        <v>Nivel de riesgo bajo</v>
      </c>
      <c r="FI10" s="5" t="s">
        <v>247</v>
      </c>
      <c r="FJ10" s="5">
        <f>IF(FI10="Nunca/ casi nunca",0,
IF(FI10="Rara vez",1,
IF(FI10="A veces",2,
IF(FI10="A menudo",3,
IF(FI10="Siempre",4,"")))))</f>
        <v>2</v>
      </c>
      <c r="FK10" s="5" t="s">
        <v>247</v>
      </c>
      <c r="FL10" s="5">
        <f>IF(FK10="Nunca/ casi nunca",0,
IF(FK10="Rara vez",1,
IF(FK10="A veces",2,
IF(FK10="A menudo",3,
IF(FK10="Siempre",4,"")))))</f>
        <v>2</v>
      </c>
      <c r="FM10" s="5" t="s">
        <v>232</v>
      </c>
      <c r="FN10" s="5">
        <f>IF(FM10="Nunca/ casi nunca",0,
IF(FM10="Rara vez",1,
IF(FM10="A veces",2,
IF(FM10="A menudo",3,
IF(FM10="Siempre",4,"")))))</f>
        <v>3</v>
      </c>
      <c r="FO10" s="5">
        <f>SUM(FJ10,FL10,FN10)</f>
        <v>7</v>
      </c>
      <c r="FP10" s="5" t="str">
        <f>IF(FO10&lt;=2,"Nivel de riesgo bajo",
IF(FO10&lt;=5,"Nivel de riesgo medio",
"Nivel de riesgo alto"))</f>
        <v>Nivel de riesgo alto</v>
      </c>
      <c r="FQ10" s="5" t="s">
        <v>265</v>
      </c>
      <c r="FR10" s="5">
        <f>IF(FQ10="No",0,
IF(FQ10="Sí, unas pocas veces",1,
IF(FQ10="Sí, mensualmente",2,
IF(FQ10="Sí, semanalmente",3,
IF(FQ10="Sí, diariamente",4,"")))))</f>
        <v>1</v>
      </c>
      <c r="FS10" s="5" t="s">
        <v>206</v>
      </c>
      <c r="FT10" s="5">
        <f>IF(FS10="No",0,
IF(FS10="Sí, unas pocas veces",1,
IF(FS10="Sí, mensualmente",2,
IF(FS10="Sí, semanalmente",3,
IF(FS10="Sí, diariamente",4,"")))))</f>
        <v>0</v>
      </c>
      <c r="FU10" s="5" t="s">
        <v>206</v>
      </c>
      <c r="FV10" s="5">
        <f>IF(FU10="No",0,
IF(FU10="Sí, unas pocas veces",1,
IF(FU10="Sí, mensualmente",2,
IF(FU10="Sí, semanalmente",3,
IF(FU10="Sí, diariamente",4,"")))))</f>
        <v>0</v>
      </c>
      <c r="FW10" s="5" t="s">
        <v>206</v>
      </c>
      <c r="FX10" s="5">
        <f>IF(FW10="No",0,
IF(FW10="Sí, unas pocas veces",1,
IF(FW10="Sí, mensualmente",2,
IF(FW10="Sí, semanalmente",3,
IF(FW10="Sí, diariamente",4,"")))))</f>
        <v>0</v>
      </c>
      <c r="FY10" s="5" t="s">
        <v>206</v>
      </c>
      <c r="FZ10" s="5">
        <f>IF(FY10="No",0,
IF(FY10="Sí, unas pocas veces",1,
IF(FY10="Sí, mensualmente",2,
IF(FY10="Sí, semanalmente",3,
IF(FY10="Sí, diariamente",4,"")))))</f>
        <v>0</v>
      </c>
      <c r="GA10" s="5" t="s">
        <v>265</v>
      </c>
      <c r="GB10" s="5">
        <f>IF(GA10="No",0,
IF(GA10="Sí, unas pocas veces",1,
IF(GA10="Sí, mensualmente",2,
IF(GA10="Sí, semanalmente",3,
IF(GA10="Sí, diariamente",4,"")))))</f>
        <v>1</v>
      </c>
      <c r="GC10" s="5" t="s">
        <v>206</v>
      </c>
      <c r="GD10" s="5">
        <f>IF(GC10="No",0,
IF(GC10="Sí, unas pocas veces",1,
IF(GC10="Sí, mensualmente",2,
IF(GC10="Sí, semanalmente",3,
IF(GC10="Sí, diariamente",4,"")))))</f>
        <v>0</v>
      </c>
      <c r="GE10" s="5">
        <f>SUM(FR10,FT10,FV10,FX10,FZ10,GB10,GD10)</f>
        <v>2</v>
      </c>
      <c r="GF10" s="5" t="str">
        <f>IF(GE10&lt;=0,"Nivel de riesgo bajo",
IF(GE10&lt;=14,"Nivel de riesgo medio",
"Nivel de riesgo alto"))</f>
        <v>Nivel de riesgo medio</v>
      </c>
      <c r="GG10" s="5" t="s">
        <v>255</v>
      </c>
      <c r="GH10" s="5" t="s">
        <v>255</v>
      </c>
      <c r="GI10" s="5" t="s">
        <v>255</v>
      </c>
      <c r="GJ10" s="5" t="s">
        <v>255</v>
      </c>
      <c r="GK10" s="5" t="s">
        <v>233</v>
      </c>
      <c r="GL10" s="5" t="s">
        <v>273</v>
      </c>
      <c r="GM10" s="5" t="s">
        <v>273</v>
      </c>
      <c r="GN10" s="5" t="s">
        <v>256</v>
      </c>
      <c r="GO10" s="5" t="s">
        <v>256</v>
      </c>
      <c r="GP10" s="5" t="s">
        <v>257</v>
      </c>
      <c r="GQ10" s="5" t="s">
        <v>257</v>
      </c>
      <c r="GR10" s="5" t="s">
        <v>257</v>
      </c>
      <c r="GS10" s="5" t="s">
        <v>244</v>
      </c>
      <c r="GT10" s="5" t="s">
        <v>244</v>
      </c>
      <c r="GU10" s="5" t="s">
        <v>292</v>
      </c>
      <c r="GV10" s="5" t="str">
        <f>TEXT("6261541118824544397","0")</f>
        <v>6261541118824540000</v>
      </c>
    </row>
    <row r="11" spans="1:204" ht="15.75" hidden="1" customHeight="1" x14ac:dyDescent="0.15">
      <c r="B11" s="4">
        <v>45827.478912037041</v>
      </c>
      <c r="C11" s="5" t="s">
        <v>204</v>
      </c>
      <c r="D11" s="5" t="s">
        <v>206</v>
      </c>
      <c r="F11" s="5" t="s">
        <v>206</v>
      </c>
      <c r="G11" s="5" t="s">
        <v>206</v>
      </c>
      <c r="H11" s="5" t="s">
        <v>206</v>
      </c>
      <c r="L11" s="5" t="s">
        <v>236</v>
      </c>
      <c r="Q11" s="5" t="s">
        <v>236</v>
      </c>
      <c r="U11" s="5" t="s">
        <v>237</v>
      </c>
      <c r="X11" s="5" t="s">
        <v>208</v>
      </c>
      <c r="AD11" s="5" t="s">
        <v>209</v>
      </c>
      <c r="AH11" s="5" t="s">
        <v>275</v>
      </c>
      <c r="AI11" s="5">
        <v>2023</v>
      </c>
      <c r="AJ11" s="5" t="s">
        <v>293</v>
      </c>
      <c r="AK11" s="5"/>
      <c r="AR11" s="5" t="s">
        <v>294</v>
      </c>
      <c r="AS11" s="5" t="s">
        <v>294</v>
      </c>
      <c r="AT11" s="5" t="s">
        <v>276</v>
      </c>
      <c r="AU11" s="5" t="s">
        <v>276</v>
      </c>
      <c r="AV11" s="5" t="s">
        <v>269</v>
      </c>
      <c r="AW11" s="5" t="s">
        <v>204</v>
      </c>
      <c r="AX11" s="5" t="s">
        <v>204</v>
      </c>
      <c r="AY11" s="5" t="s">
        <v>270</v>
      </c>
      <c r="AZ11" s="5" t="s">
        <v>204</v>
      </c>
      <c r="BA11" s="5" t="s">
        <v>295</v>
      </c>
      <c r="BB11" s="5" t="s">
        <v>204</v>
      </c>
      <c r="BC11" s="5" t="s">
        <v>204</v>
      </c>
      <c r="BD11" s="5" t="s">
        <v>290</v>
      </c>
      <c r="BE11" s="5" t="s">
        <v>206</v>
      </c>
      <c r="BF11" s="5" t="s">
        <v>204</v>
      </c>
      <c r="BG11" s="5" t="s">
        <v>242</v>
      </c>
      <c r="BH11" s="5" t="s">
        <v>271</v>
      </c>
      <c r="BI11" s="5" t="s">
        <v>242</v>
      </c>
      <c r="BJ11" s="5" t="s">
        <v>271</v>
      </c>
      <c r="BK11" s="5" t="s">
        <v>245</v>
      </c>
      <c r="BL11" s="5" t="s">
        <v>245</v>
      </c>
      <c r="BM11" s="5" t="s">
        <v>245</v>
      </c>
      <c r="BN11" s="5" t="s">
        <v>245</v>
      </c>
      <c r="BO11" s="5" t="s">
        <v>245</v>
      </c>
      <c r="BP11" s="5" t="s">
        <v>245</v>
      </c>
      <c r="BQ11" s="5" t="s">
        <v>245</v>
      </c>
      <c r="BR11" s="5" t="s">
        <v>245</v>
      </c>
      <c r="BS11" s="5" t="s">
        <v>254</v>
      </c>
      <c r="BT11" s="5" t="s">
        <v>232</v>
      </c>
      <c r="BU11" s="5" t="s">
        <v>254</v>
      </c>
      <c r="BV11" s="5" t="s">
        <v>254</v>
      </c>
      <c r="BW11" s="5" t="s">
        <v>254</v>
      </c>
      <c r="BX11" s="5" t="s">
        <v>254</v>
      </c>
      <c r="BY11" s="5" t="s">
        <v>254</v>
      </c>
      <c r="BZ11" s="5" t="s">
        <v>245</v>
      </c>
      <c r="CA11" s="5" t="s">
        <v>243</v>
      </c>
      <c r="CB11" s="5" t="s">
        <v>245</v>
      </c>
      <c r="CC11" s="5" t="s">
        <v>245</v>
      </c>
      <c r="CD11" s="5" t="s">
        <v>206</v>
      </c>
      <c r="CH11" s="5" t="s">
        <v>206</v>
      </c>
      <c r="CI11" s="5" t="s">
        <v>249</v>
      </c>
      <c r="CJ11" s="5">
        <v>1</v>
      </c>
      <c r="CK11" s="5" t="s">
        <v>223</v>
      </c>
      <c r="CU11" s="5" t="s">
        <v>206</v>
      </c>
      <c r="DA11" s="5" t="s">
        <v>229</v>
      </c>
      <c r="DB11" s="5"/>
      <c r="DC11" s="5" t="s">
        <v>280</v>
      </c>
      <c r="DD11" s="5"/>
      <c r="DE11" s="5" t="s">
        <v>280</v>
      </c>
      <c r="DF11" s="5"/>
      <c r="DG11" s="5" t="s">
        <v>280</v>
      </c>
      <c r="DH11" s="5"/>
      <c r="DI11" s="5" t="s">
        <v>280</v>
      </c>
      <c r="DJ11" s="5"/>
      <c r="DK11" s="5" t="s">
        <v>280</v>
      </c>
      <c r="DL11" s="5"/>
      <c r="DM11" s="5" t="s">
        <v>250</v>
      </c>
      <c r="DN11" s="5"/>
      <c r="DO11" s="5" t="s">
        <v>231</v>
      </c>
      <c r="DP11" s="5"/>
      <c r="DQ11" s="5" t="s">
        <v>252</v>
      </c>
      <c r="DR11" s="5"/>
      <c r="DS11" s="5" t="s">
        <v>229</v>
      </c>
      <c r="DT11" s="5"/>
      <c r="DU11" s="5" t="s">
        <v>231</v>
      </c>
      <c r="DV11" s="5"/>
      <c r="DW11" s="5" t="s">
        <v>252</v>
      </c>
      <c r="DX11" s="5"/>
      <c r="DY11" s="5"/>
      <c r="DZ11" s="5"/>
      <c r="EA11" s="5" t="s">
        <v>254</v>
      </c>
      <c r="EB11" s="5"/>
      <c r="EC11" s="5" t="s">
        <v>254</v>
      </c>
      <c r="ED11" s="5"/>
      <c r="EE11" s="5" t="s">
        <v>254</v>
      </c>
      <c r="EF11" s="5"/>
      <c r="EG11" s="5"/>
      <c r="EH11" s="5"/>
      <c r="EI11" s="5" t="s">
        <v>232</v>
      </c>
      <c r="EJ11" s="5"/>
      <c r="EK11" s="5" t="s">
        <v>254</v>
      </c>
      <c r="EL11" s="5"/>
      <c r="EM11" s="5" t="s">
        <v>254</v>
      </c>
      <c r="EN11" s="5"/>
      <c r="EO11" s="5"/>
      <c r="EP11" s="5"/>
      <c r="EQ11" s="5" t="s">
        <v>247</v>
      </c>
      <c r="ER11" s="5"/>
      <c r="ES11" s="5" t="s">
        <v>247</v>
      </c>
      <c r="ET11" s="5"/>
      <c r="EU11" s="5" t="s">
        <v>232</v>
      </c>
      <c r="EV11" s="5"/>
      <c r="EW11" s="5" t="s">
        <v>232</v>
      </c>
      <c r="EX11" s="5"/>
      <c r="EY11" s="5"/>
      <c r="EZ11" s="5"/>
      <c r="FA11" s="5" t="s">
        <v>232</v>
      </c>
      <c r="FB11" s="5"/>
      <c r="FC11" s="5" t="s">
        <v>232</v>
      </c>
      <c r="FD11" s="5"/>
      <c r="FE11" s="5" t="s">
        <v>232</v>
      </c>
      <c r="FF11" s="5"/>
      <c r="FG11" s="5"/>
      <c r="FH11" s="5"/>
      <c r="FI11" s="5" t="s">
        <v>254</v>
      </c>
      <c r="FJ11" s="5"/>
      <c r="FK11" s="5" t="s">
        <v>254</v>
      </c>
      <c r="FL11" s="5"/>
      <c r="FM11" s="5" t="s">
        <v>254</v>
      </c>
      <c r="FN11" s="5"/>
      <c r="FO11" s="5"/>
      <c r="FP11" s="5"/>
      <c r="FQ11" s="5" t="s">
        <v>265</v>
      </c>
      <c r="FR11" s="5"/>
      <c r="FS11" s="5" t="s">
        <v>265</v>
      </c>
      <c r="FT11" s="5"/>
      <c r="FU11" s="5" t="s">
        <v>206</v>
      </c>
      <c r="FV11" s="5"/>
      <c r="FW11" s="5" t="s">
        <v>206</v>
      </c>
      <c r="FX11" s="5"/>
      <c r="FY11" s="5" t="s">
        <v>206</v>
      </c>
      <c r="FZ11" s="5"/>
      <c r="GA11" s="5" t="s">
        <v>206</v>
      </c>
      <c r="GB11" s="5"/>
      <c r="GC11" s="5" t="s">
        <v>265</v>
      </c>
      <c r="GD11" s="5"/>
      <c r="GE11" s="5"/>
      <c r="GF11" s="5"/>
      <c r="GG11" s="5" t="s">
        <v>255</v>
      </c>
      <c r="GH11" s="5" t="s">
        <v>255</v>
      </c>
      <c r="GI11" s="5" t="s">
        <v>255</v>
      </c>
      <c r="GJ11" s="5" t="s">
        <v>255</v>
      </c>
      <c r="GK11" s="5" t="s">
        <v>233</v>
      </c>
      <c r="GL11" s="5" t="s">
        <v>255</v>
      </c>
      <c r="GM11" s="5" t="s">
        <v>266</v>
      </c>
      <c r="GN11" s="5" t="s">
        <v>256</v>
      </c>
      <c r="GO11" s="5" t="s">
        <v>243</v>
      </c>
      <c r="GP11" s="5" t="s">
        <v>243</v>
      </c>
      <c r="GQ11" s="5" t="s">
        <v>244</v>
      </c>
      <c r="GR11" s="5" t="s">
        <v>244</v>
      </c>
      <c r="GS11" s="5" t="s">
        <v>244</v>
      </c>
      <c r="GT11" s="5" t="s">
        <v>256</v>
      </c>
      <c r="GU11" s="5" t="s">
        <v>296</v>
      </c>
      <c r="GV11" s="5" t="str">
        <f>TEXT("6261561771671594269","0")</f>
        <v>6261561771671590000</v>
      </c>
    </row>
    <row r="12" spans="1:204" ht="15.75" customHeight="1" x14ac:dyDescent="0.15">
      <c r="A12" s="1">
        <f>ROW(A12)</f>
        <v>12</v>
      </c>
      <c r="B12" s="4">
        <v>45827.481087962966</v>
      </c>
      <c r="C12" s="5" t="s">
        <v>204</v>
      </c>
      <c r="D12" s="5" t="s">
        <v>206</v>
      </c>
      <c r="F12" s="5" t="s">
        <v>206</v>
      </c>
      <c r="G12" s="5" t="s">
        <v>206</v>
      </c>
      <c r="H12" s="5" t="s">
        <v>206</v>
      </c>
      <c r="L12" s="5" t="s">
        <v>236</v>
      </c>
      <c r="P12" s="5" t="s">
        <v>237</v>
      </c>
      <c r="T12" s="5" t="s">
        <v>209</v>
      </c>
      <c r="X12" s="5" t="s">
        <v>208</v>
      </c>
      <c r="AF12" s="5" t="s">
        <v>236</v>
      </c>
      <c r="AH12" s="5" t="s">
        <v>210</v>
      </c>
      <c r="AI12" s="5">
        <v>2023</v>
      </c>
      <c r="AJ12" s="5" t="s">
        <v>238</v>
      </c>
      <c r="AK12" s="5" t="str">
        <f>IF(OR(AJ12="Empleada del sector privado",AJ12="Empleada del sector público"),"Asalariada",
IF(AJ12="Trabajadora por cuenta propia","Trabajadora por cuenta propia",""))</f>
        <v>Trabajadora por cuenta propia</v>
      </c>
      <c r="AL12" s="5" t="s">
        <v>239</v>
      </c>
      <c r="AP12" s="5" t="s">
        <v>297</v>
      </c>
      <c r="AR12" s="5" t="s">
        <v>241</v>
      </c>
      <c r="AS12" s="5" t="s">
        <v>241</v>
      </c>
      <c r="AT12" s="5" t="s">
        <v>241</v>
      </c>
      <c r="AU12" s="5" t="s">
        <v>241</v>
      </c>
      <c r="AV12" s="5" t="s">
        <v>277</v>
      </c>
      <c r="AW12" s="5" t="s">
        <v>206</v>
      </c>
      <c r="BF12" s="5" t="s">
        <v>204</v>
      </c>
      <c r="BG12" s="5" t="s">
        <v>215</v>
      </c>
      <c r="BH12" s="5" t="s">
        <v>215</v>
      </c>
      <c r="BI12" s="5" t="s">
        <v>271</v>
      </c>
      <c r="BJ12" s="5" t="s">
        <v>271</v>
      </c>
      <c r="BK12" s="5" t="s">
        <v>243</v>
      </c>
      <c r="BL12" s="5" t="s">
        <v>243</v>
      </c>
      <c r="BM12" s="5" t="s">
        <v>246</v>
      </c>
      <c r="BN12" s="5" t="s">
        <v>245</v>
      </c>
      <c r="BO12" s="5" t="s">
        <v>243</v>
      </c>
      <c r="BP12" s="5" t="s">
        <v>243</v>
      </c>
      <c r="BQ12" s="5" t="s">
        <v>245</v>
      </c>
      <c r="BR12" s="5" t="s">
        <v>243</v>
      </c>
      <c r="BS12" s="5" t="s">
        <v>232</v>
      </c>
      <c r="BT12" s="5" t="s">
        <v>232</v>
      </c>
      <c r="BU12" s="5" t="s">
        <v>247</v>
      </c>
      <c r="BV12" s="5" t="s">
        <v>232</v>
      </c>
      <c r="BW12" s="5" t="s">
        <v>254</v>
      </c>
      <c r="BX12" s="5" t="s">
        <v>254</v>
      </c>
      <c r="BY12" s="5" t="s">
        <v>247</v>
      </c>
      <c r="CD12" s="5" t="s">
        <v>206</v>
      </c>
      <c r="CH12" s="5" t="s">
        <v>206</v>
      </c>
      <c r="CI12" s="5" t="s">
        <v>206</v>
      </c>
      <c r="CJ12" s="5">
        <v>0</v>
      </c>
      <c r="CK12" s="5" t="s">
        <v>223</v>
      </c>
      <c r="CU12" s="5" t="s">
        <v>206</v>
      </c>
      <c r="DA12" s="5" t="s">
        <v>231</v>
      </c>
      <c r="DB12" s="5">
        <f>IF(DA12="Mejor que lo habitual",1,
IF(DA12="Igual que lo habitual",2,
IF(DA12="Menos que lo habitual",3,
IF(DA12="Mucho menos que lo habitual",4,""))))</f>
        <v>2</v>
      </c>
      <c r="DC12" s="5" t="s">
        <v>250</v>
      </c>
      <c r="DD12" s="5">
        <f>IF(DC12="No, en absoluto",1,
IF(DC12="No más que lo habitual",2,
IF(DC12="Bastante más que lo habitual",3,
IF(DC12="Mucho más que lo habitual",4,""))))</f>
        <v>3</v>
      </c>
      <c r="DE12" s="5" t="s">
        <v>250</v>
      </c>
      <c r="DF12" s="5">
        <f>IF(DE12="No, en absoluto",1,
IF(DE12="No más que lo habitual",2,
IF(DE12="Bastante más que lo habitual",3,
IF(DE12="Mucho más que lo habitual",4,""))))</f>
        <v>3</v>
      </c>
      <c r="DG12" s="5" t="s">
        <v>230</v>
      </c>
      <c r="DH12" s="5">
        <f>IF(DG12="No, en absoluto",1,
IF(DG12="No más que lo habitual",2,
IF(DG12="Bastante más que lo habitual",3,
IF(DG12="Mucho más que lo habitual",4,""))))</f>
        <v>2</v>
      </c>
      <c r="DI12" s="5" t="s">
        <v>251</v>
      </c>
      <c r="DJ12" s="5">
        <f>IF(DI12="No, en absoluto",1,
IF(DI12="No más que lo habitual",2,
IF(DI12="Bastante más que lo habitual",3,
IF(DI12="Mucho más que lo habitual",4,""))))</f>
        <v>1</v>
      </c>
      <c r="DK12" s="5" t="s">
        <v>251</v>
      </c>
      <c r="DL12" s="5">
        <f>IF(DK12="No, en absoluto",1,
IF(DK12="No más que lo habitual",2,
IF(DK12="Bastante más que lo habitual",3,
IF(DK12="Mucho más que lo habitual",4,""))))</f>
        <v>1</v>
      </c>
      <c r="DM12" s="5" t="s">
        <v>251</v>
      </c>
      <c r="DN12" s="5">
        <f>IF(DM12="No, en absoluto",1,
IF(DM12="No más que lo habitual",2,
IF(DM12="Bastante más que lo habitual",3,
IF(DM12="Mucho más que lo habitual",4,""))))</f>
        <v>1</v>
      </c>
      <c r="DO12" s="5" t="s">
        <v>281</v>
      </c>
      <c r="DP12" s="5">
        <f>IF(DO12="Más que lo habitual",1,
IF(DO12="Igual que lo habitual",2,
IF(DO12="Menos que lo habitual",3,
IF(DO12="Mucho menos que lo habitual",4,""))))</f>
        <v>1</v>
      </c>
      <c r="DQ12" s="5" t="s">
        <v>281</v>
      </c>
      <c r="DR12" s="5">
        <f>IF(DQ12="Más que lo habitual",1,
IF(DQ12="Igual que lo habitual",2,
IF(DQ12="Menos que lo habitual",3,
IF(DQ12="Mucho menos que lo habitual",4,""))))</f>
        <v>1</v>
      </c>
      <c r="DS12" s="5" t="s">
        <v>231</v>
      </c>
      <c r="DT12" s="5">
        <f>IF(DS12="Más que lo habitual",1,
IF(DS12="Igual que lo habitual",2,
IF(DS12="Menos que lo habitual",3,
IF(DS12="Mucho menos que lo habitual",4,""))))</f>
        <v>2</v>
      </c>
      <c r="DU12" s="5" t="s">
        <v>231</v>
      </c>
      <c r="DV12" s="5">
        <f>IF(DU12="Más que lo habitual",1,
IF(DU12="Igual que lo habitual",2,
IF(DU12="Menos que lo habitual",3,
IF(DU12="Mucho menos que lo habitual",4,""))))</f>
        <v>2</v>
      </c>
      <c r="DW12" s="5" t="s">
        <v>281</v>
      </c>
      <c r="DX12" s="5">
        <f>IF(DW12="Más que lo habitual",1,
IF(DW12="Igual que lo habitual",2,
IF(DW12="Menos que lo habitual",3,
IF(DW12="Mucho menos que lo habitual",4,""))))</f>
        <v>1</v>
      </c>
      <c r="DY12" s="5">
        <f>SUM(DB12,DD12,DF12,DH12,DJ12,DL12,DN12,DP12,DR12,DT12,DV12,DX12)</f>
        <v>20</v>
      </c>
      <c r="DZ12" s="5" t="str">
        <f>IF(DY12&lt;=18,"Nivel de riesgo bajo",
IF(DY12&lt;=23,"Nivel de riesgo medio",
"Nivel de riesgo alto"))</f>
        <v>Nivel de riesgo medio</v>
      </c>
      <c r="EA12" s="5" t="s">
        <v>232</v>
      </c>
      <c r="EB12" s="5">
        <f>IF(EA12="Nunca/ casi nunca",0,
IF(EA12="Rara vez",1,
IF(EA12="A veces",2,
IF(EA12="A menudo",3,
IF(EA12="Siempre",4,"")))))</f>
        <v>3</v>
      </c>
      <c r="EC12" s="5" t="s">
        <v>232</v>
      </c>
      <c r="ED12" s="5">
        <f>IF(EC12="Nunca/ casi nunca",0,
IF(EC12="Rara vez",1,
IF(EC12="A veces",2,
IF(EC12="A menudo",3,
IF(EC12="Siempre",4,"")))))</f>
        <v>3</v>
      </c>
      <c r="EE12" s="5" t="s">
        <v>232</v>
      </c>
      <c r="EF12" s="5">
        <f>IF(EE12="Nunca/ casi nunca",0,
IF(EE12="Rara vez",1,
IF(EE12="A veces",2,
IF(EE12="A menudo",3,
IF(EE12="Siempre",4,"")))))</f>
        <v>3</v>
      </c>
      <c r="EG12" s="5">
        <f>SUM(EB12,ED12,EF12)</f>
        <v>9</v>
      </c>
      <c r="EH12" s="5" t="str">
        <f>IF(EG12&lt;=1,"Nivel de riesgo bajo",
IF(EG12&lt;=4,"Nivel de riesgo medio",
"Nivel de riesgo alto"))</f>
        <v>Nivel de riesgo alto</v>
      </c>
      <c r="EI12" s="5" t="s">
        <v>247</v>
      </c>
      <c r="EJ12" s="5">
        <f>IF(EI12="Nunca/ casi nunca",0,
IF(EI12="Rara vez",1,
IF(EI12="A veces",2,
IF(EI12="A menudo",3,
IF(EI12="Siempre",4,"")))))</f>
        <v>2</v>
      </c>
      <c r="EK12" s="5" t="s">
        <v>248</v>
      </c>
      <c r="EL12" s="5">
        <f>IF(EK12="Nunca/ casi nunca",0,
IF(EK12="Rara vez",1,
IF(EK12="A veces",2,
IF(EK12="A menudo",3,
IF(EK12="Siempre",4,"")))))</f>
        <v>1</v>
      </c>
      <c r="EM12" s="5" t="s">
        <v>232</v>
      </c>
      <c r="EN12" s="5">
        <f>IF(EM12="Nunca/ casi nunca",0,
IF(EM12="Rara vez",1,
IF(EM12="A veces",2,
IF(EM12="A menudo",3,
IF(EM12="Siempre",4,"")))))</f>
        <v>3</v>
      </c>
      <c r="EO12" s="5">
        <f>SUM(EJ12,EL12,EN12)</f>
        <v>6</v>
      </c>
      <c r="EP12" s="5" t="str">
        <f>IF(EO12&lt;=1,"Nivel de riesgo bajo",
IF(EO12&lt;=5,"Nivel de riesgo medio",
"Nivel de riesgo alto"))</f>
        <v>Nivel de riesgo alto</v>
      </c>
      <c r="EQ12" s="5" t="s">
        <v>232</v>
      </c>
      <c r="ER12" s="5">
        <f>IF(EQ12="Nunca/ casi nunca",4,
IF(EQ12="Rara vez",3,
IF(EQ12="A veces",2,
IF(EQ12="A menudo",1,
IF(EQ12="Siempre",0,"")))))</f>
        <v>1</v>
      </c>
      <c r="ES12" s="5" t="s">
        <v>232</v>
      </c>
      <c r="ET12" s="5">
        <f>IF(ES12="Nunca/ casi nunca",4,
IF(ES12="Rara vez",3,
IF(ES12="A veces",2,
IF(ES12="A menudo",1,
IF(ES12="Siempre",0,"")))))</f>
        <v>1</v>
      </c>
      <c r="EU12" s="5" t="s">
        <v>232</v>
      </c>
      <c r="EV12" s="5">
        <f>IF(EU12="Nunca/ casi nunca",4,
IF(EU12="Rara vez",3,
IF(EU12="A veces",2,
IF(EU12="A menudo",1,
IF(EU12="Siempre",0,"")))))</f>
        <v>1</v>
      </c>
      <c r="EW12" s="5" t="s">
        <v>232</v>
      </c>
      <c r="EX12" s="5">
        <f>IF(EW12="Nunca/ casi nunca",4,
IF(EW12="Rara vez",3,
IF(EW12="A veces",2,
IF(EW12="A menudo",1,
IF(EW12="Siempre",0,"")))))</f>
        <v>1</v>
      </c>
      <c r="EY12" s="5">
        <f>SUM(ER12,ET12,EV12,EX12)</f>
        <v>4</v>
      </c>
      <c r="EZ12" s="5" t="str">
        <f>IF(EY12&lt;=0,"Nivel de riesgo bajo",
IF(EY12&lt;=4,"Nivel de riesgo medio",
"Nivel de riesgo alto"))</f>
        <v>Nivel de riesgo medio</v>
      </c>
      <c r="FA12" s="5" t="s">
        <v>247</v>
      </c>
      <c r="FB12" s="5">
        <f>IF(FA12="Nunca/ casi nunca",0,
IF(FA12="Rara vez",1,
IF(FA12="A veces",2,
IF(FA12="A menudo",3,
IF(FA12="Siempre",4,"")))))</f>
        <v>2</v>
      </c>
      <c r="FC12" s="5" t="s">
        <v>248</v>
      </c>
      <c r="FD12" s="5">
        <f>IF(FC12="Nunca/ casi nunca",0,
IF(FC12="Rara vez",1,
IF(FC12="A veces",2,
IF(FC12="A menudo",3,
IF(FC12="Siempre",4,"")))))</f>
        <v>1</v>
      </c>
      <c r="FE12" s="5" t="s">
        <v>248</v>
      </c>
      <c r="FF12" s="5">
        <f>IF(FE12="Nunca/ casi nunca",0,
IF(FE12="Rara vez",1,
IF(FE12="A veces",2,
IF(FE12="A menudo",3,
IF(FE12="Siempre",4,"")))))</f>
        <v>1</v>
      </c>
      <c r="FG12" s="5">
        <f>SUM(FB12,FD12,FF12)</f>
        <v>4</v>
      </c>
      <c r="FH12" s="5" t="str">
        <f>IF(FG12&lt;=2,"Nivel de riesgo bajo",
IF(FG12&lt;=5,"Nivel de riesgo medio",
"Nivel de riesgo alto"))</f>
        <v>Nivel de riesgo medio</v>
      </c>
      <c r="FI12" s="5" t="s">
        <v>248</v>
      </c>
      <c r="FJ12" s="5">
        <f>IF(FI12="Nunca/ casi nunca",0,
IF(FI12="Rara vez",1,
IF(FI12="A veces",2,
IF(FI12="A menudo",3,
IF(FI12="Siempre",4,"")))))</f>
        <v>1</v>
      </c>
      <c r="FK12" s="5" t="s">
        <v>248</v>
      </c>
      <c r="FL12" s="5">
        <f>IF(FK12="Nunca/ casi nunca",0,
IF(FK12="Rara vez",1,
IF(FK12="A veces",2,
IF(FK12="A menudo",3,
IF(FK12="Siempre",4,"")))))</f>
        <v>1</v>
      </c>
      <c r="FM12" s="5" t="s">
        <v>253</v>
      </c>
      <c r="FN12" s="5">
        <f>IF(FM12="Nunca/ casi nunca",0,
IF(FM12="Rara vez",1,
IF(FM12="A veces",2,
IF(FM12="A menudo",3,
IF(FM12="Siempre",4,"")))))</f>
        <v>0</v>
      </c>
      <c r="FO12" s="5">
        <f>SUM(FJ12,FL12,FN12)</f>
        <v>2</v>
      </c>
      <c r="FP12" s="5" t="str">
        <f>IF(FO12&lt;=2,"Nivel de riesgo bajo",
IF(FO12&lt;=5,"Nivel de riesgo medio",
"Nivel de riesgo alto"))</f>
        <v>Nivel de riesgo bajo</v>
      </c>
      <c r="FQ12" s="5" t="s">
        <v>265</v>
      </c>
      <c r="FR12" s="5">
        <f>IF(FQ12="No",0,
IF(FQ12="Sí, unas pocas veces",1,
IF(FQ12="Sí, mensualmente",2,
IF(FQ12="Sí, semanalmente",3,
IF(FQ12="Sí, diariamente",4,"")))))</f>
        <v>1</v>
      </c>
      <c r="FS12" s="5" t="s">
        <v>206</v>
      </c>
      <c r="FT12" s="5">
        <f>IF(FS12="No",0,
IF(FS12="Sí, unas pocas veces",1,
IF(FS12="Sí, mensualmente",2,
IF(FS12="Sí, semanalmente",3,
IF(FS12="Sí, diariamente",4,"")))))</f>
        <v>0</v>
      </c>
      <c r="FU12" s="5" t="s">
        <v>206</v>
      </c>
      <c r="FV12" s="5">
        <f>IF(FU12="No",0,
IF(FU12="Sí, unas pocas veces",1,
IF(FU12="Sí, mensualmente",2,
IF(FU12="Sí, semanalmente",3,
IF(FU12="Sí, diariamente",4,"")))))</f>
        <v>0</v>
      </c>
      <c r="FW12" s="5" t="s">
        <v>265</v>
      </c>
      <c r="FX12" s="5">
        <f>IF(FW12="No",0,
IF(FW12="Sí, unas pocas veces",1,
IF(FW12="Sí, mensualmente",2,
IF(FW12="Sí, semanalmente",3,
IF(FW12="Sí, diariamente",4,"")))))</f>
        <v>1</v>
      </c>
      <c r="FY12" s="5" t="s">
        <v>206</v>
      </c>
      <c r="FZ12" s="5">
        <f>IF(FY12="No",0,
IF(FY12="Sí, unas pocas veces",1,
IF(FY12="Sí, mensualmente",2,
IF(FY12="Sí, semanalmente",3,
IF(FY12="Sí, diariamente",4,"")))))</f>
        <v>0</v>
      </c>
      <c r="GA12" s="5" t="s">
        <v>265</v>
      </c>
      <c r="GB12" s="5">
        <f>IF(GA12="No",0,
IF(GA12="Sí, unas pocas veces",1,
IF(GA12="Sí, mensualmente",2,
IF(GA12="Sí, semanalmente",3,
IF(GA12="Sí, diariamente",4,"")))))</f>
        <v>1</v>
      </c>
      <c r="GC12" s="5" t="s">
        <v>265</v>
      </c>
      <c r="GD12" s="5">
        <f>IF(GC12="No",0,
IF(GC12="Sí, unas pocas veces",1,
IF(GC12="Sí, mensualmente",2,
IF(GC12="Sí, semanalmente",3,
IF(GC12="Sí, diariamente",4,"")))))</f>
        <v>1</v>
      </c>
      <c r="GE12" s="5">
        <f>SUM(FR12,FT12,FV12,FX12,FZ12,GB12,GD12)</f>
        <v>4</v>
      </c>
      <c r="GF12" s="5" t="str">
        <f>IF(GE12&lt;=0,"Nivel de riesgo bajo",
IF(GE12&lt;=14,"Nivel de riesgo medio",
"Nivel de riesgo alto"))</f>
        <v>Nivel de riesgo medio</v>
      </c>
      <c r="GG12" s="5" t="s">
        <v>255</v>
      </c>
      <c r="GH12" s="5" t="s">
        <v>266</v>
      </c>
      <c r="GI12" s="5" t="s">
        <v>266</v>
      </c>
      <c r="GJ12" s="5" t="s">
        <v>255</v>
      </c>
      <c r="GK12" s="5" t="s">
        <v>233</v>
      </c>
      <c r="GL12" s="5" t="s">
        <v>298</v>
      </c>
      <c r="GM12" s="5" t="s">
        <v>273</v>
      </c>
      <c r="GN12" s="5" t="s">
        <v>256</v>
      </c>
      <c r="GO12" s="5" t="s">
        <v>243</v>
      </c>
      <c r="GP12" s="5" t="s">
        <v>257</v>
      </c>
      <c r="GQ12" s="5" t="s">
        <v>243</v>
      </c>
      <c r="GR12" s="5" t="s">
        <v>257</v>
      </c>
      <c r="GS12" s="5" t="s">
        <v>257</v>
      </c>
      <c r="GT12" s="5" t="s">
        <v>257</v>
      </c>
      <c r="GU12" s="5" t="s">
        <v>299</v>
      </c>
      <c r="GV12" s="5" t="str">
        <f>TEXT("6261563660172523554","0")</f>
        <v>6261563660172520000</v>
      </c>
    </row>
    <row r="13" spans="1:204" ht="15.75" hidden="1" customHeight="1" x14ac:dyDescent="0.15">
      <c r="B13" s="4">
        <v>45827.499537037038</v>
      </c>
      <c r="C13" s="5" t="s">
        <v>204</v>
      </c>
      <c r="D13" s="5" t="s">
        <v>206</v>
      </c>
      <c r="F13" s="5" t="s">
        <v>204</v>
      </c>
      <c r="G13" s="5" t="s">
        <v>206</v>
      </c>
      <c r="H13" s="5" t="s">
        <v>204</v>
      </c>
      <c r="K13" s="5" t="s">
        <v>237</v>
      </c>
      <c r="P13" s="5" t="s">
        <v>237</v>
      </c>
      <c r="U13" s="5" t="s">
        <v>237</v>
      </c>
      <c r="X13" s="5" t="s">
        <v>208</v>
      </c>
      <c r="AC13" s="5" t="s">
        <v>208</v>
      </c>
      <c r="AH13" s="5" t="s">
        <v>275</v>
      </c>
      <c r="AI13" s="5">
        <v>2020</v>
      </c>
      <c r="AJ13" s="5" t="s">
        <v>293</v>
      </c>
      <c r="AK13" s="5"/>
      <c r="AR13" s="5" t="s">
        <v>276</v>
      </c>
      <c r="AS13" s="5" t="s">
        <v>276</v>
      </c>
      <c r="AT13" s="5" t="s">
        <v>276</v>
      </c>
      <c r="AU13" s="5" t="s">
        <v>276</v>
      </c>
      <c r="AV13" s="5" t="s">
        <v>269</v>
      </c>
      <c r="AW13" s="5" t="s">
        <v>204</v>
      </c>
      <c r="AX13" s="5" t="s">
        <v>204</v>
      </c>
      <c r="AY13" s="5" t="s">
        <v>214</v>
      </c>
      <c r="AZ13" s="5" t="s">
        <v>204</v>
      </c>
      <c r="BA13" s="5" t="s">
        <v>263</v>
      </c>
      <c r="BF13" s="5" t="s">
        <v>204</v>
      </c>
      <c r="BG13" s="5" t="s">
        <v>264</v>
      </c>
      <c r="BH13" s="5" t="s">
        <v>264</v>
      </c>
      <c r="BI13" s="5" t="s">
        <v>264</v>
      </c>
      <c r="BJ13" s="5" t="s">
        <v>264</v>
      </c>
      <c r="BK13" s="5" t="s">
        <v>216</v>
      </c>
      <c r="BL13" s="5" t="s">
        <v>216</v>
      </c>
      <c r="BM13" s="5" t="s">
        <v>216</v>
      </c>
      <c r="BN13" s="5" t="s">
        <v>216</v>
      </c>
      <c r="BO13" s="5" t="s">
        <v>216</v>
      </c>
      <c r="BP13" s="5" t="s">
        <v>216</v>
      </c>
      <c r="BQ13" s="5" t="s">
        <v>216</v>
      </c>
      <c r="BR13" s="5" t="s">
        <v>216</v>
      </c>
      <c r="BS13" s="5" t="s">
        <v>217</v>
      </c>
      <c r="BT13" s="5" t="s">
        <v>217</v>
      </c>
      <c r="BU13" s="5" t="s">
        <v>248</v>
      </c>
      <c r="BV13" s="5" t="s">
        <v>217</v>
      </c>
      <c r="BW13" s="5" t="s">
        <v>217</v>
      </c>
      <c r="BX13" s="5" t="s">
        <v>248</v>
      </c>
      <c r="BY13" s="5" t="s">
        <v>217</v>
      </c>
      <c r="BZ13" s="5" t="s">
        <v>216</v>
      </c>
      <c r="CA13" s="5" t="s">
        <v>216</v>
      </c>
      <c r="CB13" s="5" t="s">
        <v>216</v>
      </c>
      <c r="CC13" s="5" t="s">
        <v>216</v>
      </c>
      <c r="CD13" s="5" t="s">
        <v>204</v>
      </c>
      <c r="CE13" s="5" t="s">
        <v>286</v>
      </c>
      <c r="CF13" s="5" t="s">
        <v>219</v>
      </c>
      <c r="CG13" s="5" t="s">
        <v>206</v>
      </c>
      <c r="CH13" s="5" t="s">
        <v>206</v>
      </c>
      <c r="CI13" s="5" t="s">
        <v>291</v>
      </c>
      <c r="CJ13" s="5">
        <v>1</v>
      </c>
      <c r="CK13" s="5" t="s">
        <v>223</v>
      </c>
      <c r="CU13" s="5" t="s">
        <v>206</v>
      </c>
      <c r="DA13" s="5" t="s">
        <v>272</v>
      </c>
      <c r="DB13" s="5"/>
      <c r="DC13" s="5" t="s">
        <v>230</v>
      </c>
      <c r="DD13" s="5"/>
      <c r="DE13" s="5" t="s">
        <v>251</v>
      </c>
      <c r="DF13" s="5"/>
      <c r="DG13" s="5" t="s">
        <v>251</v>
      </c>
      <c r="DH13" s="5"/>
      <c r="DI13" s="5" t="s">
        <v>251</v>
      </c>
      <c r="DJ13" s="5"/>
      <c r="DK13" s="5" t="s">
        <v>251</v>
      </c>
      <c r="DL13" s="5"/>
      <c r="DM13" s="5" t="s">
        <v>251</v>
      </c>
      <c r="DN13" s="5"/>
      <c r="DO13" s="5" t="s">
        <v>281</v>
      </c>
      <c r="DP13" s="5"/>
      <c r="DQ13" s="5" t="s">
        <v>281</v>
      </c>
      <c r="DR13" s="5"/>
      <c r="DS13" s="5" t="s">
        <v>281</v>
      </c>
      <c r="DT13" s="5"/>
      <c r="DU13" s="5" t="s">
        <v>281</v>
      </c>
      <c r="DV13" s="5"/>
      <c r="DW13" s="5" t="s">
        <v>281</v>
      </c>
      <c r="DX13" s="5"/>
      <c r="DY13" s="5"/>
      <c r="DZ13" s="5"/>
      <c r="EA13" s="5" t="s">
        <v>248</v>
      </c>
      <c r="EB13" s="5"/>
      <c r="EC13" s="5" t="s">
        <v>248</v>
      </c>
      <c r="ED13" s="5"/>
      <c r="EE13" s="5" t="s">
        <v>253</v>
      </c>
      <c r="EF13" s="5"/>
      <c r="EG13" s="5"/>
      <c r="EH13" s="5"/>
      <c r="EI13" s="5" t="s">
        <v>248</v>
      </c>
      <c r="EJ13" s="5"/>
      <c r="EK13" s="5" t="s">
        <v>254</v>
      </c>
      <c r="EL13" s="5"/>
      <c r="EM13" s="5" t="s">
        <v>248</v>
      </c>
      <c r="EN13" s="5"/>
      <c r="EO13" s="5"/>
      <c r="EP13" s="5"/>
      <c r="EQ13" s="5" t="s">
        <v>253</v>
      </c>
      <c r="ER13" s="5"/>
      <c r="ES13" s="5" t="s">
        <v>253</v>
      </c>
      <c r="ET13" s="5"/>
      <c r="EU13" s="5" t="s">
        <v>253</v>
      </c>
      <c r="EV13" s="5"/>
      <c r="EW13" s="5" t="s">
        <v>253</v>
      </c>
      <c r="EX13" s="5"/>
      <c r="EY13" s="5"/>
      <c r="EZ13" s="5"/>
      <c r="FA13" s="5" t="s">
        <v>253</v>
      </c>
      <c r="FB13" s="5"/>
      <c r="FC13" s="5" t="s">
        <v>253</v>
      </c>
      <c r="FD13" s="5"/>
      <c r="FE13" s="5" t="s">
        <v>253</v>
      </c>
      <c r="FF13" s="5"/>
      <c r="FG13" s="5"/>
      <c r="FH13" s="5"/>
      <c r="FI13" s="5" t="s">
        <v>253</v>
      </c>
      <c r="FJ13" s="5"/>
      <c r="FK13" s="5" t="s">
        <v>253</v>
      </c>
      <c r="FL13" s="5"/>
      <c r="FM13" s="5" t="s">
        <v>253</v>
      </c>
      <c r="FN13" s="5"/>
      <c r="FO13" s="5"/>
      <c r="FP13" s="5"/>
      <c r="FQ13" s="5" t="s">
        <v>206</v>
      </c>
      <c r="FR13" s="5"/>
      <c r="FS13" s="5" t="s">
        <v>206</v>
      </c>
      <c r="FT13" s="5"/>
      <c r="FU13" s="5" t="s">
        <v>206</v>
      </c>
      <c r="FV13" s="5"/>
      <c r="FW13" s="5" t="s">
        <v>206</v>
      </c>
      <c r="FX13" s="5"/>
      <c r="FY13" s="5" t="s">
        <v>206</v>
      </c>
      <c r="FZ13" s="5"/>
      <c r="GA13" s="5" t="s">
        <v>206</v>
      </c>
      <c r="GB13" s="5"/>
      <c r="GC13" s="5" t="s">
        <v>206</v>
      </c>
      <c r="GD13" s="5"/>
      <c r="GE13" s="5"/>
      <c r="GF13" s="5"/>
      <c r="GG13" s="5" t="s">
        <v>255</v>
      </c>
      <c r="GH13" s="5" t="s">
        <v>255</v>
      </c>
      <c r="GI13" s="5" t="s">
        <v>255</v>
      </c>
      <c r="GJ13" s="5" t="s">
        <v>255</v>
      </c>
      <c r="GK13" s="5" t="s">
        <v>233</v>
      </c>
      <c r="GL13" s="5" t="s">
        <v>298</v>
      </c>
      <c r="GM13" s="5" t="s">
        <v>266</v>
      </c>
      <c r="GN13" s="5" t="s">
        <v>256</v>
      </c>
      <c r="GO13" s="5" t="s">
        <v>256</v>
      </c>
      <c r="GP13" s="5" t="s">
        <v>243</v>
      </c>
      <c r="GQ13" s="5" t="s">
        <v>257</v>
      </c>
      <c r="GR13" s="5" t="s">
        <v>257</v>
      </c>
      <c r="GS13" s="5" t="s">
        <v>257</v>
      </c>
      <c r="GT13" s="5" t="s">
        <v>256</v>
      </c>
      <c r="GU13" s="5" t="s">
        <v>300</v>
      </c>
      <c r="GV13" s="5" t="str">
        <f>TEXT("6261579592411891977","0")</f>
        <v>6261579592411890000</v>
      </c>
    </row>
    <row r="14" spans="1:204" ht="15.75" hidden="1" customHeight="1" x14ac:dyDescent="0.15">
      <c r="B14" s="4">
        <v>45827.548900462964</v>
      </c>
      <c r="C14" s="5" t="s">
        <v>204</v>
      </c>
      <c r="D14" s="5" t="s">
        <v>206</v>
      </c>
      <c r="F14" s="5" t="s">
        <v>206</v>
      </c>
      <c r="G14" s="5" t="s">
        <v>206</v>
      </c>
      <c r="H14" s="5" t="s">
        <v>206</v>
      </c>
      <c r="K14" s="5" t="s">
        <v>237</v>
      </c>
      <c r="P14" s="5" t="s">
        <v>237</v>
      </c>
      <c r="U14" s="5" t="s">
        <v>237</v>
      </c>
      <c r="Z14" s="5" t="s">
        <v>237</v>
      </c>
      <c r="AE14" s="5" t="s">
        <v>237</v>
      </c>
      <c r="AH14" s="5" t="s">
        <v>275</v>
      </c>
      <c r="AI14" s="5">
        <v>2021</v>
      </c>
      <c r="AJ14" s="5" t="s">
        <v>293</v>
      </c>
      <c r="AK14" s="5"/>
      <c r="AR14" s="5" t="s">
        <v>301</v>
      </c>
      <c r="AS14" s="5" t="s">
        <v>241</v>
      </c>
      <c r="AT14" s="5" t="s">
        <v>241</v>
      </c>
      <c r="AU14" s="5" t="s">
        <v>241</v>
      </c>
      <c r="AV14" s="5" t="s">
        <v>302</v>
      </c>
      <c r="AW14" s="5" t="s">
        <v>206</v>
      </c>
      <c r="BF14" s="5" t="s">
        <v>204</v>
      </c>
      <c r="BG14" s="5" t="s">
        <v>207</v>
      </c>
      <c r="BH14" s="5" t="s">
        <v>207</v>
      </c>
      <c r="BI14" s="5" t="s">
        <v>207</v>
      </c>
      <c r="BJ14" s="5" t="s">
        <v>264</v>
      </c>
      <c r="BK14" s="5" t="s">
        <v>244</v>
      </c>
      <c r="BL14" s="5" t="s">
        <v>244</v>
      </c>
      <c r="BM14" s="5" t="s">
        <v>244</v>
      </c>
      <c r="BN14" s="5" t="s">
        <v>244</v>
      </c>
      <c r="BO14" s="5" t="s">
        <v>244</v>
      </c>
      <c r="BP14" s="5" t="s">
        <v>244</v>
      </c>
      <c r="BQ14" s="5" t="s">
        <v>244</v>
      </c>
      <c r="BR14" s="5" t="s">
        <v>244</v>
      </c>
      <c r="BS14" s="5" t="s">
        <v>247</v>
      </c>
      <c r="BT14" s="5" t="s">
        <v>247</v>
      </c>
      <c r="BU14" s="5" t="s">
        <v>248</v>
      </c>
      <c r="BV14" s="5" t="s">
        <v>217</v>
      </c>
      <c r="BW14" s="5" t="s">
        <v>248</v>
      </c>
      <c r="BX14" s="5" t="s">
        <v>248</v>
      </c>
      <c r="BY14" s="5" t="s">
        <v>248</v>
      </c>
      <c r="CD14" s="5" t="s">
        <v>204</v>
      </c>
      <c r="CE14" s="5" t="s">
        <v>286</v>
      </c>
      <c r="CF14" s="5" t="s">
        <v>219</v>
      </c>
      <c r="CG14" s="5" t="s">
        <v>220</v>
      </c>
      <c r="CH14" s="5" t="s">
        <v>206</v>
      </c>
      <c r="CI14" s="5" t="s">
        <v>206</v>
      </c>
      <c r="CJ14" s="5">
        <v>0</v>
      </c>
      <c r="CK14" s="5" t="s">
        <v>223</v>
      </c>
      <c r="CU14" s="5" t="s">
        <v>206</v>
      </c>
      <c r="DA14" s="5" t="s">
        <v>231</v>
      </c>
      <c r="DB14" s="5"/>
      <c r="DC14" s="5" t="s">
        <v>251</v>
      </c>
      <c r="DD14" s="5"/>
      <c r="DE14" s="5" t="s">
        <v>230</v>
      </c>
      <c r="DF14" s="5"/>
      <c r="DG14" s="5" t="s">
        <v>251</v>
      </c>
      <c r="DH14" s="5"/>
      <c r="DI14" s="5" t="s">
        <v>251</v>
      </c>
      <c r="DJ14" s="5"/>
      <c r="DK14" s="5" t="s">
        <v>251</v>
      </c>
      <c r="DL14" s="5"/>
      <c r="DM14" s="5" t="s">
        <v>251</v>
      </c>
      <c r="DN14" s="5"/>
      <c r="DO14" s="5" t="s">
        <v>281</v>
      </c>
      <c r="DP14" s="5"/>
      <c r="DQ14" s="5" t="s">
        <v>281</v>
      </c>
      <c r="DR14" s="5"/>
      <c r="DS14" s="5" t="s">
        <v>281</v>
      </c>
      <c r="DT14" s="5"/>
      <c r="DU14" s="5" t="s">
        <v>281</v>
      </c>
      <c r="DV14" s="5"/>
      <c r="DW14" s="5" t="s">
        <v>281</v>
      </c>
      <c r="DX14" s="5"/>
      <c r="DY14" s="5"/>
      <c r="DZ14" s="5"/>
      <c r="EA14" s="5" t="s">
        <v>248</v>
      </c>
      <c r="EB14" s="5"/>
      <c r="EC14" s="5" t="s">
        <v>248</v>
      </c>
      <c r="ED14" s="5"/>
      <c r="EE14" s="5" t="s">
        <v>248</v>
      </c>
      <c r="EF14" s="5"/>
      <c r="EG14" s="5"/>
      <c r="EH14" s="5"/>
      <c r="EI14" s="5" t="s">
        <v>248</v>
      </c>
      <c r="EJ14" s="5"/>
      <c r="EK14" s="5" t="s">
        <v>247</v>
      </c>
      <c r="EL14" s="5"/>
      <c r="EM14" s="5" t="s">
        <v>253</v>
      </c>
      <c r="EN14" s="5"/>
      <c r="EO14" s="5"/>
      <c r="EP14" s="5"/>
      <c r="EQ14" s="5" t="s">
        <v>254</v>
      </c>
      <c r="ER14" s="5"/>
      <c r="ES14" s="5" t="s">
        <v>254</v>
      </c>
      <c r="ET14" s="5"/>
      <c r="EU14" s="5" t="s">
        <v>254</v>
      </c>
      <c r="EV14" s="5"/>
      <c r="EW14" s="5" t="s">
        <v>254</v>
      </c>
      <c r="EX14" s="5"/>
      <c r="EY14" s="5"/>
      <c r="EZ14" s="5"/>
      <c r="FA14" s="5" t="s">
        <v>253</v>
      </c>
      <c r="FB14" s="5"/>
      <c r="FC14" s="5" t="s">
        <v>253</v>
      </c>
      <c r="FD14" s="5"/>
      <c r="FE14" s="5" t="s">
        <v>253</v>
      </c>
      <c r="FF14" s="5"/>
      <c r="FG14" s="5"/>
      <c r="FH14" s="5"/>
      <c r="FI14" s="5" t="s">
        <v>253</v>
      </c>
      <c r="FJ14" s="5"/>
      <c r="FK14" s="5" t="s">
        <v>253</v>
      </c>
      <c r="FL14" s="5"/>
      <c r="FM14" s="5" t="s">
        <v>253</v>
      </c>
      <c r="FN14" s="5"/>
      <c r="FO14" s="5"/>
      <c r="FP14" s="5"/>
      <c r="FQ14" s="5" t="s">
        <v>265</v>
      </c>
      <c r="FR14" s="5"/>
      <c r="FS14" s="5" t="s">
        <v>206</v>
      </c>
      <c r="FT14" s="5"/>
      <c r="FU14" s="5" t="s">
        <v>206</v>
      </c>
      <c r="FV14" s="5"/>
      <c r="FW14" s="5" t="s">
        <v>206</v>
      </c>
      <c r="FX14" s="5"/>
      <c r="FY14" s="5" t="s">
        <v>206</v>
      </c>
      <c r="FZ14" s="5"/>
      <c r="GA14" s="5" t="s">
        <v>206</v>
      </c>
      <c r="GB14" s="5"/>
      <c r="GC14" s="5" t="s">
        <v>206</v>
      </c>
      <c r="GD14" s="5"/>
      <c r="GE14" s="5"/>
      <c r="GF14" s="5"/>
      <c r="GG14" s="5" t="s">
        <v>255</v>
      </c>
      <c r="GH14" s="5" t="s">
        <v>255</v>
      </c>
      <c r="GI14" s="5" t="s">
        <v>255</v>
      </c>
      <c r="GJ14" s="5" t="s">
        <v>255</v>
      </c>
      <c r="GK14" s="5" t="s">
        <v>233</v>
      </c>
      <c r="GL14" s="5" t="s">
        <v>233</v>
      </c>
      <c r="GM14" s="5" t="s">
        <v>233</v>
      </c>
      <c r="GN14" s="5" t="s">
        <v>256</v>
      </c>
      <c r="GO14" s="5" t="s">
        <v>256</v>
      </c>
      <c r="GP14" s="5" t="s">
        <v>256</v>
      </c>
      <c r="GQ14" s="5" t="s">
        <v>256</v>
      </c>
      <c r="GR14" s="5" t="s">
        <v>256</v>
      </c>
      <c r="GS14" s="5" t="s">
        <v>256</v>
      </c>
      <c r="GT14" s="5" t="s">
        <v>256</v>
      </c>
      <c r="GU14" s="5" t="s">
        <v>303</v>
      </c>
      <c r="GV14" s="5" t="str">
        <f>TEXT("6261622244514052763","0")</f>
        <v>6261622244514050000</v>
      </c>
    </row>
    <row r="15" spans="1:204" ht="15.75" hidden="1" customHeight="1" x14ac:dyDescent="0.15">
      <c r="B15" s="4">
        <v>45827.673715277779</v>
      </c>
      <c r="C15" s="5" t="s">
        <v>204</v>
      </c>
      <c r="D15" s="5" t="s">
        <v>206</v>
      </c>
      <c r="F15" s="5" t="s">
        <v>206</v>
      </c>
      <c r="G15" s="5" t="s">
        <v>206</v>
      </c>
      <c r="H15" s="5" t="s">
        <v>206</v>
      </c>
      <c r="J15" s="5" t="s">
        <v>209</v>
      </c>
      <c r="N15" s="5" t="s">
        <v>208</v>
      </c>
      <c r="S15" s="5" t="s">
        <v>208</v>
      </c>
      <c r="X15" s="5" t="s">
        <v>208</v>
      </c>
      <c r="AC15" s="5" t="s">
        <v>208</v>
      </c>
      <c r="AH15" s="5" t="s">
        <v>275</v>
      </c>
      <c r="AI15" s="5">
        <v>2024</v>
      </c>
      <c r="AJ15" s="5" t="s">
        <v>304</v>
      </c>
      <c r="AK15" s="5"/>
      <c r="AR15" s="5" t="s">
        <v>241</v>
      </c>
      <c r="AS15" s="5" t="s">
        <v>241</v>
      </c>
      <c r="AT15" s="5" t="s">
        <v>241</v>
      </c>
      <c r="AU15" s="5" t="s">
        <v>241</v>
      </c>
      <c r="AV15" s="5" t="s">
        <v>285</v>
      </c>
      <c r="AW15" s="5" t="s">
        <v>204</v>
      </c>
      <c r="AX15" s="5" t="s">
        <v>206</v>
      </c>
      <c r="BF15" s="5" t="s">
        <v>204</v>
      </c>
      <c r="BG15" s="5" t="s">
        <v>207</v>
      </c>
      <c r="BH15" s="5" t="s">
        <v>215</v>
      </c>
      <c r="BI15" s="5" t="s">
        <v>207</v>
      </c>
      <c r="BJ15" s="5" t="s">
        <v>215</v>
      </c>
      <c r="BK15" s="5" t="s">
        <v>216</v>
      </c>
      <c r="BL15" s="5" t="s">
        <v>216</v>
      </c>
      <c r="BM15" s="5" t="s">
        <v>216</v>
      </c>
      <c r="BN15" s="5" t="s">
        <v>216</v>
      </c>
      <c r="BO15" s="5" t="s">
        <v>216</v>
      </c>
      <c r="BP15" s="5" t="s">
        <v>216</v>
      </c>
      <c r="BQ15" s="5" t="s">
        <v>216</v>
      </c>
      <c r="BR15" s="5" t="s">
        <v>216</v>
      </c>
      <c r="BS15" s="5" t="s">
        <v>217</v>
      </c>
      <c r="BT15" s="5" t="s">
        <v>217</v>
      </c>
      <c r="BU15" s="5" t="s">
        <v>247</v>
      </c>
      <c r="BV15" s="5" t="s">
        <v>217</v>
      </c>
      <c r="BW15" s="5" t="s">
        <v>217</v>
      </c>
      <c r="BX15" s="5" t="s">
        <v>217</v>
      </c>
      <c r="BY15" s="5" t="s">
        <v>217</v>
      </c>
      <c r="BZ15" s="5" t="s">
        <v>216</v>
      </c>
      <c r="CA15" s="5" t="s">
        <v>216</v>
      </c>
      <c r="CB15" s="5" t="s">
        <v>216</v>
      </c>
      <c r="CC15" s="5" t="s">
        <v>216</v>
      </c>
      <c r="CD15" s="5" t="s">
        <v>206</v>
      </c>
      <c r="CH15" s="5" t="s">
        <v>206</v>
      </c>
      <c r="CI15" s="5" t="s">
        <v>249</v>
      </c>
      <c r="CJ15" s="5">
        <v>4</v>
      </c>
      <c r="CK15" s="5" t="s">
        <v>223</v>
      </c>
      <c r="CU15" s="5" t="s">
        <v>206</v>
      </c>
      <c r="DA15" s="5" t="s">
        <v>231</v>
      </c>
      <c r="DB15" s="5"/>
      <c r="DC15" s="5" t="s">
        <v>251</v>
      </c>
      <c r="DD15" s="5"/>
      <c r="DE15" s="5" t="s">
        <v>230</v>
      </c>
      <c r="DF15" s="5"/>
      <c r="DG15" s="5" t="s">
        <v>230</v>
      </c>
      <c r="DH15" s="5"/>
      <c r="DI15" s="5" t="s">
        <v>251</v>
      </c>
      <c r="DJ15" s="5"/>
      <c r="DK15" s="5" t="s">
        <v>251</v>
      </c>
      <c r="DL15" s="5"/>
      <c r="DM15" s="5" t="s">
        <v>251</v>
      </c>
      <c r="DN15" s="5"/>
      <c r="DO15" s="5" t="s">
        <v>281</v>
      </c>
      <c r="DP15" s="5"/>
      <c r="DQ15" s="5" t="s">
        <v>252</v>
      </c>
      <c r="DR15" s="5"/>
      <c r="DS15" s="5" t="s">
        <v>281</v>
      </c>
      <c r="DT15" s="5"/>
      <c r="DU15" s="5" t="s">
        <v>281</v>
      </c>
      <c r="DV15" s="5"/>
      <c r="DW15" s="5" t="s">
        <v>281</v>
      </c>
      <c r="DX15" s="5"/>
      <c r="DY15" s="5"/>
      <c r="DZ15" s="5"/>
      <c r="EA15" s="5" t="s">
        <v>232</v>
      </c>
      <c r="EB15" s="5"/>
      <c r="EC15" s="5" t="s">
        <v>247</v>
      </c>
      <c r="ED15" s="5"/>
      <c r="EE15" s="5" t="s">
        <v>253</v>
      </c>
      <c r="EF15" s="5"/>
      <c r="EG15" s="5"/>
      <c r="EH15" s="5"/>
      <c r="EI15" s="5" t="s">
        <v>247</v>
      </c>
      <c r="EJ15" s="5"/>
      <c r="EK15" s="5" t="s">
        <v>254</v>
      </c>
      <c r="EL15" s="5"/>
      <c r="EM15" s="5" t="s">
        <v>248</v>
      </c>
      <c r="EN15" s="5"/>
      <c r="EO15" s="5"/>
      <c r="EP15" s="5"/>
      <c r="EQ15" s="5" t="s">
        <v>254</v>
      </c>
      <c r="ER15" s="5"/>
      <c r="ES15" s="5" t="s">
        <v>232</v>
      </c>
      <c r="ET15" s="5"/>
      <c r="EU15" s="5" t="s">
        <v>254</v>
      </c>
      <c r="EV15" s="5"/>
      <c r="EW15" s="5" t="s">
        <v>254</v>
      </c>
      <c r="EX15" s="5"/>
      <c r="EY15" s="5"/>
      <c r="EZ15" s="5"/>
      <c r="FA15" s="5" t="s">
        <v>253</v>
      </c>
      <c r="FB15" s="5"/>
      <c r="FC15" s="5" t="s">
        <v>253</v>
      </c>
      <c r="FD15" s="5"/>
      <c r="FE15" s="5" t="s">
        <v>253</v>
      </c>
      <c r="FF15" s="5"/>
      <c r="FG15" s="5"/>
      <c r="FH15" s="5"/>
      <c r="FI15" s="5" t="s">
        <v>247</v>
      </c>
      <c r="FJ15" s="5"/>
      <c r="FK15" s="5" t="s">
        <v>247</v>
      </c>
      <c r="FL15" s="5"/>
      <c r="FM15" s="5" t="s">
        <v>253</v>
      </c>
      <c r="FN15" s="5"/>
      <c r="FO15" s="5"/>
      <c r="FP15" s="5"/>
      <c r="FQ15" s="5" t="s">
        <v>206</v>
      </c>
      <c r="FR15" s="5"/>
      <c r="FS15" s="5" t="s">
        <v>206</v>
      </c>
      <c r="FT15" s="5"/>
      <c r="FU15" s="5" t="s">
        <v>206</v>
      </c>
      <c r="FV15" s="5"/>
      <c r="FW15" s="5" t="s">
        <v>206</v>
      </c>
      <c r="FX15" s="5"/>
      <c r="FY15" s="5" t="s">
        <v>206</v>
      </c>
      <c r="FZ15" s="5"/>
      <c r="GA15" s="5" t="s">
        <v>206</v>
      </c>
      <c r="GB15" s="5"/>
      <c r="GC15" s="5" t="s">
        <v>206</v>
      </c>
      <c r="GD15" s="5"/>
      <c r="GE15" s="5"/>
      <c r="GF15" s="5"/>
      <c r="GG15" s="5" t="s">
        <v>255</v>
      </c>
      <c r="GH15" s="5" t="s">
        <v>255</v>
      </c>
      <c r="GI15" s="5" t="s">
        <v>255</v>
      </c>
      <c r="GJ15" s="5" t="s">
        <v>255</v>
      </c>
      <c r="GK15" s="5" t="s">
        <v>233</v>
      </c>
      <c r="GL15" s="5" t="s">
        <v>273</v>
      </c>
      <c r="GM15" s="5" t="s">
        <v>255</v>
      </c>
      <c r="GN15" s="5" t="s">
        <v>234</v>
      </c>
      <c r="GO15" s="5" t="s">
        <v>234</v>
      </c>
      <c r="GP15" s="5" t="s">
        <v>234</v>
      </c>
      <c r="GQ15" s="5" t="s">
        <v>234</v>
      </c>
      <c r="GR15" s="5" t="s">
        <v>234</v>
      </c>
      <c r="GS15" s="5" t="s">
        <v>244</v>
      </c>
      <c r="GT15" s="5" t="s">
        <v>234</v>
      </c>
      <c r="GU15" s="5" t="s">
        <v>305</v>
      </c>
      <c r="GV15" s="5" t="str">
        <f>TEXT("6261730094443066883","0")</f>
        <v>6261730094443060000</v>
      </c>
    </row>
    <row r="16" spans="1:204" ht="15.75" customHeight="1" x14ac:dyDescent="0.15">
      <c r="A16" s="1">
        <f>ROW(A16)</f>
        <v>16</v>
      </c>
      <c r="B16" s="4">
        <v>45827.74145833333</v>
      </c>
      <c r="C16" s="5" t="s">
        <v>204</v>
      </c>
      <c r="D16" s="5" t="s">
        <v>206</v>
      </c>
      <c r="F16" s="5" t="s">
        <v>206</v>
      </c>
      <c r="G16" s="5" t="s">
        <v>206</v>
      </c>
      <c r="H16" s="5" t="s">
        <v>206</v>
      </c>
      <c r="L16" s="5" t="s">
        <v>236</v>
      </c>
      <c r="O16" s="5" t="s">
        <v>209</v>
      </c>
      <c r="T16" s="5" t="s">
        <v>209</v>
      </c>
      <c r="Y16" s="5" t="s">
        <v>209</v>
      </c>
      <c r="AE16" s="5" t="s">
        <v>237</v>
      </c>
      <c r="AH16" s="5" t="s">
        <v>268</v>
      </c>
      <c r="AI16" s="5">
        <v>2010</v>
      </c>
      <c r="AJ16" s="5" t="s">
        <v>238</v>
      </c>
      <c r="AK16" s="5" t="str">
        <f>IF(OR(AJ16="Empleada del sector privado",AJ16="Empleada del sector público"),"Asalariada",
IF(AJ16="Trabajadora por cuenta propia","Trabajadora por cuenta propia",""))</f>
        <v>Trabajadora por cuenta propia</v>
      </c>
      <c r="AL16" s="5" t="s">
        <v>239</v>
      </c>
      <c r="AP16" s="5" t="s">
        <v>240</v>
      </c>
      <c r="AR16" s="5" t="s">
        <v>261</v>
      </c>
      <c r="AS16" s="5" t="s">
        <v>276</v>
      </c>
      <c r="AT16" s="5" t="s">
        <v>276</v>
      </c>
      <c r="AU16" s="5" t="s">
        <v>276</v>
      </c>
      <c r="AV16" s="5" t="s">
        <v>269</v>
      </c>
      <c r="AW16" s="5" t="s">
        <v>204</v>
      </c>
      <c r="AX16" s="5" t="s">
        <v>204</v>
      </c>
      <c r="AY16" s="5" t="s">
        <v>214</v>
      </c>
      <c r="AZ16" s="5" t="s">
        <v>204</v>
      </c>
      <c r="BA16" s="5" t="s">
        <v>295</v>
      </c>
      <c r="BB16" s="5" t="s">
        <v>204</v>
      </c>
      <c r="BC16" s="5" t="s">
        <v>204</v>
      </c>
      <c r="BD16" s="5" t="s">
        <v>306</v>
      </c>
      <c r="BE16" s="5" t="s">
        <v>204</v>
      </c>
      <c r="BF16" s="5" t="s">
        <v>204</v>
      </c>
      <c r="BG16" s="5" t="s">
        <v>207</v>
      </c>
      <c r="BH16" s="5" t="s">
        <v>242</v>
      </c>
      <c r="BI16" s="5" t="s">
        <v>207</v>
      </c>
      <c r="BJ16" s="5" t="s">
        <v>215</v>
      </c>
      <c r="BK16" s="5" t="s">
        <v>244</v>
      </c>
      <c r="BL16" s="5" t="s">
        <v>216</v>
      </c>
      <c r="BM16" s="5" t="s">
        <v>243</v>
      </c>
      <c r="BN16" s="5" t="s">
        <v>216</v>
      </c>
      <c r="BO16" s="5" t="s">
        <v>243</v>
      </c>
      <c r="BP16" s="5" t="s">
        <v>243</v>
      </c>
      <c r="BQ16" s="5" t="s">
        <v>246</v>
      </c>
      <c r="BR16" s="5" t="s">
        <v>216</v>
      </c>
      <c r="BS16" s="5" t="s">
        <v>247</v>
      </c>
      <c r="BT16" s="5" t="s">
        <v>217</v>
      </c>
      <c r="BU16" s="5" t="s">
        <v>217</v>
      </c>
      <c r="BV16" s="5" t="s">
        <v>217</v>
      </c>
      <c r="BW16" s="5" t="s">
        <v>217</v>
      </c>
      <c r="BX16" s="5" t="s">
        <v>217</v>
      </c>
      <c r="BY16" s="5" t="s">
        <v>217</v>
      </c>
      <c r="BZ16" s="5" t="s">
        <v>243</v>
      </c>
      <c r="CA16" s="5" t="s">
        <v>244</v>
      </c>
      <c r="CB16" s="5" t="s">
        <v>244</v>
      </c>
      <c r="CC16" s="5" t="s">
        <v>243</v>
      </c>
      <c r="CD16" s="5" t="s">
        <v>206</v>
      </c>
      <c r="CH16" s="5" t="s">
        <v>206</v>
      </c>
      <c r="CI16" s="5" t="s">
        <v>307</v>
      </c>
      <c r="CJ16" s="5">
        <v>2</v>
      </c>
      <c r="CK16" s="5" t="s">
        <v>223</v>
      </c>
      <c r="CU16" s="5" t="s">
        <v>206</v>
      </c>
      <c r="DA16" s="5" t="s">
        <v>231</v>
      </c>
      <c r="DB16" s="5">
        <f>IF(DA16="Mejor que lo habitual",1,
IF(DA16="Igual que lo habitual",2,
IF(DA16="Menos que lo habitual",3,
IF(DA16="Mucho menos que lo habitual",4,""))))</f>
        <v>2</v>
      </c>
      <c r="DC16" s="5" t="s">
        <v>230</v>
      </c>
      <c r="DD16" s="5">
        <f>IF(DC16="No, en absoluto",1,
IF(DC16="No más que lo habitual",2,
IF(DC16="Bastante más que lo habitual",3,
IF(DC16="Mucho más que lo habitual",4,""))))</f>
        <v>2</v>
      </c>
      <c r="DE16" s="5" t="s">
        <v>230</v>
      </c>
      <c r="DF16" s="5">
        <f>IF(DE16="No, en absoluto",1,
IF(DE16="No más que lo habitual",2,
IF(DE16="Bastante más que lo habitual",3,
IF(DE16="Mucho más que lo habitual",4,""))))</f>
        <v>2</v>
      </c>
      <c r="DG16" s="5" t="s">
        <v>250</v>
      </c>
      <c r="DH16" s="5">
        <f>IF(DG16="No, en absoluto",1,
IF(DG16="No más que lo habitual",2,
IF(DG16="Bastante más que lo habitual",3,
IF(DG16="Mucho más que lo habitual",4,""))))</f>
        <v>3</v>
      </c>
      <c r="DI16" s="5" t="s">
        <v>250</v>
      </c>
      <c r="DJ16" s="5">
        <f>IF(DI16="No, en absoluto",1,
IF(DI16="No más que lo habitual",2,
IF(DI16="Bastante más que lo habitual",3,
IF(DI16="Mucho más que lo habitual",4,""))))</f>
        <v>3</v>
      </c>
      <c r="DK16" s="5" t="s">
        <v>250</v>
      </c>
      <c r="DL16" s="5">
        <f>IF(DK16="No, en absoluto",1,
IF(DK16="No más que lo habitual",2,
IF(DK16="Bastante más que lo habitual",3,
IF(DK16="Mucho más que lo habitual",4,""))))</f>
        <v>3</v>
      </c>
      <c r="DM16" s="5" t="s">
        <v>230</v>
      </c>
      <c r="DN16" s="5">
        <f>IF(DM16="No, en absoluto",1,
IF(DM16="No más que lo habitual",2,
IF(DM16="Bastante más que lo habitual",3,
IF(DM16="Mucho más que lo habitual",4,""))))</f>
        <v>2</v>
      </c>
      <c r="DO16" s="5" t="s">
        <v>281</v>
      </c>
      <c r="DP16" s="5">
        <f>IF(DO16="Más que lo habitual",1,
IF(DO16="Igual que lo habitual",2,
IF(DO16="Menos que lo habitual",3,
IF(DO16="Mucho menos que lo habitual",4,""))))</f>
        <v>1</v>
      </c>
      <c r="DQ16" s="5" t="s">
        <v>281</v>
      </c>
      <c r="DR16" s="5">
        <f>IF(DQ16="Más que lo habitual",1,
IF(DQ16="Igual que lo habitual",2,
IF(DQ16="Menos que lo habitual",3,
IF(DQ16="Mucho menos que lo habitual",4,""))))</f>
        <v>1</v>
      </c>
      <c r="DS16" s="5" t="s">
        <v>231</v>
      </c>
      <c r="DT16" s="5">
        <f>IF(DS16="Más que lo habitual",1,
IF(DS16="Igual que lo habitual",2,
IF(DS16="Menos que lo habitual",3,
IF(DS16="Mucho menos que lo habitual",4,""))))</f>
        <v>2</v>
      </c>
      <c r="DU16" s="5" t="s">
        <v>252</v>
      </c>
      <c r="DV16" s="5">
        <f>IF(DU16="Más que lo habitual",1,
IF(DU16="Igual que lo habitual",2,
IF(DU16="Menos que lo habitual",3,
IF(DU16="Mucho menos que lo habitual",4,""))))</f>
        <v>3</v>
      </c>
      <c r="DW16" s="5" t="s">
        <v>231</v>
      </c>
      <c r="DX16" s="5">
        <f>IF(DW16="Más que lo habitual",1,
IF(DW16="Igual que lo habitual",2,
IF(DW16="Menos que lo habitual",3,
IF(DW16="Mucho menos que lo habitual",4,""))))</f>
        <v>2</v>
      </c>
      <c r="DY16" s="5">
        <f>SUM(DB16,DD16,DF16,DH16,DJ16,DL16,DN16,DP16,DR16,DT16,DV16,DX16)</f>
        <v>26</v>
      </c>
      <c r="DZ16" s="5" t="str">
        <f>IF(DY16&lt;=18,"Nivel de riesgo bajo",
IF(DY16&lt;=23,"Nivel de riesgo medio",
"Nivel de riesgo alto"))</f>
        <v>Nivel de riesgo alto</v>
      </c>
      <c r="EA16" s="5" t="s">
        <v>248</v>
      </c>
      <c r="EB16" s="5">
        <f>IF(EA16="Nunca/ casi nunca",0,
IF(EA16="Rara vez",1,
IF(EA16="A veces",2,
IF(EA16="A menudo",3,
IF(EA16="Siempre",4,"")))))</f>
        <v>1</v>
      </c>
      <c r="EC16" s="5" t="s">
        <v>248</v>
      </c>
      <c r="ED16" s="5">
        <f>IF(EC16="Nunca/ casi nunca",0,
IF(EC16="Rara vez",1,
IF(EC16="A veces",2,
IF(EC16="A menudo",3,
IF(EC16="Siempre",4,"")))))</f>
        <v>1</v>
      </c>
      <c r="EE16" s="5" t="s">
        <v>248</v>
      </c>
      <c r="EF16" s="5">
        <f>IF(EE16="Nunca/ casi nunca",0,
IF(EE16="Rara vez",1,
IF(EE16="A veces",2,
IF(EE16="A menudo",3,
IF(EE16="Siempre",4,"")))))</f>
        <v>1</v>
      </c>
      <c r="EG16" s="5">
        <f>SUM(EB16,ED16,EF16)</f>
        <v>3</v>
      </c>
      <c r="EH16" s="5" t="str">
        <f>IF(EG16&lt;=1,"Nivel de riesgo bajo",
IF(EG16&lt;=4,"Nivel de riesgo medio",
"Nivel de riesgo alto"))</f>
        <v>Nivel de riesgo medio</v>
      </c>
      <c r="EI16" s="5" t="s">
        <v>253</v>
      </c>
      <c r="EJ16" s="5">
        <f>IF(EI16="Nunca/ casi nunca",0,
IF(EI16="Rara vez",1,
IF(EI16="A veces",2,
IF(EI16="A menudo",3,
IF(EI16="Siempre",4,"")))))</f>
        <v>0</v>
      </c>
      <c r="EK16" s="5" t="s">
        <v>253</v>
      </c>
      <c r="EL16" s="5">
        <f>IF(EK16="Nunca/ casi nunca",0,
IF(EK16="Rara vez",1,
IF(EK16="A veces",2,
IF(EK16="A menudo",3,
IF(EK16="Siempre",4,"")))))</f>
        <v>0</v>
      </c>
      <c r="EM16" s="5" t="s">
        <v>253</v>
      </c>
      <c r="EN16" s="5">
        <f>IF(EM16="Nunca/ casi nunca",0,
IF(EM16="Rara vez",1,
IF(EM16="A veces",2,
IF(EM16="A menudo",3,
IF(EM16="Siempre",4,"")))))</f>
        <v>0</v>
      </c>
      <c r="EO16" s="5">
        <f>SUM(EJ16,EL16,EN16)</f>
        <v>0</v>
      </c>
      <c r="EP16" s="5" t="str">
        <f>IF(EO16&lt;=1,"Nivel de riesgo bajo",
IF(EO16&lt;=5,"Nivel de riesgo medio",
"Nivel de riesgo alto"))</f>
        <v>Nivel de riesgo bajo</v>
      </c>
      <c r="EQ16" s="5" t="s">
        <v>254</v>
      </c>
      <c r="ER16" s="5">
        <f>IF(EQ16="Nunca/ casi nunca",4,
IF(EQ16="Rara vez",3,
IF(EQ16="A veces",2,
IF(EQ16="A menudo",1,
IF(EQ16="Siempre",0,"")))))</f>
        <v>0</v>
      </c>
      <c r="ES16" s="5" t="s">
        <v>254</v>
      </c>
      <c r="ET16" s="5">
        <f>IF(ES16="Nunca/ casi nunca",4,
IF(ES16="Rara vez",3,
IF(ES16="A veces",2,
IF(ES16="A menudo",1,
IF(ES16="Siempre",0,"")))))</f>
        <v>0</v>
      </c>
      <c r="EU16" s="5" t="s">
        <v>254</v>
      </c>
      <c r="EV16" s="5">
        <f>IF(EU16="Nunca/ casi nunca",4,
IF(EU16="Rara vez",3,
IF(EU16="A veces",2,
IF(EU16="A menudo",1,
IF(EU16="Siempre",0,"")))))</f>
        <v>0</v>
      </c>
      <c r="EW16" s="5" t="s">
        <v>254</v>
      </c>
      <c r="EX16" s="5">
        <f>IF(EW16="Nunca/ casi nunca",4,
IF(EW16="Rara vez",3,
IF(EW16="A veces",2,
IF(EW16="A menudo",1,
IF(EW16="Siempre",0,"")))))</f>
        <v>0</v>
      </c>
      <c r="EY16" s="5">
        <f>SUM(ER16,ET16,EV16,EX16)</f>
        <v>0</v>
      </c>
      <c r="EZ16" s="5" t="str">
        <f>IF(EY16&lt;=0,"Nivel de riesgo bajo",
IF(EY16&lt;=4,"Nivel de riesgo medio",
"Nivel de riesgo alto"))</f>
        <v>Nivel de riesgo bajo</v>
      </c>
      <c r="FA16" s="5" t="s">
        <v>254</v>
      </c>
      <c r="FB16" s="5">
        <f>IF(FA16="Nunca/ casi nunca",0,
IF(FA16="Rara vez",1,
IF(FA16="A veces",2,
IF(FA16="A menudo",3,
IF(FA16="Siempre",4,"")))))</f>
        <v>4</v>
      </c>
      <c r="FC16" s="5" t="s">
        <v>254</v>
      </c>
      <c r="FD16" s="5">
        <f>IF(FC16="Nunca/ casi nunca",0,
IF(FC16="Rara vez",1,
IF(FC16="A veces",2,
IF(FC16="A menudo",3,
IF(FC16="Siempre",4,"")))))</f>
        <v>4</v>
      </c>
      <c r="FE16" s="5" t="s">
        <v>254</v>
      </c>
      <c r="FF16" s="5">
        <f>IF(FE16="Nunca/ casi nunca",0,
IF(FE16="Rara vez",1,
IF(FE16="A veces",2,
IF(FE16="A menudo",3,
IF(FE16="Siempre",4,"")))))</f>
        <v>4</v>
      </c>
      <c r="FG16" s="5">
        <f>SUM(FB16,FD16,FF16)</f>
        <v>12</v>
      </c>
      <c r="FH16" s="5" t="str">
        <f>IF(FG16&lt;=2,"Nivel de riesgo bajo",
IF(FG16&lt;=5,"Nivel de riesgo medio",
"Nivel de riesgo alto"))</f>
        <v>Nivel de riesgo alto</v>
      </c>
      <c r="FI16" s="5" t="s">
        <v>248</v>
      </c>
      <c r="FJ16" s="5">
        <f>IF(FI16="Nunca/ casi nunca",0,
IF(FI16="Rara vez",1,
IF(FI16="A veces",2,
IF(FI16="A menudo",3,
IF(FI16="Siempre",4,"")))))</f>
        <v>1</v>
      </c>
      <c r="FK16" s="5" t="s">
        <v>253</v>
      </c>
      <c r="FL16" s="5">
        <f>IF(FK16="Nunca/ casi nunca",0,
IF(FK16="Rara vez",1,
IF(FK16="A veces",2,
IF(FK16="A menudo",3,
IF(FK16="Siempre",4,"")))))</f>
        <v>0</v>
      </c>
      <c r="FM16" s="5" t="s">
        <v>253</v>
      </c>
      <c r="FN16" s="5">
        <f>IF(FM16="Nunca/ casi nunca",0,
IF(FM16="Rara vez",1,
IF(FM16="A veces",2,
IF(FM16="A menudo",3,
IF(FM16="Siempre",4,"")))))</f>
        <v>0</v>
      </c>
      <c r="FO16" s="5">
        <f>SUM(FJ16,FL16,FN16)</f>
        <v>1</v>
      </c>
      <c r="FP16" s="5" t="str">
        <f>IF(FO16&lt;=2,"Nivel de riesgo bajo",
IF(FO16&lt;=5,"Nivel de riesgo medio",
"Nivel de riesgo alto"))</f>
        <v>Nivel de riesgo bajo</v>
      </c>
      <c r="FQ16" s="5" t="s">
        <v>206</v>
      </c>
      <c r="FR16" s="5">
        <f>IF(FQ16="No",0,
IF(FQ16="Sí, unas pocas veces",1,
IF(FQ16="Sí, mensualmente",2,
IF(FQ16="Sí, semanalmente",3,
IF(FQ16="Sí, diariamente",4,"")))))</f>
        <v>0</v>
      </c>
      <c r="FS16" s="5" t="s">
        <v>206</v>
      </c>
      <c r="FT16" s="5">
        <f>IF(FS16="No",0,
IF(FS16="Sí, unas pocas veces",1,
IF(FS16="Sí, mensualmente",2,
IF(FS16="Sí, semanalmente",3,
IF(FS16="Sí, diariamente",4,"")))))</f>
        <v>0</v>
      </c>
      <c r="FU16" s="5" t="s">
        <v>206</v>
      </c>
      <c r="FV16" s="5">
        <f>IF(FU16="No",0,
IF(FU16="Sí, unas pocas veces",1,
IF(FU16="Sí, mensualmente",2,
IF(FU16="Sí, semanalmente",3,
IF(FU16="Sí, diariamente",4,"")))))</f>
        <v>0</v>
      </c>
      <c r="FW16" s="5" t="s">
        <v>206</v>
      </c>
      <c r="FX16" s="5">
        <f>IF(FW16="No",0,
IF(FW16="Sí, unas pocas veces",1,
IF(FW16="Sí, mensualmente",2,
IF(FW16="Sí, semanalmente",3,
IF(FW16="Sí, diariamente",4,"")))))</f>
        <v>0</v>
      </c>
      <c r="FY16" s="5" t="s">
        <v>206</v>
      </c>
      <c r="FZ16" s="5">
        <f>IF(FY16="No",0,
IF(FY16="Sí, unas pocas veces",1,
IF(FY16="Sí, mensualmente",2,
IF(FY16="Sí, semanalmente",3,
IF(FY16="Sí, diariamente",4,"")))))</f>
        <v>0</v>
      </c>
      <c r="GA16" s="5" t="s">
        <v>206</v>
      </c>
      <c r="GB16" s="5">
        <f>IF(GA16="No",0,
IF(GA16="Sí, unas pocas veces",1,
IF(GA16="Sí, mensualmente",2,
IF(GA16="Sí, semanalmente",3,
IF(GA16="Sí, diariamente",4,"")))))</f>
        <v>0</v>
      </c>
      <c r="GC16" s="5" t="s">
        <v>206</v>
      </c>
      <c r="GD16" s="5">
        <f>IF(GC16="No",0,
IF(GC16="Sí, unas pocas veces",1,
IF(GC16="Sí, mensualmente",2,
IF(GC16="Sí, semanalmente",3,
IF(GC16="Sí, diariamente",4,"")))))</f>
        <v>0</v>
      </c>
      <c r="GE16" s="5">
        <f>SUM(FR16,FT16,FV16,FX16,FZ16,GB16,GD16)</f>
        <v>0</v>
      </c>
      <c r="GF16" s="5" t="str">
        <f>IF(GE16&lt;=0,"Nivel de riesgo bajo",
IF(GE16&lt;=14,"Nivel de riesgo medio",
"Nivel de riesgo alto"))</f>
        <v>Nivel de riesgo bajo</v>
      </c>
      <c r="GG16" s="5" t="s">
        <v>255</v>
      </c>
      <c r="GH16" s="5" t="s">
        <v>255</v>
      </c>
      <c r="GI16" s="5" t="s">
        <v>255</v>
      </c>
      <c r="GJ16" s="5" t="s">
        <v>255</v>
      </c>
      <c r="GK16" s="5" t="s">
        <v>233</v>
      </c>
      <c r="GL16" s="5" t="s">
        <v>298</v>
      </c>
      <c r="GM16" s="5" t="s">
        <v>298</v>
      </c>
      <c r="GN16" s="5" t="s">
        <v>256</v>
      </c>
      <c r="GO16" s="5" t="s">
        <v>256</v>
      </c>
      <c r="GP16" s="5" t="s">
        <v>256</v>
      </c>
      <c r="GQ16" s="5" t="s">
        <v>256</v>
      </c>
      <c r="GR16" s="5" t="s">
        <v>243</v>
      </c>
      <c r="GS16" s="5" t="s">
        <v>243</v>
      </c>
      <c r="GT16" s="5" t="s">
        <v>243</v>
      </c>
      <c r="GU16" s="5" t="s">
        <v>308</v>
      </c>
      <c r="GV16" s="5" t="str">
        <f>TEXT("6261788624715619440","0")</f>
        <v>6261788624715610000</v>
      </c>
    </row>
    <row r="17" spans="1:204" ht="15.75" customHeight="1" x14ac:dyDescent="0.15">
      <c r="A17" s="1">
        <f>ROW(A17)</f>
        <v>17</v>
      </c>
      <c r="B17" s="4">
        <v>45827.805787037039</v>
      </c>
      <c r="C17" s="5" t="s">
        <v>204</v>
      </c>
      <c r="D17" s="5" t="s">
        <v>206</v>
      </c>
      <c r="F17" s="5" t="s">
        <v>206</v>
      </c>
      <c r="G17" s="5" t="s">
        <v>204</v>
      </c>
      <c r="H17" s="5" t="s">
        <v>204</v>
      </c>
      <c r="J17" s="5" t="s">
        <v>209</v>
      </c>
      <c r="O17" s="5" t="s">
        <v>209</v>
      </c>
      <c r="T17" s="5" t="s">
        <v>209</v>
      </c>
      <c r="Y17" s="5" t="s">
        <v>209</v>
      </c>
      <c r="AD17" s="5" t="s">
        <v>209</v>
      </c>
      <c r="AH17" s="5" t="s">
        <v>210</v>
      </c>
      <c r="AI17" s="5">
        <v>2021</v>
      </c>
      <c r="AJ17" s="5" t="s">
        <v>238</v>
      </c>
      <c r="AK17" s="5" t="str">
        <f>IF(OR(AJ17="Empleada del sector privado",AJ17="Empleada del sector público"),"Asalariada",
IF(AJ17="Trabajadora por cuenta propia","Trabajadora por cuenta propia",""))</f>
        <v>Trabajadora por cuenta propia</v>
      </c>
      <c r="AM17" s="5" t="s">
        <v>309</v>
      </c>
      <c r="AP17" s="5" t="s">
        <v>297</v>
      </c>
      <c r="AR17" s="5" t="s">
        <v>301</v>
      </c>
      <c r="AS17" s="5" t="s">
        <v>301</v>
      </c>
      <c r="AT17" s="5" t="s">
        <v>301</v>
      </c>
      <c r="AU17" s="5" t="s">
        <v>241</v>
      </c>
      <c r="AV17" s="5" t="s">
        <v>285</v>
      </c>
      <c r="AW17" s="5" t="s">
        <v>204</v>
      </c>
      <c r="AX17" s="5" t="s">
        <v>206</v>
      </c>
      <c r="BF17" s="5" t="s">
        <v>204</v>
      </c>
      <c r="BG17" s="5" t="s">
        <v>278</v>
      </c>
      <c r="BH17" s="5" t="s">
        <v>215</v>
      </c>
      <c r="BI17" s="5" t="s">
        <v>271</v>
      </c>
      <c r="BJ17" s="5" t="s">
        <v>215</v>
      </c>
      <c r="BK17" s="5" t="s">
        <v>244</v>
      </c>
      <c r="BL17" s="5" t="s">
        <v>246</v>
      </c>
      <c r="BM17" s="5" t="s">
        <v>216</v>
      </c>
      <c r="BN17" s="5" t="s">
        <v>216</v>
      </c>
      <c r="BO17" s="5" t="s">
        <v>246</v>
      </c>
      <c r="BP17" s="5" t="s">
        <v>246</v>
      </c>
      <c r="BQ17" s="5" t="s">
        <v>216</v>
      </c>
      <c r="BR17" s="5" t="s">
        <v>245</v>
      </c>
      <c r="BS17" s="5" t="s">
        <v>217</v>
      </c>
      <c r="BT17" s="5" t="s">
        <v>247</v>
      </c>
      <c r="BU17" s="5" t="s">
        <v>248</v>
      </c>
      <c r="BV17" s="5" t="s">
        <v>217</v>
      </c>
      <c r="BW17" s="5" t="s">
        <v>248</v>
      </c>
      <c r="BX17" s="5" t="s">
        <v>248</v>
      </c>
      <c r="BY17" s="5" t="s">
        <v>217</v>
      </c>
      <c r="BZ17" s="5" t="s">
        <v>216</v>
      </c>
      <c r="CA17" s="5" t="s">
        <v>216</v>
      </c>
      <c r="CB17" s="5" t="s">
        <v>216</v>
      </c>
      <c r="CC17" s="5" t="s">
        <v>246</v>
      </c>
      <c r="CD17" s="5" t="s">
        <v>206</v>
      </c>
      <c r="CH17" s="5" t="s">
        <v>310</v>
      </c>
      <c r="CI17" s="5" t="s">
        <v>291</v>
      </c>
      <c r="CJ17" s="5">
        <v>5</v>
      </c>
      <c r="CK17" s="5" t="s">
        <v>223</v>
      </c>
      <c r="CU17" s="5" t="s">
        <v>206</v>
      </c>
      <c r="DA17" s="5" t="s">
        <v>231</v>
      </c>
      <c r="DB17" s="5">
        <f>IF(DA17="Mejor que lo habitual",1,
IF(DA17="Igual que lo habitual",2,
IF(DA17="Menos que lo habitual",3,
IF(DA17="Mucho menos que lo habitual",4,""))))</f>
        <v>2</v>
      </c>
      <c r="DC17" s="5" t="s">
        <v>230</v>
      </c>
      <c r="DD17" s="5">
        <f>IF(DC17="No, en absoluto",1,
IF(DC17="No más que lo habitual",2,
IF(DC17="Bastante más que lo habitual",3,
IF(DC17="Mucho más que lo habitual",4,""))))</f>
        <v>2</v>
      </c>
      <c r="DE17" s="5" t="s">
        <v>251</v>
      </c>
      <c r="DF17" s="5">
        <f>IF(DE17="No, en absoluto",1,
IF(DE17="No más que lo habitual",2,
IF(DE17="Bastante más que lo habitual",3,
IF(DE17="Mucho más que lo habitual",4,""))))</f>
        <v>1</v>
      </c>
      <c r="DG17" s="5" t="s">
        <v>230</v>
      </c>
      <c r="DH17" s="5">
        <f>IF(DG17="No, en absoluto",1,
IF(DG17="No más que lo habitual",2,
IF(DG17="Bastante más que lo habitual",3,
IF(DG17="Mucho más que lo habitual",4,""))))</f>
        <v>2</v>
      </c>
      <c r="DI17" s="5" t="s">
        <v>230</v>
      </c>
      <c r="DJ17" s="5">
        <f>IF(DI17="No, en absoluto",1,
IF(DI17="No más que lo habitual",2,
IF(DI17="Bastante más que lo habitual",3,
IF(DI17="Mucho más que lo habitual",4,""))))</f>
        <v>2</v>
      </c>
      <c r="DK17" s="5" t="s">
        <v>251</v>
      </c>
      <c r="DL17" s="5">
        <f>IF(DK17="No, en absoluto",1,
IF(DK17="No más que lo habitual",2,
IF(DK17="Bastante más que lo habitual",3,
IF(DK17="Mucho más que lo habitual",4,""))))</f>
        <v>1</v>
      </c>
      <c r="DM17" s="5" t="s">
        <v>251</v>
      </c>
      <c r="DN17" s="5">
        <f>IF(DM17="No, en absoluto",1,
IF(DM17="No más que lo habitual",2,
IF(DM17="Bastante más que lo habitual",3,
IF(DM17="Mucho más que lo habitual",4,""))))</f>
        <v>1</v>
      </c>
      <c r="DO17" s="5" t="s">
        <v>252</v>
      </c>
      <c r="DP17" s="5">
        <f>IF(DO17="Más que lo habitual",1,
IF(DO17="Igual que lo habitual",2,
IF(DO17="Menos que lo habitual",3,
IF(DO17="Mucho menos que lo habitual",4,""))))</f>
        <v>3</v>
      </c>
      <c r="DQ17" s="5" t="s">
        <v>231</v>
      </c>
      <c r="DR17" s="5">
        <f>IF(DQ17="Más que lo habitual",1,
IF(DQ17="Igual que lo habitual",2,
IF(DQ17="Menos que lo habitual",3,
IF(DQ17="Mucho menos que lo habitual",4,""))))</f>
        <v>2</v>
      </c>
      <c r="DS17" s="5" t="s">
        <v>231</v>
      </c>
      <c r="DT17" s="5">
        <f>IF(DS17="Más que lo habitual",1,
IF(DS17="Igual que lo habitual",2,
IF(DS17="Menos que lo habitual",3,
IF(DS17="Mucho menos que lo habitual",4,""))))</f>
        <v>2</v>
      </c>
      <c r="DU17" s="5" t="s">
        <v>231</v>
      </c>
      <c r="DV17" s="5">
        <f>IF(DU17="Más que lo habitual",1,
IF(DU17="Igual que lo habitual",2,
IF(DU17="Menos que lo habitual",3,
IF(DU17="Mucho menos que lo habitual",4,""))))</f>
        <v>2</v>
      </c>
      <c r="DW17" s="5" t="s">
        <v>231</v>
      </c>
      <c r="DX17" s="5">
        <f>IF(DW17="Más que lo habitual",1,
IF(DW17="Igual que lo habitual",2,
IF(DW17="Menos que lo habitual",3,
IF(DW17="Mucho menos que lo habitual",4,""))))</f>
        <v>2</v>
      </c>
      <c r="DY17" s="5">
        <f>SUM(DB17,DD17,DF17,DH17,DJ17,DL17,DN17,DP17,DR17,DT17,DV17,DX17)</f>
        <v>22</v>
      </c>
      <c r="DZ17" s="5" t="str">
        <f>IF(DY17&lt;=18,"Nivel de riesgo bajo",
IF(DY17&lt;=23,"Nivel de riesgo medio",
"Nivel de riesgo alto"))</f>
        <v>Nivel de riesgo medio</v>
      </c>
      <c r="EA17" s="5" t="s">
        <v>253</v>
      </c>
      <c r="EB17" s="5">
        <f>IF(EA17="Nunca/ casi nunca",0,
IF(EA17="Rara vez",1,
IF(EA17="A veces",2,
IF(EA17="A menudo",3,
IF(EA17="Siempre",4,"")))))</f>
        <v>0</v>
      </c>
      <c r="EC17" s="5" t="s">
        <v>253</v>
      </c>
      <c r="ED17" s="5">
        <f>IF(EC17="Nunca/ casi nunca",0,
IF(EC17="Rara vez",1,
IF(EC17="A veces",2,
IF(EC17="A menudo",3,
IF(EC17="Siempre",4,"")))))</f>
        <v>0</v>
      </c>
      <c r="EE17" s="5" t="s">
        <v>253</v>
      </c>
      <c r="EF17" s="5">
        <f>IF(EE17="Nunca/ casi nunca",0,
IF(EE17="Rara vez",1,
IF(EE17="A veces",2,
IF(EE17="A menudo",3,
IF(EE17="Siempre",4,"")))))</f>
        <v>0</v>
      </c>
      <c r="EG17" s="5">
        <f>SUM(EB17,ED17,EF17)</f>
        <v>0</v>
      </c>
      <c r="EH17" s="5" t="str">
        <f>IF(EG17&lt;=1,"Nivel de riesgo bajo",
IF(EG17&lt;=4,"Nivel de riesgo medio",
"Nivel de riesgo alto"))</f>
        <v>Nivel de riesgo bajo</v>
      </c>
      <c r="EI17" s="5" t="s">
        <v>248</v>
      </c>
      <c r="EJ17" s="5">
        <f>IF(EI17="Nunca/ casi nunca",0,
IF(EI17="Rara vez",1,
IF(EI17="A veces",2,
IF(EI17="A menudo",3,
IF(EI17="Siempre",4,"")))))</f>
        <v>1</v>
      </c>
      <c r="EK17" s="5" t="s">
        <v>247</v>
      </c>
      <c r="EL17" s="5">
        <f>IF(EK17="Nunca/ casi nunca",0,
IF(EK17="Rara vez",1,
IF(EK17="A veces",2,
IF(EK17="A menudo",3,
IF(EK17="Siempre",4,"")))))</f>
        <v>2</v>
      </c>
      <c r="EM17" s="5" t="s">
        <v>247</v>
      </c>
      <c r="EN17" s="5">
        <f>IF(EM17="Nunca/ casi nunca",0,
IF(EM17="Rara vez",1,
IF(EM17="A veces",2,
IF(EM17="A menudo",3,
IF(EM17="Siempre",4,"")))))</f>
        <v>2</v>
      </c>
      <c r="EO17" s="5">
        <f>SUM(EJ17,EL17,EN17)</f>
        <v>5</v>
      </c>
      <c r="EP17" s="5" t="str">
        <f>IF(EO17&lt;=1,"Nivel de riesgo bajo",
IF(EO17&lt;=5,"Nivel de riesgo medio",
"Nivel de riesgo alto"))</f>
        <v>Nivel de riesgo medio</v>
      </c>
      <c r="EQ17" s="5" t="s">
        <v>247</v>
      </c>
      <c r="ER17" s="5">
        <f>IF(EQ17="Nunca/ casi nunca",4,
IF(EQ17="Rara vez",3,
IF(EQ17="A veces",2,
IF(EQ17="A menudo",1,
IF(EQ17="Siempre",0,"")))))</f>
        <v>2</v>
      </c>
      <c r="ES17" s="5" t="s">
        <v>254</v>
      </c>
      <c r="ET17" s="5">
        <f>IF(ES17="Nunca/ casi nunca",4,
IF(ES17="Rara vez",3,
IF(ES17="A veces",2,
IF(ES17="A menudo",1,
IF(ES17="Siempre",0,"")))))</f>
        <v>0</v>
      </c>
      <c r="EU17" s="5" t="s">
        <v>254</v>
      </c>
      <c r="EV17" s="5">
        <f>IF(EU17="Nunca/ casi nunca",4,
IF(EU17="Rara vez",3,
IF(EU17="A veces",2,
IF(EU17="A menudo",1,
IF(EU17="Siempre",0,"")))))</f>
        <v>0</v>
      </c>
      <c r="EW17" s="5" t="s">
        <v>254</v>
      </c>
      <c r="EX17" s="5">
        <f>IF(EW17="Nunca/ casi nunca",4,
IF(EW17="Rara vez",3,
IF(EW17="A veces",2,
IF(EW17="A menudo",1,
IF(EW17="Siempre",0,"")))))</f>
        <v>0</v>
      </c>
      <c r="EY17" s="5">
        <f>SUM(ER17,ET17,EV17,EX17)</f>
        <v>2</v>
      </c>
      <c r="EZ17" s="5" t="str">
        <f>IF(EY17&lt;=0,"Nivel de riesgo bajo",
IF(EY17&lt;=4,"Nivel de riesgo medio",
"Nivel de riesgo alto"))</f>
        <v>Nivel de riesgo medio</v>
      </c>
      <c r="FA17" s="5" t="s">
        <v>253</v>
      </c>
      <c r="FB17" s="5">
        <f>IF(FA17="Nunca/ casi nunca",0,
IF(FA17="Rara vez",1,
IF(FA17="A veces",2,
IF(FA17="A menudo",3,
IF(FA17="Siempre",4,"")))))</f>
        <v>0</v>
      </c>
      <c r="FC17" s="5" t="s">
        <v>248</v>
      </c>
      <c r="FD17" s="5">
        <f>IF(FC17="Nunca/ casi nunca",0,
IF(FC17="Rara vez",1,
IF(FC17="A veces",2,
IF(FC17="A menudo",3,
IF(FC17="Siempre",4,"")))))</f>
        <v>1</v>
      </c>
      <c r="FE17" s="5" t="s">
        <v>248</v>
      </c>
      <c r="FF17" s="5">
        <f>IF(FE17="Nunca/ casi nunca",0,
IF(FE17="Rara vez",1,
IF(FE17="A veces",2,
IF(FE17="A menudo",3,
IF(FE17="Siempre",4,"")))))</f>
        <v>1</v>
      </c>
      <c r="FG17" s="5">
        <f>SUM(FB17,FD17,FF17)</f>
        <v>2</v>
      </c>
      <c r="FH17" s="5" t="str">
        <f>IF(FG17&lt;=2,"Nivel de riesgo bajo",
IF(FG17&lt;=5,"Nivel de riesgo medio",
"Nivel de riesgo alto"))</f>
        <v>Nivel de riesgo bajo</v>
      </c>
      <c r="FI17" s="5" t="s">
        <v>253</v>
      </c>
      <c r="FJ17" s="5">
        <f>IF(FI17="Nunca/ casi nunca",0,
IF(FI17="Rara vez",1,
IF(FI17="A veces",2,
IF(FI17="A menudo",3,
IF(FI17="Siempre",4,"")))))</f>
        <v>0</v>
      </c>
      <c r="FK17" s="5" t="s">
        <v>253</v>
      </c>
      <c r="FL17" s="5">
        <f>IF(FK17="Nunca/ casi nunca",0,
IF(FK17="Rara vez",1,
IF(FK17="A veces",2,
IF(FK17="A menudo",3,
IF(FK17="Siempre",4,"")))))</f>
        <v>0</v>
      </c>
      <c r="FM17" s="5" t="s">
        <v>253</v>
      </c>
      <c r="FN17" s="5">
        <f>IF(FM17="Nunca/ casi nunca",0,
IF(FM17="Rara vez",1,
IF(FM17="A veces",2,
IF(FM17="A menudo",3,
IF(FM17="Siempre",4,"")))))</f>
        <v>0</v>
      </c>
      <c r="FO17" s="5">
        <f>SUM(FJ17,FL17,FN17)</f>
        <v>0</v>
      </c>
      <c r="FP17" s="5" t="str">
        <f>IF(FO17&lt;=2,"Nivel de riesgo bajo",
IF(FO17&lt;=5,"Nivel de riesgo medio",
"Nivel de riesgo alto"))</f>
        <v>Nivel de riesgo bajo</v>
      </c>
      <c r="FQ17" s="5" t="s">
        <v>206</v>
      </c>
      <c r="FR17" s="5">
        <f>IF(FQ17="No",0,
IF(FQ17="Sí, unas pocas veces",1,
IF(FQ17="Sí, mensualmente",2,
IF(FQ17="Sí, semanalmente",3,
IF(FQ17="Sí, diariamente",4,"")))))</f>
        <v>0</v>
      </c>
      <c r="FS17" s="5" t="s">
        <v>206</v>
      </c>
      <c r="FT17" s="5">
        <f>IF(FS17="No",0,
IF(FS17="Sí, unas pocas veces",1,
IF(FS17="Sí, mensualmente",2,
IF(FS17="Sí, semanalmente",3,
IF(FS17="Sí, diariamente",4,"")))))</f>
        <v>0</v>
      </c>
      <c r="FU17" s="5" t="s">
        <v>206</v>
      </c>
      <c r="FV17" s="5">
        <f>IF(FU17="No",0,
IF(FU17="Sí, unas pocas veces",1,
IF(FU17="Sí, mensualmente",2,
IF(FU17="Sí, semanalmente",3,
IF(FU17="Sí, diariamente",4,"")))))</f>
        <v>0</v>
      </c>
      <c r="FW17" s="5" t="s">
        <v>206</v>
      </c>
      <c r="FX17" s="5">
        <f>IF(FW17="No",0,
IF(FW17="Sí, unas pocas veces",1,
IF(FW17="Sí, mensualmente",2,
IF(FW17="Sí, semanalmente",3,
IF(FW17="Sí, diariamente",4,"")))))</f>
        <v>0</v>
      </c>
      <c r="FY17" s="5" t="s">
        <v>206</v>
      </c>
      <c r="FZ17" s="5">
        <f>IF(FY17="No",0,
IF(FY17="Sí, unas pocas veces",1,
IF(FY17="Sí, mensualmente",2,
IF(FY17="Sí, semanalmente",3,
IF(FY17="Sí, diariamente",4,"")))))</f>
        <v>0</v>
      </c>
      <c r="GA17" s="5" t="s">
        <v>206</v>
      </c>
      <c r="GB17" s="5">
        <f>IF(GA17="No",0,
IF(GA17="Sí, unas pocas veces",1,
IF(GA17="Sí, mensualmente",2,
IF(GA17="Sí, semanalmente",3,
IF(GA17="Sí, diariamente",4,"")))))</f>
        <v>0</v>
      </c>
      <c r="GC17" s="5" t="s">
        <v>206</v>
      </c>
      <c r="GD17" s="5">
        <f>IF(GC17="No",0,
IF(GC17="Sí, unas pocas veces",1,
IF(GC17="Sí, mensualmente",2,
IF(GC17="Sí, semanalmente",3,
IF(GC17="Sí, diariamente",4,"")))))</f>
        <v>0</v>
      </c>
      <c r="GE17" s="5">
        <f>SUM(FR17,FT17,FV17,FX17,FZ17,GB17,GD17)</f>
        <v>0</v>
      </c>
      <c r="GF17" s="5" t="str">
        <f>IF(GE17&lt;=0,"Nivel de riesgo bajo",
IF(GE17&lt;=14,"Nivel de riesgo medio",
"Nivel de riesgo alto"))</f>
        <v>Nivel de riesgo bajo</v>
      </c>
      <c r="GG17" s="5" t="s">
        <v>266</v>
      </c>
      <c r="GH17" s="5" t="s">
        <v>266</v>
      </c>
      <c r="GI17" s="5" t="s">
        <v>255</v>
      </c>
      <c r="GJ17" s="5" t="s">
        <v>233</v>
      </c>
      <c r="GK17" s="5" t="s">
        <v>233</v>
      </c>
      <c r="GL17" s="5" t="s">
        <v>298</v>
      </c>
      <c r="GM17" s="5" t="s">
        <v>233</v>
      </c>
      <c r="GN17" s="5" t="s">
        <v>256</v>
      </c>
      <c r="GO17" s="5" t="s">
        <v>234</v>
      </c>
      <c r="GP17" s="5" t="s">
        <v>234</v>
      </c>
      <c r="GQ17" s="5" t="s">
        <v>243</v>
      </c>
      <c r="GR17" s="5" t="s">
        <v>243</v>
      </c>
      <c r="GS17" s="5" t="s">
        <v>243</v>
      </c>
      <c r="GT17" s="5" t="s">
        <v>243</v>
      </c>
      <c r="GU17" s="5" t="s">
        <v>311</v>
      </c>
      <c r="GV17" s="5" t="str">
        <f>TEXT("6261844203118812709","0")</f>
        <v>6261844203118810000</v>
      </c>
    </row>
    <row r="18" spans="1:204" ht="15.75" customHeight="1" x14ac:dyDescent="0.15">
      <c r="A18" s="1">
        <f>ROW(A18)</f>
        <v>18</v>
      </c>
      <c r="B18" s="4">
        <v>45827.846041666664</v>
      </c>
      <c r="C18" s="5" t="s">
        <v>204</v>
      </c>
      <c r="D18" s="5" t="s">
        <v>204</v>
      </c>
      <c r="E18" s="5" t="s">
        <v>312</v>
      </c>
      <c r="F18" s="5" t="s">
        <v>206</v>
      </c>
      <c r="G18" s="5" t="s">
        <v>206</v>
      </c>
      <c r="H18" s="5" t="s">
        <v>206</v>
      </c>
      <c r="I18" s="5" t="s">
        <v>208</v>
      </c>
      <c r="N18" s="5" t="s">
        <v>208</v>
      </c>
      <c r="S18" s="5" t="s">
        <v>208</v>
      </c>
      <c r="X18" s="5" t="s">
        <v>208</v>
      </c>
      <c r="AC18" s="5" t="s">
        <v>208</v>
      </c>
      <c r="AH18" s="5" t="s">
        <v>313</v>
      </c>
      <c r="AI18" s="5">
        <v>1990</v>
      </c>
      <c r="AJ18" s="5" t="s">
        <v>238</v>
      </c>
      <c r="AK18" s="5" t="str">
        <f>IF(OR(AJ18="Empleada del sector privado",AJ18="Empleada del sector público"),"Asalariada",
IF(AJ18="Trabajadora por cuenta propia","Trabajadora por cuenta propia",""))</f>
        <v>Trabajadora por cuenta propia</v>
      </c>
      <c r="AM18" s="5" t="s">
        <v>309</v>
      </c>
      <c r="AP18" s="5" t="s">
        <v>314</v>
      </c>
      <c r="AR18" s="5" t="s">
        <v>301</v>
      </c>
      <c r="AS18" s="5" t="s">
        <v>301</v>
      </c>
      <c r="AT18" s="5" t="s">
        <v>301</v>
      </c>
      <c r="AU18" s="5" t="s">
        <v>301</v>
      </c>
      <c r="AV18" s="5" t="s">
        <v>302</v>
      </c>
      <c r="AW18" s="5" t="s">
        <v>206</v>
      </c>
      <c r="BF18" s="5" t="s">
        <v>204</v>
      </c>
      <c r="BG18" s="5" t="s">
        <v>207</v>
      </c>
      <c r="BH18" s="5" t="s">
        <v>207</v>
      </c>
      <c r="BI18" s="5" t="s">
        <v>207</v>
      </c>
      <c r="BJ18" s="5" t="s">
        <v>207</v>
      </c>
      <c r="BK18" s="5" t="s">
        <v>216</v>
      </c>
      <c r="BL18" s="5" t="s">
        <v>216</v>
      </c>
      <c r="BM18" s="5" t="s">
        <v>216</v>
      </c>
      <c r="BN18" s="5" t="s">
        <v>216</v>
      </c>
      <c r="BO18" s="5" t="s">
        <v>216</v>
      </c>
      <c r="BP18" s="5" t="s">
        <v>216</v>
      </c>
      <c r="BQ18" s="5" t="s">
        <v>216</v>
      </c>
      <c r="BR18" s="5" t="s">
        <v>216</v>
      </c>
      <c r="BS18" s="5" t="s">
        <v>217</v>
      </c>
      <c r="BT18" s="5" t="s">
        <v>217</v>
      </c>
      <c r="BU18" s="5" t="s">
        <v>217</v>
      </c>
      <c r="BV18" s="5" t="s">
        <v>217</v>
      </c>
      <c r="BW18" s="5" t="s">
        <v>217</v>
      </c>
      <c r="BX18" s="5" t="s">
        <v>217</v>
      </c>
      <c r="BY18" s="5" t="s">
        <v>217</v>
      </c>
      <c r="CD18" s="5" t="s">
        <v>206</v>
      </c>
      <c r="CH18" s="5" t="s">
        <v>206</v>
      </c>
      <c r="CI18" s="5" t="s">
        <v>206</v>
      </c>
      <c r="CJ18" s="5">
        <v>0</v>
      </c>
      <c r="CK18" s="5" t="s">
        <v>223</v>
      </c>
      <c r="CU18" s="5" t="s">
        <v>206</v>
      </c>
      <c r="DA18" s="5" t="s">
        <v>272</v>
      </c>
      <c r="DB18" s="5">
        <f>IF(DA18="Mejor que lo habitual",1,
IF(DA18="Igual que lo habitual",2,
IF(DA18="Menos que lo habitual",3,
IF(DA18="Mucho menos que lo habitual",4,""))))</f>
        <v>1</v>
      </c>
      <c r="DC18" s="5" t="s">
        <v>251</v>
      </c>
      <c r="DD18" s="5">
        <f>IF(DC18="No, en absoluto",1,
IF(DC18="No más que lo habitual",2,
IF(DC18="Bastante más que lo habitual",3,
IF(DC18="Mucho más que lo habitual",4,""))))</f>
        <v>1</v>
      </c>
      <c r="DE18" s="5" t="s">
        <v>251</v>
      </c>
      <c r="DF18" s="5">
        <f>IF(DE18="No, en absoluto",1,
IF(DE18="No más que lo habitual",2,
IF(DE18="Bastante más que lo habitual",3,
IF(DE18="Mucho más que lo habitual",4,""))))</f>
        <v>1</v>
      </c>
      <c r="DG18" s="5" t="s">
        <v>251</v>
      </c>
      <c r="DH18" s="5">
        <f>IF(DG18="No, en absoluto",1,
IF(DG18="No más que lo habitual",2,
IF(DG18="Bastante más que lo habitual",3,
IF(DG18="Mucho más que lo habitual",4,""))))</f>
        <v>1</v>
      </c>
      <c r="DI18" s="5" t="s">
        <v>251</v>
      </c>
      <c r="DJ18" s="5">
        <f>IF(DI18="No, en absoluto",1,
IF(DI18="No más que lo habitual",2,
IF(DI18="Bastante más que lo habitual",3,
IF(DI18="Mucho más que lo habitual",4,""))))</f>
        <v>1</v>
      </c>
      <c r="DK18" s="5" t="s">
        <v>251</v>
      </c>
      <c r="DL18" s="5">
        <f>IF(DK18="No, en absoluto",1,
IF(DK18="No más que lo habitual",2,
IF(DK18="Bastante más que lo habitual",3,
IF(DK18="Mucho más que lo habitual",4,""))))</f>
        <v>1</v>
      </c>
      <c r="DM18" s="5" t="s">
        <v>251</v>
      </c>
      <c r="DN18" s="5">
        <f>IF(DM18="No, en absoluto",1,
IF(DM18="No más que lo habitual",2,
IF(DM18="Bastante más que lo habitual",3,
IF(DM18="Mucho más que lo habitual",4,""))))</f>
        <v>1</v>
      </c>
      <c r="DO18" s="5" t="s">
        <v>281</v>
      </c>
      <c r="DP18" s="5">
        <f>IF(DO18="Más que lo habitual",1,
IF(DO18="Igual que lo habitual",2,
IF(DO18="Menos que lo habitual",3,
IF(DO18="Mucho menos que lo habitual",4,""))))</f>
        <v>1</v>
      </c>
      <c r="DQ18" s="5" t="s">
        <v>281</v>
      </c>
      <c r="DR18" s="5">
        <f>IF(DQ18="Más que lo habitual",1,
IF(DQ18="Igual que lo habitual",2,
IF(DQ18="Menos que lo habitual",3,
IF(DQ18="Mucho menos que lo habitual",4,""))))</f>
        <v>1</v>
      </c>
      <c r="DS18" s="5" t="s">
        <v>281</v>
      </c>
      <c r="DT18" s="5">
        <f>IF(DS18="Más que lo habitual",1,
IF(DS18="Igual que lo habitual",2,
IF(DS18="Menos que lo habitual",3,
IF(DS18="Mucho menos que lo habitual",4,""))))</f>
        <v>1</v>
      </c>
      <c r="DU18" s="5" t="s">
        <v>281</v>
      </c>
      <c r="DV18" s="5">
        <f>IF(DU18="Más que lo habitual",1,
IF(DU18="Igual que lo habitual",2,
IF(DU18="Menos que lo habitual",3,
IF(DU18="Mucho menos que lo habitual",4,""))))</f>
        <v>1</v>
      </c>
      <c r="DW18" s="5" t="s">
        <v>281</v>
      </c>
      <c r="DX18" s="5">
        <f>IF(DW18="Más que lo habitual",1,
IF(DW18="Igual que lo habitual",2,
IF(DW18="Menos que lo habitual",3,
IF(DW18="Mucho menos que lo habitual",4,""))))</f>
        <v>1</v>
      </c>
      <c r="DY18" s="5">
        <f>SUM(DB18,DD18,DF18,DH18,DJ18,DL18,DN18,DP18,DR18,DT18,DV18,DX18)</f>
        <v>12</v>
      </c>
      <c r="DZ18" s="5" t="str">
        <f>IF(DY18&lt;=18,"Nivel de riesgo bajo",
IF(DY18&lt;=23,"Nivel de riesgo medio",
"Nivel de riesgo alto"))</f>
        <v>Nivel de riesgo bajo</v>
      </c>
      <c r="EA18" s="5" t="s">
        <v>253</v>
      </c>
      <c r="EB18" s="5">
        <f>IF(EA18="Nunca/ casi nunca",0,
IF(EA18="Rara vez",1,
IF(EA18="A veces",2,
IF(EA18="A menudo",3,
IF(EA18="Siempre",4,"")))))</f>
        <v>0</v>
      </c>
      <c r="EC18" s="5" t="s">
        <v>253</v>
      </c>
      <c r="ED18" s="5">
        <f>IF(EC18="Nunca/ casi nunca",0,
IF(EC18="Rara vez",1,
IF(EC18="A veces",2,
IF(EC18="A menudo",3,
IF(EC18="Siempre",4,"")))))</f>
        <v>0</v>
      </c>
      <c r="EE18" s="5" t="s">
        <v>253</v>
      </c>
      <c r="EF18" s="5">
        <f>IF(EE18="Nunca/ casi nunca",0,
IF(EE18="Rara vez",1,
IF(EE18="A veces",2,
IF(EE18="A menudo",3,
IF(EE18="Siempre",4,"")))))</f>
        <v>0</v>
      </c>
      <c r="EG18" s="5">
        <f>SUM(EB18,ED18,EF18)</f>
        <v>0</v>
      </c>
      <c r="EH18" s="5" t="str">
        <f>IF(EG18&lt;=1,"Nivel de riesgo bajo",
IF(EG18&lt;=4,"Nivel de riesgo medio",
"Nivel de riesgo alto"))</f>
        <v>Nivel de riesgo bajo</v>
      </c>
      <c r="EI18" s="5" t="s">
        <v>253</v>
      </c>
      <c r="EJ18" s="5">
        <f>IF(EI18="Nunca/ casi nunca",0,
IF(EI18="Rara vez",1,
IF(EI18="A veces",2,
IF(EI18="A menudo",3,
IF(EI18="Siempre",4,"")))))</f>
        <v>0</v>
      </c>
      <c r="EK18" s="5" t="s">
        <v>253</v>
      </c>
      <c r="EL18" s="5">
        <f>IF(EK18="Nunca/ casi nunca",0,
IF(EK18="Rara vez",1,
IF(EK18="A veces",2,
IF(EK18="A menudo",3,
IF(EK18="Siempre",4,"")))))</f>
        <v>0</v>
      </c>
      <c r="EM18" s="5" t="s">
        <v>253</v>
      </c>
      <c r="EN18" s="5">
        <f>IF(EM18="Nunca/ casi nunca",0,
IF(EM18="Rara vez",1,
IF(EM18="A veces",2,
IF(EM18="A menudo",3,
IF(EM18="Siempre",4,"")))))</f>
        <v>0</v>
      </c>
      <c r="EO18" s="5">
        <f>SUM(EJ18,EL18,EN18)</f>
        <v>0</v>
      </c>
      <c r="EP18" s="5" t="str">
        <f>IF(EO18&lt;=1,"Nivel de riesgo bajo",
IF(EO18&lt;=5,"Nivel de riesgo medio",
"Nivel de riesgo alto"))</f>
        <v>Nivel de riesgo bajo</v>
      </c>
      <c r="EQ18" s="5" t="s">
        <v>253</v>
      </c>
      <c r="ER18" s="5">
        <f>IF(EQ18="Nunca/ casi nunca",4,
IF(EQ18="Rara vez",3,
IF(EQ18="A veces",2,
IF(EQ18="A menudo",1,
IF(EQ18="Siempre",0,"")))))</f>
        <v>4</v>
      </c>
      <c r="ES18" s="5" t="s">
        <v>253</v>
      </c>
      <c r="ET18" s="5">
        <f>IF(ES18="Nunca/ casi nunca",4,
IF(ES18="Rara vez",3,
IF(ES18="A veces",2,
IF(ES18="A menudo",1,
IF(ES18="Siempre",0,"")))))</f>
        <v>4</v>
      </c>
      <c r="EU18" s="5" t="s">
        <v>253</v>
      </c>
      <c r="EV18" s="5">
        <f>IF(EU18="Nunca/ casi nunca",4,
IF(EU18="Rara vez",3,
IF(EU18="A veces",2,
IF(EU18="A menudo",1,
IF(EU18="Siempre",0,"")))))</f>
        <v>4</v>
      </c>
      <c r="EW18" s="5" t="s">
        <v>253</v>
      </c>
      <c r="EX18" s="5">
        <f>IF(EW18="Nunca/ casi nunca",4,
IF(EW18="Rara vez",3,
IF(EW18="A veces",2,
IF(EW18="A menudo",1,
IF(EW18="Siempre",0,"")))))</f>
        <v>4</v>
      </c>
      <c r="EY18" s="5">
        <f>SUM(ER18,ET18,EV18,EX18)</f>
        <v>16</v>
      </c>
      <c r="EZ18" s="5" t="str">
        <f>IF(EY18&lt;=0,"Nivel de riesgo bajo",
IF(EY18&lt;=4,"Nivel de riesgo medio",
"Nivel de riesgo alto"))</f>
        <v>Nivel de riesgo alto</v>
      </c>
      <c r="FA18" s="5" t="s">
        <v>253</v>
      </c>
      <c r="FB18" s="5">
        <f>IF(FA18="Nunca/ casi nunca",0,
IF(FA18="Rara vez",1,
IF(FA18="A veces",2,
IF(FA18="A menudo",3,
IF(FA18="Siempre",4,"")))))</f>
        <v>0</v>
      </c>
      <c r="FC18" s="5" t="s">
        <v>253</v>
      </c>
      <c r="FD18" s="5">
        <f>IF(FC18="Nunca/ casi nunca",0,
IF(FC18="Rara vez",1,
IF(FC18="A veces",2,
IF(FC18="A menudo",3,
IF(FC18="Siempre",4,"")))))</f>
        <v>0</v>
      </c>
      <c r="FE18" s="5" t="s">
        <v>253</v>
      </c>
      <c r="FF18" s="5">
        <f>IF(FE18="Nunca/ casi nunca",0,
IF(FE18="Rara vez",1,
IF(FE18="A veces",2,
IF(FE18="A menudo",3,
IF(FE18="Siempre",4,"")))))</f>
        <v>0</v>
      </c>
      <c r="FG18" s="5">
        <f>SUM(FB18,FD18,FF18)</f>
        <v>0</v>
      </c>
      <c r="FH18" s="5" t="str">
        <f>IF(FG18&lt;=2,"Nivel de riesgo bajo",
IF(FG18&lt;=5,"Nivel de riesgo medio",
"Nivel de riesgo alto"))</f>
        <v>Nivel de riesgo bajo</v>
      </c>
      <c r="FI18" s="5" t="s">
        <v>253</v>
      </c>
      <c r="FJ18" s="5">
        <f>IF(FI18="Nunca/ casi nunca",0,
IF(FI18="Rara vez",1,
IF(FI18="A veces",2,
IF(FI18="A menudo",3,
IF(FI18="Siempre",4,"")))))</f>
        <v>0</v>
      </c>
      <c r="FK18" s="5" t="s">
        <v>253</v>
      </c>
      <c r="FL18" s="5">
        <f>IF(FK18="Nunca/ casi nunca",0,
IF(FK18="Rara vez",1,
IF(FK18="A veces",2,
IF(FK18="A menudo",3,
IF(FK18="Siempre",4,"")))))</f>
        <v>0</v>
      </c>
      <c r="FM18" s="5" t="s">
        <v>253</v>
      </c>
      <c r="FN18" s="5">
        <f>IF(FM18="Nunca/ casi nunca",0,
IF(FM18="Rara vez",1,
IF(FM18="A veces",2,
IF(FM18="A menudo",3,
IF(FM18="Siempre",4,"")))))</f>
        <v>0</v>
      </c>
      <c r="FO18" s="5">
        <f>SUM(FJ18,FL18,FN18)</f>
        <v>0</v>
      </c>
      <c r="FP18" s="5" t="str">
        <f>IF(FO18&lt;=2,"Nivel de riesgo bajo",
IF(FO18&lt;=5,"Nivel de riesgo medio",
"Nivel de riesgo alto"))</f>
        <v>Nivel de riesgo bajo</v>
      </c>
      <c r="FQ18" s="5" t="s">
        <v>206</v>
      </c>
      <c r="FR18" s="5">
        <f>IF(FQ18="No",0,
IF(FQ18="Sí, unas pocas veces",1,
IF(FQ18="Sí, mensualmente",2,
IF(FQ18="Sí, semanalmente",3,
IF(FQ18="Sí, diariamente",4,"")))))</f>
        <v>0</v>
      </c>
      <c r="FS18" s="5" t="s">
        <v>206</v>
      </c>
      <c r="FT18" s="5">
        <f>IF(FS18="No",0,
IF(FS18="Sí, unas pocas veces",1,
IF(FS18="Sí, mensualmente",2,
IF(FS18="Sí, semanalmente",3,
IF(FS18="Sí, diariamente",4,"")))))</f>
        <v>0</v>
      </c>
      <c r="FU18" s="5" t="s">
        <v>206</v>
      </c>
      <c r="FV18" s="5">
        <f>IF(FU18="No",0,
IF(FU18="Sí, unas pocas veces",1,
IF(FU18="Sí, mensualmente",2,
IF(FU18="Sí, semanalmente",3,
IF(FU18="Sí, diariamente",4,"")))))</f>
        <v>0</v>
      </c>
      <c r="FW18" s="5" t="s">
        <v>206</v>
      </c>
      <c r="FX18" s="5">
        <f>IF(FW18="No",0,
IF(FW18="Sí, unas pocas veces",1,
IF(FW18="Sí, mensualmente",2,
IF(FW18="Sí, semanalmente",3,
IF(FW18="Sí, diariamente",4,"")))))</f>
        <v>0</v>
      </c>
      <c r="FY18" s="5" t="s">
        <v>206</v>
      </c>
      <c r="FZ18" s="5">
        <f>IF(FY18="No",0,
IF(FY18="Sí, unas pocas veces",1,
IF(FY18="Sí, mensualmente",2,
IF(FY18="Sí, semanalmente",3,
IF(FY18="Sí, diariamente",4,"")))))</f>
        <v>0</v>
      </c>
      <c r="GA18" s="5" t="s">
        <v>206</v>
      </c>
      <c r="GB18" s="5">
        <f>IF(GA18="No",0,
IF(GA18="Sí, unas pocas veces",1,
IF(GA18="Sí, mensualmente",2,
IF(GA18="Sí, semanalmente",3,
IF(GA18="Sí, diariamente",4,"")))))</f>
        <v>0</v>
      </c>
      <c r="GC18" s="5" t="s">
        <v>206</v>
      </c>
      <c r="GD18" s="5">
        <f>IF(GC18="No",0,
IF(GC18="Sí, unas pocas veces",1,
IF(GC18="Sí, mensualmente",2,
IF(GC18="Sí, semanalmente",3,
IF(GC18="Sí, diariamente",4,"")))))</f>
        <v>0</v>
      </c>
      <c r="GE18" s="5">
        <f>SUM(FR18,FT18,FV18,FX18,FZ18,GB18,GD18)</f>
        <v>0</v>
      </c>
      <c r="GF18" s="5" t="str">
        <f>IF(GE18&lt;=0,"Nivel de riesgo bajo",
IF(GE18&lt;=14,"Nivel de riesgo medio",
"Nivel de riesgo alto"))</f>
        <v>Nivel de riesgo bajo</v>
      </c>
      <c r="GG18" s="5" t="s">
        <v>273</v>
      </c>
      <c r="GH18" s="5" t="s">
        <v>273</v>
      </c>
      <c r="GI18" s="5" t="s">
        <v>273</v>
      </c>
      <c r="GJ18" s="5" t="s">
        <v>273</v>
      </c>
      <c r="GK18" s="5" t="s">
        <v>233</v>
      </c>
      <c r="GL18" s="5" t="s">
        <v>233</v>
      </c>
      <c r="GM18" s="5" t="s">
        <v>233</v>
      </c>
      <c r="GN18" s="5" t="s">
        <v>256</v>
      </c>
      <c r="GO18" s="5" t="s">
        <v>256</v>
      </c>
      <c r="GP18" s="5" t="s">
        <v>256</v>
      </c>
      <c r="GQ18" s="5" t="s">
        <v>256</v>
      </c>
      <c r="GR18" s="5" t="s">
        <v>256</v>
      </c>
      <c r="GS18" s="5" t="s">
        <v>256</v>
      </c>
      <c r="GT18" s="5" t="s">
        <v>256</v>
      </c>
      <c r="GU18" s="5" t="s">
        <v>315</v>
      </c>
      <c r="GV18" s="5" t="str">
        <f>TEXT("6261878988799131126","0")</f>
        <v>6261878988799130000</v>
      </c>
    </row>
    <row r="19" spans="1:204" ht="15.75" customHeight="1" x14ac:dyDescent="0.15">
      <c r="A19" s="1">
        <f>ROW(A19)</f>
        <v>19</v>
      </c>
      <c r="B19" s="4">
        <v>45827.863506944443</v>
      </c>
      <c r="C19" s="5" t="s">
        <v>204</v>
      </c>
      <c r="D19" s="5" t="s">
        <v>206</v>
      </c>
      <c r="F19" s="5" t="s">
        <v>206</v>
      </c>
      <c r="G19" s="5" t="s">
        <v>204</v>
      </c>
      <c r="H19" s="5" t="s">
        <v>206</v>
      </c>
      <c r="K19" s="5" t="s">
        <v>237</v>
      </c>
      <c r="O19" s="5" t="s">
        <v>209</v>
      </c>
      <c r="S19" s="5" t="s">
        <v>208</v>
      </c>
      <c r="X19" s="5" t="s">
        <v>208</v>
      </c>
      <c r="AC19" s="5" t="s">
        <v>208</v>
      </c>
      <c r="AH19" s="5" t="s">
        <v>210</v>
      </c>
      <c r="AI19" s="5">
        <v>2010</v>
      </c>
      <c r="AJ19" s="5" t="s">
        <v>238</v>
      </c>
      <c r="AK19" s="5" t="str">
        <f>IF(OR(AJ19="Empleada del sector privado",AJ19="Empleada del sector público"),"Asalariada",
IF(AJ19="Trabajadora por cuenta propia","Trabajadora por cuenta propia",""))</f>
        <v>Trabajadora por cuenta propia</v>
      </c>
      <c r="AM19" s="5" t="s">
        <v>309</v>
      </c>
      <c r="AP19" s="5" t="s">
        <v>240</v>
      </c>
      <c r="AR19" s="5" t="s">
        <v>241</v>
      </c>
      <c r="AS19" s="5" t="s">
        <v>241</v>
      </c>
      <c r="AT19" s="5" t="s">
        <v>261</v>
      </c>
      <c r="AU19" s="5" t="s">
        <v>261</v>
      </c>
      <c r="AV19" s="5" t="s">
        <v>302</v>
      </c>
      <c r="AW19" s="5" t="s">
        <v>204</v>
      </c>
      <c r="AX19" s="5" t="s">
        <v>204</v>
      </c>
      <c r="AY19" s="5" t="s">
        <v>270</v>
      </c>
      <c r="AZ19" s="5" t="s">
        <v>206</v>
      </c>
      <c r="BA19" s="5" t="s">
        <v>295</v>
      </c>
      <c r="BB19" s="5" t="s">
        <v>206</v>
      </c>
      <c r="BC19" s="5" t="s">
        <v>206</v>
      </c>
      <c r="BD19" s="5" t="s">
        <v>206</v>
      </c>
      <c r="BE19" s="5" t="s">
        <v>206</v>
      </c>
      <c r="BF19" s="5" t="s">
        <v>204</v>
      </c>
      <c r="BG19" s="5" t="s">
        <v>271</v>
      </c>
      <c r="BH19" s="5" t="s">
        <v>242</v>
      </c>
      <c r="BI19" s="5" t="s">
        <v>271</v>
      </c>
      <c r="BJ19" s="5" t="s">
        <v>215</v>
      </c>
      <c r="BK19" s="5" t="s">
        <v>244</v>
      </c>
      <c r="BL19" s="5" t="s">
        <v>216</v>
      </c>
      <c r="BM19" s="5" t="s">
        <v>243</v>
      </c>
      <c r="BN19" s="5" t="s">
        <v>244</v>
      </c>
      <c r="BO19" s="5" t="s">
        <v>244</v>
      </c>
      <c r="BP19" s="5" t="s">
        <v>243</v>
      </c>
      <c r="BQ19" s="5" t="s">
        <v>244</v>
      </c>
      <c r="BR19" s="5" t="s">
        <v>243</v>
      </c>
      <c r="BS19" s="5" t="s">
        <v>254</v>
      </c>
      <c r="BT19" s="5" t="s">
        <v>247</v>
      </c>
      <c r="BU19" s="5" t="s">
        <v>247</v>
      </c>
      <c r="BV19" s="5" t="s">
        <v>248</v>
      </c>
      <c r="BW19" s="5" t="s">
        <v>232</v>
      </c>
      <c r="BX19" s="5" t="s">
        <v>247</v>
      </c>
      <c r="BY19" s="5" t="s">
        <v>232</v>
      </c>
      <c r="BZ19" s="5" t="s">
        <v>243</v>
      </c>
      <c r="CA19" s="5" t="s">
        <v>243</v>
      </c>
      <c r="CB19" s="5" t="s">
        <v>243</v>
      </c>
      <c r="CC19" s="5" t="s">
        <v>243</v>
      </c>
      <c r="CD19" s="5" t="s">
        <v>204</v>
      </c>
      <c r="CE19" s="5" t="s">
        <v>218</v>
      </c>
      <c r="CF19" s="5" t="s">
        <v>279</v>
      </c>
      <c r="CG19" s="5" t="s">
        <v>206</v>
      </c>
      <c r="CH19" s="5" t="s">
        <v>310</v>
      </c>
      <c r="CI19" s="5" t="s">
        <v>307</v>
      </c>
      <c r="CJ19" s="5">
        <v>6</v>
      </c>
      <c r="CK19" s="5" t="s">
        <v>223</v>
      </c>
      <c r="CU19" s="5" t="s">
        <v>206</v>
      </c>
      <c r="DA19" s="5" t="s">
        <v>231</v>
      </c>
      <c r="DB19" s="5">
        <f>IF(DA19="Mejor que lo habitual",1,
IF(DA19="Igual que lo habitual",2,
IF(DA19="Menos que lo habitual",3,
IF(DA19="Mucho menos que lo habitual",4,""))))</f>
        <v>2</v>
      </c>
      <c r="DC19" s="5" t="s">
        <v>280</v>
      </c>
      <c r="DD19" s="5">
        <f>IF(DC19="No, en absoluto",1,
IF(DC19="No más que lo habitual",2,
IF(DC19="Bastante más que lo habitual",3,
IF(DC19="Mucho más que lo habitual",4,""))))</f>
        <v>4</v>
      </c>
      <c r="DE19" s="5" t="s">
        <v>250</v>
      </c>
      <c r="DF19" s="5">
        <f>IF(DE19="No, en absoluto",1,
IF(DE19="No más que lo habitual",2,
IF(DE19="Bastante más que lo habitual",3,
IF(DE19="Mucho más que lo habitual",4,""))))</f>
        <v>3</v>
      </c>
      <c r="DG19" s="5" t="s">
        <v>250</v>
      </c>
      <c r="DH19" s="5">
        <f>IF(DG19="No, en absoluto",1,
IF(DG19="No más que lo habitual",2,
IF(DG19="Bastante más que lo habitual",3,
IF(DG19="Mucho más que lo habitual",4,""))))</f>
        <v>3</v>
      </c>
      <c r="DI19" s="5" t="s">
        <v>230</v>
      </c>
      <c r="DJ19" s="5">
        <f>IF(DI19="No, en absoluto",1,
IF(DI19="No más que lo habitual",2,
IF(DI19="Bastante más que lo habitual",3,
IF(DI19="Mucho más que lo habitual",4,""))))</f>
        <v>2</v>
      </c>
      <c r="DK19" s="5" t="s">
        <v>251</v>
      </c>
      <c r="DL19" s="5">
        <f>IF(DK19="No, en absoluto",1,
IF(DK19="No más que lo habitual",2,
IF(DK19="Bastante más que lo habitual",3,
IF(DK19="Mucho más que lo habitual",4,""))))</f>
        <v>1</v>
      </c>
      <c r="DM19" s="5" t="s">
        <v>251</v>
      </c>
      <c r="DN19" s="5">
        <f>IF(DM19="No, en absoluto",1,
IF(DM19="No más que lo habitual",2,
IF(DM19="Bastante más que lo habitual",3,
IF(DM19="Mucho más que lo habitual",4,""))))</f>
        <v>1</v>
      </c>
      <c r="DO19" s="5" t="s">
        <v>281</v>
      </c>
      <c r="DP19" s="5">
        <f>IF(DO19="Más que lo habitual",1,
IF(DO19="Igual que lo habitual",2,
IF(DO19="Menos que lo habitual",3,
IF(DO19="Mucho menos que lo habitual",4,""))))</f>
        <v>1</v>
      </c>
      <c r="DQ19" s="5" t="s">
        <v>281</v>
      </c>
      <c r="DR19" s="5">
        <f>IF(DQ19="Más que lo habitual",1,
IF(DQ19="Igual que lo habitual",2,
IF(DQ19="Menos que lo habitual",3,
IF(DQ19="Mucho menos que lo habitual",4,""))))</f>
        <v>1</v>
      </c>
      <c r="DS19" s="5" t="s">
        <v>231</v>
      </c>
      <c r="DT19" s="5">
        <f>IF(DS19="Más que lo habitual",1,
IF(DS19="Igual que lo habitual",2,
IF(DS19="Menos que lo habitual",3,
IF(DS19="Mucho menos que lo habitual",4,""))))</f>
        <v>2</v>
      </c>
      <c r="DU19" s="5" t="s">
        <v>281</v>
      </c>
      <c r="DV19" s="5">
        <f>IF(DU19="Más que lo habitual",1,
IF(DU19="Igual que lo habitual",2,
IF(DU19="Menos que lo habitual",3,
IF(DU19="Mucho menos que lo habitual",4,""))))</f>
        <v>1</v>
      </c>
      <c r="DW19" s="5" t="s">
        <v>231</v>
      </c>
      <c r="DX19" s="5">
        <f>IF(DW19="Más que lo habitual",1,
IF(DW19="Igual que lo habitual",2,
IF(DW19="Menos que lo habitual",3,
IF(DW19="Mucho menos que lo habitual",4,""))))</f>
        <v>2</v>
      </c>
      <c r="DY19" s="5">
        <f>SUM(DB19,DD19,DF19,DH19,DJ19,DL19,DN19,DP19,DR19,DT19,DV19,DX19)</f>
        <v>23</v>
      </c>
      <c r="DZ19" s="5" t="str">
        <f>IF(DY19&lt;=18,"Nivel de riesgo bajo",
IF(DY19&lt;=23,"Nivel de riesgo medio",
"Nivel de riesgo alto"))</f>
        <v>Nivel de riesgo medio</v>
      </c>
      <c r="EA19" s="5" t="s">
        <v>248</v>
      </c>
      <c r="EB19" s="5">
        <f>IF(EA19="Nunca/ casi nunca",0,
IF(EA19="Rara vez",1,
IF(EA19="A veces",2,
IF(EA19="A menudo",3,
IF(EA19="Siempre",4,"")))))</f>
        <v>1</v>
      </c>
      <c r="EC19" s="5" t="s">
        <v>247</v>
      </c>
      <c r="ED19" s="5">
        <f>IF(EC19="Nunca/ casi nunca",0,
IF(EC19="Rara vez",1,
IF(EC19="A veces",2,
IF(EC19="A menudo",3,
IF(EC19="Siempre",4,"")))))</f>
        <v>2</v>
      </c>
      <c r="EE19" s="5" t="s">
        <v>248</v>
      </c>
      <c r="EF19" s="5">
        <f>IF(EE19="Nunca/ casi nunca",0,
IF(EE19="Rara vez",1,
IF(EE19="A veces",2,
IF(EE19="A menudo",3,
IF(EE19="Siempre",4,"")))))</f>
        <v>1</v>
      </c>
      <c r="EG19" s="5">
        <f>SUM(EB19,ED19,EF19)</f>
        <v>4</v>
      </c>
      <c r="EH19" s="5" t="str">
        <f>IF(EG19&lt;=1,"Nivel de riesgo bajo",
IF(EG19&lt;=4,"Nivel de riesgo medio",
"Nivel de riesgo alto"))</f>
        <v>Nivel de riesgo medio</v>
      </c>
      <c r="EI19" s="5" t="s">
        <v>253</v>
      </c>
      <c r="EJ19" s="5">
        <f>IF(EI19="Nunca/ casi nunca",0,
IF(EI19="Rara vez",1,
IF(EI19="A veces",2,
IF(EI19="A menudo",3,
IF(EI19="Siempre",4,"")))))</f>
        <v>0</v>
      </c>
      <c r="EK19" s="5" t="s">
        <v>248</v>
      </c>
      <c r="EL19" s="5">
        <f>IF(EK19="Nunca/ casi nunca",0,
IF(EK19="Rara vez",1,
IF(EK19="A veces",2,
IF(EK19="A menudo",3,
IF(EK19="Siempre",4,"")))))</f>
        <v>1</v>
      </c>
      <c r="EM19" s="5" t="s">
        <v>232</v>
      </c>
      <c r="EN19" s="5">
        <f>IF(EM19="Nunca/ casi nunca",0,
IF(EM19="Rara vez",1,
IF(EM19="A veces",2,
IF(EM19="A menudo",3,
IF(EM19="Siempre",4,"")))))</f>
        <v>3</v>
      </c>
      <c r="EO19" s="5">
        <f>SUM(EJ19,EL19,EN19)</f>
        <v>4</v>
      </c>
      <c r="EP19" s="5" t="str">
        <f>IF(EO19&lt;=1,"Nivel de riesgo bajo",
IF(EO19&lt;=5,"Nivel de riesgo medio",
"Nivel de riesgo alto"))</f>
        <v>Nivel de riesgo medio</v>
      </c>
      <c r="EQ19" s="5" t="s">
        <v>248</v>
      </c>
      <c r="ER19" s="5">
        <f>IF(EQ19="Nunca/ casi nunca",4,
IF(EQ19="Rara vez",3,
IF(EQ19="A veces",2,
IF(EQ19="A menudo",1,
IF(EQ19="Siempre",0,"")))))</f>
        <v>3</v>
      </c>
      <c r="ES19" s="5" t="s">
        <v>248</v>
      </c>
      <c r="ET19" s="5">
        <f>IF(ES19="Nunca/ casi nunca",4,
IF(ES19="Rara vez",3,
IF(ES19="A veces",2,
IF(ES19="A menudo",1,
IF(ES19="Siempre",0,"")))))</f>
        <v>3</v>
      </c>
      <c r="EU19" s="5" t="s">
        <v>254</v>
      </c>
      <c r="EV19" s="5">
        <f>IF(EU19="Nunca/ casi nunca",4,
IF(EU19="Rara vez",3,
IF(EU19="A veces",2,
IF(EU19="A menudo",1,
IF(EU19="Siempre",0,"")))))</f>
        <v>0</v>
      </c>
      <c r="EW19" s="5" t="s">
        <v>254</v>
      </c>
      <c r="EX19" s="5">
        <f>IF(EW19="Nunca/ casi nunca",4,
IF(EW19="Rara vez",3,
IF(EW19="A veces",2,
IF(EW19="A menudo",1,
IF(EW19="Siempre",0,"")))))</f>
        <v>0</v>
      </c>
      <c r="EY19" s="5">
        <f>SUM(ER19,ET19,EV19,EX19)</f>
        <v>6</v>
      </c>
      <c r="EZ19" s="5" t="str">
        <f>IF(EY19&lt;=0,"Nivel de riesgo bajo",
IF(EY19&lt;=4,"Nivel de riesgo medio",
"Nivel de riesgo alto"))</f>
        <v>Nivel de riesgo alto</v>
      </c>
      <c r="FA19" s="5" t="s">
        <v>253</v>
      </c>
      <c r="FB19" s="5">
        <f>IF(FA19="Nunca/ casi nunca",0,
IF(FA19="Rara vez",1,
IF(FA19="A veces",2,
IF(FA19="A menudo",3,
IF(FA19="Siempre",4,"")))))</f>
        <v>0</v>
      </c>
      <c r="FC19" s="5" t="s">
        <v>253</v>
      </c>
      <c r="FD19" s="5">
        <f>IF(FC19="Nunca/ casi nunca",0,
IF(FC19="Rara vez",1,
IF(FC19="A veces",2,
IF(FC19="A menudo",3,
IF(FC19="Siempre",4,"")))))</f>
        <v>0</v>
      </c>
      <c r="FE19" s="5" t="s">
        <v>253</v>
      </c>
      <c r="FF19" s="5">
        <f>IF(FE19="Nunca/ casi nunca",0,
IF(FE19="Rara vez",1,
IF(FE19="A veces",2,
IF(FE19="A menudo",3,
IF(FE19="Siempre",4,"")))))</f>
        <v>0</v>
      </c>
      <c r="FG19" s="5">
        <f>SUM(FB19,FD19,FF19)</f>
        <v>0</v>
      </c>
      <c r="FH19" s="5" t="str">
        <f>IF(FG19&lt;=2,"Nivel de riesgo bajo",
IF(FG19&lt;=5,"Nivel de riesgo medio",
"Nivel de riesgo alto"))</f>
        <v>Nivel de riesgo bajo</v>
      </c>
      <c r="FI19" s="5" t="s">
        <v>248</v>
      </c>
      <c r="FJ19" s="5">
        <f>IF(FI19="Nunca/ casi nunca",0,
IF(FI19="Rara vez",1,
IF(FI19="A veces",2,
IF(FI19="A menudo",3,
IF(FI19="Siempre",4,"")))))</f>
        <v>1</v>
      </c>
      <c r="FK19" s="5" t="s">
        <v>247</v>
      </c>
      <c r="FL19" s="5">
        <f>IF(FK19="Nunca/ casi nunca",0,
IF(FK19="Rara vez",1,
IF(FK19="A veces",2,
IF(FK19="A menudo",3,
IF(FK19="Siempre",4,"")))))</f>
        <v>2</v>
      </c>
      <c r="FM19" s="5" t="s">
        <v>247</v>
      </c>
      <c r="FN19" s="5">
        <f>IF(FM19="Nunca/ casi nunca",0,
IF(FM19="Rara vez",1,
IF(FM19="A veces",2,
IF(FM19="A menudo",3,
IF(FM19="Siempre",4,"")))))</f>
        <v>2</v>
      </c>
      <c r="FO19" s="5">
        <f>SUM(FJ19,FL19,FN19)</f>
        <v>5</v>
      </c>
      <c r="FP19" s="5" t="str">
        <f>IF(FO19&lt;=2,"Nivel de riesgo bajo",
IF(FO19&lt;=5,"Nivel de riesgo medio",
"Nivel de riesgo alto"))</f>
        <v>Nivel de riesgo medio</v>
      </c>
      <c r="FQ19" s="5" t="s">
        <v>206</v>
      </c>
      <c r="FR19" s="5">
        <f>IF(FQ19="No",0,
IF(FQ19="Sí, unas pocas veces",1,
IF(FQ19="Sí, mensualmente",2,
IF(FQ19="Sí, semanalmente",3,
IF(FQ19="Sí, diariamente",4,"")))))</f>
        <v>0</v>
      </c>
      <c r="FS19" s="5" t="s">
        <v>206</v>
      </c>
      <c r="FT19" s="5">
        <f>IF(FS19="No",0,
IF(FS19="Sí, unas pocas veces",1,
IF(FS19="Sí, mensualmente",2,
IF(FS19="Sí, semanalmente",3,
IF(FS19="Sí, diariamente",4,"")))))</f>
        <v>0</v>
      </c>
      <c r="FU19" s="5" t="s">
        <v>206</v>
      </c>
      <c r="FV19" s="5">
        <f>IF(FU19="No",0,
IF(FU19="Sí, unas pocas veces",1,
IF(FU19="Sí, mensualmente",2,
IF(FU19="Sí, semanalmente",3,
IF(FU19="Sí, diariamente",4,"")))))</f>
        <v>0</v>
      </c>
      <c r="FW19" s="5" t="s">
        <v>206</v>
      </c>
      <c r="FX19" s="5">
        <f>IF(FW19="No",0,
IF(FW19="Sí, unas pocas veces",1,
IF(FW19="Sí, mensualmente",2,
IF(FW19="Sí, semanalmente",3,
IF(FW19="Sí, diariamente",4,"")))))</f>
        <v>0</v>
      </c>
      <c r="FY19" s="5" t="s">
        <v>206</v>
      </c>
      <c r="FZ19" s="5">
        <f>IF(FY19="No",0,
IF(FY19="Sí, unas pocas veces",1,
IF(FY19="Sí, mensualmente",2,
IF(FY19="Sí, semanalmente",3,
IF(FY19="Sí, diariamente",4,"")))))</f>
        <v>0</v>
      </c>
      <c r="GA19" s="5" t="s">
        <v>206</v>
      </c>
      <c r="GB19" s="5">
        <f>IF(GA19="No",0,
IF(GA19="Sí, unas pocas veces",1,
IF(GA19="Sí, mensualmente",2,
IF(GA19="Sí, semanalmente",3,
IF(GA19="Sí, diariamente",4,"")))))</f>
        <v>0</v>
      </c>
      <c r="GC19" s="5" t="s">
        <v>206</v>
      </c>
      <c r="GD19" s="5">
        <f>IF(GC19="No",0,
IF(GC19="Sí, unas pocas veces",1,
IF(GC19="Sí, mensualmente",2,
IF(GC19="Sí, semanalmente",3,
IF(GC19="Sí, diariamente",4,"")))))</f>
        <v>0</v>
      </c>
      <c r="GE19" s="5">
        <f>SUM(FR19,FT19,FV19,FX19,FZ19,GB19,GD19)</f>
        <v>0</v>
      </c>
      <c r="GF19" s="5" t="str">
        <f>IF(GE19&lt;=0,"Nivel de riesgo bajo",
IF(GE19&lt;=14,"Nivel de riesgo medio",
"Nivel de riesgo alto"))</f>
        <v>Nivel de riesgo bajo</v>
      </c>
      <c r="GG19" s="5" t="s">
        <v>255</v>
      </c>
      <c r="GH19" s="5" t="s">
        <v>266</v>
      </c>
      <c r="GI19" s="5" t="s">
        <v>255</v>
      </c>
      <c r="GJ19" s="5" t="s">
        <v>233</v>
      </c>
      <c r="GK19" s="5" t="s">
        <v>233</v>
      </c>
      <c r="GL19" s="5" t="s">
        <v>233</v>
      </c>
      <c r="GM19" s="5" t="s">
        <v>255</v>
      </c>
      <c r="GN19" s="5" t="s">
        <v>256</v>
      </c>
      <c r="GO19" s="5" t="s">
        <v>243</v>
      </c>
      <c r="GP19" s="5" t="s">
        <v>243</v>
      </c>
      <c r="GQ19" s="5" t="s">
        <v>257</v>
      </c>
      <c r="GR19" s="5" t="s">
        <v>244</v>
      </c>
      <c r="GS19" s="5" t="s">
        <v>243</v>
      </c>
      <c r="GT19" s="5" t="s">
        <v>256</v>
      </c>
      <c r="GU19" s="5" t="s">
        <v>316</v>
      </c>
      <c r="GV19" s="5" t="str">
        <f>TEXT("6261894070226509907","0")</f>
        <v>6261894070226500000</v>
      </c>
    </row>
    <row r="20" spans="1:204" ht="15.75" hidden="1" customHeight="1" x14ac:dyDescent="0.15">
      <c r="B20" s="4">
        <v>45827.89371527778</v>
      </c>
      <c r="C20" s="5" t="s">
        <v>204</v>
      </c>
      <c r="D20" s="5" t="s">
        <v>204</v>
      </c>
      <c r="E20" s="5" t="s">
        <v>283</v>
      </c>
      <c r="F20" s="5" t="s">
        <v>204</v>
      </c>
      <c r="G20" s="5" t="s">
        <v>204</v>
      </c>
      <c r="H20" s="5" t="s">
        <v>206</v>
      </c>
      <c r="L20" s="5" t="s">
        <v>236</v>
      </c>
      <c r="P20" s="5" t="s">
        <v>237</v>
      </c>
      <c r="U20" s="5" t="s">
        <v>237</v>
      </c>
      <c r="Z20" s="5" t="s">
        <v>237</v>
      </c>
      <c r="AE20" s="5" t="s">
        <v>237</v>
      </c>
      <c r="AH20" s="5" t="s">
        <v>210</v>
      </c>
      <c r="AI20" s="5">
        <v>2018</v>
      </c>
      <c r="AJ20" s="5" t="s">
        <v>293</v>
      </c>
      <c r="AK20" s="5"/>
      <c r="AR20" s="5" t="s">
        <v>261</v>
      </c>
      <c r="AS20" s="5" t="s">
        <v>261</v>
      </c>
      <c r="AT20" s="5" t="s">
        <v>261</v>
      </c>
      <c r="AU20" s="5" t="s">
        <v>294</v>
      </c>
      <c r="AV20" s="5" t="s">
        <v>317</v>
      </c>
      <c r="AW20" s="5" t="s">
        <v>206</v>
      </c>
      <c r="BF20" s="5" t="s">
        <v>204</v>
      </c>
      <c r="BG20" s="5" t="s">
        <v>278</v>
      </c>
      <c r="BH20" s="5" t="s">
        <v>215</v>
      </c>
      <c r="BI20" s="5" t="s">
        <v>278</v>
      </c>
      <c r="BJ20" s="5" t="s">
        <v>215</v>
      </c>
      <c r="BK20" s="5" t="s">
        <v>245</v>
      </c>
      <c r="BL20" s="5" t="s">
        <v>243</v>
      </c>
      <c r="BM20" s="5" t="s">
        <v>243</v>
      </c>
      <c r="BN20" s="5" t="s">
        <v>243</v>
      </c>
      <c r="BO20" s="5" t="s">
        <v>243</v>
      </c>
      <c r="BP20" s="5" t="s">
        <v>245</v>
      </c>
      <c r="BQ20" s="5" t="s">
        <v>245</v>
      </c>
      <c r="BR20" s="5" t="s">
        <v>245</v>
      </c>
      <c r="BS20" s="5" t="s">
        <v>254</v>
      </c>
      <c r="BT20" s="5" t="s">
        <v>254</v>
      </c>
      <c r="BU20" s="5" t="s">
        <v>247</v>
      </c>
      <c r="BV20" s="5" t="s">
        <v>254</v>
      </c>
      <c r="BW20" s="5" t="s">
        <v>254</v>
      </c>
      <c r="BX20" s="5" t="s">
        <v>254</v>
      </c>
      <c r="BY20" s="5" t="s">
        <v>232</v>
      </c>
      <c r="CD20" s="5" t="s">
        <v>206</v>
      </c>
      <c r="CH20" s="5" t="s">
        <v>206</v>
      </c>
      <c r="CI20" s="5" t="s">
        <v>318</v>
      </c>
      <c r="CJ20" s="5">
        <v>9</v>
      </c>
      <c r="CK20" s="5" t="s">
        <v>223</v>
      </c>
      <c r="CU20" s="5" t="s">
        <v>206</v>
      </c>
      <c r="DA20" s="5" t="s">
        <v>231</v>
      </c>
      <c r="DB20" s="5"/>
      <c r="DC20" s="5" t="s">
        <v>280</v>
      </c>
      <c r="DD20" s="5"/>
      <c r="DE20" s="5" t="s">
        <v>280</v>
      </c>
      <c r="DF20" s="5"/>
      <c r="DG20" s="5" t="s">
        <v>230</v>
      </c>
      <c r="DH20" s="5"/>
      <c r="DI20" s="5" t="s">
        <v>230</v>
      </c>
      <c r="DJ20" s="5"/>
      <c r="DK20" s="5" t="s">
        <v>251</v>
      </c>
      <c r="DL20" s="5"/>
      <c r="DM20" s="5" t="s">
        <v>251</v>
      </c>
      <c r="DN20" s="5"/>
      <c r="DO20" s="5" t="s">
        <v>281</v>
      </c>
      <c r="DP20" s="5"/>
      <c r="DQ20" s="5" t="s">
        <v>281</v>
      </c>
      <c r="DR20" s="5"/>
      <c r="DS20" s="5" t="s">
        <v>231</v>
      </c>
      <c r="DT20" s="5"/>
      <c r="DU20" s="5" t="s">
        <v>281</v>
      </c>
      <c r="DV20" s="5"/>
      <c r="DW20" s="5" t="s">
        <v>231</v>
      </c>
      <c r="DX20" s="5"/>
      <c r="DY20" s="5"/>
      <c r="DZ20" s="5"/>
      <c r="EA20" s="5" t="s">
        <v>232</v>
      </c>
      <c r="EB20" s="5"/>
      <c r="EC20" s="5" t="s">
        <v>232</v>
      </c>
      <c r="ED20" s="5"/>
      <c r="EE20" s="5" t="s">
        <v>247</v>
      </c>
      <c r="EF20" s="5"/>
      <c r="EG20" s="5"/>
      <c r="EH20" s="5"/>
      <c r="EI20" s="5" t="s">
        <v>232</v>
      </c>
      <c r="EJ20" s="5"/>
      <c r="EK20" s="5" t="s">
        <v>253</v>
      </c>
      <c r="EL20" s="5"/>
      <c r="EM20" s="5" t="s">
        <v>253</v>
      </c>
      <c r="EN20" s="5"/>
      <c r="EO20" s="5"/>
      <c r="EP20" s="5"/>
      <c r="EQ20" s="5" t="s">
        <v>232</v>
      </c>
      <c r="ER20" s="5"/>
      <c r="ES20" s="5" t="s">
        <v>232</v>
      </c>
      <c r="ET20" s="5"/>
      <c r="EU20" s="5" t="s">
        <v>232</v>
      </c>
      <c r="EV20" s="5"/>
      <c r="EW20" s="5" t="s">
        <v>254</v>
      </c>
      <c r="EX20" s="5"/>
      <c r="EY20" s="5"/>
      <c r="EZ20" s="5"/>
      <c r="FA20" s="5" t="s">
        <v>247</v>
      </c>
      <c r="FB20" s="5"/>
      <c r="FC20" s="5" t="s">
        <v>253</v>
      </c>
      <c r="FD20" s="5"/>
      <c r="FE20" s="5" t="s">
        <v>253</v>
      </c>
      <c r="FF20" s="5"/>
      <c r="FG20" s="5"/>
      <c r="FH20" s="5"/>
      <c r="FI20" s="5" t="s">
        <v>247</v>
      </c>
      <c r="FJ20" s="5"/>
      <c r="FK20" s="5" t="s">
        <v>247</v>
      </c>
      <c r="FL20" s="5"/>
      <c r="FM20" s="5" t="s">
        <v>248</v>
      </c>
      <c r="FN20" s="5"/>
      <c r="FO20" s="5"/>
      <c r="FP20" s="5"/>
      <c r="FQ20" s="5" t="s">
        <v>206</v>
      </c>
      <c r="FR20" s="5"/>
      <c r="FS20" s="5" t="s">
        <v>206</v>
      </c>
      <c r="FT20" s="5"/>
      <c r="FU20" s="5" t="s">
        <v>206</v>
      </c>
      <c r="FV20" s="5"/>
      <c r="FW20" s="5" t="s">
        <v>206</v>
      </c>
      <c r="FX20" s="5"/>
      <c r="FY20" s="5" t="s">
        <v>206</v>
      </c>
      <c r="FZ20" s="5"/>
      <c r="GA20" s="5" t="s">
        <v>206</v>
      </c>
      <c r="GB20" s="5"/>
      <c r="GC20" s="5" t="s">
        <v>206</v>
      </c>
      <c r="GD20" s="5"/>
      <c r="GE20" s="5"/>
      <c r="GF20" s="5"/>
      <c r="GG20" s="5" t="s">
        <v>255</v>
      </c>
      <c r="GH20" s="5" t="s">
        <v>255</v>
      </c>
      <c r="GI20" s="5" t="s">
        <v>255</v>
      </c>
      <c r="GJ20" s="5" t="s">
        <v>255</v>
      </c>
      <c r="GK20" s="5" t="s">
        <v>233</v>
      </c>
      <c r="GL20" s="5" t="s">
        <v>266</v>
      </c>
      <c r="GM20" s="5" t="s">
        <v>255</v>
      </c>
      <c r="GN20" s="5" t="s">
        <v>234</v>
      </c>
      <c r="GO20" s="5" t="s">
        <v>234</v>
      </c>
      <c r="GP20" s="5" t="s">
        <v>234</v>
      </c>
      <c r="GQ20" s="5" t="s">
        <v>234</v>
      </c>
      <c r="GR20" s="5" t="s">
        <v>234</v>
      </c>
      <c r="GS20" s="5" t="s">
        <v>234</v>
      </c>
      <c r="GT20" s="5" t="s">
        <v>234</v>
      </c>
      <c r="GU20" s="5" t="s">
        <v>319</v>
      </c>
      <c r="GV20" s="5" t="str">
        <f>TEXT("6261920160997509017","0")</f>
        <v>6261920160997500000</v>
      </c>
    </row>
    <row r="21" spans="1:204" ht="15.75" hidden="1" customHeight="1" x14ac:dyDescent="0.15">
      <c r="B21" s="4">
        <v>45827.913182870368</v>
      </c>
      <c r="C21" s="5" t="s">
        <v>204</v>
      </c>
      <c r="D21" s="5" t="s">
        <v>206</v>
      </c>
      <c r="F21" s="5" t="s">
        <v>206</v>
      </c>
      <c r="G21" s="5" t="s">
        <v>206</v>
      </c>
      <c r="H21" s="5" t="s">
        <v>204</v>
      </c>
      <c r="K21" s="5" t="s">
        <v>237</v>
      </c>
      <c r="O21" s="5" t="s">
        <v>209</v>
      </c>
      <c r="S21" s="5" t="s">
        <v>208</v>
      </c>
      <c r="Z21" s="5" t="s">
        <v>237</v>
      </c>
      <c r="AD21" s="5" t="s">
        <v>209</v>
      </c>
      <c r="AH21" s="5" t="s">
        <v>268</v>
      </c>
      <c r="AI21" s="5">
        <v>2023</v>
      </c>
      <c r="AJ21" s="5" t="s">
        <v>304</v>
      </c>
      <c r="AK21" s="5"/>
      <c r="AR21" s="5" t="s">
        <v>301</v>
      </c>
      <c r="AS21" s="5" t="s">
        <v>301</v>
      </c>
      <c r="AT21" s="5" t="s">
        <v>301</v>
      </c>
      <c r="AU21" s="5" t="s">
        <v>301</v>
      </c>
      <c r="AV21" s="5" t="s">
        <v>269</v>
      </c>
      <c r="AW21" s="5" t="s">
        <v>204</v>
      </c>
      <c r="AX21" s="5" t="s">
        <v>206</v>
      </c>
      <c r="BF21" s="5" t="s">
        <v>204</v>
      </c>
      <c r="BG21" s="5" t="s">
        <v>242</v>
      </c>
      <c r="BH21" s="5" t="s">
        <v>242</v>
      </c>
      <c r="BI21" s="5" t="s">
        <v>242</v>
      </c>
      <c r="BJ21" s="5" t="s">
        <v>242</v>
      </c>
      <c r="BK21" s="5" t="s">
        <v>246</v>
      </c>
      <c r="BL21" s="5" t="s">
        <v>243</v>
      </c>
      <c r="BM21" s="5" t="s">
        <v>245</v>
      </c>
      <c r="BN21" s="5" t="s">
        <v>243</v>
      </c>
      <c r="BO21" s="5" t="s">
        <v>243</v>
      </c>
      <c r="BP21" s="5" t="s">
        <v>245</v>
      </c>
      <c r="BQ21" s="5" t="s">
        <v>245</v>
      </c>
      <c r="BR21" s="5" t="s">
        <v>245</v>
      </c>
      <c r="BS21" s="5" t="s">
        <v>254</v>
      </c>
      <c r="BT21" s="5" t="s">
        <v>232</v>
      </c>
      <c r="BU21" s="5" t="s">
        <v>254</v>
      </c>
      <c r="BV21" s="5" t="s">
        <v>248</v>
      </c>
      <c r="BW21" s="5" t="s">
        <v>232</v>
      </c>
      <c r="BX21" s="5" t="s">
        <v>232</v>
      </c>
      <c r="BY21" s="5" t="s">
        <v>248</v>
      </c>
      <c r="BZ21" s="5" t="s">
        <v>245</v>
      </c>
      <c r="CA21" s="5" t="s">
        <v>246</v>
      </c>
      <c r="CB21" s="5" t="s">
        <v>243</v>
      </c>
      <c r="CC21" s="5" t="s">
        <v>245</v>
      </c>
      <c r="CD21" s="5" t="s">
        <v>206</v>
      </c>
      <c r="CH21" s="5" t="s">
        <v>206</v>
      </c>
      <c r="CI21" s="5" t="s">
        <v>206</v>
      </c>
      <c r="CJ21" s="5">
        <v>1</v>
      </c>
      <c r="CK21" s="5" t="s">
        <v>223</v>
      </c>
      <c r="CU21" s="5" t="s">
        <v>206</v>
      </c>
      <c r="DA21" s="5" t="s">
        <v>252</v>
      </c>
      <c r="DB21" s="5"/>
      <c r="DC21" s="5" t="s">
        <v>230</v>
      </c>
      <c r="DD21" s="5"/>
      <c r="DE21" s="5" t="s">
        <v>230</v>
      </c>
      <c r="DF21" s="5"/>
      <c r="DG21" s="5" t="s">
        <v>250</v>
      </c>
      <c r="DH21" s="5"/>
      <c r="DI21" s="5" t="s">
        <v>250</v>
      </c>
      <c r="DJ21" s="5"/>
      <c r="DK21" s="5" t="s">
        <v>250</v>
      </c>
      <c r="DL21" s="5"/>
      <c r="DM21" s="5" t="s">
        <v>230</v>
      </c>
      <c r="DN21" s="5"/>
      <c r="DO21" s="5" t="s">
        <v>252</v>
      </c>
      <c r="DP21" s="5"/>
      <c r="DQ21" s="5" t="s">
        <v>229</v>
      </c>
      <c r="DR21" s="5"/>
      <c r="DS21" s="5" t="s">
        <v>231</v>
      </c>
      <c r="DT21" s="5"/>
      <c r="DU21" s="5" t="s">
        <v>252</v>
      </c>
      <c r="DV21" s="5"/>
      <c r="DW21" s="5" t="s">
        <v>281</v>
      </c>
      <c r="DX21" s="5"/>
      <c r="DY21" s="5"/>
      <c r="DZ21" s="5"/>
      <c r="EA21" s="5" t="s">
        <v>247</v>
      </c>
      <c r="EB21" s="5"/>
      <c r="EC21" s="5" t="s">
        <v>247</v>
      </c>
      <c r="ED21" s="5"/>
      <c r="EE21" s="5" t="s">
        <v>253</v>
      </c>
      <c r="EF21" s="5"/>
      <c r="EG21" s="5"/>
      <c r="EH21" s="5"/>
      <c r="EI21" s="5" t="s">
        <v>248</v>
      </c>
      <c r="EJ21" s="5"/>
      <c r="EK21" s="5" t="s">
        <v>247</v>
      </c>
      <c r="EL21" s="5"/>
      <c r="EM21" s="5" t="s">
        <v>232</v>
      </c>
      <c r="EN21" s="5"/>
      <c r="EO21" s="5"/>
      <c r="EP21" s="5"/>
      <c r="EQ21" s="5" t="s">
        <v>247</v>
      </c>
      <c r="ER21" s="5"/>
      <c r="ES21" s="5" t="s">
        <v>254</v>
      </c>
      <c r="ET21" s="5"/>
      <c r="EU21" s="5" t="s">
        <v>254</v>
      </c>
      <c r="EV21" s="5"/>
      <c r="EW21" s="5" t="s">
        <v>254</v>
      </c>
      <c r="EX21" s="5"/>
      <c r="EY21" s="5"/>
      <c r="EZ21" s="5"/>
      <c r="FA21" s="5" t="s">
        <v>247</v>
      </c>
      <c r="FB21" s="5"/>
      <c r="FC21" s="5" t="s">
        <v>253</v>
      </c>
      <c r="FD21" s="5"/>
      <c r="FE21" s="5" t="s">
        <v>247</v>
      </c>
      <c r="FF21" s="5"/>
      <c r="FG21" s="5"/>
      <c r="FH21" s="5"/>
      <c r="FI21" s="5" t="s">
        <v>232</v>
      </c>
      <c r="FJ21" s="5"/>
      <c r="FK21" s="5" t="s">
        <v>253</v>
      </c>
      <c r="FL21" s="5"/>
      <c r="FM21" s="5" t="s">
        <v>253</v>
      </c>
      <c r="FN21" s="5"/>
      <c r="FO21" s="5"/>
      <c r="FP21" s="5"/>
      <c r="FQ21" s="5" t="s">
        <v>206</v>
      </c>
      <c r="FR21" s="5"/>
      <c r="FS21" s="5" t="s">
        <v>206</v>
      </c>
      <c r="FT21" s="5"/>
      <c r="FU21" s="5" t="s">
        <v>206</v>
      </c>
      <c r="FV21" s="5"/>
      <c r="FW21" s="5" t="s">
        <v>206</v>
      </c>
      <c r="FX21" s="5"/>
      <c r="FY21" s="5" t="s">
        <v>206</v>
      </c>
      <c r="FZ21" s="5"/>
      <c r="GA21" s="5" t="s">
        <v>206</v>
      </c>
      <c r="GB21" s="5"/>
      <c r="GC21" s="5" t="s">
        <v>206</v>
      </c>
      <c r="GD21" s="5"/>
      <c r="GE21" s="5"/>
      <c r="GF21" s="5"/>
      <c r="GG21" s="5" t="s">
        <v>255</v>
      </c>
      <c r="GH21" s="5" t="s">
        <v>255</v>
      </c>
      <c r="GI21" s="5" t="s">
        <v>255</v>
      </c>
      <c r="GJ21" s="5" t="s">
        <v>255</v>
      </c>
      <c r="GK21" s="5" t="s">
        <v>233</v>
      </c>
      <c r="GL21" s="5" t="s">
        <v>255</v>
      </c>
      <c r="GM21" s="5" t="s">
        <v>233</v>
      </c>
      <c r="GN21" s="5" t="s">
        <v>257</v>
      </c>
      <c r="GO21" s="5" t="s">
        <v>257</v>
      </c>
      <c r="GP21" s="5" t="s">
        <v>257</v>
      </c>
      <c r="GQ21" s="5" t="s">
        <v>257</v>
      </c>
      <c r="GR21" s="5" t="s">
        <v>257</v>
      </c>
      <c r="GS21" s="5" t="s">
        <v>257</v>
      </c>
      <c r="GT21" s="5" t="s">
        <v>257</v>
      </c>
      <c r="GU21" s="5" t="s">
        <v>320</v>
      </c>
      <c r="GV21" s="5" t="str">
        <f>TEXT("6261936996534871139","0")</f>
        <v>6261936996534870000</v>
      </c>
    </row>
    <row r="22" spans="1:204" ht="15.75" customHeight="1" x14ac:dyDescent="0.15">
      <c r="A22" s="1">
        <f>ROW(A22)</f>
        <v>22</v>
      </c>
      <c r="B22" s="4">
        <v>45828.109085648146</v>
      </c>
      <c r="C22" s="5" t="s">
        <v>204</v>
      </c>
      <c r="D22" s="5" t="s">
        <v>206</v>
      </c>
      <c r="F22" s="5" t="s">
        <v>206</v>
      </c>
      <c r="G22" s="5" t="s">
        <v>204</v>
      </c>
      <c r="H22" s="5" t="s">
        <v>206</v>
      </c>
      <c r="K22" s="5" t="s">
        <v>237</v>
      </c>
      <c r="P22" s="5" t="s">
        <v>237</v>
      </c>
      <c r="V22" s="5" t="s">
        <v>236</v>
      </c>
      <c r="Y22" s="5" t="s">
        <v>209</v>
      </c>
      <c r="AE22" s="5" t="s">
        <v>237</v>
      </c>
      <c r="AH22" s="5" t="s">
        <v>275</v>
      </c>
      <c r="AI22" s="5">
        <v>2021</v>
      </c>
      <c r="AJ22" s="5" t="s">
        <v>238</v>
      </c>
      <c r="AK22" s="5" t="str">
        <f>IF(OR(AJ22="Empleada del sector privado",AJ22="Empleada del sector público"),"Asalariada",
IF(AJ22="Trabajadora por cuenta propia","Trabajadora por cuenta propia",""))</f>
        <v>Trabajadora por cuenta propia</v>
      </c>
      <c r="AM22" s="5" t="s">
        <v>309</v>
      </c>
      <c r="AP22" s="5" t="s">
        <v>321</v>
      </c>
      <c r="AR22" s="5" t="s">
        <v>241</v>
      </c>
      <c r="AS22" s="5" t="s">
        <v>241</v>
      </c>
      <c r="AT22" s="5" t="s">
        <v>241</v>
      </c>
      <c r="AU22" s="5" t="s">
        <v>241</v>
      </c>
      <c r="AV22" s="5" t="s">
        <v>302</v>
      </c>
      <c r="AW22" s="5" t="s">
        <v>206</v>
      </c>
      <c r="BF22" s="5" t="s">
        <v>204</v>
      </c>
      <c r="BG22" s="5" t="s">
        <v>278</v>
      </c>
      <c r="BH22" s="5" t="s">
        <v>278</v>
      </c>
      <c r="BI22" s="5" t="s">
        <v>278</v>
      </c>
      <c r="BJ22" s="5" t="s">
        <v>278</v>
      </c>
      <c r="BK22" s="5" t="s">
        <v>244</v>
      </c>
      <c r="BL22" s="5" t="s">
        <v>244</v>
      </c>
      <c r="BM22" s="5" t="s">
        <v>245</v>
      </c>
      <c r="BN22" s="5" t="s">
        <v>245</v>
      </c>
      <c r="BO22" s="5" t="s">
        <v>245</v>
      </c>
      <c r="BP22" s="5" t="s">
        <v>245</v>
      </c>
      <c r="BQ22" s="5" t="s">
        <v>244</v>
      </c>
      <c r="BR22" s="5" t="s">
        <v>244</v>
      </c>
      <c r="BS22" s="5" t="s">
        <v>248</v>
      </c>
      <c r="BT22" s="5" t="s">
        <v>254</v>
      </c>
      <c r="BU22" s="5" t="s">
        <v>217</v>
      </c>
      <c r="BV22" s="5" t="s">
        <v>217</v>
      </c>
      <c r="BW22" s="5" t="s">
        <v>217</v>
      </c>
      <c r="BX22" s="5" t="s">
        <v>217</v>
      </c>
      <c r="BY22" s="5" t="s">
        <v>217</v>
      </c>
      <c r="CD22" s="5" t="s">
        <v>206</v>
      </c>
      <c r="CH22" s="5" t="s">
        <v>206</v>
      </c>
      <c r="CI22" s="5" t="s">
        <v>307</v>
      </c>
      <c r="CJ22" s="5">
        <v>1</v>
      </c>
      <c r="CK22" s="5" t="s">
        <v>223</v>
      </c>
      <c r="CU22" s="5" t="s">
        <v>206</v>
      </c>
      <c r="DA22" s="5" t="s">
        <v>272</v>
      </c>
      <c r="DB22" s="5">
        <f>IF(DA22="Mejor que lo habitual",1,
IF(DA22="Igual que lo habitual",2,
IF(DA22="Menos que lo habitual",3,
IF(DA22="Mucho menos que lo habitual",4,""))))</f>
        <v>1</v>
      </c>
      <c r="DC22" s="5" t="s">
        <v>251</v>
      </c>
      <c r="DD22" s="5">
        <f>IF(DC22="No, en absoluto",1,
IF(DC22="No más que lo habitual",2,
IF(DC22="Bastante más que lo habitual",3,
IF(DC22="Mucho más que lo habitual",4,""))))</f>
        <v>1</v>
      </c>
      <c r="DE22" s="5" t="s">
        <v>251</v>
      </c>
      <c r="DF22" s="5">
        <f>IF(DE22="No, en absoluto",1,
IF(DE22="No más que lo habitual",2,
IF(DE22="Bastante más que lo habitual",3,
IF(DE22="Mucho más que lo habitual",4,""))))</f>
        <v>1</v>
      </c>
      <c r="DG22" s="5" t="s">
        <v>251</v>
      </c>
      <c r="DH22" s="5">
        <f>IF(DG22="No, en absoluto",1,
IF(DG22="No más que lo habitual",2,
IF(DG22="Bastante más que lo habitual",3,
IF(DG22="Mucho más que lo habitual",4,""))))</f>
        <v>1</v>
      </c>
      <c r="DI22" s="5" t="s">
        <v>251</v>
      </c>
      <c r="DJ22" s="5">
        <f>IF(DI22="No, en absoluto",1,
IF(DI22="No más que lo habitual",2,
IF(DI22="Bastante más que lo habitual",3,
IF(DI22="Mucho más que lo habitual",4,""))))</f>
        <v>1</v>
      </c>
      <c r="DK22" s="5" t="s">
        <v>251</v>
      </c>
      <c r="DL22" s="5">
        <f>IF(DK22="No, en absoluto",1,
IF(DK22="No más que lo habitual",2,
IF(DK22="Bastante más que lo habitual",3,
IF(DK22="Mucho más que lo habitual",4,""))))</f>
        <v>1</v>
      </c>
      <c r="DM22" s="5" t="s">
        <v>251</v>
      </c>
      <c r="DN22" s="5">
        <f>IF(DM22="No, en absoluto",1,
IF(DM22="No más que lo habitual",2,
IF(DM22="Bastante más que lo habitual",3,
IF(DM22="Mucho más que lo habitual",4,""))))</f>
        <v>1</v>
      </c>
      <c r="DO22" s="5" t="s">
        <v>281</v>
      </c>
      <c r="DP22" s="5">
        <f>IF(DO22="Más que lo habitual",1,
IF(DO22="Igual que lo habitual",2,
IF(DO22="Menos que lo habitual",3,
IF(DO22="Mucho menos que lo habitual",4,""))))</f>
        <v>1</v>
      </c>
      <c r="DQ22" s="5" t="s">
        <v>281</v>
      </c>
      <c r="DR22" s="5">
        <f>IF(DQ22="Más que lo habitual",1,
IF(DQ22="Igual que lo habitual",2,
IF(DQ22="Menos que lo habitual",3,
IF(DQ22="Mucho menos que lo habitual",4,""))))</f>
        <v>1</v>
      </c>
      <c r="DS22" s="5" t="s">
        <v>281</v>
      </c>
      <c r="DT22" s="5">
        <f>IF(DS22="Más que lo habitual",1,
IF(DS22="Igual que lo habitual",2,
IF(DS22="Menos que lo habitual",3,
IF(DS22="Mucho menos que lo habitual",4,""))))</f>
        <v>1</v>
      </c>
      <c r="DU22" s="5" t="s">
        <v>281</v>
      </c>
      <c r="DV22" s="5">
        <f>IF(DU22="Más que lo habitual",1,
IF(DU22="Igual que lo habitual",2,
IF(DU22="Menos que lo habitual",3,
IF(DU22="Mucho menos que lo habitual",4,""))))</f>
        <v>1</v>
      </c>
      <c r="DW22" s="5" t="s">
        <v>281</v>
      </c>
      <c r="DX22" s="5">
        <f>IF(DW22="Más que lo habitual",1,
IF(DW22="Igual que lo habitual",2,
IF(DW22="Menos que lo habitual",3,
IF(DW22="Mucho menos que lo habitual",4,""))))</f>
        <v>1</v>
      </c>
      <c r="DY22" s="5">
        <f>SUM(DB22,DD22,DF22,DH22,DJ22,DL22,DN22,DP22,DR22,DT22,DV22,DX22)</f>
        <v>12</v>
      </c>
      <c r="DZ22" s="5" t="str">
        <f>IF(DY22&lt;=18,"Nivel de riesgo bajo",
IF(DY22&lt;=23,"Nivel de riesgo medio",
"Nivel de riesgo alto"))</f>
        <v>Nivel de riesgo bajo</v>
      </c>
      <c r="EA22" s="5" t="s">
        <v>248</v>
      </c>
      <c r="EB22" s="5">
        <f>IF(EA22="Nunca/ casi nunca",0,
IF(EA22="Rara vez",1,
IF(EA22="A veces",2,
IF(EA22="A menudo",3,
IF(EA22="Siempre",4,"")))))</f>
        <v>1</v>
      </c>
      <c r="EC22" s="5" t="s">
        <v>248</v>
      </c>
      <c r="ED22" s="5">
        <f>IF(EC22="Nunca/ casi nunca",0,
IF(EC22="Rara vez",1,
IF(EC22="A veces",2,
IF(EC22="A menudo",3,
IF(EC22="Siempre",4,"")))))</f>
        <v>1</v>
      </c>
      <c r="EE22" s="5" t="s">
        <v>253</v>
      </c>
      <c r="EF22" s="5">
        <f>IF(EE22="Nunca/ casi nunca",0,
IF(EE22="Rara vez",1,
IF(EE22="A veces",2,
IF(EE22="A menudo",3,
IF(EE22="Siempre",4,"")))))</f>
        <v>0</v>
      </c>
      <c r="EG22" s="5">
        <f>SUM(EB22,ED22,EF22)</f>
        <v>2</v>
      </c>
      <c r="EH22" s="5" t="str">
        <f>IF(EG22&lt;=1,"Nivel de riesgo bajo",
IF(EG22&lt;=4,"Nivel de riesgo medio",
"Nivel de riesgo alto"))</f>
        <v>Nivel de riesgo medio</v>
      </c>
      <c r="EI22" s="5" t="s">
        <v>248</v>
      </c>
      <c r="EJ22" s="5">
        <f>IF(EI22="Nunca/ casi nunca",0,
IF(EI22="Rara vez",1,
IF(EI22="A veces",2,
IF(EI22="A menudo",3,
IF(EI22="Siempre",4,"")))))</f>
        <v>1</v>
      </c>
      <c r="EK22" s="5" t="s">
        <v>253</v>
      </c>
      <c r="EL22" s="5">
        <f>IF(EK22="Nunca/ casi nunca",0,
IF(EK22="Rara vez",1,
IF(EK22="A veces",2,
IF(EK22="A menudo",3,
IF(EK22="Siempre",4,"")))))</f>
        <v>0</v>
      </c>
      <c r="EM22" s="5" t="s">
        <v>253</v>
      </c>
      <c r="EN22" s="5">
        <f>IF(EM22="Nunca/ casi nunca",0,
IF(EM22="Rara vez",1,
IF(EM22="A veces",2,
IF(EM22="A menudo",3,
IF(EM22="Siempre",4,"")))))</f>
        <v>0</v>
      </c>
      <c r="EO22" s="5">
        <f>SUM(EJ22,EL22,EN22)</f>
        <v>1</v>
      </c>
      <c r="EP22" s="5" t="str">
        <f>IF(EO22&lt;=1,"Nivel de riesgo bajo",
IF(EO22&lt;=5,"Nivel de riesgo medio",
"Nivel de riesgo alto"))</f>
        <v>Nivel de riesgo bajo</v>
      </c>
      <c r="EQ22" s="5" t="s">
        <v>254</v>
      </c>
      <c r="ER22" s="5">
        <f>IF(EQ22="Nunca/ casi nunca",4,
IF(EQ22="Rara vez",3,
IF(EQ22="A veces",2,
IF(EQ22="A menudo",1,
IF(EQ22="Siempre",0,"")))))</f>
        <v>0</v>
      </c>
      <c r="ES22" s="5" t="s">
        <v>254</v>
      </c>
      <c r="ET22" s="5">
        <f>IF(ES22="Nunca/ casi nunca",4,
IF(ES22="Rara vez",3,
IF(ES22="A veces",2,
IF(ES22="A menudo",1,
IF(ES22="Siempre",0,"")))))</f>
        <v>0</v>
      </c>
      <c r="EU22" s="5" t="s">
        <v>254</v>
      </c>
      <c r="EV22" s="5">
        <f>IF(EU22="Nunca/ casi nunca",4,
IF(EU22="Rara vez",3,
IF(EU22="A veces",2,
IF(EU22="A menudo",1,
IF(EU22="Siempre",0,"")))))</f>
        <v>0</v>
      </c>
      <c r="EW22" s="5" t="s">
        <v>254</v>
      </c>
      <c r="EX22" s="5">
        <f>IF(EW22="Nunca/ casi nunca",4,
IF(EW22="Rara vez",3,
IF(EW22="A veces",2,
IF(EW22="A menudo",1,
IF(EW22="Siempre",0,"")))))</f>
        <v>0</v>
      </c>
      <c r="EY22" s="5">
        <f>SUM(ER22,ET22,EV22,EX22)</f>
        <v>0</v>
      </c>
      <c r="EZ22" s="5" t="str">
        <f>IF(EY22&lt;=0,"Nivel de riesgo bajo",
IF(EY22&lt;=4,"Nivel de riesgo medio",
"Nivel de riesgo alto"))</f>
        <v>Nivel de riesgo bajo</v>
      </c>
      <c r="FA22" s="5" t="s">
        <v>253</v>
      </c>
      <c r="FB22" s="5">
        <f>IF(FA22="Nunca/ casi nunca",0,
IF(FA22="Rara vez",1,
IF(FA22="A veces",2,
IF(FA22="A menudo",3,
IF(FA22="Siempre",4,"")))))</f>
        <v>0</v>
      </c>
      <c r="FC22" s="5" t="s">
        <v>248</v>
      </c>
      <c r="FD22" s="5">
        <f>IF(FC22="Nunca/ casi nunca",0,
IF(FC22="Rara vez",1,
IF(FC22="A veces",2,
IF(FC22="A menudo",3,
IF(FC22="Siempre",4,"")))))</f>
        <v>1</v>
      </c>
      <c r="FE22" s="5" t="s">
        <v>253</v>
      </c>
      <c r="FF22" s="5">
        <f>IF(FE22="Nunca/ casi nunca",0,
IF(FE22="Rara vez",1,
IF(FE22="A veces",2,
IF(FE22="A menudo",3,
IF(FE22="Siempre",4,"")))))</f>
        <v>0</v>
      </c>
      <c r="FG22" s="5">
        <f>SUM(FB22,FD22,FF22)</f>
        <v>1</v>
      </c>
      <c r="FH22" s="5" t="str">
        <f>IF(FG22&lt;=2,"Nivel de riesgo bajo",
IF(FG22&lt;=5,"Nivel de riesgo medio",
"Nivel de riesgo alto"))</f>
        <v>Nivel de riesgo bajo</v>
      </c>
      <c r="FI22" s="5" t="s">
        <v>253</v>
      </c>
      <c r="FJ22" s="5">
        <f>IF(FI22="Nunca/ casi nunca",0,
IF(FI22="Rara vez",1,
IF(FI22="A veces",2,
IF(FI22="A menudo",3,
IF(FI22="Siempre",4,"")))))</f>
        <v>0</v>
      </c>
      <c r="FK22" s="5" t="s">
        <v>253</v>
      </c>
      <c r="FL22" s="5">
        <f>IF(FK22="Nunca/ casi nunca",0,
IF(FK22="Rara vez",1,
IF(FK22="A veces",2,
IF(FK22="A menudo",3,
IF(FK22="Siempre",4,"")))))</f>
        <v>0</v>
      </c>
      <c r="FM22" s="5" t="s">
        <v>253</v>
      </c>
      <c r="FN22" s="5">
        <f>IF(FM22="Nunca/ casi nunca",0,
IF(FM22="Rara vez",1,
IF(FM22="A veces",2,
IF(FM22="A menudo",3,
IF(FM22="Siempre",4,"")))))</f>
        <v>0</v>
      </c>
      <c r="FO22" s="5">
        <f>SUM(FJ22,FL22,FN22)</f>
        <v>0</v>
      </c>
      <c r="FP22" s="5" t="str">
        <f>IF(FO22&lt;=2,"Nivel de riesgo bajo",
IF(FO22&lt;=5,"Nivel de riesgo medio",
"Nivel de riesgo alto"))</f>
        <v>Nivel de riesgo bajo</v>
      </c>
      <c r="FQ22" s="5" t="s">
        <v>206</v>
      </c>
      <c r="FR22" s="5">
        <f>IF(FQ22="No",0,
IF(FQ22="Sí, unas pocas veces",1,
IF(FQ22="Sí, mensualmente",2,
IF(FQ22="Sí, semanalmente",3,
IF(FQ22="Sí, diariamente",4,"")))))</f>
        <v>0</v>
      </c>
      <c r="FS22" s="5" t="s">
        <v>206</v>
      </c>
      <c r="FT22" s="5">
        <f>IF(FS22="No",0,
IF(FS22="Sí, unas pocas veces",1,
IF(FS22="Sí, mensualmente",2,
IF(FS22="Sí, semanalmente",3,
IF(FS22="Sí, diariamente",4,"")))))</f>
        <v>0</v>
      </c>
      <c r="FU22" s="5" t="s">
        <v>206</v>
      </c>
      <c r="FV22" s="5">
        <f>IF(FU22="No",0,
IF(FU22="Sí, unas pocas veces",1,
IF(FU22="Sí, mensualmente",2,
IF(FU22="Sí, semanalmente",3,
IF(FU22="Sí, diariamente",4,"")))))</f>
        <v>0</v>
      </c>
      <c r="FW22" s="5" t="s">
        <v>206</v>
      </c>
      <c r="FX22" s="5">
        <f>IF(FW22="No",0,
IF(FW22="Sí, unas pocas veces",1,
IF(FW22="Sí, mensualmente",2,
IF(FW22="Sí, semanalmente",3,
IF(FW22="Sí, diariamente",4,"")))))</f>
        <v>0</v>
      </c>
      <c r="FY22" s="5" t="s">
        <v>206</v>
      </c>
      <c r="FZ22" s="5">
        <f>IF(FY22="No",0,
IF(FY22="Sí, unas pocas veces",1,
IF(FY22="Sí, mensualmente",2,
IF(FY22="Sí, semanalmente",3,
IF(FY22="Sí, diariamente",4,"")))))</f>
        <v>0</v>
      </c>
      <c r="GA22" s="5" t="s">
        <v>206</v>
      </c>
      <c r="GB22" s="5">
        <f>IF(GA22="No",0,
IF(GA22="Sí, unas pocas veces",1,
IF(GA22="Sí, mensualmente",2,
IF(GA22="Sí, semanalmente",3,
IF(GA22="Sí, diariamente",4,"")))))</f>
        <v>0</v>
      </c>
      <c r="GC22" s="5" t="s">
        <v>206</v>
      </c>
      <c r="GD22" s="5">
        <f>IF(GC22="No",0,
IF(GC22="Sí, unas pocas veces",1,
IF(GC22="Sí, mensualmente",2,
IF(GC22="Sí, semanalmente",3,
IF(GC22="Sí, diariamente",4,"")))))</f>
        <v>0</v>
      </c>
      <c r="GE22" s="5">
        <f>SUM(FR22,FT22,FV22,FX22,FZ22,GB22,GD22)</f>
        <v>0</v>
      </c>
      <c r="GF22" s="5" t="str">
        <f>IF(GE22&lt;=0,"Nivel de riesgo bajo",
IF(GE22&lt;=14,"Nivel de riesgo medio",
"Nivel de riesgo alto"))</f>
        <v>Nivel de riesgo bajo</v>
      </c>
      <c r="GG22" s="5" t="s">
        <v>255</v>
      </c>
      <c r="GH22" s="5" t="s">
        <v>255</v>
      </c>
      <c r="GI22" s="5" t="s">
        <v>255</v>
      </c>
      <c r="GJ22" s="5" t="s">
        <v>255</v>
      </c>
      <c r="GK22" s="5" t="s">
        <v>233</v>
      </c>
      <c r="GL22" s="5" t="s">
        <v>233</v>
      </c>
      <c r="GM22" s="5" t="s">
        <v>255</v>
      </c>
      <c r="GN22" s="5" t="s">
        <v>256</v>
      </c>
      <c r="GO22" s="5" t="s">
        <v>256</v>
      </c>
      <c r="GP22" s="5" t="s">
        <v>256</v>
      </c>
      <c r="GQ22" s="5" t="s">
        <v>256</v>
      </c>
      <c r="GR22" s="5" t="s">
        <v>256</v>
      </c>
      <c r="GS22" s="5" t="s">
        <v>257</v>
      </c>
      <c r="GT22" s="5" t="s">
        <v>256</v>
      </c>
      <c r="GU22" s="5" t="s">
        <v>322</v>
      </c>
      <c r="GV22" s="5" t="str">
        <f>TEXT("6262106254618543362","0")</f>
        <v>6262106254618540000</v>
      </c>
    </row>
    <row r="23" spans="1:204" ht="15.75" customHeight="1" x14ac:dyDescent="0.15">
      <c r="A23" s="1">
        <f>ROW(A23)</f>
        <v>23</v>
      </c>
      <c r="B23" s="4">
        <v>45828.577384259261</v>
      </c>
      <c r="C23" s="5" t="s">
        <v>204</v>
      </c>
      <c r="D23" s="5" t="s">
        <v>206</v>
      </c>
      <c r="F23" s="5" t="s">
        <v>206</v>
      </c>
      <c r="G23" s="5" t="s">
        <v>206</v>
      </c>
      <c r="H23" s="5" t="s">
        <v>206</v>
      </c>
      <c r="K23" s="5" t="s">
        <v>237</v>
      </c>
      <c r="P23" s="5" t="s">
        <v>237</v>
      </c>
      <c r="T23" s="5" t="s">
        <v>209</v>
      </c>
      <c r="Z23" s="5" t="s">
        <v>237</v>
      </c>
      <c r="AD23" s="5" t="s">
        <v>209</v>
      </c>
      <c r="AH23" s="5" t="s">
        <v>275</v>
      </c>
      <c r="AI23" s="5">
        <v>2020</v>
      </c>
      <c r="AJ23" s="5" t="s">
        <v>238</v>
      </c>
      <c r="AK23" s="5" t="str">
        <f>IF(OR(AJ23="Empleada del sector privado",AJ23="Empleada del sector público"),"Asalariada",
IF(AJ23="Trabajadora por cuenta propia","Trabajadora por cuenta propia",""))</f>
        <v>Trabajadora por cuenta propia</v>
      </c>
      <c r="AM23" s="5" t="s">
        <v>309</v>
      </c>
      <c r="AO23" s="5" t="s">
        <v>323</v>
      </c>
      <c r="AP23" s="5" t="s">
        <v>324</v>
      </c>
      <c r="AR23" s="5" t="s">
        <v>241</v>
      </c>
      <c r="AS23" s="5" t="s">
        <v>241</v>
      </c>
      <c r="AT23" s="5" t="s">
        <v>261</v>
      </c>
      <c r="AU23" s="5" t="s">
        <v>294</v>
      </c>
      <c r="AV23" s="5" t="s">
        <v>213</v>
      </c>
      <c r="AW23" s="5" t="s">
        <v>204</v>
      </c>
      <c r="AX23" s="5" t="s">
        <v>204</v>
      </c>
      <c r="AY23" s="5" t="s">
        <v>270</v>
      </c>
      <c r="AZ23" s="5" t="s">
        <v>204</v>
      </c>
      <c r="BA23" s="5" t="s">
        <v>263</v>
      </c>
      <c r="BF23" s="5" t="s">
        <v>204</v>
      </c>
      <c r="BG23" s="5" t="s">
        <v>278</v>
      </c>
      <c r="BH23" s="5" t="s">
        <v>271</v>
      </c>
      <c r="BI23" s="5" t="s">
        <v>278</v>
      </c>
      <c r="BJ23" s="5" t="s">
        <v>271</v>
      </c>
      <c r="BK23" s="5" t="s">
        <v>243</v>
      </c>
      <c r="BL23" s="5" t="s">
        <v>243</v>
      </c>
      <c r="BM23" s="5" t="s">
        <v>243</v>
      </c>
      <c r="BN23" s="5" t="s">
        <v>245</v>
      </c>
      <c r="BO23" s="5" t="s">
        <v>243</v>
      </c>
      <c r="BP23" s="5" t="s">
        <v>243</v>
      </c>
      <c r="BQ23" s="5" t="s">
        <v>245</v>
      </c>
      <c r="BR23" s="5" t="s">
        <v>243</v>
      </c>
      <c r="BS23" s="5" t="s">
        <v>254</v>
      </c>
      <c r="BT23" s="5" t="s">
        <v>232</v>
      </c>
      <c r="BU23" s="5" t="s">
        <v>247</v>
      </c>
      <c r="BV23" s="5" t="s">
        <v>247</v>
      </c>
      <c r="BW23" s="5" t="s">
        <v>232</v>
      </c>
      <c r="BX23" s="5" t="s">
        <v>232</v>
      </c>
      <c r="BY23" s="5" t="s">
        <v>247</v>
      </c>
      <c r="BZ23" s="5" t="s">
        <v>243</v>
      </c>
      <c r="CA23" s="5" t="s">
        <v>243</v>
      </c>
      <c r="CB23" s="5" t="s">
        <v>243</v>
      </c>
      <c r="CC23" s="5" t="s">
        <v>243</v>
      </c>
      <c r="CD23" s="5" t="s">
        <v>206</v>
      </c>
      <c r="CH23" s="5" t="s">
        <v>206</v>
      </c>
      <c r="CI23" s="5" t="s">
        <v>318</v>
      </c>
      <c r="CJ23" s="5">
        <v>2</v>
      </c>
      <c r="CK23" s="5" t="s">
        <v>223</v>
      </c>
      <c r="CU23" s="5" t="s">
        <v>206</v>
      </c>
      <c r="DA23" s="5" t="s">
        <v>252</v>
      </c>
      <c r="DB23" s="5">
        <f>IF(DA23="Mejor que lo habitual",1,
IF(DA23="Igual que lo habitual",2,
IF(DA23="Menos que lo habitual",3,
IF(DA23="Mucho menos que lo habitual",4,""))))</f>
        <v>3</v>
      </c>
      <c r="DC23" s="5" t="s">
        <v>250</v>
      </c>
      <c r="DD23" s="5">
        <f>IF(DC23="No, en absoluto",1,
IF(DC23="No más que lo habitual",2,
IF(DC23="Bastante más que lo habitual",3,
IF(DC23="Mucho más que lo habitual",4,""))))</f>
        <v>3</v>
      </c>
      <c r="DE23" s="5" t="s">
        <v>250</v>
      </c>
      <c r="DF23" s="5">
        <f>IF(DE23="No, en absoluto",1,
IF(DE23="No más que lo habitual",2,
IF(DE23="Bastante más que lo habitual",3,
IF(DE23="Mucho más que lo habitual",4,""))))</f>
        <v>3</v>
      </c>
      <c r="DG23" s="5" t="s">
        <v>280</v>
      </c>
      <c r="DH23" s="5">
        <f>IF(DG23="No, en absoluto",1,
IF(DG23="No más que lo habitual",2,
IF(DG23="Bastante más que lo habitual",3,
IF(DG23="Mucho más que lo habitual",4,""))))</f>
        <v>4</v>
      </c>
      <c r="DI23" s="5" t="s">
        <v>280</v>
      </c>
      <c r="DJ23" s="5">
        <f>IF(DI23="No, en absoluto",1,
IF(DI23="No más que lo habitual",2,
IF(DI23="Bastante más que lo habitual",3,
IF(DI23="Mucho más que lo habitual",4,""))))</f>
        <v>4</v>
      </c>
      <c r="DK23" s="5" t="s">
        <v>250</v>
      </c>
      <c r="DL23" s="5">
        <f>IF(DK23="No, en absoluto",1,
IF(DK23="No más que lo habitual",2,
IF(DK23="Bastante más que lo habitual",3,
IF(DK23="Mucho más que lo habitual",4,""))))</f>
        <v>3</v>
      </c>
      <c r="DM23" s="5" t="s">
        <v>280</v>
      </c>
      <c r="DN23" s="5">
        <f>IF(DM23="No, en absoluto",1,
IF(DM23="No más que lo habitual",2,
IF(DM23="Bastante más que lo habitual",3,
IF(DM23="Mucho más que lo habitual",4,""))))</f>
        <v>4</v>
      </c>
      <c r="DO23" s="5" t="s">
        <v>252</v>
      </c>
      <c r="DP23" s="5">
        <f>IF(DO23="Más que lo habitual",1,
IF(DO23="Igual que lo habitual",2,
IF(DO23="Menos que lo habitual",3,
IF(DO23="Mucho menos que lo habitual",4,""))))</f>
        <v>3</v>
      </c>
      <c r="DQ23" s="5" t="s">
        <v>231</v>
      </c>
      <c r="DR23" s="5">
        <f>IF(DQ23="Más que lo habitual",1,
IF(DQ23="Igual que lo habitual",2,
IF(DQ23="Menos que lo habitual",3,
IF(DQ23="Mucho menos que lo habitual",4,""))))</f>
        <v>2</v>
      </c>
      <c r="DS23" s="5" t="s">
        <v>252</v>
      </c>
      <c r="DT23" s="5">
        <f>IF(DS23="Más que lo habitual",1,
IF(DS23="Igual que lo habitual",2,
IF(DS23="Menos que lo habitual",3,
IF(DS23="Mucho menos que lo habitual",4,""))))</f>
        <v>3</v>
      </c>
      <c r="DU23" s="5" t="s">
        <v>252</v>
      </c>
      <c r="DV23" s="5">
        <f>IF(DU23="Más que lo habitual",1,
IF(DU23="Igual que lo habitual",2,
IF(DU23="Menos que lo habitual",3,
IF(DU23="Mucho menos que lo habitual",4,""))))</f>
        <v>3</v>
      </c>
      <c r="DW23" s="5" t="s">
        <v>229</v>
      </c>
      <c r="DX23" s="5">
        <f>IF(DW23="Más que lo habitual",1,
IF(DW23="Igual que lo habitual",2,
IF(DW23="Menos que lo habitual",3,
IF(DW23="Mucho menos que lo habitual",4,""))))</f>
        <v>4</v>
      </c>
      <c r="DY23" s="5">
        <f>SUM(DB23,DD23,DF23,DH23,DJ23,DL23,DN23,DP23,DR23,DT23,DV23,DX23)</f>
        <v>39</v>
      </c>
      <c r="DZ23" s="5" t="str">
        <f>IF(DY23&lt;=18,"Nivel de riesgo bajo",
IF(DY23&lt;=23,"Nivel de riesgo medio",
"Nivel de riesgo alto"))</f>
        <v>Nivel de riesgo alto</v>
      </c>
      <c r="EA23" s="5" t="s">
        <v>232</v>
      </c>
      <c r="EB23" s="5">
        <f>IF(EA23="Nunca/ casi nunca",0,
IF(EA23="Rara vez",1,
IF(EA23="A veces",2,
IF(EA23="A menudo",3,
IF(EA23="Siempre",4,"")))))</f>
        <v>3</v>
      </c>
      <c r="EC23" s="5" t="s">
        <v>232</v>
      </c>
      <c r="ED23" s="5">
        <f>IF(EC23="Nunca/ casi nunca",0,
IF(EC23="Rara vez",1,
IF(EC23="A veces",2,
IF(EC23="A menudo",3,
IF(EC23="Siempre",4,"")))))</f>
        <v>3</v>
      </c>
      <c r="EE23" s="5" t="s">
        <v>232</v>
      </c>
      <c r="EF23" s="5">
        <f>IF(EE23="Nunca/ casi nunca",0,
IF(EE23="Rara vez",1,
IF(EE23="A veces",2,
IF(EE23="A menudo",3,
IF(EE23="Siempre",4,"")))))</f>
        <v>3</v>
      </c>
      <c r="EG23" s="5">
        <f>SUM(EB23,ED23,EF23)</f>
        <v>9</v>
      </c>
      <c r="EH23" s="5" t="str">
        <f>IF(EG23&lt;=1,"Nivel de riesgo bajo",
IF(EG23&lt;=4,"Nivel de riesgo medio",
"Nivel de riesgo alto"))</f>
        <v>Nivel de riesgo alto</v>
      </c>
      <c r="EI23" s="5" t="s">
        <v>247</v>
      </c>
      <c r="EJ23" s="5">
        <f>IF(EI23="Nunca/ casi nunca",0,
IF(EI23="Rara vez",1,
IF(EI23="A veces",2,
IF(EI23="A menudo",3,
IF(EI23="Siempre",4,"")))))</f>
        <v>2</v>
      </c>
      <c r="EK23" s="5" t="s">
        <v>248</v>
      </c>
      <c r="EL23" s="5">
        <f>IF(EK23="Nunca/ casi nunca",0,
IF(EK23="Rara vez",1,
IF(EK23="A veces",2,
IF(EK23="A menudo",3,
IF(EK23="Siempre",4,"")))))</f>
        <v>1</v>
      </c>
      <c r="EM23" s="5" t="s">
        <v>248</v>
      </c>
      <c r="EN23" s="5">
        <f>IF(EM23="Nunca/ casi nunca",0,
IF(EM23="Rara vez",1,
IF(EM23="A veces",2,
IF(EM23="A menudo",3,
IF(EM23="Siempre",4,"")))))</f>
        <v>1</v>
      </c>
      <c r="EO23" s="5">
        <f>SUM(EJ23,EL23,EN23)</f>
        <v>4</v>
      </c>
      <c r="EP23" s="5" t="str">
        <f>IF(EO23&lt;=1,"Nivel de riesgo bajo",
IF(EO23&lt;=5,"Nivel de riesgo medio",
"Nivel de riesgo alto"))</f>
        <v>Nivel de riesgo medio</v>
      </c>
      <c r="EQ23" s="5" t="s">
        <v>248</v>
      </c>
      <c r="ER23" s="5">
        <f>IF(EQ23="Nunca/ casi nunca",4,
IF(EQ23="Rara vez",3,
IF(EQ23="A veces",2,
IF(EQ23="A menudo",1,
IF(EQ23="Siempre",0,"")))))</f>
        <v>3</v>
      </c>
      <c r="ES23" s="5" t="s">
        <v>248</v>
      </c>
      <c r="ET23" s="5">
        <f>IF(ES23="Nunca/ casi nunca",4,
IF(ES23="Rara vez",3,
IF(ES23="A veces",2,
IF(ES23="A menudo",1,
IF(ES23="Siempre",0,"")))))</f>
        <v>3</v>
      </c>
      <c r="EU23" s="5" t="s">
        <v>247</v>
      </c>
      <c r="EV23" s="5">
        <f>IF(EU23="Nunca/ casi nunca",4,
IF(EU23="Rara vez",3,
IF(EU23="A veces",2,
IF(EU23="A menudo",1,
IF(EU23="Siempre",0,"")))))</f>
        <v>2</v>
      </c>
      <c r="EW23" s="5" t="s">
        <v>248</v>
      </c>
      <c r="EX23" s="5">
        <f>IF(EW23="Nunca/ casi nunca",4,
IF(EW23="Rara vez",3,
IF(EW23="A veces",2,
IF(EW23="A menudo",1,
IF(EW23="Siempre",0,"")))))</f>
        <v>3</v>
      </c>
      <c r="EY23" s="5">
        <f>SUM(ER23,ET23,EV23,EX23)</f>
        <v>11</v>
      </c>
      <c r="EZ23" s="5" t="str">
        <f>IF(EY23&lt;=0,"Nivel de riesgo bajo",
IF(EY23&lt;=4,"Nivel de riesgo medio",
"Nivel de riesgo alto"))</f>
        <v>Nivel de riesgo alto</v>
      </c>
      <c r="FA23" s="5" t="s">
        <v>232</v>
      </c>
      <c r="FB23" s="5">
        <f>IF(FA23="Nunca/ casi nunca",0,
IF(FA23="Rara vez",1,
IF(FA23="A veces",2,
IF(FA23="A menudo",3,
IF(FA23="Siempre",4,"")))))</f>
        <v>3</v>
      </c>
      <c r="FC23" s="5" t="s">
        <v>247</v>
      </c>
      <c r="FD23" s="5">
        <f>IF(FC23="Nunca/ casi nunca",0,
IF(FC23="Rara vez",1,
IF(FC23="A veces",2,
IF(FC23="A menudo",3,
IF(FC23="Siempre",4,"")))))</f>
        <v>2</v>
      </c>
      <c r="FE23" s="5" t="s">
        <v>247</v>
      </c>
      <c r="FF23" s="5">
        <f>IF(FE23="Nunca/ casi nunca",0,
IF(FE23="Rara vez",1,
IF(FE23="A veces",2,
IF(FE23="A menudo",3,
IF(FE23="Siempre",4,"")))))</f>
        <v>2</v>
      </c>
      <c r="FG23" s="5">
        <f>SUM(FB23,FD23,FF23)</f>
        <v>7</v>
      </c>
      <c r="FH23" s="5" t="str">
        <f>IF(FG23&lt;=2,"Nivel de riesgo bajo",
IF(FG23&lt;=5,"Nivel de riesgo medio",
"Nivel de riesgo alto"))</f>
        <v>Nivel de riesgo alto</v>
      </c>
      <c r="FI23" s="5" t="s">
        <v>247</v>
      </c>
      <c r="FJ23" s="5">
        <f>IF(FI23="Nunca/ casi nunca",0,
IF(FI23="Rara vez",1,
IF(FI23="A veces",2,
IF(FI23="A menudo",3,
IF(FI23="Siempre",4,"")))))</f>
        <v>2</v>
      </c>
      <c r="FK23" s="5" t="s">
        <v>247</v>
      </c>
      <c r="FL23" s="5">
        <f>IF(FK23="Nunca/ casi nunca",0,
IF(FK23="Rara vez",1,
IF(FK23="A veces",2,
IF(FK23="A menudo",3,
IF(FK23="Siempre",4,"")))))</f>
        <v>2</v>
      </c>
      <c r="FM23" s="5" t="s">
        <v>247</v>
      </c>
      <c r="FN23" s="5">
        <f>IF(FM23="Nunca/ casi nunca",0,
IF(FM23="Rara vez",1,
IF(FM23="A veces",2,
IF(FM23="A menudo",3,
IF(FM23="Siempre",4,"")))))</f>
        <v>2</v>
      </c>
      <c r="FO23" s="5">
        <f>SUM(FJ23,FL23,FN23)</f>
        <v>6</v>
      </c>
      <c r="FP23" s="5" t="str">
        <f>IF(FO23&lt;=2,"Nivel de riesgo bajo",
IF(FO23&lt;=5,"Nivel de riesgo medio",
"Nivel de riesgo alto"))</f>
        <v>Nivel de riesgo alto</v>
      </c>
      <c r="FQ23" s="5" t="s">
        <v>206</v>
      </c>
      <c r="FR23" s="5">
        <f>IF(FQ23="No",0,
IF(FQ23="Sí, unas pocas veces",1,
IF(FQ23="Sí, mensualmente",2,
IF(FQ23="Sí, semanalmente",3,
IF(FQ23="Sí, diariamente",4,"")))))</f>
        <v>0</v>
      </c>
      <c r="FS23" s="5" t="s">
        <v>265</v>
      </c>
      <c r="FT23" s="5">
        <f>IF(FS23="No",0,
IF(FS23="Sí, unas pocas veces",1,
IF(FS23="Sí, mensualmente",2,
IF(FS23="Sí, semanalmente",3,
IF(FS23="Sí, diariamente",4,"")))))</f>
        <v>1</v>
      </c>
      <c r="FU23" s="5" t="s">
        <v>206</v>
      </c>
      <c r="FV23" s="5">
        <f>IF(FU23="No",0,
IF(FU23="Sí, unas pocas veces",1,
IF(FU23="Sí, mensualmente",2,
IF(FU23="Sí, semanalmente",3,
IF(FU23="Sí, diariamente",4,"")))))</f>
        <v>0</v>
      </c>
      <c r="FW23" s="5" t="s">
        <v>206</v>
      </c>
      <c r="FX23" s="5">
        <f>IF(FW23="No",0,
IF(FW23="Sí, unas pocas veces",1,
IF(FW23="Sí, mensualmente",2,
IF(FW23="Sí, semanalmente",3,
IF(FW23="Sí, diariamente",4,"")))))</f>
        <v>0</v>
      </c>
      <c r="FY23" s="5" t="s">
        <v>206</v>
      </c>
      <c r="FZ23" s="5">
        <f>IF(FY23="No",0,
IF(FY23="Sí, unas pocas veces",1,
IF(FY23="Sí, mensualmente",2,
IF(FY23="Sí, semanalmente",3,
IF(FY23="Sí, diariamente",4,"")))))</f>
        <v>0</v>
      </c>
      <c r="GA23" s="5" t="s">
        <v>265</v>
      </c>
      <c r="GB23" s="5">
        <f>IF(GA23="No",0,
IF(GA23="Sí, unas pocas veces",1,
IF(GA23="Sí, mensualmente",2,
IF(GA23="Sí, semanalmente",3,
IF(GA23="Sí, diariamente",4,"")))))</f>
        <v>1</v>
      </c>
      <c r="GC23" s="5" t="s">
        <v>325</v>
      </c>
      <c r="GD23" s="5">
        <f>IF(GC23="No",0,
IF(GC23="Sí, unas pocas veces",1,
IF(GC23="Sí, mensualmente",2,
IF(GC23="Sí, semanalmente",3,
IF(GC23="Sí, diariamente",4,"")))))</f>
        <v>2</v>
      </c>
      <c r="GE23" s="5">
        <f>SUM(FR23,FT23,FV23,FX23,FZ23,GB23,GD23)</f>
        <v>4</v>
      </c>
      <c r="GF23" s="5" t="str">
        <f>IF(GE23&lt;=0,"Nivel de riesgo bajo",
IF(GE23&lt;=14,"Nivel de riesgo medio",
"Nivel de riesgo alto"))</f>
        <v>Nivel de riesgo medio</v>
      </c>
      <c r="GG23" s="5" t="s">
        <v>255</v>
      </c>
      <c r="GH23" s="5" t="s">
        <v>255</v>
      </c>
      <c r="GI23" s="5" t="s">
        <v>255</v>
      </c>
      <c r="GJ23" s="5" t="s">
        <v>273</v>
      </c>
      <c r="GK23" s="5" t="s">
        <v>233</v>
      </c>
      <c r="GL23" s="5" t="s">
        <v>255</v>
      </c>
      <c r="GM23" s="5" t="s">
        <v>255</v>
      </c>
      <c r="GN23" s="5" t="s">
        <v>257</v>
      </c>
      <c r="GO23" s="5" t="s">
        <v>257</v>
      </c>
      <c r="GP23" s="5" t="s">
        <v>257</v>
      </c>
      <c r="GQ23" s="5" t="s">
        <v>243</v>
      </c>
      <c r="GR23" s="5" t="s">
        <v>244</v>
      </c>
      <c r="GS23" s="5" t="s">
        <v>257</v>
      </c>
      <c r="GT23" s="5" t="s">
        <v>243</v>
      </c>
      <c r="GU23" s="5" t="s">
        <v>326</v>
      </c>
      <c r="GV23" s="5" t="str">
        <f>TEXT("6262510850252914394","0")</f>
        <v>6262510850252910000</v>
      </c>
    </row>
    <row r="24" spans="1:204" ht="15.75" hidden="1" customHeight="1" x14ac:dyDescent="0.15">
      <c r="B24" s="4">
        <v>45830.725995370369</v>
      </c>
      <c r="C24" s="5" t="s">
        <v>204</v>
      </c>
      <c r="D24" s="5" t="s">
        <v>206</v>
      </c>
      <c r="F24" s="5" t="s">
        <v>206</v>
      </c>
      <c r="G24" s="5" t="s">
        <v>204</v>
      </c>
      <c r="H24" s="5" t="s">
        <v>206</v>
      </c>
      <c r="K24" s="5" t="s">
        <v>237</v>
      </c>
      <c r="O24" s="5" t="s">
        <v>209</v>
      </c>
      <c r="T24" s="5" t="s">
        <v>209</v>
      </c>
      <c r="Y24" s="5" t="s">
        <v>209</v>
      </c>
      <c r="AC24" s="5" t="s">
        <v>208</v>
      </c>
      <c r="AH24" s="5" t="s">
        <v>268</v>
      </c>
      <c r="AI24" s="5">
        <v>2025</v>
      </c>
      <c r="AJ24" s="5" t="s">
        <v>260</v>
      </c>
      <c r="AK24" s="5"/>
      <c r="AR24" s="5" t="s">
        <v>241</v>
      </c>
      <c r="AS24" s="5" t="s">
        <v>241</v>
      </c>
      <c r="AT24" s="5" t="s">
        <v>301</v>
      </c>
      <c r="AU24" s="5" t="s">
        <v>241</v>
      </c>
      <c r="AV24" s="5" t="s">
        <v>213</v>
      </c>
      <c r="AW24" s="5" t="s">
        <v>206</v>
      </c>
      <c r="BF24" s="5" t="s">
        <v>204</v>
      </c>
      <c r="BG24" s="5" t="s">
        <v>278</v>
      </c>
      <c r="BH24" s="5" t="s">
        <v>278</v>
      </c>
      <c r="BI24" s="5" t="s">
        <v>278</v>
      </c>
      <c r="BJ24" s="5" t="s">
        <v>278</v>
      </c>
      <c r="BK24" s="5" t="s">
        <v>243</v>
      </c>
      <c r="BL24" s="5" t="s">
        <v>245</v>
      </c>
      <c r="BM24" s="5" t="s">
        <v>243</v>
      </c>
      <c r="BN24" s="5" t="s">
        <v>243</v>
      </c>
      <c r="BO24" s="5" t="s">
        <v>246</v>
      </c>
      <c r="BP24" s="5" t="s">
        <v>246</v>
      </c>
      <c r="BQ24" s="5" t="s">
        <v>246</v>
      </c>
      <c r="BR24" s="5" t="s">
        <v>246</v>
      </c>
      <c r="BS24" s="5" t="s">
        <v>247</v>
      </c>
      <c r="BT24" s="5" t="s">
        <v>232</v>
      </c>
      <c r="BU24" s="5" t="s">
        <v>247</v>
      </c>
      <c r="BV24" s="5" t="s">
        <v>247</v>
      </c>
      <c r="BW24" s="5" t="s">
        <v>247</v>
      </c>
      <c r="BX24" s="5" t="s">
        <v>247</v>
      </c>
      <c r="BY24" s="5" t="s">
        <v>248</v>
      </c>
      <c r="CD24" s="5" t="s">
        <v>204</v>
      </c>
      <c r="CE24" s="5" t="s">
        <v>286</v>
      </c>
      <c r="CF24" s="5" t="s">
        <v>219</v>
      </c>
      <c r="CG24" s="5" t="s">
        <v>220</v>
      </c>
      <c r="CH24" s="5" t="s">
        <v>310</v>
      </c>
      <c r="CI24" s="5" t="s">
        <v>307</v>
      </c>
      <c r="CJ24" s="5">
        <v>2</v>
      </c>
      <c r="CK24" s="5" t="s">
        <v>223</v>
      </c>
      <c r="CU24" s="5" t="s">
        <v>206</v>
      </c>
      <c r="DA24" s="5" t="s">
        <v>252</v>
      </c>
      <c r="DB24" s="5"/>
      <c r="DC24" s="5" t="s">
        <v>250</v>
      </c>
      <c r="DD24" s="5"/>
      <c r="DE24" s="5" t="s">
        <v>250</v>
      </c>
      <c r="DF24" s="5"/>
      <c r="DG24" s="5" t="s">
        <v>250</v>
      </c>
      <c r="DH24" s="5"/>
      <c r="DI24" s="5" t="s">
        <v>280</v>
      </c>
      <c r="DJ24" s="5"/>
      <c r="DK24" s="5" t="s">
        <v>250</v>
      </c>
      <c r="DL24" s="5"/>
      <c r="DM24" s="5" t="s">
        <v>250</v>
      </c>
      <c r="DN24" s="5"/>
      <c r="DO24" s="5" t="s">
        <v>252</v>
      </c>
      <c r="DP24" s="5"/>
      <c r="DQ24" s="5" t="s">
        <v>252</v>
      </c>
      <c r="DR24" s="5"/>
      <c r="DS24" s="5" t="s">
        <v>252</v>
      </c>
      <c r="DT24" s="5"/>
      <c r="DU24" s="5" t="s">
        <v>252</v>
      </c>
      <c r="DV24" s="5"/>
      <c r="DW24" s="5" t="s">
        <v>252</v>
      </c>
      <c r="DX24" s="5"/>
      <c r="DY24" s="5"/>
      <c r="DZ24" s="5"/>
      <c r="EA24" s="5" t="s">
        <v>248</v>
      </c>
      <c r="EB24" s="5"/>
      <c r="EC24" s="5" t="s">
        <v>247</v>
      </c>
      <c r="ED24" s="5"/>
      <c r="EE24" s="5" t="s">
        <v>247</v>
      </c>
      <c r="EF24" s="5"/>
      <c r="EG24" s="5"/>
      <c r="EH24" s="5"/>
      <c r="EI24" s="5" t="s">
        <v>248</v>
      </c>
      <c r="EJ24" s="5"/>
      <c r="EK24" s="5" t="s">
        <v>248</v>
      </c>
      <c r="EL24" s="5"/>
      <c r="EM24" s="5" t="s">
        <v>247</v>
      </c>
      <c r="EN24" s="5"/>
      <c r="EO24" s="5"/>
      <c r="EP24" s="5"/>
      <c r="EQ24" s="5" t="s">
        <v>253</v>
      </c>
      <c r="ER24" s="5"/>
      <c r="ES24" s="5" t="s">
        <v>253</v>
      </c>
      <c r="ET24" s="5"/>
      <c r="EU24" s="5" t="s">
        <v>253</v>
      </c>
      <c r="EV24" s="5"/>
      <c r="EW24" s="5" t="s">
        <v>253</v>
      </c>
      <c r="EX24" s="5"/>
      <c r="EY24" s="5"/>
      <c r="EZ24" s="5"/>
      <c r="FA24" s="5" t="s">
        <v>253</v>
      </c>
      <c r="FB24" s="5"/>
      <c r="FC24" s="5" t="s">
        <v>248</v>
      </c>
      <c r="FD24" s="5"/>
      <c r="FE24" s="5" t="s">
        <v>247</v>
      </c>
      <c r="FF24" s="5"/>
      <c r="FG24" s="5"/>
      <c r="FH24" s="5"/>
      <c r="FI24" s="5" t="s">
        <v>248</v>
      </c>
      <c r="FJ24" s="5"/>
      <c r="FK24" s="5" t="s">
        <v>248</v>
      </c>
      <c r="FL24" s="5"/>
      <c r="FM24" s="5" t="s">
        <v>248</v>
      </c>
      <c r="FN24" s="5"/>
      <c r="FO24" s="5"/>
      <c r="FP24" s="5"/>
      <c r="FQ24" s="5" t="s">
        <v>206</v>
      </c>
      <c r="FR24" s="5"/>
      <c r="FS24" s="5" t="s">
        <v>206</v>
      </c>
      <c r="FT24" s="5"/>
      <c r="FU24" s="5" t="s">
        <v>206</v>
      </c>
      <c r="FV24" s="5"/>
      <c r="FW24" s="5" t="s">
        <v>206</v>
      </c>
      <c r="FX24" s="5"/>
      <c r="FY24" s="5" t="s">
        <v>206</v>
      </c>
      <c r="FZ24" s="5"/>
      <c r="GA24" s="5" t="s">
        <v>206</v>
      </c>
      <c r="GB24" s="5"/>
      <c r="GC24" s="5" t="s">
        <v>206</v>
      </c>
      <c r="GD24" s="5"/>
      <c r="GE24" s="5"/>
      <c r="GF24" s="5"/>
      <c r="GG24" s="5" t="s">
        <v>255</v>
      </c>
      <c r="GH24" s="5" t="s">
        <v>255</v>
      </c>
      <c r="GI24" s="5" t="s">
        <v>255</v>
      </c>
      <c r="GJ24" s="5" t="s">
        <v>255</v>
      </c>
      <c r="GK24" s="5" t="s">
        <v>255</v>
      </c>
      <c r="GL24" s="5" t="s">
        <v>255</v>
      </c>
      <c r="GM24" s="5" t="s">
        <v>255</v>
      </c>
      <c r="GN24" s="5" t="s">
        <v>256</v>
      </c>
      <c r="GO24" s="5" t="s">
        <v>256</v>
      </c>
      <c r="GP24" s="5" t="s">
        <v>256</v>
      </c>
      <c r="GQ24" s="5" t="s">
        <v>256</v>
      </c>
      <c r="GR24" s="5" t="s">
        <v>256</v>
      </c>
      <c r="GS24" s="5" t="s">
        <v>256</v>
      </c>
      <c r="GT24" s="5" t="s">
        <v>256</v>
      </c>
      <c r="GU24" s="5" t="s">
        <v>327</v>
      </c>
      <c r="GV24" s="5" t="str">
        <f>TEXT("6264367261812461258","0")</f>
        <v>6264367261812460000</v>
      </c>
    </row>
    <row r="25" spans="1:204" ht="15.75" customHeight="1" x14ac:dyDescent="0.15">
      <c r="A25" s="1">
        <f>ROW(A25)</f>
        <v>25</v>
      </c>
      <c r="B25" s="4">
        <v>45830.829444444447</v>
      </c>
      <c r="C25" s="5" t="s">
        <v>204</v>
      </c>
      <c r="D25" s="5" t="s">
        <v>206</v>
      </c>
      <c r="F25" s="5" t="s">
        <v>206</v>
      </c>
      <c r="G25" s="5" t="s">
        <v>204</v>
      </c>
      <c r="H25" s="5" t="s">
        <v>206</v>
      </c>
      <c r="K25" s="5" t="s">
        <v>237</v>
      </c>
      <c r="P25" s="5" t="s">
        <v>237</v>
      </c>
      <c r="S25" s="5" t="s">
        <v>208</v>
      </c>
      <c r="X25" s="5" t="s">
        <v>208</v>
      </c>
      <c r="AD25" s="5" t="s">
        <v>209</v>
      </c>
      <c r="AH25" s="5" t="s">
        <v>275</v>
      </c>
      <c r="AI25" s="5">
        <v>2005</v>
      </c>
      <c r="AJ25" s="5" t="s">
        <v>238</v>
      </c>
      <c r="AK25" s="5" t="str">
        <f>IF(OR(AJ25="Empleada del sector privado",AJ25="Empleada del sector público"),"Asalariada",
IF(AJ25="Trabajadora por cuenta propia","Trabajadora por cuenta propia",""))</f>
        <v>Trabajadora por cuenta propia</v>
      </c>
      <c r="AL25" s="5" t="s">
        <v>239</v>
      </c>
      <c r="AP25" s="5" t="s">
        <v>297</v>
      </c>
      <c r="AR25" s="5" t="s">
        <v>241</v>
      </c>
      <c r="AS25" s="5" t="s">
        <v>241</v>
      </c>
      <c r="AT25" s="5" t="s">
        <v>241</v>
      </c>
      <c r="AU25" s="5" t="s">
        <v>241</v>
      </c>
      <c r="AV25" s="5" t="s">
        <v>285</v>
      </c>
      <c r="AW25" s="5" t="s">
        <v>204</v>
      </c>
      <c r="AX25" s="5" t="s">
        <v>204</v>
      </c>
      <c r="AY25" s="5" t="s">
        <v>214</v>
      </c>
      <c r="AZ25" s="5" t="s">
        <v>204</v>
      </c>
      <c r="BA25" s="5" t="s">
        <v>263</v>
      </c>
      <c r="BF25" s="5" t="s">
        <v>204</v>
      </c>
      <c r="BG25" s="5" t="s">
        <v>242</v>
      </c>
      <c r="BH25" s="5" t="s">
        <v>242</v>
      </c>
      <c r="BI25" s="5" t="s">
        <v>242</v>
      </c>
      <c r="BJ25" s="5" t="s">
        <v>242</v>
      </c>
      <c r="BK25" s="5" t="s">
        <v>244</v>
      </c>
      <c r="BL25" s="5" t="s">
        <v>244</v>
      </c>
      <c r="BM25" s="5" t="s">
        <v>244</v>
      </c>
      <c r="BN25" s="5" t="s">
        <v>244</v>
      </c>
      <c r="BO25" s="5" t="s">
        <v>244</v>
      </c>
      <c r="BP25" s="5" t="s">
        <v>244</v>
      </c>
      <c r="BQ25" s="5" t="s">
        <v>216</v>
      </c>
      <c r="BR25" s="5" t="s">
        <v>244</v>
      </c>
      <c r="BS25" s="5" t="s">
        <v>247</v>
      </c>
      <c r="BT25" s="5" t="s">
        <v>247</v>
      </c>
      <c r="BU25" s="5" t="s">
        <v>248</v>
      </c>
      <c r="BV25" s="5" t="s">
        <v>248</v>
      </c>
      <c r="BW25" s="5" t="s">
        <v>232</v>
      </c>
      <c r="BX25" s="5" t="s">
        <v>248</v>
      </c>
      <c r="BY25" s="5" t="s">
        <v>248</v>
      </c>
      <c r="BZ25" s="5" t="s">
        <v>216</v>
      </c>
      <c r="CA25" s="5" t="s">
        <v>244</v>
      </c>
      <c r="CB25" s="5" t="s">
        <v>244</v>
      </c>
      <c r="CC25" s="5" t="s">
        <v>246</v>
      </c>
      <c r="CD25" s="5" t="s">
        <v>204</v>
      </c>
      <c r="CE25" s="5" t="s">
        <v>286</v>
      </c>
      <c r="CF25" s="5" t="s">
        <v>279</v>
      </c>
      <c r="CG25" s="5" t="s">
        <v>206</v>
      </c>
      <c r="CH25" s="5" t="s">
        <v>206</v>
      </c>
      <c r="CI25" s="5" t="s">
        <v>206</v>
      </c>
      <c r="CJ25" s="5">
        <v>0</v>
      </c>
      <c r="CK25" s="5" t="s">
        <v>223</v>
      </c>
      <c r="CU25" s="5" t="s">
        <v>206</v>
      </c>
      <c r="DA25" s="5" t="s">
        <v>231</v>
      </c>
      <c r="DB25" s="5">
        <f>IF(DA25="Mejor que lo habitual",1,
IF(DA25="Igual que lo habitual",2,
IF(DA25="Menos que lo habitual",3,
IF(DA25="Mucho menos que lo habitual",4,""))))</f>
        <v>2</v>
      </c>
      <c r="DC25" s="5" t="s">
        <v>251</v>
      </c>
      <c r="DD25" s="5">
        <f>IF(DC25="No, en absoluto",1,
IF(DC25="No más que lo habitual",2,
IF(DC25="Bastante más que lo habitual",3,
IF(DC25="Mucho más que lo habitual",4,""))))</f>
        <v>1</v>
      </c>
      <c r="DE25" s="5" t="s">
        <v>251</v>
      </c>
      <c r="DF25" s="5">
        <f>IF(DE25="No, en absoluto",1,
IF(DE25="No más que lo habitual",2,
IF(DE25="Bastante más que lo habitual",3,
IF(DE25="Mucho más que lo habitual",4,""))))</f>
        <v>1</v>
      </c>
      <c r="DG25" s="5" t="s">
        <v>251</v>
      </c>
      <c r="DH25" s="5">
        <f>IF(DG25="No, en absoluto",1,
IF(DG25="No más que lo habitual",2,
IF(DG25="Bastante más que lo habitual",3,
IF(DG25="Mucho más que lo habitual",4,""))))</f>
        <v>1</v>
      </c>
      <c r="DI25" s="5" t="s">
        <v>251</v>
      </c>
      <c r="DJ25" s="5">
        <f>IF(DI25="No, en absoluto",1,
IF(DI25="No más que lo habitual",2,
IF(DI25="Bastante más que lo habitual",3,
IF(DI25="Mucho más que lo habitual",4,""))))</f>
        <v>1</v>
      </c>
      <c r="DK25" s="5" t="s">
        <v>251</v>
      </c>
      <c r="DL25" s="5">
        <f>IF(DK25="No, en absoluto",1,
IF(DK25="No más que lo habitual",2,
IF(DK25="Bastante más que lo habitual",3,
IF(DK25="Mucho más que lo habitual",4,""))))</f>
        <v>1</v>
      </c>
      <c r="DM25" s="5" t="s">
        <v>251</v>
      </c>
      <c r="DN25" s="5">
        <f>IF(DM25="No, en absoluto",1,
IF(DM25="No más que lo habitual",2,
IF(DM25="Bastante más que lo habitual",3,
IF(DM25="Mucho más que lo habitual",4,""))))</f>
        <v>1</v>
      </c>
      <c r="DO25" s="5" t="s">
        <v>281</v>
      </c>
      <c r="DP25" s="5">
        <f>IF(DO25="Más que lo habitual",1,
IF(DO25="Igual que lo habitual",2,
IF(DO25="Menos que lo habitual",3,
IF(DO25="Mucho menos que lo habitual",4,""))))</f>
        <v>1</v>
      </c>
      <c r="DQ25" s="5" t="s">
        <v>281</v>
      </c>
      <c r="DR25" s="5">
        <f>IF(DQ25="Más que lo habitual",1,
IF(DQ25="Igual que lo habitual",2,
IF(DQ25="Menos que lo habitual",3,
IF(DQ25="Mucho menos que lo habitual",4,""))))</f>
        <v>1</v>
      </c>
      <c r="DS25" s="5" t="s">
        <v>281</v>
      </c>
      <c r="DT25" s="5">
        <f>IF(DS25="Más que lo habitual",1,
IF(DS25="Igual que lo habitual",2,
IF(DS25="Menos que lo habitual",3,
IF(DS25="Mucho menos que lo habitual",4,""))))</f>
        <v>1</v>
      </c>
      <c r="DU25" s="5" t="s">
        <v>281</v>
      </c>
      <c r="DV25" s="5">
        <f>IF(DU25="Más que lo habitual",1,
IF(DU25="Igual que lo habitual",2,
IF(DU25="Menos que lo habitual",3,
IF(DU25="Mucho menos que lo habitual",4,""))))</f>
        <v>1</v>
      </c>
      <c r="DW25" s="5" t="s">
        <v>281</v>
      </c>
      <c r="DX25" s="5">
        <f>IF(DW25="Más que lo habitual",1,
IF(DW25="Igual que lo habitual",2,
IF(DW25="Menos que lo habitual",3,
IF(DW25="Mucho menos que lo habitual",4,""))))</f>
        <v>1</v>
      </c>
      <c r="DY25" s="5">
        <f>SUM(DB25,DD25,DF25,DH25,DJ25,DL25,DN25,DP25,DR25,DT25,DV25,DX25)</f>
        <v>13</v>
      </c>
      <c r="DZ25" s="5" t="str">
        <f>IF(DY25&lt;=18,"Nivel de riesgo bajo",
IF(DY25&lt;=23,"Nivel de riesgo medio",
"Nivel de riesgo alto"))</f>
        <v>Nivel de riesgo bajo</v>
      </c>
      <c r="EA25" s="5" t="s">
        <v>253</v>
      </c>
      <c r="EB25" s="5">
        <f>IF(EA25="Nunca/ casi nunca",0,
IF(EA25="Rara vez",1,
IF(EA25="A veces",2,
IF(EA25="A menudo",3,
IF(EA25="Siempre",4,"")))))</f>
        <v>0</v>
      </c>
      <c r="EC25" s="5" t="s">
        <v>248</v>
      </c>
      <c r="ED25" s="5">
        <f>IF(EC25="Nunca/ casi nunca",0,
IF(EC25="Rara vez",1,
IF(EC25="A veces",2,
IF(EC25="A menudo",3,
IF(EC25="Siempre",4,"")))))</f>
        <v>1</v>
      </c>
      <c r="EE25" s="5" t="s">
        <v>253</v>
      </c>
      <c r="EF25" s="5">
        <f>IF(EE25="Nunca/ casi nunca",0,
IF(EE25="Rara vez",1,
IF(EE25="A veces",2,
IF(EE25="A menudo",3,
IF(EE25="Siempre",4,"")))))</f>
        <v>0</v>
      </c>
      <c r="EG25" s="5">
        <f>SUM(EB25,ED25,EF25)</f>
        <v>1</v>
      </c>
      <c r="EH25" s="5" t="str">
        <f>IF(EG25&lt;=1,"Nivel de riesgo bajo",
IF(EG25&lt;=4,"Nivel de riesgo medio",
"Nivel de riesgo alto"))</f>
        <v>Nivel de riesgo bajo</v>
      </c>
      <c r="EI25" s="5" t="s">
        <v>253</v>
      </c>
      <c r="EJ25" s="5">
        <f>IF(EI25="Nunca/ casi nunca",0,
IF(EI25="Rara vez",1,
IF(EI25="A veces",2,
IF(EI25="A menudo",3,
IF(EI25="Siempre",4,"")))))</f>
        <v>0</v>
      </c>
      <c r="EK25" s="5" t="s">
        <v>248</v>
      </c>
      <c r="EL25" s="5">
        <f>IF(EK25="Nunca/ casi nunca",0,
IF(EK25="Rara vez",1,
IF(EK25="A veces",2,
IF(EK25="A menudo",3,
IF(EK25="Siempre",4,"")))))</f>
        <v>1</v>
      </c>
      <c r="EM25" s="5" t="s">
        <v>253</v>
      </c>
      <c r="EN25" s="5">
        <f>IF(EM25="Nunca/ casi nunca",0,
IF(EM25="Rara vez",1,
IF(EM25="A veces",2,
IF(EM25="A menudo",3,
IF(EM25="Siempre",4,"")))))</f>
        <v>0</v>
      </c>
      <c r="EO25" s="5">
        <f>SUM(EJ25,EL25,EN25)</f>
        <v>1</v>
      </c>
      <c r="EP25" s="5" t="str">
        <f>IF(EO25&lt;=1,"Nivel de riesgo bajo",
IF(EO25&lt;=5,"Nivel de riesgo medio",
"Nivel de riesgo alto"))</f>
        <v>Nivel de riesgo bajo</v>
      </c>
      <c r="EQ25" s="5" t="s">
        <v>254</v>
      </c>
      <c r="ER25" s="5">
        <f>IF(EQ25="Nunca/ casi nunca",4,
IF(EQ25="Rara vez",3,
IF(EQ25="A veces",2,
IF(EQ25="A menudo",1,
IF(EQ25="Siempre",0,"")))))</f>
        <v>0</v>
      </c>
      <c r="ES25" s="5" t="s">
        <v>254</v>
      </c>
      <c r="ET25" s="5">
        <f>IF(ES25="Nunca/ casi nunca",4,
IF(ES25="Rara vez",3,
IF(ES25="A veces",2,
IF(ES25="A menudo",1,
IF(ES25="Siempre",0,"")))))</f>
        <v>0</v>
      </c>
      <c r="EU25" s="5" t="s">
        <v>254</v>
      </c>
      <c r="EV25" s="5">
        <f>IF(EU25="Nunca/ casi nunca",4,
IF(EU25="Rara vez",3,
IF(EU25="A veces",2,
IF(EU25="A menudo",1,
IF(EU25="Siempre",0,"")))))</f>
        <v>0</v>
      </c>
      <c r="EW25" s="5" t="s">
        <v>254</v>
      </c>
      <c r="EX25" s="5">
        <f>IF(EW25="Nunca/ casi nunca",4,
IF(EW25="Rara vez",3,
IF(EW25="A veces",2,
IF(EW25="A menudo",1,
IF(EW25="Siempre",0,"")))))</f>
        <v>0</v>
      </c>
      <c r="EY25" s="5">
        <f>SUM(ER25,ET25,EV25,EX25)</f>
        <v>0</v>
      </c>
      <c r="EZ25" s="5" t="str">
        <f>IF(EY25&lt;=0,"Nivel de riesgo bajo",
IF(EY25&lt;=4,"Nivel de riesgo medio",
"Nivel de riesgo alto"))</f>
        <v>Nivel de riesgo bajo</v>
      </c>
      <c r="FA25" s="5" t="s">
        <v>253</v>
      </c>
      <c r="FB25" s="5">
        <f>IF(FA25="Nunca/ casi nunca",0,
IF(FA25="Rara vez",1,
IF(FA25="A veces",2,
IF(FA25="A menudo",3,
IF(FA25="Siempre",4,"")))))</f>
        <v>0</v>
      </c>
      <c r="FC25" s="5" t="s">
        <v>253</v>
      </c>
      <c r="FD25" s="5">
        <f>IF(FC25="Nunca/ casi nunca",0,
IF(FC25="Rara vez",1,
IF(FC25="A veces",2,
IF(FC25="A menudo",3,
IF(FC25="Siempre",4,"")))))</f>
        <v>0</v>
      </c>
      <c r="FE25" s="5" t="s">
        <v>253</v>
      </c>
      <c r="FF25" s="5">
        <f>IF(FE25="Nunca/ casi nunca",0,
IF(FE25="Rara vez",1,
IF(FE25="A veces",2,
IF(FE25="A menudo",3,
IF(FE25="Siempre",4,"")))))</f>
        <v>0</v>
      </c>
      <c r="FG25" s="5">
        <f>SUM(FB25,FD25,FF25)</f>
        <v>0</v>
      </c>
      <c r="FH25" s="5" t="str">
        <f>IF(FG25&lt;=2,"Nivel de riesgo bajo",
IF(FG25&lt;=5,"Nivel de riesgo medio",
"Nivel de riesgo alto"))</f>
        <v>Nivel de riesgo bajo</v>
      </c>
      <c r="FI25" s="5" t="s">
        <v>253</v>
      </c>
      <c r="FJ25" s="5">
        <f>IF(FI25="Nunca/ casi nunca",0,
IF(FI25="Rara vez",1,
IF(FI25="A veces",2,
IF(FI25="A menudo",3,
IF(FI25="Siempre",4,"")))))</f>
        <v>0</v>
      </c>
      <c r="FK25" s="5" t="s">
        <v>253</v>
      </c>
      <c r="FL25" s="5">
        <f>IF(FK25="Nunca/ casi nunca",0,
IF(FK25="Rara vez",1,
IF(FK25="A veces",2,
IF(FK25="A menudo",3,
IF(FK25="Siempre",4,"")))))</f>
        <v>0</v>
      </c>
      <c r="FM25" s="5" t="s">
        <v>253</v>
      </c>
      <c r="FN25" s="5">
        <f>IF(FM25="Nunca/ casi nunca",0,
IF(FM25="Rara vez",1,
IF(FM25="A veces",2,
IF(FM25="A menudo",3,
IF(FM25="Siempre",4,"")))))</f>
        <v>0</v>
      </c>
      <c r="FO25" s="5">
        <f>SUM(FJ25,FL25,FN25)</f>
        <v>0</v>
      </c>
      <c r="FP25" s="5" t="str">
        <f>IF(FO25&lt;=2,"Nivel de riesgo bajo",
IF(FO25&lt;=5,"Nivel de riesgo medio",
"Nivel de riesgo alto"))</f>
        <v>Nivel de riesgo bajo</v>
      </c>
      <c r="FQ25" s="5" t="s">
        <v>206</v>
      </c>
      <c r="FR25" s="5">
        <f>IF(FQ25="No",0,
IF(FQ25="Sí, unas pocas veces",1,
IF(FQ25="Sí, mensualmente",2,
IF(FQ25="Sí, semanalmente",3,
IF(FQ25="Sí, diariamente",4,"")))))</f>
        <v>0</v>
      </c>
      <c r="FS25" s="5" t="s">
        <v>206</v>
      </c>
      <c r="FT25" s="5">
        <f>IF(FS25="No",0,
IF(FS25="Sí, unas pocas veces",1,
IF(FS25="Sí, mensualmente",2,
IF(FS25="Sí, semanalmente",3,
IF(FS25="Sí, diariamente",4,"")))))</f>
        <v>0</v>
      </c>
      <c r="FU25" s="5" t="s">
        <v>206</v>
      </c>
      <c r="FV25" s="5">
        <f>IF(FU25="No",0,
IF(FU25="Sí, unas pocas veces",1,
IF(FU25="Sí, mensualmente",2,
IF(FU25="Sí, semanalmente",3,
IF(FU25="Sí, diariamente",4,"")))))</f>
        <v>0</v>
      </c>
      <c r="FW25" s="5" t="s">
        <v>206</v>
      </c>
      <c r="FX25" s="5">
        <f>IF(FW25="No",0,
IF(FW25="Sí, unas pocas veces",1,
IF(FW25="Sí, mensualmente",2,
IF(FW25="Sí, semanalmente",3,
IF(FW25="Sí, diariamente",4,"")))))</f>
        <v>0</v>
      </c>
      <c r="FY25" s="5" t="s">
        <v>206</v>
      </c>
      <c r="FZ25" s="5">
        <f>IF(FY25="No",0,
IF(FY25="Sí, unas pocas veces",1,
IF(FY25="Sí, mensualmente",2,
IF(FY25="Sí, semanalmente",3,
IF(FY25="Sí, diariamente",4,"")))))</f>
        <v>0</v>
      </c>
      <c r="GA25" s="5" t="s">
        <v>206</v>
      </c>
      <c r="GB25" s="5">
        <f>IF(GA25="No",0,
IF(GA25="Sí, unas pocas veces",1,
IF(GA25="Sí, mensualmente",2,
IF(GA25="Sí, semanalmente",3,
IF(GA25="Sí, diariamente",4,"")))))</f>
        <v>0</v>
      </c>
      <c r="GC25" s="5" t="s">
        <v>206</v>
      </c>
      <c r="GD25" s="5">
        <f>IF(GC25="No",0,
IF(GC25="Sí, unas pocas veces",1,
IF(GC25="Sí, mensualmente",2,
IF(GC25="Sí, semanalmente",3,
IF(GC25="Sí, diariamente",4,"")))))</f>
        <v>0</v>
      </c>
      <c r="GE25" s="5">
        <f>SUM(FR25,FT25,FV25,FX25,FZ25,GB25,GD25)</f>
        <v>0</v>
      </c>
      <c r="GF25" s="5" t="str">
        <f>IF(GE25&lt;=0,"Nivel de riesgo bajo",
IF(GE25&lt;=14,"Nivel de riesgo medio",
"Nivel de riesgo alto"))</f>
        <v>Nivel de riesgo bajo</v>
      </c>
      <c r="GG25" s="5" t="s">
        <v>255</v>
      </c>
      <c r="GH25" s="5" t="s">
        <v>255</v>
      </c>
      <c r="GI25" s="5" t="s">
        <v>255</v>
      </c>
      <c r="GJ25" s="5" t="s">
        <v>255</v>
      </c>
      <c r="GK25" s="5" t="s">
        <v>233</v>
      </c>
      <c r="GL25" s="5" t="s">
        <v>255</v>
      </c>
      <c r="GM25" s="5" t="s">
        <v>255</v>
      </c>
      <c r="GN25" s="5" t="s">
        <v>256</v>
      </c>
      <c r="GO25" s="5" t="s">
        <v>256</v>
      </c>
      <c r="GP25" s="5" t="s">
        <v>256</v>
      </c>
      <c r="GQ25" s="5" t="s">
        <v>256</v>
      </c>
      <c r="GR25" s="5" t="s">
        <v>256</v>
      </c>
      <c r="GS25" s="5" t="s">
        <v>256</v>
      </c>
      <c r="GT25" s="5" t="s">
        <v>256</v>
      </c>
      <c r="GU25" s="5" t="s">
        <v>328</v>
      </c>
      <c r="GV25" s="5" t="str">
        <f>TEXT("6264456648028323892","0")</f>
        <v>6264456648028320000</v>
      </c>
    </row>
    <row r="26" spans="1:204" ht="15.75" customHeight="1" x14ac:dyDescent="0.15">
      <c r="A26" s="1">
        <f>ROW(A26)</f>
        <v>26</v>
      </c>
      <c r="B26" s="4">
        <v>45831.533182870371</v>
      </c>
      <c r="C26" s="5" t="s">
        <v>204</v>
      </c>
      <c r="D26" s="5" t="s">
        <v>206</v>
      </c>
      <c r="F26" s="5" t="s">
        <v>206</v>
      </c>
      <c r="G26" s="5" t="s">
        <v>206</v>
      </c>
      <c r="H26" s="5" t="s">
        <v>204</v>
      </c>
      <c r="K26" s="5" t="s">
        <v>237</v>
      </c>
      <c r="O26" s="5" t="s">
        <v>209</v>
      </c>
      <c r="S26" s="5" t="s">
        <v>208</v>
      </c>
      <c r="X26" s="5" t="s">
        <v>208</v>
      </c>
      <c r="AG26" s="5" t="s">
        <v>207</v>
      </c>
      <c r="AH26" s="5" t="s">
        <v>275</v>
      </c>
      <c r="AI26" s="5">
        <v>2022</v>
      </c>
      <c r="AJ26" s="5" t="s">
        <v>238</v>
      </c>
      <c r="AK26" s="5" t="str">
        <f>IF(OR(AJ26="Empleada del sector privado",AJ26="Empleada del sector público"),"Asalariada",
IF(AJ26="Trabajadora por cuenta propia","Trabajadora por cuenta propia",""))</f>
        <v>Trabajadora por cuenta propia</v>
      </c>
      <c r="AL26" s="5" t="s">
        <v>239</v>
      </c>
      <c r="AP26" s="5" t="s">
        <v>240</v>
      </c>
      <c r="AR26" s="5" t="s">
        <v>261</v>
      </c>
      <c r="AS26" s="5" t="s">
        <v>241</v>
      </c>
      <c r="AT26" s="5" t="s">
        <v>241</v>
      </c>
      <c r="AU26" s="5" t="s">
        <v>241</v>
      </c>
      <c r="AV26" s="5" t="s">
        <v>285</v>
      </c>
      <c r="AW26" s="5" t="s">
        <v>204</v>
      </c>
      <c r="AX26" s="5" t="s">
        <v>206</v>
      </c>
      <c r="BF26" s="5" t="s">
        <v>204</v>
      </c>
      <c r="BG26" s="5" t="s">
        <v>278</v>
      </c>
      <c r="BH26" s="5" t="s">
        <v>242</v>
      </c>
      <c r="BI26" s="5" t="s">
        <v>271</v>
      </c>
      <c r="BJ26" s="5" t="s">
        <v>215</v>
      </c>
      <c r="BK26" s="5" t="s">
        <v>246</v>
      </c>
      <c r="BL26" s="5" t="s">
        <v>246</v>
      </c>
      <c r="BM26" s="5" t="s">
        <v>243</v>
      </c>
      <c r="BN26" s="5" t="s">
        <v>243</v>
      </c>
      <c r="BO26" s="5" t="s">
        <v>246</v>
      </c>
      <c r="BP26" s="5" t="s">
        <v>246</v>
      </c>
      <c r="BQ26" s="5" t="s">
        <v>246</v>
      </c>
      <c r="BR26" s="5" t="s">
        <v>246</v>
      </c>
      <c r="BS26" s="5" t="s">
        <v>217</v>
      </c>
      <c r="BT26" s="5" t="s">
        <v>217</v>
      </c>
      <c r="BU26" s="5" t="s">
        <v>248</v>
      </c>
      <c r="BV26" s="5" t="s">
        <v>248</v>
      </c>
      <c r="BW26" s="5" t="s">
        <v>248</v>
      </c>
      <c r="BX26" s="5" t="s">
        <v>248</v>
      </c>
      <c r="BY26" s="5" t="s">
        <v>248</v>
      </c>
      <c r="BZ26" s="5" t="s">
        <v>244</v>
      </c>
      <c r="CA26" s="5" t="s">
        <v>246</v>
      </c>
      <c r="CB26" s="5" t="s">
        <v>244</v>
      </c>
      <c r="CC26" s="5" t="s">
        <v>244</v>
      </c>
      <c r="CD26" s="5" t="s">
        <v>204</v>
      </c>
      <c r="CE26" s="5" t="s">
        <v>218</v>
      </c>
      <c r="CF26" s="5" t="s">
        <v>219</v>
      </c>
      <c r="CG26" s="5" t="s">
        <v>206</v>
      </c>
      <c r="CH26" s="5" t="s">
        <v>206</v>
      </c>
      <c r="CI26" s="5" t="s">
        <v>307</v>
      </c>
      <c r="CJ26" s="5">
        <v>1</v>
      </c>
      <c r="CK26" s="5" t="s">
        <v>223</v>
      </c>
      <c r="CU26" s="5" t="s">
        <v>206</v>
      </c>
      <c r="DA26" s="5" t="s">
        <v>231</v>
      </c>
      <c r="DB26" s="5">
        <f>IF(DA26="Mejor que lo habitual",1,
IF(DA26="Igual que lo habitual",2,
IF(DA26="Menos que lo habitual",3,
IF(DA26="Mucho menos que lo habitual",4,""))))</f>
        <v>2</v>
      </c>
      <c r="DC26" s="5" t="s">
        <v>230</v>
      </c>
      <c r="DD26" s="5">
        <f>IF(DC26="No, en absoluto",1,
IF(DC26="No más que lo habitual",2,
IF(DC26="Bastante más que lo habitual",3,
IF(DC26="Mucho más que lo habitual",4,""))))</f>
        <v>2</v>
      </c>
      <c r="DE26" s="5" t="s">
        <v>230</v>
      </c>
      <c r="DF26" s="5">
        <f>IF(DE26="No, en absoluto",1,
IF(DE26="No más que lo habitual",2,
IF(DE26="Bastante más que lo habitual",3,
IF(DE26="Mucho más que lo habitual",4,""))))</f>
        <v>2</v>
      </c>
      <c r="DG26" s="5" t="s">
        <v>251</v>
      </c>
      <c r="DH26" s="5">
        <f>IF(DG26="No, en absoluto",1,
IF(DG26="No más que lo habitual",2,
IF(DG26="Bastante más que lo habitual",3,
IF(DG26="Mucho más que lo habitual",4,""))))</f>
        <v>1</v>
      </c>
      <c r="DI26" s="5" t="s">
        <v>230</v>
      </c>
      <c r="DJ26" s="5">
        <f>IF(DI26="No, en absoluto",1,
IF(DI26="No más que lo habitual",2,
IF(DI26="Bastante más que lo habitual",3,
IF(DI26="Mucho más que lo habitual",4,""))))</f>
        <v>2</v>
      </c>
      <c r="DK26" s="5" t="s">
        <v>251</v>
      </c>
      <c r="DL26" s="5">
        <f>IF(DK26="No, en absoluto",1,
IF(DK26="No más que lo habitual",2,
IF(DK26="Bastante más que lo habitual",3,
IF(DK26="Mucho más que lo habitual",4,""))))</f>
        <v>1</v>
      </c>
      <c r="DM26" s="5" t="s">
        <v>251</v>
      </c>
      <c r="DN26" s="5">
        <f>IF(DM26="No, en absoluto",1,
IF(DM26="No más que lo habitual",2,
IF(DM26="Bastante más que lo habitual",3,
IF(DM26="Mucho más que lo habitual",4,""))))</f>
        <v>1</v>
      </c>
      <c r="DO26" s="5" t="s">
        <v>231</v>
      </c>
      <c r="DP26" s="5">
        <f>IF(DO26="Más que lo habitual",1,
IF(DO26="Igual que lo habitual",2,
IF(DO26="Menos que lo habitual",3,
IF(DO26="Mucho menos que lo habitual",4,""))))</f>
        <v>2</v>
      </c>
      <c r="DQ26" s="5" t="s">
        <v>231</v>
      </c>
      <c r="DR26" s="5">
        <f>IF(DQ26="Más que lo habitual",1,
IF(DQ26="Igual que lo habitual",2,
IF(DQ26="Menos que lo habitual",3,
IF(DQ26="Mucho menos que lo habitual",4,""))))</f>
        <v>2</v>
      </c>
      <c r="DS26" s="5" t="s">
        <v>231</v>
      </c>
      <c r="DT26" s="5">
        <f>IF(DS26="Más que lo habitual",1,
IF(DS26="Igual que lo habitual",2,
IF(DS26="Menos que lo habitual",3,
IF(DS26="Mucho menos que lo habitual",4,""))))</f>
        <v>2</v>
      </c>
      <c r="DU26" s="5" t="s">
        <v>231</v>
      </c>
      <c r="DV26" s="5">
        <f>IF(DU26="Más que lo habitual",1,
IF(DU26="Igual que lo habitual",2,
IF(DU26="Menos que lo habitual",3,
IF(DU26="Mucho menos que lo habitual",4,""))))</f>
        <v>2</v>
      </c>
      <c r="DW26" s="5" t="s">
        <v>231</v>
      </c>
      <c r="DX26" s="5">
        <f>IF(DW26="Más que lo habitual",1,
IF(DW26="Igual que lo habitual",2,
IF(DW26="Menos que lo habitual",3,
IF(DW26="Mucho menos que lo habitual",4,""))))</f>
        <v>2</v>
      </c>
      <c r="DY26" s="5">
        <f>SUM(DB26,DD26,DF26,DH26,DJ26,DL26,DN26,DP26,DR26,DT26,DV26,DX26)</f>
        <v>21</v>
      </c>
      <c r="DZ26" s="5" t="str">
        <f>IF(DY26&lt;=18,"Nivel de riesgo bajo",
IF(DY26&lt;=23,"Nivel de riesgo medio",
"Nivel de riesgo alto"))</f>
        <v>Nivel de riesgo medio</v>
      </c>
      <c r="EA26" s="5" t="s">
        <v>248</v>
      </c>
      <c r="EB26" s="5">
        <f>IF(EA26="Nunca/ casi nunca",0,
IF(EA26="Rara vez",1,
IF(EA26="A veces",2,
IF(EA26="A menudo",3,
IF(EA26="Siempre",4,"")))))</f>
        <v>1</v>
      </c>
      <c r="EC26" s="5" t="s">
        <v>248</v>
      </c>
      <c r="ED26" s="5">
        <f>IF(EC26="Nunca/ casi nunca",0,
IF(EC26="Rara vez",1,
IF(EC26="A veces",2,
IF(EC26="A menudo",3,
IF(EC26="Siempre",4,"")))))</f>
        <v>1</v>
      </c>
      <c r="EE26" s="5" t="s">
        <v>248</v>
      </c>
      <c r="EF26" s="5">
        <f>IF(EE26="Nunca/ casi nunca",0,
IF(EE26="Rara vez",1,
IF(EE26="A veces",2,
IF(EE26="A menudo",3,
IF(EE26="Siempre",4,"")))))</f>
        <v>1</v>
      </c>
      <c r="EG26" s="5">
        <f>SUM(EB26,ED26,EF26)</f>
        <v>3</v>
      </c>
      <c r="EH26" s="5" t="str">
        <f>IF(EG26&lt;=1,"Nivel de riesgo bajo",
IF(EG26&lt;=4,"Nivel de riesgo medio",
"Nivel de riesgo alto"))</f>
        <v>Nivel de riesgo medio</v>
      </c>
      <c r="EI26" s="5" t="s">
        <v>253</v>
      </c>
      <c r="EJ26" s="5">
        <f>IF(EI26="Nunca/ casi nunca",0,
IF(EI26="Rara vez",1,
IF(EI26="A veces",2,
IF(EI26="A menudo",3,
IF(EI26="Siempre",4,"")))))</f>
        <v>0</v>
      </c>
      <c r="EK26" s="5" t="s">
        <v>253</v>
      </c>
      <c r="EL26" s="5">
        <f>IF(EK26="Nunca/ casi nunca",0,
IF(EK26="Rara vez",1,
IF(EK26="A veces",2,
IF(EK26="A menudo",3,
IF(EK26="Siempre",4,"")))))</f>
        <v>0</v>
      </c>
      <c r="EM26" s="5" t="s">
        <v>253</v>
      </c>
      <c r="EN26" s="5">
        <f>IF(EM26="Nunca/ casi nunca",0,
IF(EM26="Rara vez",1,
IF(EM26="A veces",2,
IF(EM26="A menudo",3,
IF(EM26="Siempre",4,"")))))</f>
        <v>0</v>
      </c>
      <c r="EO26" s="5">
        <f>SUM(EJ26,EL26,EN26)</f>
        <v>0</v>
      </c>
      <c r="EP26" s="5" t="str">
        <f>IF(EO26&lt;=1,"Nivel de riesgo bajo",
IF(EO26&lt;=5,"Nivel de riesgo medio",
"Nivel de riesgo alto"))</f>
        <v>Nivel de riesgo bajo</v>
      </c>
      <c r="EQ26" s="5" t="s">
        <v>248</v>
      </c>
      <c r="ER26" s="5">
        <f>IF(EQ26="Nunca/ casi nunca",4,
IF(EQ26="Rara vez",3,
IF(EQ26="A veces",2,
IF(EQ26="A menudo",1,
IF(EQ26="Siempre",0,"")))))</f>
        <v>3</v>
      </c>
      <c r="ES26" s="5" t="s">
        <v>248</v>
      </c>
      <c r="ET26" s="5">
        <f>IF(ES26="Nunca/ casi nunca",4,
IF(ES26="Rara vez",3,
IF(ES26="A veces",2,
IF(ES26="A menudo",1,
IF(ES26="Siempre",0,"")))))</f>
        <v>3</v>
      </c>
      <c r="EU26" s="5" t="s">
        <v>254</v>
      </c>
      <c r="EV26" s="5">
        <f>IF(EU26="Nunca/ casi nunca",4,
IF(EU26="Rara vez",3,
IF(EU26="A veces",2,
IF(EU26="A menudo",1,
IF(EU26="Siempre",0,"")))))</f>
        <v>0</v>
      </c>
      <c r="EW26" s="5" t="s">
        <v>254</v>
      </c>
      <c r="EX26" s="5">
        <f>IF(EW26="Nunca/ casi nunca",4,
IF(EW26="Rara vez",3,
IF(EW26="A veces",2,
IF(EW26="A menudo",1,
IF(EW26="Siempre",0,"")))))</f>
        <v>0</v>
      </c>
      <c r="EY26" s="5">
        <f>SUM(ER26,ET26,EV26,EX26)</f>
        <v>6</v>
      </c>
      <c r="EZ26" s="5" t="str">
        <f>IF(EY26&lt;=0,"Nivel de riesgo bajo",
IF(EY26&lt;=4,"Nivel de riesgo medio",
"Nivel de riesgo alto"))</f>
        <v>Nivel de riesgo alto</v>
      </c>
      <c r="FA26" s="5" t="s">
        <v>253</v>
      </c>
      <c r="FB26" s="5">
        <f>IF(FA26="Nunca/ casi nunca",0,
IF(FA26="Rara vez",1,
IF(FA26="A veces",2,
IF(FA26="A menudo",3,
IF(FA26="Siempre",4,"")))))</f>
        <v>0</v>
      </c>
      <c r="FC26" s="5" t="s">
        <v>253</v>
      </c>
      <c r="FD26" s="5">
        <f>IF(FC26="Nunca/ casi nunca",0,
IF(FC26="Rara vez",1,
IF(FC26="A veces",2,
IF(FC26="A menudo",3,
IF(FC26="Siempre",4,"")))))</f>
        <v>0</v>
      </c>
      <c r="FE26" s="5" t="s">
        <v>247</v>
      </c>
      <c r="FF26" s="5">
        <f>IF(FE26="Nunca/ casi nunca",0,
IF(FE26="Rara vez",1,
IF(FE26="A veces",2,
IF(FE26="A menudo",3,
IF(FE26="Siempre",4,"")))))</f>
        <v>2</v>
      </c>
      <c r="FG26" s="5">
        <f>SUM(FB26,FD26,FF26)</f>
        <v>2</v>
      </c>
      <c r="FH26" s="5" t="str">
        <f>IF(FG26&lt;=2,"Nivel de riesgo bajo",
IF(FG26&lt;=5,"Nivel de riesgo medio",
"Nivel de riesgo alto"))</f>
        <v>Nivel de riesgo bajo</v>
      </c>
      <c r="FI26" s="5" t="s">
        <v>253</v>
      </c>
      <c r="FJ26" s="5">
        <f>IF(FI26="Nunca/ casi nunca",0,
IF(FI26="Rara vez",1,
IF(FI26="A veces",2,
IF(FI26="A menudo",3,
IF(FI26="Siempre",4,"")))))</f>
        <v>0</v>
      </c>
      <c r="FK26" s="5" t="s">
        <v>253</v>
      </c>
      <c r="FL26" s="5">
        <f>IF(FK26="Nunca/ casi nunca",0,
IF(FK26="Rara vez",1,
IF(FK26="A veces",2,
IF(FK26="A menudo",3,
IF(FK26="Siempre",4,"")))))</f>
        <v>0</v>
      </c>
      <c r="FM26" s="5" t="s">
        <v>253</v>
      </c>
      <c r="FN26" s="5">
        <f>IF(FM26="Nunca/ casi nunca",0,
IF(FM26="Rara vez",1,
IF(FM26="A veces",2,
IF(FM26="A menudo",3,
IF(FM26="Siempre",4,"")))))</f>
        <v>0</v>
      </c>
      <c r="FO26" s="5">
        <f>SUM(FJ26,FL26,FN26)</f>
        <v>0</v>
      </c>
      <c r="FP26" s="5" t="str">
        <f>IF(FO26&lt;=2,"Nivel de riesgo bajo",
IF(FO26&lt;=5,"Nivel de riesgo medio",
"Nivel de riesgo alto"))</f>
        <v>Nivel de riesgo bajo</v>
      </c>
      <c r="FQ26" s="5" t="s">
        <v>206</v>
      </c>
      <c r="FR26" s="5">
        <f>IF(FQ26="No",0,
IF(FQ26="Sí, unas pocas veces",1,
IF(FQ26="Sí, mensualmente",2,
IF(FQ26="Sí, semanalmente",3,
IF(FQ26="Sí, diariamente",4,"")))))</f>
        <v>0</v>
      </c>
      <c r="FS26" s="5" t="s">
        <v>206</v>
      </c>
      <c r="FT26" s="5">
        <f>IF(FS26="No",0,
IF(FS26="Sí, unas pocas veces",1,
IF(FS26="Sí, mensualmente",2,
IF(FS26="Sí, semanalmente",3,
IF(FS26="Sí, diariamente",4,"")))))</f>
        <v>0</v>
      </c>
      <c r="FU26" s="5" t="s">
        <v>206</v>
      </c>
      <c r="FV26" s="5">
        <f>IF(FU26="No",0,
IF(FU26="Sí, unas pocas veces",1,
IF(FU26="Sí, mensualmente",2,
IF(FU26="Sí, semanalmente",3,
IF(FU26="Sí, diariamente",4,"")))))</f>
        <v>0</v>
      </c>
      <c r="FW26" s="5" t="s">
        <v>206</v>
      </c>
      <c r="FX26" s="5">
        <f>IF(FW26="No",0,
IF(FW26="Sí, unas pocas veces",1,
IF(FW26="Sí, mensualmente",2,
IF(FW26="Sí, semanalmente",3,
IF(FW26="Sí, diariamente",4,"")))))</f>
        <v>0</v>
      </c>
      <c r="FY26" s="5" t="s">
        <v>206</v>
      </c>
      <c r="FZ26" s="5">
        <f>IF(FY26="No",0,
IF(FY26="Sí, unas pocas veces",1,
IF(FY26="Sí, mensualmente",2,
IF(FY26="Sí, semanalmente",3,
IF(FY26="Sí, diariamente",4,"")))))</f>
        <v>0</v>
      </c>
      <c r="GA26" s="5" t="s">
        <v>206</v>
      </c>
      <c r="GB26" s="5">
        <f>IF(GA26="No",0,
IF(GA26="Sí, unas pocas veces",1,
IF(GA26="Sí, mensualmente",2,
IF(GA26="Sí, semanalmente",3,
IF(GA26="Sí, diariamente",4,"")))))</f>
        <v>0</v>
      </c>
      <c r="GC26" s="5" t="s">
        <v>206</v>
      </c>
      <c r="GD26" s="5">
        <f>IF(GC26="No",0,
IF(GC26="Sí, unas pocas veces",1,
IF(GC26="Sí, mensualmente",2,
IF(GC26="Sí, semanalmente",3,
IF(GC26="Sí, diariamente",4,"")))))</f>
        <v>0</v>
      </c>
      <c r="GE26" s="5">
        <f>SUM(FR26,FT26,FV26,FX26,FZ26,GB26,GD26)</f>
        <v>0</v>
      </c>
      <c r="GF26" s="5" t="str">
        <f>IF(GE26&lt;=0,"Nivel de riesgo bajo",
IF(GE26&lt;=14,"Nivel de riesgo medio",
"Nivel de riesgo alto"))</f>
        <v>Nivel de riesgo bajo</v>
      </c>
      <c r="GG26" s="5" t="s">
        <v>255</v>
      </c>
      <c r="GH26" s="5" t="s">
        <v>255</v>
      </c>
      <c r="GI26" s="5" t="s">
        <v>273</v>
      </c>
      <c r="GJ26" s="5" t="s">
        <v>266</v>
      </c>
      <c r="GK26" s="5" t="s">
        <v>233</v>
      </c>
      <c r="GL26" s="5" t="s">
        <v>233</v>
      </c>
      <c r="GM26" s="5" t="s">
        <v>233</v>
      </c>
      <c r="GN26" s="5" t="s">
        <v>243</v>
      </c>
      <c r="GO26" s="5" t="s">
        <v>243</v>
      </c>
      <c r="GP26" s="5" t="s">
        <v>243</v>
      </c>
      <c r="GQ26" s="5" t="s">
        <v>243</v>
      </c>
      <c r="GR26" s="5" t="s">
        <v>243</v>
      </c>
      <c r="GS26" s="5" t="s">
        <v>243</v>
      </c>
      <c r="GT26" s="5" t="s">
        <v>243</v>
      </c>
      <c r="GU26" s="5" t="s">
        <v>329</v>
      </c>
      <c r="GV26" s="5" t="str">
        <f>TEXT("6265064679281066820","0")</f>
        <v>6265064679281060000</v>
      </c>
    </row>
    <row r="27" spans="1:204" ht="15.75" customHeight="1" x14ac:dyDescent="0.15">
      <c r="A27" s="1">
        <f>ROW(A27)</f>
        <v>27</v>
      </c>
      <c r="B27" s="4">
        <v>45831.580208333333</v>
      </c>
      <c r="C27" s="5" t="s">
        <v>204</v>
      </c>
      <c r="D27" s="5" t="s">
        <v>206</v>
      </c>
      <c r="F27" s="5" t="s">
        <v>206</v>
      </c>
      <c r="G27" s="5" t="s">
        <v>206</v>
      </c>
      <c r="H27" s="5" t="s">
        <v>204</v>
      </c>
      <c r="K27" s="5" t="s">
        <v>237</v>
      </c>
      <c r="P27" s="5" t="s">
        <v>237</v>
      </c>
      <c r="U27" s="5" t="s">
        <v>237</v>
      </c>
      <c r="Z27" s="5" t="s">
        <v>237</v>
      </c>
      <c r="AC27" s="5" t="s">
        <v>208</v>
      </c>
      <c r="AH27" s="5" t="s">
        <v>210</v>
      </c>
      <c r="AI27" s="5">
        <v>2024</v>
      </c>
      <c r="AJ27" s="5" t="s">
        <v>330</v>
      </c>
      <c r="AK27" s="5" t="str">
        <f>IF(OR(AJ27="Empleada del sector privado",AJ27="Empleada del sector público"),"Asalariada",
IF(AJ27="Trabajadora por cuenta propia","Trabajadora por cuenta propia",""))</f>
        <v>Asalariada</v>
      </c>
      <c r="AQ27" s="5" t="s">
        <v>204</v>
      </c>
      <c r="AR27" s="5" t="s">
        <v>276</v>
      </c>
      <c r="AS27" s="5" t="s">
        <v>276</v>
      </c>
      <c r="AT27" s="5" t="s">
        <v>276</v>
      </c>
      <c r="AU27" s="5" t="s">
        <v>276</v>
      </c>
      <c r="AV27" s="5" t="s">
        <v>302</v>
      </c>
      <c r="AW27" s="5" t="s">
        <v>206</v>
      </c>
      <c r="BF27" s="5" t="s">
        <v>204</v>
      </c>
      <c r="BG27" s="5" t="s">
        <v>242</v>
      </c>
      <c r="BH27" s="5" t="s">
        <v>242</v>
      </c>
      <c r="BI27" s="5" t="s">
        <v>242</v>
      </c>
      <c r="BJ27" s="5" t="s">
        <v>242</v>
      </c>
      <c r="BK27" s="5" t="s">
        <v>245</v>
      </c>
      <c r="BL27" s="5" t="s">
        <v>245</v>
      </c>
      <c r="BM27" s="5" t="s">
        <v>245</v>
      </c>
      <c r="BN27" s="5" t="s">
        <v>245</v>
      </c>
      <c r="BO27" s="5" t="s">
        <v>245</v>
      </c>
      <c r="BP27" s="5" t="s">
        <v>245</v>
      </c>
      <c r="BQ27" s="5" t="s">
        <v>245</v>
      </c>
      <c r="BR27" s="5" t="s">
        <v>245</v>
      </c>
      <c r="BS27" s="5" t="s">
        <v>254</v>
      </c>
      <c r="BT27" s="5" t="s">
        <v>254</v>
      </c>
      <c r="BU27" s="5" t="s">
        <v>254</v>
      </c>
      <c r="BV27" s="5" t="s">
        <v>254</v>
      </c>
      <c r="BW27" s="5" t="s">
        <v>254</v>
      </c>
      <c r="BX27" s="5" t="s">
        <v>254</v>
      </c>
      <c r="BY27" s="5" t="s">
        <v>254</v>
      </c>
      <c r="CD27" s="5" t="s">
        <v>206</v>
      </c>
      <c r="CH27" s="5" t="s">
        <v>331</v>
      </c>
      <c r="CI27" s="5" t="s">
        <v>332</v>
      </c>
      <c r="CJ27" s="5">
        <v>5</v>
      </c>
      <c r="CK27" s="5" t="s">
        <v>223</v>
      </c>
      <c r="CU27" s="5" t="s">
        <v>206</v>
      </c>
      <c r="DA27" s="5" t="s">
        <v>229</v>
      </c>
      <c r="DB27" s="5">
        <f>IF(DA27="Mejor que lo habitual",1,
IF(DA27="Igual que lo habitual",2,
IF(DA27="Menos que lo habitual",3,
IF(DA27="Mucho menos que lo habitual",4,""))))</f>
        <v>4</v>
      </c>
      <c r="DC27" s="5" t="s">
        <v>250</v>
      </c>
      <c r="DD27" s="5">
        <f>IF(DC27="No, en absoluto",1,
IF(DC27="No más que lo habitual",2,
IF(DC27="Bastante más que lo habitual",3,
IF(DC27="Mucho más que lo habitual",4,""))))</f>
        <v>3</v>
      </c>
      <c r="DE27" s="5" t="s">
        <v>250</v>
      </c>
      <c r="DF27" s="5">
        <f>IF(DE27="No, en absoluto",1,
IF(DE27="No más que lo habitual",2,
IF(DE27="Bastante más que lo habitual",3,
IF(DE27="Mucho más que lo habitual",4,""))))</f>
        <v>3</v>
      </c>
      <c r="DG27" s="5" t="s">
        <v>250</v>
      </c>
      <c r="DH27" s="5">
        <f>IF(DG27="No, en absoluto",1,
IF(DG27="No más que lo habitual",2,
IF(DG27="Bastante más que lo habitual",3,
IF(DG27="Mucho más que lo habitual",4,""))))</f>
        <v>3</v>
      </c>
      <c r="DI27" s="5" t="s">
        <v>250</v>
      </c>
      <c r="DJ27" s="5">
        <f>IF(DI27="No, en absoluto",1,
IF(DI27="No más que lo habitual",2,
IF(DI27="Bastante más que lo habitual",3,
IF(DI27="Mucho más que lo habitual",4,""))))</f>
        <v>3</v>
      </c>
      <c r="DK27" s="5" t="s">
        <v>251</v>
      </c>
      <c r="DL27" s="5">
        <f>IF(DK27="No, en absoluto",1,
IF(DK27="No más que lo habitual",2,
IF(DK27="Bastante más que lo habitual",3,
IF(DK27="Mucho más que lo habitual",4,""))))</f>
        <v>1</v>
      </c>
      <c r="DM27" s="5" t="s">
        <v>251</v>
      </c>
      <c r="DN27" s="5">
        <f>IF(DM27="No, en absoluto",1,
IF(DM27="No más que lo habitual",2,
IF(DM27="Bastante más que lo habitual",3,
IF(DM27="Mucho más que lo habitual",4,""))))</f>
        <v>1</v>
      </c>
      <c r="DO27" s="5" t="s">
        <v>229</v>
      </c>
      <c r="DP27" s="5">
        <f>IF(DO27="Más que lo habitual",1,
IF(DO27="Igual que lo habitual",2,
IF(DO27="Menos que lo habitual",3,
IF(DO27="Mucho menos que lo habitual",4,""))))</f>
        <v>4</v>
      </c>
      <c r="DQ27" s="5" t="s">
        <v>281</v>
      </c>
      <c r="DR27" s="5">
        <f>IF(DQ27="Más que lo habitual",1,
IF(DQ27="Igual que lo habitual",2,
IF(DQ27="Menos que lo habitual",3,
IF(DQ27="Mucho menos que lo habitual",4,""))))</f>
        <v>1</v>
      </c>
      <c r="DS27" s="5" t="s">
        <v>229</v>
      </c>
      <c r="DT27" s="5">
        <f>IF(DS27="Más que lo habitual",1,
IF(DS27="Igual que lo habitual",2,
IF(DS27="Menos que lo habitual",3,
IF(DS27="Mucho menos que lo habitual",4,""))))</f>
        <v>4</v>
      </c>
      <c r="DU27" s="5" t="s">
        <v>281</v>
      </c>
      <c r="DV27" s="5">
        <f>IF(DU27="Más que lo habitual",1,
IF(DU27="Igual que lo habitual",2,
IF(DU27="Menos que lo habitual",3,
IF(DU27="Mucho menos que lo habitual",4,""))))</f>
        <v>1</v>
      </c>
      <c r="DW27" s="5" t="s">
        <v>229</v>
      </c>
      <c r="DX27" s="5">
        <f>IF(DW27="Más que lo habitual",1,
IF(DW27="Igual que lo habitual",2,
IF(DW27="Menos que lo habitual",3,
IF(DW27="Mucho menos que lo habitual",4,""))))</f>
        <v>4</v>
      </c>
      <c r="DY27" s="5">
        <f>SUM(DB27,DD27,DF27,DH27,DJ27,DL27,DN27,DP27,DR27,DT27,DV27,DX27)</f>
        <v>32</v>
      </c>
      <c r="DZ27" s="5" t="str">
        <f>IF(DY27&lt;=18,"Nivel de riesgo bajo",
IF(DY27&lt;=23,"Nivel de riesgo medio",
"Nivel de riesgo alto"))</f>
        <v>Nivel de riesgo alto</v>
      </c>
      <c r="EA27" s="5" t="s">
        <v>253</v>
      </c>
      <c r="EB27" s="5">
        <f>IF(EA27="Nunca/ casi nunca",0,
IF(EA27="Rara vez",1,
IF(EA27="A veces",2,
IF(EA27="A menudo",3,
IF(EA27="Siempre",4,"")))))</f>
        <v>0</v>
      </c>
      <c r="EC27" s="5" t="s">
        <v>254</v>
      </c>
      <c r="ED27" s="5">
        <f>IF(EC27="Nunca/ casi nunca",0,
IF(EC27="Rara vez",1,
IF(EC27="A veces",2,
IF(EC27="A menudo",3,
IF(EC27="Siempre",4,"")))))</f>
        <v>4</v>
      </c>
      <c r="EE27" s="5" t="s">
        <v>253</v>
      </c>
      <c r="EF27" s="5">
        <f>IF(EE27="Nunca/ casi nunca",0,
IF(EE27="Rara vez",1,
IF(EE27="A veces",2,
IF(EE27="A menudo",3,
IF(EE27="Siempre",4,"")))))</f>
        <v>0</v>
      </c>
      <c r="EG27" s="5">
        <f>SUM(EB27,ED27,EF27)</f>
        <v>4</v>
      </c>
      <c r="EH27" s="5" t="str">
        <f>IF(EG27&lt;=1,"Nivel de riesgo bajo",
IF(EG27&lt;=4,"Nivel de riesgo medio",
"Nivel de riesgo alto"))</f>
        <v>Nivel de riesgo medio</v>
      </c>
      <c r="EI27" s="5" t="s">
        <v>254</v>
      </c>
      <c r="EJ27" s="5">
        <f>IF(EI27="Nunca/ casi nunca",0,
IF(EI27="Rara vez",1,
IF(EI27="A veces",2,
IF(EI27="A menudo",3,
IF(EI27="Siempre",4,"")))))</f>
        <v>4</v>
      </c>
      <c r="EK27" s="5" t="s">
        <v>254</v>
      </c>
      <c r="EL27" s="5">
        <f>IF(EK27="Nunca/ casi nunca",0,
IF(EK27="Rara vez",1,
IF(EK27="A veces",2,
IF(EK27="A menudo",3,
IF(EK27="Siempre",4,"")))))</f>
        <v>4</v>
      </c>
      <c r="EM27" s="5" t="s">
        <v>254</v>
      </c>
      <c r="EN27" s="5">
        <f>IF(EM27="Nunca/ casi nunca",0,
IF(EM27="Rara vez",1,
IF(EM27="A veces",2,
IF(EM27="A menudo",3,
IF(EM27="Siempre",4,"")))))</f>
        <v>4</v>
      </c>
      <c r="EO27" s="5">
        <f>SUM(EJ27,EL27,EN27)</f>
        <v>12</v>
      </c>
      <c r="EP27" s="5" t="str">
        <f>IF(EO27&lt;=1,"Nivel de riesgo bajo",
IF(EO27&lt;=5,"Nivel de riesgo medio",
"Nivel de riesgo alto"))</f>
        <v>Nivel de riesgo alto</v>
      </c>
      <c r="EQ27" s="5" t="s">
        <v>253</v>
      </c>
      <c r="ER27" s="5">
        <f>IF(EQ27="Nunca/ casi nunca",4,
IF(EQ27="Rara vez",3,
IF(EQ27="A veces",2,
IF(EQ27="A menudo",1,
IF(EQ27="Siempre",0,"")))))</f>
        <v>4</v>
      </c>
      <c r="ES27" s="5" t="s">
        <v>253</v>
      </c>
      <c r="ET27" s="5">
        <f>IF(ES27="Nunca/ casi nunca",4,
IF(ES27="Rara vez",3,
IF(ES27="A veces",2,
IF(ES27="A menudo",1,
IF(ES27="Siempre",0,"")))))</f>
        <v>4</v>
      </c>
      <c r="EU27" s="5" t="s">
        <v>254</v>
      </c>
      <c r="EV27" s="5">
        <f>IF(EU27="Nunca/ casi nunca",4,
IF(EU27="Rara vez",3,
IF(EU27="A veces",2,
IF(EU27="A menudo",1,
IF(EU27="Siempre",0,"")))))</f>
        <v>0</v>
      </c>
      <c r="EW27" s="5" t="s">
        <v>254</v>
      </c>
      <c r="EX27" s="5">
        <f>IF(EW27="Nunca/ casi nunca",4,
IF(EW27="Rara vez",3,
IF(EW27="A veces",2,
IF(EW27="A menudo",1,
IF(EW27="Siempre",0,"")))))</f>
        <v>0</v>
      </c>
      <c r="EY27" s="5">
        <f>SUM(ER27,ET27,EV27,EX27)</f>
        <v>8</v>
      </c>
      <c r="EZ27" s="5" t="str">
        <f>IF(EY27&lt;=0,"Nivel de riesgo bajo",
IF(EY27&lt;=4,"Nivel de riesgo medio",
"Nivel de riesgo alto"))</f>
        <v>Nivel de riesgo alto</v>
      </c>
      <c r="FA27" s="5" t="s">
        <v>254</v>
      </c>
      <c r="FB27" s="5">
        <f>IF(FA27="Nunca/ casi nunca",0,
IF(FA27="Rara vez",1,
IF(FA27="A veces",2,
IF(FA27="A menudo",3,
IF(FA27="Siempre",4,"")))))</f>
        <v>4</v>
      </c>
      <c r="FC27" s="5" t="s">
        <v>253</v>
      </c>
      <c r="FD27" s="5">
        <f>IF(FC27="Nunca/ casi nunca",0,
IF(FC27="Rara vez",1,
IF(FC27="A veces",2,
IF(FC27="A menudo",3,
IF(FC27="Siempre",4,"")))))</f>
        <v>0</v>
      </c>
      <c r="FE27" s="5" t="s">
        <v>253</v>
      </c>
      <c r="FF27" s="5">
        <f>IF(FE27="Nunca/ casi nunca",0,
IF(FE27="Rara vez",1,
IF(FE27="A veces",2,
IF(FE27="A menudo",3,
IF(FE27="Siempre",4,"")))))</f>
        <v>0</v>
      </c>
      <c r="FG27" s="5">
        <f>SUM(FB27,FD27,FF27)</f>
        <v>4</v>
      </c>
      <c r="FH27" s="5" t="str">
        <f>IF(FG27&lt;=2,"Nivel de riesgo bajo",
IF(FG27&lt;=5,"Nivel de riesgo medio",
"Nivel de riesgo alto"))</f>
        <v>Nivel de riesgo medio</v>
      </c>
      <c r="FI27" s="5" t="s">
        <v>253</v>
      </c>
      <c r="FJ27" s="5">
        <f>IF(FI27="Nunca/ casi nunca",0,
IF(FI27="Rara vez",1,
IF(FI27="A veces",2,
IF(FI27="A menudo",3,
IF(FI27="Siempre",4,"")))))</f>
        <v>0</v>
      </c>
      <c r="FK27" s="5" t="s">
        <v>254</v>
      </c>
      <c r="FL27" s="5">
        <f>IF(FK27="Nunca/ casi nunca",0,
IF(FK27="Rara vez",1,
IF(FK27="A veces",2,
IF(FK27="A menudo",3,
IF(FK27="Siempre",4,"")))))</f>
        <v>4</v>
      </c>
      <c r="FM27" s="5" t="s">
        <v>254</v>
      </c>
      <c r="FN27" s="5">
        <f>IF(FM27="Nunca/ casi nunca",0,
IF(FM27="Rara vez",1,
IF(FM27="A veces",2,
IF(FM27="A menudo",3,
IF(FM27="Siempre",4,"")))))</f>
        <v>4</v>
      </c>
      <c r="FO27" s="5">
        <f>SUM(FJ27,FL27,FN27)</f>
        <v>8</v>
      </c>
      <c r="FP27" s="5" t="str">
        <f>IF(FO27&lt;=2,"Nivel de riesgo bajo",
IF(FO27&lt;=5,"Nivel de riesgo medio",
"Nivel de riesgo alto"))</f>
        <v>Nivel de riesgo alto</v>
      </c>
      <c r="FQ27" s="5" t="s">
        <v>265</v>
      </c>
      <c r="FR27" s="5">
        <f>IF(FQ27="No",0,
IF(FQ27="Sí, unas pocas veces",1,
IF(FQ27="Sí, mensualmente",2,
IF(FQ27="Sí, semanalmente",3,
IF(FQ27="Sí, diariamente",4,"")))))</f>
        <v>1</v>
      </c>
      <c r="FS27" s="5" t="s">
        <v>206</v>
      </c>
      <c r="FT27" s="5">
        <f>IF(FS27="No",0,
IF(FS27="Sí, unas pocas veces",1,
IF(FS27="Sí, mensualmente",2,
IF(FS27="Sí, semanalmente",3,
IF(FS27="Sí, diariamente",4,"")))))</f>
        <v>0</v>
      </c>
      <c r="FU27" s="5" t="s">
        <v>206</v>
      </c>
      <c r="FV27" s="5">
        <f>IF(FU27="No",0,
IF(FU27="Sí, unas pocas veces",1,
IF(FU27="Sí, mensualmente",2,
IF(FU27="Sí, semanalmente",3,
IF(FU27="Sí, diariamente",4,"")))))</f>
        <v>0</v>
      </c>
      <c r="FW27" s="5" t="s">
        <v>206</v>
      </c>
      <c r="FX27" s="5">
        <f>IF(FW27="No",0,
IF(FW27="Sí, unas pocas veces",1,
IF(FW27="Sí, mensualmente",2,
IF(FW27="Sí, semanalmente",3,
IF(FW27="Sí, diariamente",4,"")))))</f>
        <v>0</v>
      </c>
      <c r="FY27" s="5" t="s">
        <v>206</v>
      </c>
      <c r="FZ27" s="5">
        <f>IF(FY27="No",0,
IF(FY27="Sí, unas pocas veces",1,
IF(FY27="Sí, mensualmente",2,
IF(FY27="Sí, semanalmente",3,
IF(FY27="Sí, diariamente",4,"")))))</f>
        <v>0</v>
      </c>
      <c r="GA27" s="5" t="s">
        <v>206</v>
      </c>
      <c r="GB27" s="5">
        <f>IF(GA27="No",0,
IF(GA27="Sí, unas pocas veces",1,
IF(GA27="Sí, mensualmente",2,
IF(GA27="Sí, semanalmente",3,
IF(GA27="Sí, diariamente",4,"")))))</f>
        <v>0</v>
      </c>
      <c r="GC27" s="5" t="s">
        <v>206</v>
      </c>
      <c r="GD27" s="5">
        <f>IF(GC27="No",0,
IF(GC27="Sí, unas pocas veces",1,
IF(GC27="Sí, mensualmente",2,
IF(GC27="Sí, semanalmente",3,
IF(GC27="Sí, diariamente",4,"")))))</f>
        <v>0</v>
      </c>
      <c r="GE27" s="5">
        <f>SUM(FR27,FT27,FV27,FX27,FZ27,GB27,GD27)</f>
        <v>1</v>
      </c>
      <c r="GF27" s="5" t="str">
        <f>IF(GE27&lt;=0,"Nivel de riesgo bajo",
IF(GE27&lt;=14,"Nivel de riesgo medio",
"Nivel de riesgo alto"))</f>
        <v>Nivel de riesgo medio</v>
      </c>
      <c r="GG27" s="5" t="s">
        <v>255</v>
      </c>
      <c r="GH27" s="5" t="s">
        <v>255</v>
      </c>
      <c r="GI27" s="5" t="s">
        <v>255</v>
      </c>
      <c r="GJ27" s="5" t="s">
        <v>233</v>
      </c>
      <c r="GK27" s="5" t="s">
        <v>273</v>
      </c>
      <c r="GL27" s="5" t="s">
        <v>233</v>
      </c>
      <c r="GM27" s="5" t="s">
        <v>255</v>
      </c>
      <c r="GN27" s="5" t="s">
        <v>256</v>
      </c>
      <c r="GO27" s="5" t="s">
        <v>256</v>
      </c>
      <c r="GP27" s="5" t="s">
        <v>256</v>
      </c>
      <c r="GQ27" s="5" t="s">
        <v>234</v>
      </c>
      <c r="GR27" s="5" t="s">
        <v>234</v>
      </c>
      <c r="GS27" s="5" t="s">
        <v>234</v>
      </c>
      <c r="GT27" s="5" t="s">
        <v>234</v>
      </c>
      <c r="GU27" s="5" t="s">
        <v>333</v>
      </c>
      <c r="GV27" s="5" t="str">
        <f>TEXT("6265105300511135686","0")</f>
        <v>6265105300511130000</v>
      </c>
    </row>
    <row r="28" spans="1:204" ht="15.75" hidden="1" customHeight="1" x14ac:dyDescent="0.15">
      <c r="B28" s="4">
        <v>45834.075532407405</v>
      </c>
      <c r="C28" s="5" t="s">
        <v>204</v>
      </c>
      <c r="D28" s="5" t="s">
        <v>206</v>
      </c>
      <c r="F28" s="5" t="s">
        <v>206</v>
      </c>
      <c r="G28" s="5" t="s">
        <v>206</v>
      </c>
      <c r="H28" s="5" t="s">
        <v>204</v>
      </c>
      <c r="L28" s="5" t="s">
        <v>236</v>
      </c>
      <c r="P28" s="5" t="s">
        <v>237</v>
      </c>
      <c r="T28" s="5" t="s">
        <v>209</v>
      </c>
      <c r="Y28" s="5" t="s">
        <v>209</v>
      </c>
      <c r="AE28" s="5" t="s">
        <v>237</v>
      </c>
      <c r="AH28" s="5" t="s">
        <v>210</v>
      </c>
      <c r="AI28" s="5">
        <v>2020</v>
      </c>
      <c r="AJ28" s="5" t="s">
        <v>260</v>
      </c>
      <c r="AK28" s="5"/>
      <c r="AR28" s="5" t="s">
        <v>276</v>
      </c>
      <c r="AS28" s="5" t="s">
        <v>276</v>
      </c>
      <c r="AT28" s="5" t="s">
        <v>261</v>
      </c>
      <c r="AU28" s="5" t="s">
        <v>276</v>
      </c>
      <c r="AV28" s="5" t="s">
        <v>277</v>
      </c>
      <c r="AW28" s="5" t="s">
        <v>206</v>
      </c>
      <c r="BF28" s="5" t="s">
        <v>204</v>
      </c>
      <c r="BG28" s="5" t="s">
        <v>207</v>
      </c>
      <c r="BH28" s="5" t="s">
        <v>242</v>
      </c>
      <c r="BI28" s="5" t="s">
        <v>207</v>
      </c>
      <c r="BJ28" s="5" t="s">
        <v>242</v>
      </c>
      <c r="BK28" s="5" t="s">
        <v>246</v>
      </c>
      <c r="BL28" s="5" t="s">
        <v>216</v>
      </c>
      <c r="BM28" s="5" t="s">
        <v>243</v>
      </c>
      <c r="BN28" s="5" t="s">
        <v>245</v>
      </c>
      <c r="BO28" s="5" t="s">
        <v>245</v>
      </c>
      <c r="BP28" s="5" t="s">
        <v>245</v>
      </c>
      <c r="BQ28" s="5" t="s">
        <v>243</v>
      </c>
      <c r="BR28" s="5" t="s">
        <v>243</v>
      </c>
      <c r="BS28" s="5" t="s">
        <v>247</v>
      </c>
      <c r="BT28" s="5" t="s">
        <v>254</v>
      </c>
      <c r="BU28" s="5" t="s">
        <v>254</v>
      </c>
      <c r="BV28" s="5" t="s">
        <v>254</v>
      </c>
      <c r="BW28" s="5" t="s">
        <v>254</v>
      </c>
      <c r="BX28" s="5" t="s">
        <v>254</v>
      </c>
      <c r="BY28" s="5" t="s">
        <v>254</v>
      </c>
      <c r="CD28" s="5" t="s">
        <v>206</v>
      </c>
      <c r="CH28" s="5" t="s">
        <v>206</v>
      </c>
      <c r="CI28" s="5" t="s">
        <v>291</v>
      </c>
      <c r="CJ28" s="5">
        <v>2</v>
      </c>
      <c r="CK28" s="5" t="s">
        <v>223</v>
      </c>
      <c r="CU28" s="5" t="s">
        <v>206</v>
      </c>
      <c r="DA28" s="5" t="s">
        <v>252</v>
      </c>
      <c r="DB28" s="5"/>
      <c r="DC28" s="5" t="s">
        <v>280</v>
      </c>
      <c r="DD28" s="5"/>
      <c r="DE28" s="5" t="s">
        <v>250</v>
      </c>
      <c r="DF28" s="5"/>
      <c r="DG28" s="5" t="s">
        <v>251</v>
      </c>
      <c r="DH28" s="5"/>
      <c r="DI28" s="5" t="s">
        <v>230</v>
      </c>
      <c r="DJ28" s="5"/>
      <c r="DK28" s="5" t="s">
        <v>251</v>
      </c>
      <c r="DL28" s="5"/>
      <c r="DM28" s="5" t="s">
        <v>251</v>
      </c>
      <c r="DN28" s="5"/>
      <c r="DO28" s="5" t="s">
        <v>252</v>
      </c>
      <c r="DP28" s="5"/>
      <c r="DQ28" s="5" t="s">
        <v>231</v>
      </c>
      <c r="DR28" s="5"/>
      <c r="DS28" s="5" t="s">
        <v>252</v>
      </c>
      <c r="DT28" s="5"/>
      <c r="DU28" s="5" t="s">
        <v>281</v>
      </c>
      <c r="DV28" s="5"/>
      <c r="DW28" s="5" t="s">
        <v>231</v>
      </c>
      <c r="DX28" s="5"/>
      <c r="DY28" s="5"/>
      <c r="DZ28" s="5"/>
      <c r="EA28" s="5" t="s">
        <v>254</v>
      </c>
      <c r="EB28" s="5"/>
      <c r="EC28" s="5" t="s">
        <v>254</v>
      </c>
      <c r="ED28" s="5"/>
      <c r="EE28" s="5" t="s">
        <v>253</v>
      </c>
      <c r="EF28" s="5"/>
      <c r="EG28" s="5"/>
      <c r="EH28" s="5"/>
      <c r="EI28" s="5" t="s">
        <v>232</v>
      </c>
      <c r="EJ28" s="5"/>
      <c r="EK28" s="5" t="s">
        <v>248</v>
      </c>
      <c r="EL28" s="5"/>
      <c r="EM28" s="5" t="s">
        <v>254</v>
      </c>
      <c r="EN28" s="5"/>
      <c r="EO28" s="5"/>
      <c r="EP28" s="5"/>
      <c r="EQ28" s="5" t="s">
        <v>232</v>
      </c>
      <c r="ER28" s="5"/>
      <c r="ES28" s="5" t="s">
        <v>232</v>
      </c>
      <c r="ET28" s="5"/>
      <c r="EU28" s="5" t="s">
        <v>232</v>
      </c>
      <c r="EV28" s="5"/>
      <c r="EW28" s="5" t="s">
        <v>232</v>
      </c>
      <c r="EX28" s="5"/>
      <c r="EY28" s="5"/>
      <c r="EZ28" s="5"/>
      <c r="FA28" s="5" t="s">
        <v>248</v>
      </c>
      <c r="FB28" s="5"/>
      <c r="FC28" s="5" t="s">
        <v>248</v>
      </c>
      <c r="FD28" s="5"/>
      <c r="FE28" s="5" t="s">
        <v>248</v>
      </c>
      <c r="FF28" s="5"/>
      <c r="FG28" s="5"/>
      <c r="FH28" s="5"/>
      <c r="FI28" s="5" t="s">
        <v>248</v>
      </c>
      <c r="FJ28" s="5"/>
      <c r="FK28" s="5" t="s">
        <v>248</v>
      </c>
      <c r="FL28" s="5"/>
      <c r="FM28" s="5" t="s">
        <v>248</v>
      </c>
      <c r="FN28" s="5"/>
      <c r="FO28" s="5"/>
      <c r="FP28" s="5"/>
      <c r="FQ28" s="5" t="s">
        <v>206</v>
      </c>
      <c r="FR28" s="5"/>
      <c r="FS28" s="5" t="s">
        <v>206</v>
      </c>
      <c r="FT28" s="5"/>
      <c r="FU28" s="5" t="s">
        <v>265</v>
      </c>
      <c r="FV28" s="5"/>
      <c r="FW28" s="5" t="s">
        <v>206</v>
      </c>
      <c r="FX28" s="5"/>
      <c r="FY28" s="5" t="s">
        <v>206</v>
      </c>
      <c r="FZ28" s="5"/>
      <c r="GA28" s="5" t="s">
        <v>206</v>
      </c>
      <c r="GB28" s="5"/>
      <c r="GC28" s="5" t="s">
        <v>206</v>
      </c>
      <c r="GD28" s="5"/>
      <c r="GE28" s="5"/>
      <c r="GF28" s="5"/>
      <c r="GG28" s="5" t="s">
        <v>255</v>
      </c>
      <c r="GH28" s="5" t="s">
        <v>255</v>
      </c>
      <c r="GI28" s="5" t="s">
        <v>255</v>
      </c>
      <c r="GJ28" s="5" t="s">
        <v>255</v>
      </c>
      <c r="GK28" s="5" t="s">
        <v>233</v>
      </c>
      <c r="GL28" s="5" t="s">
        <v>233</v>
      </c>
      <c r="GM28" s="5" t="s">
        <v>233</v>
      </c>
      <c r="GN28" s="5" t="s">
        <v>256</v>
      </c>
      <c r="GO28" s="5" t="s">
        <v>257</v>
      </c>
      <c r="GP28" s="5" t="s">
        <v>256</v>
      </c>
      <c r="GQ28" s="5" t="s">
        <v>257</v>
      </c>
      <c r="GR28" s="5" t="s">
        <v>234</v>
      </c>
      <c r="GS28" s="5" t="s">
        <v>234</v>
      </c>
      <c r="GT28" s="5" t="s">
        <v>256</v>
      </c>
      <c r="GU28" s="5" t="s">
        <v>334</v>
      </c>
      <c r="GV28" s="5" t="str">
        <f>TEXT("6267261264002225596","0")</f>
        <v>6267261264002220000</v>
      </c>
    </row>
    <row r="29" spans="1:204" ht="15.75" customHeight="1" x14ac:dyDescent="0.15">
      <c r="A29" s="1">
        <f t="shared" ref="A29:A41" si="0">ROW(A29)</f>
        <v>29</v>
      </c>
      <c r="B29" s="4">
        <v>45834.337789351855</v>
      </c>
      <c r="C29" s="5" t="s">
        <v>204</v>
      </c>
      <c r="D29" s="5" t="s">
        <v>204</v>
      </c>
      <c r="E29" s="5" t="s">
        <v>335</v>
      </c>
      <c r="F29" s="5" t="s">
        <v>206</v>
      </c>
      <c r="G29" s="5" t="s">
        <v>206</v>
      </c>
      <c r="H29" s="5" t="s">
        <v>206</v>
      </c>
      <c r="J29" s="5" t="s">
        <v>209</v>
      </c>
      <c r="O29" s="5" t="s">
        <v>209</v>
      </c>
      <c r="S29" s="5" t="s">
        <v>208</v>
      </c>
      <c r="Y29" s="5" t="s">
        <v>209</v>
      </c>
      <c r="AC29" s="5" t="s">
        <v>208</v>
      </c>
      <c r="AH29" s="5" t="s">
        <v>210</v>
      </c>
      <c r="AI29" s="5">
        <v>2017</v>
      </c>
      <c r="AJ29" s="5" t="s">
        <v>238</v>
      </c>
      <c r="AK29" s="5" t="str">
        <f t="shared" ref="AK29:AK41" si="1">IF(OR(AJ29="Empleada del sector privado",AJ29="Empleada del sector público"),"Asalariada",
IF(AJ29="Trabajadora por cuenta propia","Trabajadora por cuenta propia",""))</f>
        <v>Trabajadora por cuenta propia</v>
      </c>
      <c r="AM29" s="5" t="s">
        <v>309</v>
      </c>
      <c r="AP29" s="5" t="s">
        <v>284</v>
      </c>
      <c r="AR29" s="5" t="s">
        <v>301</v>
      </c>
      <c r="AS29" s="5" t="s">
        <v>301</v>
      </c>
      <c r="AT29" s="5" t="s">
        <v>301</v>
      </c>
      <c r="AU29" s="5" t="s">
        <v>301</v>
      </c>
      <c r="AV29" s="5" t="s">
        <v>285</v>
      </c>
      <c r="AW29" s="5" t="s">
        <v>206</v>
      </c>
      <c r="BF29" s="5" t="s">
        <v>204</v>
      </c>
      <c r="BG29" s="5" t="s">
        <v>242</v>
      </c>
      <c r="BH29" s="5" t="s">
        <v>278</v>
      </c>
      <c r="BI29" s="5" t="s">
        <v>242</v>
      </c>
      <c r="BJ29" s="5" t="s">
        <v>242</v>
      </c>
      <c r="BK29" s="5" t="s">
        <v>244</v>
      </c>
      <c r="BL29" s="5" t="s">
        <v>244</v>
      </c>
      <c r="BM29" s="5" t="s">
        <v>246</v>
      </c>
      <c r="BN29" s="5" t="s">
        <v>244</v>
      </c>
      <c r="BO29" s="5" t="s">
        <v>244</v>
      </c>
      <c r="BP29" s="5" t="s">
        <v>246</v>
      </c>
      <c r="BQ29" s="5" t="s">
        <v>244</v>
      </c>
      <c r="BR29" s="5" t="s">
        <v>246</v>
      </c>
      <c r="BS29" s="5" t="s">
        <v>254</v>
      </c>
      <c r="BT29" s="5" t="s">
        <v>254</v>
      </c>
      <c r="BU29" s="5" t="s">
        <v>247</v>
      </c>
      <c r="BV29" s="5" t="s">
        <v>217</v>
      </c>
      <c r="BW29" s="5" t="s">
        <v>248</v>
      </c>
      <c r="BX29" s="5" t="s">
        <v>248</v>
      </c>
      <c r="BY29" s="5" t="s">
        <v>217</v>
      </c>
      <c r="CD29" s="5" t="s">
        <v>206</v>
      </c>
      <c r="CH29" s="5" t="s">
        <v>206</v>
      </c>
      <c r="CI29" s="5" t="s">
        <v>206</v>
      </c>
      <c r="CJ29" s="5">
        <v>0</v>
      </c>
      <c r="CK29" s="5" t="s">
        <v>223</v>
      </c>
      <c r="CU29" s="5" t="s">
        <v>206</v>
      </c>
      <c r="DA29" s="5" t="s">
        <v>231</v>
      </c>
      <c r="DB29" s="5">
        <f t="shared" ref="DB29:DB41" si="2">IF(DA29="Mejor que lo habitual",1,
IF(DA29="Igual que lo habitual",2,
IF(DA29="Menos que lo habitual",3,
IF(DA29="Mucho menos que lo habitual",4,""))))</f>
        <v>2</v>
      </c>
      <c r="DC29" s="5" t="s">
        <v>230</v>
      </c>
      <c r="DD29" s="5">
        <f t="shared" ref="DD29:DD41" si="3">IF(DC29="No, en absoluto",1,
IF(DC29="No más que lo habitual",2,
IF(DC29="Bastante más que lo habitual",3,
IF(DC29="Mucho más que lo habitual",4,""))))</f>
        <v>2</v>
      </c>
      <c r="DE29" s="5" t="s">
        <v>230</v>
      </c>
      <c r="DF29" s="5">
        <f t="shared" ref="DF29:DF41" si="4">IF(DE29="No, en absoluto",1,
IF(DE29="No más que lo habitual",2,
IF(DE29="Bastante más que lo habitual",3,
IF(DE29="Mucho más que lo habitual",4,""))))</f>
        <v>2</v>
      </c>
      <c r="DG29" s="5" t="s">
        <v>251</v>
      </c>
      <c r="DH29" s="5">
        <f t="shared" ref="DH29:DH41" si="5">IF(DG29="No, en absoluto",1,
IF(DG29="No más que lo habitual",2,
IF(DG29="Bastante más que lo habitual",3,
IF(DG29="Mucho más que lo habitual",4,""))))</f>
        <v>1</v>
      </c>
      <c r="DI29" s="5" t="s">
        <v>230</v>
      </c>
      <c r="DJ29" s="5">
        <f t="shared" ref="DJ29:DJ41" si="6">IF(DI29="No, en absoluto",1,
IF(DI29="No más que lo habitual",2,
IF(DI29="Bastante más que lo habitual",3,
IF(DI29="Mucho más que lo habitual",4,""))))</f>
        <v>2</v>
      </c>
      <c r="DK29" s="5" t="s">
        <v>251</v>
      </c>
      <c r="DL29" s="5">
        <f t="shared" ref="DL29:DL41" si="7">IF(DK29="No, en absoluto",1,
IF(DK29="No más que lo habitual",2,
IF(DK29="Bastante más que lo habitual",3,
IF(DK29="Mucho más que lo habitual",4,""))))</f>
        <v>1</v>
      </c>
      <c r="DM29" s="5" t="s">
        <v>251</v>
      </c>
      <c r="DN29" s="5">
        <f t="shared" ref="DN29:DN41" si="8">IF(DM29="No, en absoluto",1,
IF(DM29="No más que lo habitual",2,
IF(DM29="Bastante más que lo habitual",3,
IF(DM29="Mucho más que lo habitual",4,""))))</f>
        <v>1</v>
      </c>
      <c r="DO29" s="5" t="s">
        <v>281</v>
      </c>
      <c r="DP29" s="5">
        <f t="shared" ref="DP29:DP41" si="9">IF(DO29="Más que lo habitual",1,
IF(DO29="Igual que lo habitual",2,
IF(DO29="Menos que lo habitual",3,
IF(DO29="Mucho menos que lo habitual",4,""))))</f>
        <v>1</v>
      </c>
      <c r="DQ29" s="5" t="s">
        <v>281</v>
      </c>
      <c r="DR29" s="5">
        <f t="shared" ref="DR29:DR41" si="10">IF(DQ29="Más que lo habitual",1,
IF(DQ29="Igual que lo habitual",2,
IF(DQ29="Menos que lo habitual",3,
IF(DQ29="Mucho menos que lo habitual",4,""))))</f>
        <v>1</v>
      </c>
      <c r="DS29" s="5" t="s">
        <v>281</v>
      </c>
      <c r="DT29" s="5">
        <f t="shared" ref="DT29:DT41" si="11">IF(DS29="Más que lo habitual",1,
IF(DS29="Igual que lo habitual",2,
IF(DS29="Menos que lo habitual",3,
IF(DS29="Mucho menos que lo habitual",4,""))))</f>
        <v>1</v>
      </c>
      <c r="DU29" s="5" t="s">
        <v>281</v>
      </c>
      <c r="DV29" s="5">
        <f t="shared" ref="DV29:DV41" si="12">IF(DU29="Más que lo habitual",1,
IF(DU29="Igual que lo habitual",2,
IF(DU29="Menos que lo habitual",3,
IF(DU29="Mucho menos que lo habitual",4,""))))</f>
        <v>1</v>
      </c>
      <c r="DW29" s="5" t="s">
        <v>281</v>
      </c>
      <c r="DX29" s="5">
        <f t="shared" ref="DX29:DX41" si="13">IF(DW29="Más que lo habitual",1,
IF(DW29="Igual que lo habitual",2,
IF(DW29="Menos que lo habitual",3,
IF(DW29="Mucho menos que lo habitual",4,""))))</f>
        <v>1</v>
      </c>
      <c r="DY29" s="5">
        <f t="shared" ref="DY29:DY41" si="14">SUM(DB29,DD29,DF29,DH29,DJ29,DL29,DN29,DP29,DR29,DT29,DV29,DX29)</f>
        <v>16</v>
      </c>
      <c r="DZ29" s="5" t="str">
        <f t="shared" ref="DZ29:DZ41" si="15">IF(DY29&lt;=18,"Nivel de riesgo bajo",
IF(DY29&lt;=23,"Nivel de riesgo medio",
"Nivel de riesgo alto"))</f>
        <v>Nivel de riesgo bajo</v>
      </c>
      <c r="EA29" s="5" t="s">
        <v>232</v>
      </c>
      <c r="EB29" s="5">
        <f t="shared" ref="EB29:EB41" si="16">IF(EA29="Nunca/ casi nunca",0,
IF(EA29="Rara vez",1,
IF(EA29="A veces",2,
IF(EA29="A menudo",3,
IF(EA29="Siempre",4,"")))))</f>
        <v>3</v>
      </c>
      <c r="EC29" s="5" t="s">
        <v>232</v>
      </c>
      <c r="ED29" s="5">
        <f t="shared" ref="ED29:ED41" si="17">IF(EC29="Nunca/ casi nunca",0,
IF(EC29="Rara vez",1,
IF(EC29="A veces",2,
IF(EC29="A menudo",3,
IF(EC29="Siempre",4,"")))))</f>
        <v>3</v>
      </c>
      <c r="EE29" s="5" t="s">
        <v>253</v>
      </c>
      <c r="EF29" s="5">
        <f t="shared" ref="EF29:EF41" si="18">IF(EE29="Nunca/ casi nunca",0,
IF(EE29="Rara vez",1,
IF(EE29="A veces",2,
IF(EE29="A menudo",3,
IF(EE29="Siempre",4,"")))))</f>
        <v>0</v>
      </c>
      <c r="EG29" s="5">
        <f t="shared" ref="EG29:EG41" si="19">SUM(EB29,ED29,EF29)</f>
        <v>6</v>
      </c>
      <c r="EH29" s="5" t="str">
        <f t="shared" ref="EH29:EH41" si="20">IF(EG29&lt;=1,"Nivel de riesgo bajo",
IF(EG29&lt;=4,"Nivel de riesgo medio",
"Nivel de riesgo alto"))</f>
        <v>Nivel de riesgo alto</v>
      </c>
      <c r="EI29" s="5" t="s">
        <v>253</v>
      </c>
      <c r="EJ29" s="5">
        <f t="shared" ref="EJ29:EJ41" si="21">IF(EI29="Nunca/ casi nunca",0,
IF(EI29="Rara vez",1,
IF(EI29="A veces",2,
IF(EI29="A menudo",3,
IF(EI29="Siempre",4,"")))))</f>
        <v>0</v>
      </c>
      <c r="EK29" s="5" t="s">
        <v>253</v>
      </c>
      <c r="EL29" s="5">
        <f t="shared" ref="EL29:EL41" si="22">IF(EK29="Nunca/ casi nunca",0,
IF(EK29="Rara vez",1,
IF(EK29="A veces",2,
IF(EK29="A menudo",3,
IF(EK29="Siempre",4,"")))))</f>
        <v>0</v>
      </c>
      <c r="EM29" s="5" t="s">
        <v>247</v>
      </c>
      <c r="EN29" s="5">
        <f t="shared" ref="EN29:EN41" si="23">IF(EM29="Nunca/ casi nunca",0,
IF(EM29="Rara vez",1,
IF(EM29="A veces",2,
IF(EM29="A menudo",3,
IF(EM29="Siempre",4,"")))))</f>
        <v>2</v>
      </c>
      <c r="EO29" s="5">
        <f t="shared" ref="EO29:EO41" si="24">SUM(EJ29,EL29,EN29)</f>
        <v>2</v>
      </c>
      <c r="EP29" s="5" t="str">
        <f t="shared" ref="EP29:EP41" si="25">IF(EO29&lt;=1,"Nivel de riesgo bajo",
IF(EO29&lt;=5,"Nivel de riesgo medio",
"Nivel de riesgo alto"))</f>
        <v>Nivel de riesgo medio</v>
      </c>
      <c r="EQ29" s="5" t="s">
        <v>253</v>
      </c>
      <c r="ER29" s="5">
        <f t="shared" ref="ER29:ER41" si="26">IF(EQ29="Nunca/ casi nunca",4,
IF(EQ29="Rara vez",3,
IF(EQ29="A veces",2,
IF(EQ29="A menudo",1,
IF(EQ29="Siempre",0,"")))))</f>
        <v>4</v>
      </c>
      <c r="ES29" s="5" t="s">
        <v>253</v>
      </c>
      <c r="ET29" s="5">
        <f t="shared" ref="ET29:ET41" si="27">IF(ES29="Nunca/ casi nunca",4,
IF(ES29="Rara vez",3,
IF(ES29="A veces",2,
IF(ES29="A menudo",1,
IF(ES29="Siempre",0,"")))))</f>
        <v>4</v>
      </c>
      <c r="EU29" s="5" t="s">
        <v>253</v>
      </c>
      <c r="EV29" s="5">
        <f t="shared" ref="EV29:EV41" si="28">IF(EU29="Nunca/ casi nunca",4,
IF(EU29="Rara vez",3,
IF(EU29="A veces",2,
IF(EU29="A menudo",1,
IF(EU29="Siempre",0,"")))))</f>
        <v>4</v>
      </c>
      <c r="EW29" s="5" t="s">
        <v>253</v>
      </c>
      <c r="EX29" s="5">
        <f t="shared" ref="EX29:EX41" si="29">IF(EW29="Nunca/ casi nunca",4,
IF(EW29="Rara vez",3,
IF(EW29="A veces",2,
IF(EW29="A menudo",1,
IF(EW29="Siempre",0,"")))))</f>
        <v>4</v>
      </c>
      <c r="EY29" s="5">
        <f t="shared" ref="EY29:EY41" si="30">SUM(ER29,ET29,EV29,EX29)</f>
        <v>16</v>
      </c>
      <c r="EZ29" s="5" t="str">
        <f t="shared" ref="EZ29:EZ41" si="31">IF(EY29&lt;=0,"Nivel de riesgo bajo",
IF(EY29&lt;=4,"Nivel de riesgo medio",
"Nivel de riesgo alto"))</f>
        <v>Nivel de riesgo alto</v>
      </c>
      <c r="FA29" s="5" t="s">
        <v>254</v>
      </c>
      <c r="FB29" s="5">
        <f t="shared" ref="FB29:FB41" si="32">IF(FA29="Nunca/ casi nunca",0,
IF(FA29="Rara vez",1,
IF(FA29="A veces",2,
IF(FA29="A menudo",3,
IF(FA29="Siempre",4,"")))))</f>
        <v>4</v>
      </c>
      <c r="FC29" s="5" t="s">
        <v>253</v>
      </c>
      <c r="FD29" s="5">
        <f t="shared" ref="FD29:FD41" si="33">IF(FC29="Nunca/ casi nunca",0,
IF(FC29="Rara vez",1,
IF(FC29="A veces",2,
IF(FC29="A menudo",3,
IF(FC29="Siempre",4,"")))))</f>
        <v>0</v>
      </c>
      <c r="FE29" s="5" t="s">
        <v>253</v>
      </c>
      <c r="FF29" s="5">
        <f t="shared" ref="FF29:FF41" si="34">IF(FE29="Nunca/ casi nunca",0,
IF(FE29="Rara vez",1,
IF(FE29="A veces",2,
IF(FE29="A menudo",3,
IF(FE29="Siempre",4,"")))))</f>
        <v>0</v>
      </c>
      <c r="FG29" s="5">
        <f t="shared" ref="FG29:FG41" si="35">SUM(FB29,FD29,FF29)</f>
        <v>4</v>
      </c>
      <c r="FH29" s="5" t="str">
        <f t="shared" ref="FH29:FH41" si="36">IF(FG29&lt;=2,"Nivel de riesgo bajo",
IF(FG29&lt;=5,"Nivel de riesgo medio",
"Nivel de riesgo alto"))</f>
        <v>Nivel de riesgo medio</v>
      </c>
      <c r="FI29" s="5" t="s">
        <v>253</v>
      </c>
      <c r="FJ29" s="5">
        <f t="shared" ref="FJ29:FJ41" si="37">IF(FI29="Nunca/ casi nunca",0,
IF(FI29="Rara vez",1,
IF(FI29="A veces",2,
IF(FI29="A menudo",3,
IF(FI29="Siempre",4,"")))))</f>
        <v>0</v>
      </c>
      <c r="FK29" s="5" t="s">
        <v>253</v>
      </c>
      <c r="FL29" s="5">
        <f t="shared" ref="FL29:FL41" si="38">IF(FK29="Nunca/ casi nunca",0,
IF(FK29="Rara vez",1,
IF(FK29="A veces",2,
IF(FK29="A menudo",3,
IF(FK29="Siempre",4,"")))))</f>
        <v>0</v>
      </c>
      <c r="FM29" s="5" t="s">
        <v>254</v>
      </c>
      <c r="FN29" s="5">
        <f t="shared" ref="FN29:FN41" si="39">IF(FM29="Nunca/ casi nunca",0,
IF(FM29="Rara vez",1,
IF(FM29="A veces",2,
IF(FM29="A menudo",3,
IF(FM29="Siempre",4,"")))))</f>
        <v>4</v>
      </c>
      <c r="FO29" s="5">
        <f t="shared" ref="FO29:FO41" si="40">SUM(FJ29,FL29,FN29)</f>
        <v>4</v>
      </c>
      <c r="FP29" s="5" t="str">
        <f t="shared" ref="FP29:FP41" si="41">IF(FO29&lt;=2,"Nivel de riesgo bajo",
IF(FO29&lt;=5,"Nivel de riesgo medio",
"Nivel de riesgo alto"))</f>
        <v>Nivel de riesgo medio</v>
      </c>
      <c r="FQ29" s="5" t="s">
        <v>206</v>
      </c>
      <c r="FR29" s="5">
        <f t="shared" ref="FR29:FR41" si="42">IF(FQ29="No",0,
IF(FQ29="Sí, unas pocas veces",1,
IF(FQ29="Sí, mensualmente",2,
IF(FQ29="Sí, semanalmente",3,
IF(FQ29="Sí, diariamente",4,"")))))</f>
        <v>0</v>
      </c>
      <c r="FS29" s="5" t="s">
        <v>206</v>
      </c>
      <c r="FT29" s="5">
        <f t="shared" ref="FT29:FT41" si="43">IF(FS29="No",0,
IF(FS29="Sí, unas pocas veces",1,
IF(FS29="Sí, mensualmente",2,
IF(FS29="Sí, semanalmente",3,
IF(FS29="Sí, diariamente",4,"")))))</f>
        <v>0</v>
      </c>
      <c r="FU29" s="5" t="s">
        <v>206</v>
      </c>
      <c r="FV29" s="5">
        <f t="shared" ref="FV29:FV41" si="44">IF(FU29="No",0,
IF(FU29="Sí, unas pocas veces",1,
IF(FU29="Sí, mensualmente",2,
IF(FU29="Sí, semanalmente",3,
IF(FU29="Sí, diariamente",4,"")))))</f>
        <v>0</v>
      </c>
      <c r="FW29" s="5" t="s">
        <v>206</v>
      </c>
      <c r="FX29" s="5">
        <f t="shared" ref="FX29:FX41" si="45">IF(FW29="No",0,
IF(FW29="Sí, unas pocas veces",1,
IF(FW29="Sí, mensualmente",2,
IF(FW29="Sí, semanalmente",3,
IF(FW29="Sí, diariamente",4,"")))))</f>
        <v>0</v>
      </c>
      <c r="FY29" s="5" t="s">
        <v>206</v>
      </c>
      <c r="FZ29" s="5">
        <f t="shared" ref="FZ29:FZ41" si="46">IF(FY29="No",0,
IF(FY29="Sí, unas pocas veces",1,
IF(FY29="Sí, mensualmente",2,
IF(FY29="Sí, semanalmente",3,
IF(FY29="Sí, diariamente",4,"")))))</f>
        <v>0</v>
      </c>
      <c r="GA29" s="5" t="s">
        <v>206</v>
      </c>
      <c r="GB29" s="5">
        <f t="shared" ref="GB29:GB41" si="47">IF(GA29="No",0,
IF(GA29="Sí, unas pocas veces",1,
IF(GA29="Sí, mensualmente",2,
IF(GA29="Sí, semanalmente",3,
IF(GA29="Sí, diariamente",4,"")))))</f>
        <v>0</v>
      </c>
      <c r="GC29" s="5" t="s">
        <v>206</v>
      </c>
      <c r="GD29" s="5">
        <f t="shared" ref="GD29:GD41" si="48">IF(GC29="No",0,
IF(GC29="Sí, unas pocas veces",1,
IF(GC29="Sí, mensualmente",2,
IF(GC29="Sí, semanalmente",3,
IF(GC29="Sí, diariamente",4,"")))))</f>
        <v>0</v>
      </c>
      <c r="GE29" s="5">
        <f t="shared" ref="GE29:GE41" si="49">SUM(FR29,FT29,FV29,FX29,FZ29,GB29,GD29)</f>
        <v>0</v>
      </c>
      <c r="GF29" s="5" t="str">
        <f t="shared" ref="GF29:GF41" si="50">IF(GE29&lt;=0,"Nivel de riesgo bajo",
IF(GE29&lt;=14,"Nivel de riesgo medio",
"Nivel de riesgo alto"))</f>
        <v>Nivel de riesgo bajo</v>
      </c>
      <c r="GG29" s="5" t="s">
        <v>255</v>
      </c>
      <c r="GH29" s="5" t="s">
        <v>255</v>
      </c>
      <c r="GI29" s="5" t="s">
        <v>255</v>
      </c>
      <c r="GJ29" s="5" t="s">
        <v>255</v>
      </c>
      <c r="GK29" s="5" t="s">
        <v>233</v>
      </c>
      <c r="GL29" s="5" t="s">
        <v>233</v>
      </c>
      <c r="GM29" s="5" t="s">
        <v>255</v>
      </c>
      <c r="GN29" s="5" t="s">
        <v>256</v>
      </c>
      <c r="GO29" s="5" t="s">
        <v>256</v>
      </c>
      <c r="GP29" s="5" t="s">
        <v>256</v>
      </c>
      <c r="GQ29" s="5" t="s">
        <v>257</v>
      </c>
      <c r="GR29" s="5" t="s">
        <v>257</v>
      </c>
      <c r="GS29" s="5" t="s">
        <v>257</v>
      </c>
      <c r="GT29" s="5" t="s">
        <v>256</v>
      </c>
      <c r="GU29" s="5" t="s">
        <v>336</v>
      </c>
      <c r="GV29" s="5" t="str">
        <f>TEXT("6267487851424245473","0")</f>
        <v>6267487851424240000</v>
      </c>
    </row>
    <row r="30" spans="1:204" ht="15.75" customHeight="1" x14ac:dyDescent="0.15">
      <c r="A30" s="1">
        <f t="shared" si="0"/>
        <v>30</v>
      </c>
      <c r="B30" s="4">
        <v>45838.743113425924</v>
      </c>
      <c r="C30" s="5" t="s">
        <v>204</v>
      </c>
      <c r="D30" s="5" t="s">
        <v>206</v>
      </c>
      <c r="F30" s="5" t="s">
        <v>206</v>
      </c>
      <c r="G30" s="5" t="s">
        <v>206</v>
      </c>
      <c r="H30" s="5" t="s">
        <v>206</v>
      </c>
      <c r="K30" s="5" t="s">
        <v>237</v>
      </c>
      <c r="P30" s="5" t="s">
        <v>237</v>
      </c>
      <c r="T30" s="5" t="s">
        <v>209</v>
      </c>
      <c r="X30" s="5" t="s">
        <v>208</v>
      </c>
      <c r="AD30" s="5" t="s">
        <v>209</v>
      </c>
      <c r="AH30" s="5" t="s">
        <v>210</v>
      </c>
      <c r="AI30" s="5">
        <v>2022</v>
      </c>
      <c r="AJ30" s="5" t="s">
        <v>337</v>
      </c>
      <c r="AK30" s="5" t="str">
        <f t="shared" si="1"/>
        <v>Asalariada</v>
      </c>
      <c r="AQ30" s="5" t="s">
        <v>204</v>
      </c>
      <c r="AR30" s="5" t="s">
        <v>276</v>
      </c>
      <c r="AS30" s="5" t="s">
        <v>276</v>
      </c>
      <c r="AT30" s="5" t="s">
        <v>261</v>
      </c>
      <c r="AU30" s="5" t="s">
        <v>261</v>
      </c>
      <c r="AV30" s="5" t="s">
        <v>277</v>
      </c>
      <c r="AW30" s="5" t="s">
        <v>206</v>
      </c>
      <c r="BF30" s="5" t="s">
        <v>204</v>
      </c>
      <c r="BG30" s="5" t="s">
        <v>278</v>
      </c>
      <c r="BH30" s="5" t="s">
        <v>278</v>
      </c>
      <c r="BI30" s="5" t="s">
        <v>278</v>
      </c>
      <c r="BJ30" s="5" t="s">
        <v>278</v>
      </c>
      <c r="BK30" s="5" t="s">
        <v>216</v>
      </c>
      <c r="BL30" s="5" t="s">
        <v>216</v>
      </c>
      <c r="BM30" s="5" t="s">
        <v>244</v>
      </c>
      <c r="BN30" s="5" t="s">
        <v>216</v>
      </c>
      <c r="BO30" s="5" t="s">
        <v>216</v>
      </c>
      <c r="BP30" s="5" t="s">
        <v>244</v>
      </c>
      <c r="BQ30" s="5" t="s">
        <v>244</v>
      </c>
      <c r="BR30" s="5" t="s">
        <v>216</v>
      </c>
      <c r="BS30" s="5" t="s">
        <v>247</v>
      </c>
      <c r="BT30" s="5" t="s">
        <v>217</v>
      </c>
      <c r="BU30" s="5" t="s">
        <v>247</v>
      </c>
      <c r="BV30" s="5" t="s">
        <v>217</v>
      </c>
      <c r="BW30" s="5" t="s">
        <v>248</v>
      </c>
      <c r="BX30" s="5" t="s">
        <v>247</v>
      </c>
      <c r="BY30" s="5" t="s">
        <v>217</v>
      </c>
      <c r="CD30" s="5" t="s">
        <v>206</v>
      </c>
      <c r="CH30" s="5" t="s">
        <v>206</v>
      </c>
      <c r="CI30" s="5" t="s">
        <v>291</v>
      </c>
      <c r="CJ30" s="5">
        <v>9</v>
      </c>
      <c r="CK30" s="5" t="s">
        <v>223</v>
      </c>
      <c r="CU30" s="5" t="s">
        <v>206</v>
      </c>
      <c r="DA30" s="5" t="s">
        <v>231</v>
      </c>
      <c r="DB30" s="5">
        <f t="shared" si="2"/>
        <v>2</v>
      </c>
      <c r="DC30" s="5" t="s">
        <v>230</v>
      </c>
      <c r="DD30" s="5">
        <f t="shared" si="3"/>
        <v>2</v>
      </c>
      <c r="DE30" s="5" t="s">
        <v>230</v>
      </c>
      <c r="DF30" s="5">
        <f t="shared" si="4"/>
        <v>2</v>
      </c>
      <c r="DG30" s="5" t="s">
        <v>280</v>
      </c>
      <c r="DH30" s="5">
        <f t="shared" si="5"/>
        <v>4</v>
      </c>
      <c r="DI30" s="5" t="s">
        <v>251</v>
      </c>
      <c r="DJ30" s="5">
        <f t="shared" si="6"/>
        <v>1</v>
      </c>
      <c r="DK30" s="5" t="s">
        <v>251</v>
      </c>
      <c r="DL30" s="5">
        <f t="shared" si="7"/>
        <v>1</v>
      </c>
      <c r="DM30" s="5" t="s">
        <v>251</v>
      </c>
      <c r="DN30" s="5">
        <f t="shared" si="8"/>
        <v>1</v>
      </c>
      <c r="DO30" s="5" t="s">
        <v>281</v>
      </c>
      <c r="DP30" s="5">
        <f t="shared" si="9"/>
        <v>1</v>
      </c>
      <c r="DQ30" s="5" t="s">
        <v>281</v>
      </c>
      <c r="DR30" s="5">
        <f t="shared" si="10"/>
        <v>1</v>
      </c>
      <c r="DS30" s="5" t="s">
        <v>281</v>
      </c>
      <c r="DT30" s="5">
        <f t="shared" si="11"/>
        <v>1</v>
      </c>
      <c r="DU30" s="5" t="s">
        <v>281</v>
      </c>
      <c r="DV30" s="5">
        <f t="shared" si="12"/>
        <v>1</v>
      </c>
      <c r="DW30" s="5" t="s">
        <v>231</v>
      </c>
      <c r="DX30" s="5">
        <f t="shared" si="13"/>
        <v>2</v>
      </c>
      <c r="DY30" s="5">
        <f t="shared" si="14"/>
        <v>19</v>
      </c>
      <c r="DZ30" s="5" t="str">
        <f t="shared" si="15"/>
        <v>Nivel de riesgo medio</v>
      </c>
      <c r="EA30" s="5" t="s">
        <v>253</v>
      </c>
      <c r="EB30" s="5">
        <f t="shared" si="16"/>
        <v>0</v>
      </c>
      <c r="EC30" s="5" t="s">
        <v>253</v>
      </c>
      <c r="ED30" s="5">
        <f t="shared" si="17"/>
        <v>0</v>
      </c>
      <c r="EE30" s="5" t="s">
        <v>253</v>
      </c>
      <c r="EF30" s="5">
        <f t="shared" si="18"/>
        <v>0</v>
      </c>
      <c r="EG30" s="5">
        <f t="shared" si="19"/>
        <v>0</v>
      </c>
      <c r="EH30" s="5" t="str">
        <f t="shared" si="20"/>
        <v>Nivel de riesgo bajo</v>
      </c>
      <c r="EI30" s="5" t="s">
        <v>247</v>
      </c>
      <c r="EJ30" s="5">
        <f t="shared" si="21"/>
        <v>2</v>
      </c>
      <c r="EK30" s="5" t="s">
        <v>247</v>
      </c>
      <c r="EL30" s="5">
        <f t="shared" si="22"/>
        <v>2</v>
      </c>
      <c r="EM30" s="5" t="s">
        <v>232</v>
      </c>
      <c r="EN30" s="5">
        <f t="shared" si="23"/>
        <v>3</v>
      </c>
      <c r="EO30" s="5">
        <f t="shared" si="24"/>
        <v>7</v>
      </c>
      <c r="EP30" s="5" t="str">
        <f t="shared" si="25"/>
        <v>Nivel de riesgo alto</v>
      </c>
      <c r="EQ30" s="5" t="s">
        <v>254</v>
      </c>
      <c r="ER30" s="5">
        <f t="shared" si="26"/>
        <v>0</v>
      </c>
      <c r="ES30" s="5" t="s">
        <v>254</v>
      </c>
      <c r="ET30" s="5">
        <f t="shared" si="27"/>
        <v>0</v>
      </c>
      <c r="EU30" s="5" t="s">
        <v>254</v>
      </c>
      <c r="EV30" s="5">
        <f t="shared" si="28"/>
        <v>0</v>
      </c>
      <c r="EW30" s="5" t="s">
        <v>254</v>
      </c>
      <c r="EX30" s="5">
        <f t="shared" si="29"/>
        <v>0</v>
      </c>
      <c r="EY30" s="5">
        <f t="shared" si="30"/>
        <v>0</v>
      </c>
      <c r="EZ30" s="5" t="str">
        <f t="shared" si="31"/>
        <v>Nivel de riesgo bajo</v>
      </c>
      <c r="FA30" s="5" t="s">
        <v>253</v>
      </c>
      <c r="FB30" s="5">
        <f t="shared" si="32"/>
        <v>0</v>
      </c>
      <c r="FC30" s="5" t="s">
        <v>253</v>
      </c>
      <c r="FD30" s="5">
        <f t="shared" si="33"/>
        <v>0</v>
      </c>
      <c r="FE30" s="5" t="s">
        <v>253</v>
      </c>
      <c r="FF30" s="5">
        <f t="shared" si="34"/>
        <v>0</v>
      </c>
      <c r="FG30" s="5">
        <f t="shared" si="35"/>
        <v>0</v>
      </c>
      <c r="FH30" s="5" t="str">
        <f t="shared" si="36"/>
        <v>Nivel de riesgo bajo</v>
      </c>
      <c r="FI30" s="5" t="s">
        <v>254</v>
      </c>
      <c r="FJ30" s="5">
        <f t="shared" si="37"/>
        <v>4</v>
      </c>
      <c r="FK30" s="5" t="s">
        <v>232</v>
      </c>
      <c r="FL30" s="5">
        <f t="shared" si="38"/>
        <v>3</v>
      </c>
      <c r="FM30" s="5" t="s">
        <v>254</v>
      </c>
      <c r="FN30" s="5">
        <f t="shared" si="39"/>
        <v>4</v>
      </c>
      <c r="FO30" s="5">
        <f t="shared" si="40"/>
        <v>11</v>
      </c>
      <c r="FP30" s="5" t="str">
        <f t="shared" si="41"/>
        <v>Nivel de riesgo alto</v>
      </c>
      <c r="FQ30" s="5" t="s">
        <v>206</v>
      </c>
      <c r="FR30" s="5">
        <f t="shared" si="42"/>
        <v>0</v>
      </c>
      <c r="FS30" s="5" t="s">
        <v>265</v>
      </c>
      <c r="FT30" s="5">
        <f t="shared" si="43"/>
        <v>1</v>
      </c>
      <c r="FU30" s="5" t="s">
        <v>265</v>
      </c>
      <c r="FV30" s="5">
        <f t="shared" si="44"/>
        <v>1</v>
      </c>
      <c r="FW30" s="5" t="s">
        <v>206</v>
      </c>
      <c r="FX30" s="5">
        <f t="shared" si="45"/>
        <v>0</v>
      </c>
      <c r="FY30" s="5" t="s">
        <v>206</v>
      </c>
      <c r="FZ30" s="5">
        <f t="shared" si="46"/>
        <v>0</v>
      </c>
      <c r="GA30" s="5" t="s">
        <v>206</v>
      </c>
      <c r="GB30" s="5">
        <f t="shared" si="47"/>
        <v>0</v>
      </c>
      <c r="GC30" s="5" t="s">
        <v>206</v>
      </c>
      <c r="GD30" s="5">
        <f t="shared" si="48"/>
        <v>0</v>
      </c>
      <c r="GE30" s="5">
        <f t="shared" si="49"/>
        <v>2</v>
      </c>
      <c r="GF30" s="5" t="str">
        <f t="shared" si="50"/>
        <v>Nivel de riesgo medio</v>
      </c>
      <c r="GG30" s="5" t="s">
        <v>255</v>
      </c>
      <c r="GH30" s="5" t="s">
        <v>273</v>
      </c>
      <c r="GI30" s="5" t="s">
        <v>233</v>
      </c>
      <c r="GJ30" s="5" t="s">
        <v>233</v>
      </c>
      <c r="GK30" s="5" t="s">
        <v>233</v>
      </c>
      <c r="GL30" s="5" t="s">
        <v>233</v>
      </c>
      <c r="GM30" s="5" t="s">
        <v>233</v>
      </c>
      <c r="GN30" s="5" t="s">
        <v>257</v>
      </c>
      <c r="GO30" s="5" t="s">
        <v>257</v>
      </c>
      <c r="GP30" s="5" t="s">
        <v>257</v>
      </c>
      <c r="GQ30" s="5" t="s">
        <v>257</v>
      </c>
      <c r="GR30" s="5" t="s">
        <v>257</v>
      </c>
      <c r="GS30" s="5" t="s">
        <v>257</v>
      </c>
      <c r="GT30" s="5" t="s">
        <v>257</v>
      </c>
      <c r="GU30" s="5" t="s">
        <v>338</v>
      </c>
      <c r="GV30" s="5" t="str">
        <f>TEXT("6271294051815876978","0")</f>
        <v>6271294051815870000</v>
      </c>
    </row>
    <row r="31" spans="1:204" ht="15.75" customHeight="1" x14ac:dyDescent="0.15">
      <c r="A31" s="1">
        <f t="shared" si="0"/>
        <v>31</v>
      </c>
      <c r="B31" s="4">
        <v>45838.744652777779</v>
      </c>
      <c r="C31" s="5" t="s">
        <v>204</v>
      </c>
      <c r="D31" s="5" t="s">
        <v>206</v>
      </c>
      <c r="F31" s="5" t="s">
        <v>206</v>
      </c>
      <c r="G31" s="5" t="s">
        <v>204</v>
      </c>
      <c r="H31" s="5" t="s">
        <v>204</v>
      </c>
      <c r="J31" s="5" t="s">
        <v>209</v>
      </c>
      <c r="O31" s="5" t="s">
        <v>209</v>
      </c>
      <c r="T31" s="5" t="s">
        <v>209</v>
      </c>
      <c r="X31" s="5" t="s">
        <v>208</v>
      </c>
      <c r="AE31" s="5" t="s">
        <v>237</v>
      </c>
      <c r="AH31" s="5" t="s">
        <v>210</v>
      </c>
      <c r="AI31" s="5">
        <v>2023</v>
      </c>
      <c r="AJ31" s="5" t="s">
        <v>238</v>
      </c>
      <c r="AK31" s="5" t="str">
        <f t="shared" si="1"/>
        <v>Trabajadora por cuenta propia</v>
      </c>
      <c r="AL31" s="5" t="s">
        <v>239</v>
      </c>
      <c r="AO31" s="5" t="s">
        <v>323</v>
      </c>
      <c r="AP31" s="5" t="s">
        <v>297</v>
      </c>
      <c r="AR31" s="5" t="s">
        <v>241</v>
      </c>
      <c r="AS31" s="5" t="s">
        <v>241</v>
      </c>
      <c r="AT31" s="5" t="s">
        <v>241</v>
      </c>
      <c r="AU31" s="5" t="s">
        <v>241</v>
      </c>
      <c r="AV31" s="5" t="s">
        <v>213</v>
      </c>
      <c r="AW31" s="5" t="s">
        <v>204</v>
      </c>
      <c r="AX31" s="5" t="s">
        <v>204</v>
      </c>
      <c r="AY31" s="5" t="s">
        <v>339</v>
      </c>
      <c r="AZ31" s="5" t="s">
        <v>204</v>
      </c>
      <c r="BA31" s="5" t="s">
        <v>263</v>
      </c>
      <c r="BF31" s="5" t="s">
        <v>204</v>
      </c>
      <c r="BG31" s="5" t="s">
        <v>278</v>
      </c>
      <c r="BH31" s="5" t="s">
        <v>242</v>
      </c>
      <c r="BI31" s="5" t="s">
        <v>278</v>
      </c>
      <c r="BJ31" s="5" t="s">
        <v>242</v>
      </c>
      <c r="BK31" s="5" t="s">
        <v>243</v>
      </c>
      <c r="BL31" s="5" t="s">
        <v>244</v>
      </c>
      <c r="BM31" s="5" t="s">
        <v>244</v>
      </c>
      <c r="BN31" s="5" t="s">
        <v>216</v>
      </c>
      <c r="BO31" s="5" t="s">
        <v>244</v>
      </c>
      <c r="BP31" s="5" t="s">
        <v>244</v>
      </c>
      <c r="BQ31" s="5" t="s">
        <v>244</v>
      </c>
      <c r="BR31" s="5" t="s">
        <v>244</v>
      </c>
      <c r="BS31" s="5" t="s">
        <v>248</v>
      </c>
      <c r="BT31" s="5" t="s">
        <v>247</v>
      </c>
      <c r="BU31" s="5" t="s">
        <v>248</v>
      </c>
      <c r="BV31" s="5" t="s">
        <v>248</v>
      </c>
      <c r="BW31" s="5" t="s">
        <v>248</v>
      </c>
      <c r="BX31" s="5" t="s">
        <v>248</v>
      </c>
      <c r="BY31" s="5" t="s">
        <v>217</v>
      </c>
      <c r="BZ31" s="5" t="s">
        <v>244</v>
      </c>
      <c r="CA31" s="5" t="s">
        <v>244</v>
      </c>
      <c r="CB31" s="5" t="s">
        <v>244</v>
      </c>
      <c r="CC31" s="5" t="s">
        <v>244</v>
      </c>
      <c r="CD31" s="5" t="s">
        <v>204</v>
      </c>
      <c r="CE31" s="5" t="s">
        <v>286</v>
      </c>
      <c r="CF31" s="5" t="s">
        <v>219</v>
      </c>
      <c r="CG31" s="5" t="s">
        <v>206</v>
      </c>
      <c r="CH31" s="5" t="s">
        <v>310</v>
      </c>
      <c r="CI31" s="5" t="s">
        <v>206</v>
      </c>
      <c r="CJ31" s="5">
        <v>1</v>
      </c>
      <c r="CK31" s="5" t="s">
        <v>223</v>
      </c>
      <c r="CU31" s="5" t="s">
        <v>206</v>
      </c>
      <c r="DA31" s="5" t="s">
        <v>231</v>
      </c>
      <c r="DB31" s="5">
        <f t="shared" si="2"/>
        <v>2</v>
      </c>
      <c r="DC31" s="5" t="s">
        <v>230</v>
      </c>
      <c r="DD31" s="5">
        <f t="shared" si="3"/>
        <v>2</v>
      </c>
      <c r="DE31" s="5" t="s">
        <v>230</v>
      </c>
      <c r="DF31" s="5">
        <f t="shared" si="4"/>
        <v>2</v>
      </c>
      <c r="DG31" s="5" t="s">
        <v>230</v>
      </c>
      <c r="DH31" s="5">
        <f t="shared" si="5"/>
        <v>2</v>
      </c>
      <c r="DI31" s="5" t="s">
        <v>230</v>
      </c>
      <c r="DJ31" s="5">
        <f t="shared" si="6"/>
        <v>2</v>
      </c>
      <c r="DK31" s="5" t="s">
        <v>230</v>
      </c>
      <c r="DL31" s="5">
        <f t="shared" si="7"/>
        <v>2</v>
      </c>
      <c r="DM31" s="5" t="s">
        <v>251</v>
      </c>
      <c r="DN31" s="5">
        <f t="shared" si="8"/>
        <v>1</v>
      </c>
      <c r="DO31" s="5" t="s">
        <v>281</v>
      </c>
      <c r="DP31" s="5">
        <f t="shared" si="9"/>
        <v>1</v>
      </c>
      <c r="DQ31" s="5" t="s">
        <v>231</v>
      </c>
      <c r="DR31" s="5">
        <f t="shared" si="10"/>
        <v>2</v>
      </c>
      <c r="DS31" s="5" t="s">
        <v>231</v>
      </c>
      <c r="DT31" s="5">
        <f t="shared" si="11"/>
        <v>2</v>
      </c>
      <c r="DU31" s="5" t="s">
        <v>231</v>
      </c>
      <c r="DV31" s="5">
        <f t="shared" si="12"/>
        <v>2</v>
      </c>
      <c r="DW31" s="5" t="s">
        <v>231</v>
      </c>
      <c r="DX31" s="5">
        <f t="shared" si="13"/>
        <v>2</v>
      </c>
      <c r="DY31" s="5">
        <f t="shared" si="14"/>
        <v>22</v>
      </c>
      <c r="DZ31" s="5" t="str">
        <f t="shared" si="15"/>
        <v>Nivel de riesgo medio</v>
      </c>
      <c r="EA31" s="5" t="s">
        <v>248</v>
      </c>
      <c r="EB31" s="5">
        <f t="shared" si="16"/>
        <v>1</v>
      </c>
      <c r="EC31" s="5" t="s">
        <v>248</v>
      </c>
      <c r="ED31" s="5">
        <f t="shared" si="17"/>
        <v>1</v>
      </c>
      <c r="EE31" s="5" t="s">
        <v>248</v>
      </c>
      <c r="EF31" s="5">
        <f t="shared" si="18"/>
        <v>1</v>
      </c>
      <c r="EG31" s="5">
        <f t="shared" si="19"/>
        <v>3</v>
      </c>
      <c r="EH31" s="5" t="str">
        <f t="shared" si="20"/>
        <v>Nivel de riesgo medio</v>
      </c>
      <c r="EI31" s="5" t="s">
        <v>248</v>
      </c>
      <c r="EJ31" s="5">
        <f t="shared" si="21"/>
        <v>1</v>
      </c>
      <c r="EK31" s="5" t="s">
        <v>248</v>
      </c>
      <c r="EL31" s="5">
        <f t="shared" si="22"/>
        <v>1</v>
      </c>
      <c r="EM31" s="5" t="s">
        <v>253</v>
      </c>
      <c r="EN31" s="5">
        <f t="shared" si="23"/>
        <v>0</v>
      </c>
      <c r="EO31" s="5">
        <f t="shared" si="24"/>
        <v>2</v>
      </c>
      <c r="EP31" s="5" t="str">
        <f t="shared" si="25"/>
        <v>Nivel de riesgo medio</v>
      </c>
      <c r="EQ31" s="5" t="s">
        <v>248</v>
      </c>
      <c r="ER31" s="5">
        <f t="shared" si="26"/>
        <v>3</v>
      </c>
      <c r="ES31" s="5" t="s">
        <v>254</v>
      </c>
      <c r="ET31" s="5">
        <f t="shared" si="27"/>
        <v>0</v>
      </c>
      <c r="EU31" s="5" t="s">
        <v>254</v>
      </c>
      <c r="EV31" s="5">
        <f t="shared" si="28"/>
        <v>0</v>
      </c>
      <c r="EW31" s="5" t="s">
        <v>254</v>
      </c>
      <c r="EX31" s="5">
        <f t="shared" si="29"/>
        <v>0</v>
      </c>
      <c r="EY31" s="5">
        <f t="shared" si="30"/>
        <v>3</v>
      </c>
      <c r="EZ31" s="5" t="str">
        <f t="shared" si="31"/>
        <v>Nivel de riesgo medio</v>
      </c>
      <c r="FA31" s="5" t="s">
        <v>248</v>
      </c>
      <c r="FB31" s="5">
        <f t="shared" si="32"/>
        <v>1</v>
      </c>
      <c r="FC31" s="5" t="s">
        <v>248</v>
      </c>
      <c r="FD31" s="5">
        <f t="shared" si="33"/>
        <v>1</v>
      </c>
      <c r="FE31" s="5" t="s">
        <v>248</v>
      </c>
      <c r="FF31" s="5">
        <f t="shared" si="34"/>
        <v>1</v>
      </c>
      <c r="FG31" s="5">
        <f t="shared" si="35"/>
        <v>3</v>
      </c>
      <c r="FH31" s="5" t="str">
        <f t="shared" si="36"/>
        <v>Nivel de riesgo medio</v>
      </c>
      <c r="FI31" s="5" t="s">
        <v>248</v>
      </c>
      <c r="FJ31" s="5">
        <f t="shared" si="37"/>
        <v>1</v>
      </c>
      <c r="FK31" s="5" t="s">
        <v>248</v>
      </c>
      <c r="FL31" s="5">
        <f t="shared" si="38"/>
        <v>1</v>
      </c>
      <c r="FM31" s="5" t="s">
        <v>248</v>
      </c>
      <c r="FN31" s="5">
        <f t="shared" si="39"/>
        <v>1</v>
      </c>
      <c r="FO31" s="5">
        <f t="shared" si="40"/>
        <v>3</v>
      </c>
      <c r="FP31" s="5" t="str">
        <f t="shared" si="41"/>
        <v>Nivel de riesgo medio</v>
      </c>
      <c r="FQ31" s="5" t="s">
        <v>206</v>
      </c>
      <c r="FR31" s="5">
        <f t="shared" si="42"/>
        <v>0</v>
      </c>
      <c r="FS31" s="5" t="s">
        <v>206</v>
      </c>
      <c r="FT31" s="5">
        <f t="shared" si="43"/>
        <v>0</v>
      </c>
      <c r="FU31" s="5" t="s">
        <v>206</v>
      </c>
      <c r="FV31" s="5">
        <f t="shared" si="44"/>
        <v>0</v>
      </c>
      <c r="FW31" s="5" t="s">
        <v>206</v>
      </c>
      <c r="FX31" s="5">
        <f t="shared" si="45"/>
        <v>0</v>
      </c>
      <c r="FY31" s="5" t="s">
        <v>206</v>
      </c>
      <c r="FZ31" s="5">
        <f t="shared" si="46"/>
        <v>0</v>
      </c>
      <c r="GA31" s="5" t="s">
        <v>206</v>
      </c>
      <c r="GB31" s="5">
        <f t="shared" si="47"/>
        <v>0</v>
      </c>
      <c r="GC31" s="5" t="s">
        <v>206</v>
      </c>
      <c r="GD31" s="5">
        <f t="shared" si="48"/>
        <v>0</v>
      </c>
      <c r="GE31" s="5">
        <f t="shared" si="49"/>
        <v>0</v>
      </c>
      <c r="GF31" s="5" t="str">
        <f t="shared" si="50"/>
        <v>Nivel de riesgo bajo</v>
      </c>
      <c r="GG31" s="5" t="s">
        <v>255</v>
      </c>
      <c r="GH31" s="5" t="s">
        <v>255</v>
      </c>
      <c r="GI31" s="5" t="s">
        <v>255</v>
      </c>
      <c r="GJ31" s="5" t="s">
        <v>273</v>
      </c>
      <c r="GK31" s="5" t="s">
        <v>233</v>
      </c>
      <c r="GL31" s="5" t="s">
        <v>266</v>
      </c>
      <c r="GM31" s="5" t="s">
        <v>273</v>
      </c>
      <c r="GN31" s="5" t="s">
        <v>256</v>
      </c>
      <c r="GO31" s="5" t="s">
        <v>257</v>
      </c>
      <c r="GP31" s="5" t="s">
        <v>257</v>
      </c>
      <c r="GQ31" s="5" t="s">
        <v>244</v>
      </c>
      <c r="GR31" s="5" t="s">
        <v>257</v>
      </c>
      <c r="GS31" s="5" t="s">
        <v>243</v>
      </c>
      <c r="GT31" s="5" t="s">
        <v>256</v>
      </c>
      <c r="GU31" s="5" t="s">
        <v>340</v>
      </c>
      <c r="GV31" s="5" t="str">
        <f>TEXT("6271295384151685405","0")</f>
        <v>6271295384151680000</v>
      </c>
    </row>
    <row r="32" spans="1:204" ht="15.75" customHeight="1" x14ac:dyDescent="0.15">
      <c r="A32" s="1">
        <f t="shared" si="0"/>
        <v>32</v>
      </c>
      <c r="B32" s="4">
        <v>45838.751122685186</v>
      </c>
      <c r="C32" s="5" t="s">
        <v>204</v>
      </c>
      <c r="D32" s="5" t="s">
        <v>206</v>
      </c>
      <c r="F32" s="5" t="s">
        <v>206</v>
      </c>
      <c r="G32" s="5" t="s">
        <v>206</v>
      </c>
      <c r="H32" s="5" t="s">
        <v>206</v>
      </c>
      <c r="I32" s="5" t="s">
        <v>208</v>
      </c>
      <c r="N32" s="5" t="s">
        <v>208</v>
      </c>
      <c r="S32" s="5" t="s">
        <v>208</v>
      </c>
      <c r="X32" s="5" t="s">
        <v>208</v>
      </c>
      <c r="AC32" s="5" t="s">
        <v>208</v>
      </c>
      <c r="AH32" s="5" t="s">
        <v>268</v>
      </c>
      <c r="AI32" s="5">
        <v>2000</v>
      </c>
      <c r="AJ32" s="5" t="s">
        <v>238</v>
      </c>
      <c r="AK32" s="5" t="str">
        <f t="shared" si="1"/>
        <v>Trabajadora por cuenta propia</v>
      </c>
      <c r="AL32" s="5" t="s">
        <v>239</v>
      </c>
      <c r="AP32" s="5" t="s">
        <v>240</v>
      </c>
      <c r="AR32" s="5" t="s">
        <v>261</v>
      </c>
      <c r="AS32" s="5" t="s">
        <v>261</v>
      </c>
      <c r="AT32" s="5" t="s">
        <v>261</v>
      </c>
      <c r="AU32" s="5" t="s">
        <v>261</v>
      </c>
      <c r="AV32" s="5" t="s">
        <v>285</v>
      </c>
      <c r="AW32" s="5" t="s">
        <v>204</v>
      </c>
      <c r="AX32" s="5" t="s">
        <v>204</v>
      </c>
      <c r="AY32" s="5" t="s">
        <v>214</v>
      </c>
      <c r="AZ32" s="5" t="s">
        <v>204</v>
      </c>
      <c r="BA32" s="5" t="s">
        <v>295</v>
      </c>
      <c r="BB32" s="5" t="s">
        <v>206</v>
      </c>
      <c r="BC32" s="5" t="s">
        <v>206</v>
      </c>
      <c r="BD32" s="5" t="s">
        <v>206</v>
      </c>
      <c r="BE32" s="5" t="s">
        <v>206</v>
      </c>
      <c r="BF32" s="5" t="s">
        <v>204</v>
      </c>
      <c r="BG32" s="5" t="s">
        <v>207</v>
      </c>
      <c r="BH32" s="5" t="s">
        <v>207</v>
      </c>
      <c r="BI32" s="5" t="s">
        <v>207</v>
      </c>
      <c r="BJ32" s="5" t="s">
        <v>207</v>
      </c>
      <c r="BK32" s="5" t="s">
        <v>246</v>
      </c>
      <c r="BL32" s="5" t="s">
        <v>246</v>
      </c>
      <c r="BM32" s="5" t="s">
        <v>246</v>
      </c>
      <c r="BN32" s="5" t="s">
        <v>246</v>
      </c>
      <c r="BO32" s="5" t="s">
        <v>246</v>
      </c>
      <c r="BP32" s="5" t="s">
        <v>246</v>
      </c>
      <c r="BQ32" s="5" t="s">
        <v>246</v>
      </c>
      <c r="BR32" s="5" t="s">
        <v>246</v>
      </c>
      <c r="BS32" s="5" t="s">
        <v>217</v>
      </c>
      <c r="BT32" s="5" t="s">
        <v>217</v>
      </c>
      <c r="BU32" s="5" t="s">
        <v>217</v>
      </c>
      <c r="BV32" s="5" t="s">
        <v>217</v>
      </c>
      <c r="BW32" s="5" t="s">
        <v>217</v>
      </c>
      <c r="BX32" s="5" t="s">
        <v>217</v>
      </c>
      <c r="BY32" s="5" t="s">
        <v>217</v>
      </c>
      <c r="BZ32" s="5" t="s">
        <v>246</v>
      </c>
      <c r="CA32" s="5" t="s">
        <v>246</v>
      </c>
      <c r="CB32" s="5" t="s">
        <v>246</v>
      </c>
      <c r="CC32" s="5" t="s">
        <v>246</v>
      </c>
      <c r="CD32" s="5" t="s">
        <v>206</v>
      </c>
      <c r="CH32" s="5" t="s">
        <v>206</v>
      </c>
      <c r="CI32" s="5" t="s">
        <v>206</v>
      </c>
      <c r="CJ32" s="5">
        <v>0</v>
      </c>
      <c r="CK32" s="5" t="s">
        <v>223</v>
      </c>
      <c r="CU32" s="5" t="s">
        <v>206</v>
      </c>
      <c r="DA32" s="5" t="s">
        <v>272</v>
      </c>
      <c r="DB32" s="5">
        <f t="shared" si="2"/>
        <v>1</v>
      </c>
      <c r="DC32" s="5" t="s">
        <v>251</v>
      </c>
      <c r="DD32" s="5">
        <f t="shared" si="3"/>
        <v>1</v>
      </c>
      <c r="DE32" s="5" t="s">
        <v>251</v>
      </c>
      <c r="DF32" s="5">
        <f t="shared" si="4"/>
        <v>1</v>
      </c>
      <c r="DG32" s="5" t="s">
        <v>251</v>
      </c>
      <c r="DH32" s="5">
        <f t="shared" si="5"/>
        <v>1</v>
      </c>
      <c r="DI32" s="5" t="s">
        <v>251</v>
      </c>
      <c r="DJ32" s="5">
        <f t="shared" si="6"/>
        <v>1</v>
      </c>
      <c r="DK32" s="5" t="s">
        <v>251</v>
      </c>
      <c r="DL32" s="5">
        <f t="shared" si="7"/>
        <v>1</v>
      </c>
      <c r="DM32" s="5" t="s">
        <v>251</v>
      </c>
      <c r="DN32" s="5">
        <f t="shared" si="8"/>
        <v>1</v>
      </c>
      <c r="DO32" s="5" t="s">
        <v>231</v>
      </c>
      <c r="DP32" s="5">
        <f t="shared" si="9"/>
        <v>2</v>
      </c>
      <c r="DQ32" s="5" t="s">
        <v>231</v>
      </c>
      <c r="DR32" s="5">
        <f t="shared" si="10"/>
        <v>2</v>
      </c>
      <c r="DS32" s="5" t="s">
        <v>231</v>
      </c>
      <c r="DT32" s="5">
        <f t="shared" si="11"/>
        <v>2</v>
      </c>
      <c r="DU32" s="5" t="s">
        <v>231</v>
      </c>
      <c r="DV32" s="5">
        <f t="shared" si="12"/>
        <v>2</v>
      </c>
      <c r="DW32" s="5" t="s">
        <v>231</v>
      </c>
      <c r="DX32" s="5">
        <f t="shared" si="13"/>
        <v>2</v>
      </c>
      <c r="DY32" s="5">
        <f t="shared" si="14"/>
        <v>17</v>
      </c>
      <c r="DZ32" s="5" t="str">
        <f t="shared" si="15"/>
        <v>Nivel de riesgo bajo</v>
      </c>
      <c r="EA32" s="5" t="s">
        <v>253</v>
      </c>
      <c r="EB32" s="5">
        <f t="shared" si="16"/>
        <v>0</v>
      </c>
      <c r="EC32" s="5" t="s">
        <v>253</v>
      </c>
      <c r="ED32" s="5">
        <f t="shared" si="17"/>
        <v>0</v>
      </c>
      <c r="EE32" s="5" t="s">
        <v>253</v>
      </c>
      <c r="EF32" s="5">
        <f t="shared" si="18"/>
        <v>0</v>
      </c>
      <c r="EG32" s="5">
        <f t="shared" si="19"/>
        <v>0</v>
      </c>
      <c r="EH32" s="5" t="str">
        <f t="shared" si="20"/>
        <v>Nivel de riesgo bajo</v>
      </c>
      <c r="EI32" s="5" t="s">
        <v>253</v>
      </c>
      <c r="EJ32" s="5">
        <f t="shared" si="21"/>
        <v>0</v>
      </c>
      <c r="EK32" s="5" t="s">
        <v>253</v>
      </c>
      <c r="EL32" s="5">
        <f t="shared" si="22"/>
        <v>0</v>
      </c>
      <c r="EM32" s="5" t="s">
        <v>253</v>
      </c>
      <c r="EN32" s="5">
        <f t="shared" si="23"/>
        <v>0</v>
      </c>
      <c r="EO32" s="5">
        <f t="shared" si="24"/>
        <v>0</v>
      </c>
      <c r="EP32" s="5" t="str">
        <f t="shared" si="25"/>
        <v>Nivel de riesgo bajo</v>
      </c>
      <c r="EQ32" s="5" t="s">
        <v>253</v>
      </c>
      <c r="ER32" s="5">
        <f t="shared" si="26"/>
        <v>4</v>
      </c>
      <c r="ES32" s="5" t="s">
        <v>253</v>
      </c>
      <c r="ET32" s="5">
        <f t="shared" si="27"/>
        <v>4</v>
      </c>
      <c r="EU32" s="5" t="s">
        <v>253</v>
      </c>
      <c r="EV32" s="5">
        <f t="shared" si="28"/>
        <v>4</v>
      </c>
      <c r="EW32" s="5" t="s">
        <v>253</v>
      </c>
      <c r="EX32" s="5">
        <f t="shared" si="29"/>
        <v>4</v>
      </c>
      <c r="EY32" s="5">
        <f t="shared" si="30"/>
        <v>16</v>
      </c>
      <c r="EZ32" s="5" t="str">
        <f t="shared" si="31"/>
        <v>Nivel de riesgo alto</v>
      </c>
      <c r="FA32" s="5" t="s">
        <v>253</v>
      </c>
      <c r="FB32" s="5">
        <f t="shared" si="32"/>
        <v>0</v>
      </c>
      <c r="FC32" s="5" t="s">
        <v>253</v>
      </c>
      <c r="FD32" s="5">
        <f t="shared" si="33"/>
        <v>0</v>
      </c>
      <c r="FE32" s="5" t="s">
        <v>253</v>
      </c>
      <c r="FF32" s="5">
        <f t="shared" si="34"/>
        <v>0</v>
      </c>
      <c r="FG32" s="5">
        <f t="shared" si="35"/>
        <v>0</v>
      </c>
      <c r="FH32" s="5" t="str">
        <f t="shared" si="36"/>
        <v>Nivel de riesgo bajo</v>
      </c>
      <c r="FI32" s="5" t="s">
        <v>253</v>
      </c>
      <c r="FJ32" s="5">
        <f t="shared" si="37"/>
        <v>0</v>
      </c>
      <c r="FK32" s="5" t="s">
        <v>253</v>
      </c>
      <c r="FL32" s="5">
        <f t="shared" si="38"/>
        <v>0</v>
      </c>
      <c r="FM32" s="5" t="s">
        <v>253</v>
      </c>
      <c r="FN32" s="5">
        <f t="shared" si="39"/>
        <v>0</v>
      </c>
      <c r="FO32" s="5">
        <f t="shared" si="40"/>
        <v>0</v>
      </c>
      <c r="FP32" s="5" t="str">
        <f t="shared" si="41"/>
        <v>Nivel de riesgo bajo</v>
      </c>
      <c r="FQ32" s="5" t="s">
        <v>206</v>
      </c>
      <c r="FR32" s="5">
        <f t="shared" si="42"/>
        <v>0</v>
      </c>
      <c r="FS32" s="5" t="s">
        <v>206</v>
      </c>
      <c r="FT32" s="5">
        <f t="shared" si="43"/>
        <v>0</v>
      </c>
      <c r="FU32" s="5" t="s">
        <v>206</v>
      </c>
      <c r="FV32" s="5">
        <f t="shared" si="44"/>
        <v>0</v>
      </c>
      <c r="FW32" s="5" t="s">
        <v>206</v>
      </c>
      <c r="FX32" s="5">
        <f t="shared" si="45"/>
        <v>0</v>
      </c>
      <c r="FY32" s="5" t="s">
        <v>206</v>
      </c>
      <c r="FZ32" s="5">
        <f t="shared" si="46"/>
        <v>0</v>
      </c>
      <c r="GA32" s="5" t="s">
        <v>206</v>
      </c>
      <c r="GB32" s="5">
        <f t="shared" si="47"/>
        <v>0</v>
      </c>
      <c r="GC32" s="5" t="s">
        <v>206</v>
      </c>
      <c r="GD32" s="5">
        <f t="shared" si="48"/>
        <v>0</v>
      </c>
      <c r="GE32" s="5">
        <f t="shared" si="49"/>
        <v>0</v>
      </c>
      <c r="GF32" s="5" t="str">
        <f t="shared" si="50"/>
        <v>Nivel de riesgo bajo</v>
      </c>
      <c r="GG32" s="5" t="s">
        <v>255</v>
      </c>
      <c r="GH32" s="5" t="s">
        <v>255</v>
      </c>
      <c r="GI32" s="5" t="s">
        <v>255</v>
      </c>
      <c r="GJ32" s="5" t="s">
        <v>255</v>
      </c>
      <c r="GK32" s="5" t="s">
        <v>233</v>
      </c>
      <c r="GL32" s="5" t="s">
        <v>233</v>
      </c>
      <c r="GM32" s="5" t="s">
        <v>255</v>
      </c>
      <c r="GN32" s="5" t="s">
        <v>256</v>
      </c>
      <c r="GO32" s="5" t="s">
        <v>256</v>
      </c>
      <c r="GP32" s="5" t="s">
        <v>256</v>
      </c>
      <c r="GQ32" s="5" t="s">
        <v>256</v>
      </c>
      <c r="GR32" s="5" t="s">
        <v>256</v>
      </c>
      <c r="GS32" s="5" t="s">
        <v>256</v>
      </c>
      <c r="GT32" s="5" t="s">
        <v>256</v>
      </c>
      <c r="GU32" s="5" t="s">
        <v>341</v>
      </c>
      <c r="GV32" s="5" t="str">
        <f>TEXT("6271300971711868556","0")</f>
        <v>6271300971711860000</v>
      </c>
    </row>
    <row r="33" spans="1:204" ht="15.75" customHeight="1" x14ac:dyDescent="0.15">
      <c r="A33" s="1">
        <f t="shared" si="0"/>
        <v>33</v>
      </c>
      <c r="B33" s="4">
        <v>45838.755277777775</v>
      </c>
      <c r="C33" s="5" t="s">
        <v>204</v>
      </c>
      <c r="D33" s="5" t="s">
        <v>206</v>
      </c>
      <c r="F33" s="5" t="s">
        <v>206</v>
      </c>
      <c r="G33" s="5" t="s">
        <v>206</v>
      </c>
      <c r="H33" s="5" t="s">
        <v>206</v>
      </c>
      <c r="K33" s="5" t="s">
        <v>237</v>
      </c>
      <c r="O33" s="5" t="s">
        <v>209</v>
      </c>
      <c r="T33" s="5" t="s">
        <v>209</v>
      </c>
      <c r="Z33" s="5" t="s">
        <v>237</v>
      </c>
      <c r="AD33" s="5" t="s">
        <v>209</v>
      </c>
      <c r="AH33" s="5" t="s">
        <v>342</v>
      </c>
      <c r="AI33" s="5">
        <v>2020</v>
      </c>
      <c r="AJ33" s="5" t="s">
        <v>238</v>
      </c>
      <c r="AK33" s="5" t="str">
        <f t="shared" si="1"/>
        <v>Trabajadora por cuenta propia</v>
      </c>
      <c r="AL33" s="5" t="s">
        <v>239</v>
      </c>
      <c r="AP33" s="5" t="s">
        <v>297</v>
      </c>
      <c r="AR33" s="5" t="s">
        <v>301</v>
      </c>
      <c r="AS33" s="5" t="s">
        <v>301</v>
      </c>
      <c r="AT33" s="5" t="s">
        <v>301</v>
      </c>
      <c r="AU33" s="5" t="s">
        <v>301</v>
      </c>
      <c r="AV33" s="5" t="s">
        <v>213</v>
      </c>
      <c r="AW33" s="5" t="s">
        <v>206</v>
      </c>
      <c r="BF33" s="5" t="s">
        <v>204</v>
      </c>
      <c r="BG33" s="5" t="s">
        <v>278</v>
      </c>
      <c r="BH33" s="5" t="s">
        <v>215</v>
      </c>
      <c r="BI33" s="5" t="s">
        <v>278</v>
      </c>
      <c r="BJ33" s="5" t="s">
        <v>242</v>
      </c>
      <c r="BK33" s="5" t="s">
        <v>245</v>
      </c>
      <c r="BL33" s="5" t="s">
        <v>246</v>
      </c>
      <c r="BM33" s="5" t="s">
        <v>246</v>
      </c>
      <c r="BN33" s="5" t="s">
        <v>244</v>
      </c>
      <c r="BO33" s="5" t="s">
        <v>244</v>
      </c>
      <c r="BP33" s="5" t="s">
        <v>246</v>
      </c>
      <c r="BQ33" s="5" t="s">
        <v>243</v>
      </c>
      <c r="BR33" s="5" t="s">
        <v>243</v>
      </c>
      <c r="BS33" s="5" t="s">
        <v>247</v>
      </c>
      <c r="BT33" s="5" t="s">
        <v>217</v>
      </c>
      <c r="BU33" s="5" t="s">
        <v>217</v>
      </c>
      <c r="BV33" s="5" t="s">
        <v>217</v>
      </c>
      <c r="BW33" s="5" t="s">
        <v>217</v>
      </c>
      <c r="BX33" s="5" t="s">
        <v>217</v>
      </c>
      <c r="BY33" s="5" t="s">
        <v>217</v>
      </c>
      <c r="CD33" s="5" t="s">
        <v>206</v>
      </c>
      <c r="CH33" s="5" t="s">
        <v>206</v>
      </c>
      <c r="CI33" s="5" t="s">
        <v>307</v>
      </c>
      <c r="CJ33" s="5">
        <v>2</v>
      </c>
      <c r="CK33" s="5" t="s">
        <v>223</v>
      </c>
      <c r="CU33" s="5" t="s">
        <v>206</v>
      </c>
      <c r="DA33" s="5" t="s">
        <v>231</v>
      </c>
      <c r="DB33" s="5">
        <f t="shared" si="2"/>
        <v>2</v>
      </c>
      <c r="DC33" s="5" t="s">
        <v>250</v>
      </c>
      <c r="DD33" s="5">
        <f t="shared" si="3"/>
        <v>3</v>
      </c>
      <c r="DE33" s="5" t="s">
        <v>280</v>
      </c>
      <c r="DF33" s="5">
        <f t="shared" si="4"/>
        <v>4</v>
      </c>
      <c r="DG33" s="5" t="s">
        <v>250</v>
      </c>
      <c r="DH33" s="5">
        <f t="shared" si="5"/>
        <v>3</v>
      </c>
      <c r="DI33" s="5" t="s">
        <v>280</v>
      </c>
      <c r="DJ33" s="5">
        <f t="shared" si="6"/>
        <v>4</v>
      </c>
      <c r="DK33" s="5" t="s">
        <v>230</v>
      </c>
      <c r="DL33" s="5">
        <f t="shared" si="7"/>
        <v>2</v>
      </c>
      <c r="DM33" s="5" t="s">
        <v>250</v>
      </c>
      <c r="DN33" s="5">
        <f t="shared" si="8"/>
        <v>3</v>
      </c>
      <c r="DO33" s="5" t="s">
        <v>231</v>
      </c>
      <c r="DP33" s="5">
        <f t="shared" si="9"/>
        <v>2</v>
      </c>
      <c r="DQ33" s="5" t="s">
        <v>252</v>
      </c>
      <c r="DR33" s="5">
        <f t="shared" si="10"/>
        <v>3</v>
      </c>
      <c r="DS33" s="5" t="s">
        <v>229</v>
      </c>
      <c r="DT33" s="5">
        <f t="shared" si="11"/>
        <v>4</v>
      </c>
      <c r="DU33" s="5" t="s">
        <v>229</v>
      </c>
      <c r="DV33" s="5">
        <f t="shared" si="12"/>
        <v>4</v>
      </c>
      <c r="DW33" s="5" t="s">
        <v>252</v>
      </c>
      <c r="DX33" s="5">
        <f t="shared" si="13"/>
        <v>3</v>
      </c>
      <c r="DY33" s="5">
        <f t="shared" si="14"/>
        <v>37</v>
      </c>
      <c r="DZ33" s="5" t="str">
        <f t="shared" si="15"/>
        <v>Nivel de riesgo alto</v>
      </c>
      <c r="EA33" s="5" t="s">
        <v>254</v>
      </c>
      <c r="EB33" s="5">
        <f t="shared" si="16"/>
        <v>4</v>
      </c>
      <c r="EC33" s="5" t="s">
        <v>232</v>
      </c>
      <c r="ED33" s="5">
        <f t="shared" si="17"/>
        <v>3</v>
      </c>
      <c r="EE33" s="5" t="s">
        <v>248</v>
      </c>
      <c r="EF33" s="5">
        <f t="shared" si="18"/>
        <v>1</v>
      </c>
      <c r="EG33" s="5">
        <f t="shared" si="19"/>
        <v>8</v>
      </c>
      <c r="EH33" s="5" t="str">
        <f t="shared" si="20"/>
        <v>Nivel de riesgo alto</v>
      </c>
      <c r="EI33" s="5" t="s">
        <v>248</v>
      </c>
      <c r="EJ33" s="5">
        <f t="shared" si="21"/>
        <v>1</v>
      </c>
      <c r="EK33" s="5" t="s">
        <v>248</v>
      </c>
      <c r="EL33" s="5">
        <f t="shared" si="22"/>
        <v>1</v>
      </c>
      <c r="EM33" s="5" t="s">
        <v>253</v>
      </c>
      <c r="EN33" s="5">
        <f t="shared" si="23"/>
        <v>0</v>
      </c>
      <c r="EO33" s="5">
        <f t="shared" si="24"/>
        <v>2</v>
      </c>
      <c r="EP33" s="5" t="str">
        <f t="shared" si="25"/>
        <v>Nivel de riesgo medio</v>
      </c>
      <c r="EQ33" s="5" t="s">
        <v>253</v>
      </c>
      <c r="ER33" s="5">
        <f t="shared" si="26"/>
        <v>4</v>
      </c>
      <c r="ES33" s="5" t="s">
        <v>253</v>
      </c>
      <c r="ET33" s="5">
        <f t="shared" si="27"/>
        <v>4</v>
      </c>
      <c r="EU33" s="5" t="s">
        <v>254</v>
      </c>
      <c r="EV33" s="5">
        <f t="shared" si="28"/>
        <v>0</v>
      </c>
      <c r="EW33" s="5" t="s">
        <v>254</v>
      </c>
      <c r="EX33" s="5">
        <f t="shared" si="29"/>
        <v>0</v>
      </c>
      <c r="EY33" s="5">
        <f t="shared" si="30"/>
        <v>8</v>
      </c>
      <c r="EZ33" s="5" t="str">
        <f t="shared" si="31"/>
        <v>Nivel de riesgo alto</v>
      </c>
      <c r="FA33" s="5" t="s">
        <v>254</v>
      </c>
      <c r="FB33" s="5">
        <f t="shared" si="32"/>
        <v>4</v>
      </c>
      <c r="FC33" s="5" t="s">
        <v>254</v>
      </c>
      <c r="FD33" s="5">
        <f t="shared" si="33"/>
        <v>4</v>
      </c>
      <c r="FE33" s="5" t="s">
        <v>254</v>
      </c>
      <c r="FF33" s="5">
        <f t="shared" si="34"/>
        <v>4</v>
      </c>
      <c r="FG33" s="5">
        <f t="shared" si="35"/>
        <v>12</v>
      </c>
      <c r="FH33" s="5" t="str">
        <f t="shared" si="36"/>
        <v>Nivel de riesgo alto</v>
      </c>
      <c r="FI33" s="5" t="s">
        <v>254</v>
      </c>
      <c r="FJ33" s="5">
        <f t="shared" si="37"/>
        <v>4</v>
      </c>
      <c r="FK33" s="5" t="s">
        <v>254</v>
      </c>
      <c r="FL33" s="5">
        <f t="shared" si="38"/>
        <v>4</v>
      </c>
      <c r="FM33" s="5" t="s">
        <v>254</v>
      </c>
      <c r="FN33" s="5">
        <f t="shared" si="39"/>
        <v>4</v>
      </c>
      <c r="FO33" s="5">
        <f t="shared" si="40"/>
        <v>12</v>
      </c>
      <c r="FP33" s="5" t="str">
        <f t="shared" si="41"/>
        <v>Nivel de riesgo alto</v>
      </c>
      <c r="FQ33" s="5" t="s">
        <v>206</v>
      </c>
      <c r="FR33" s="5">
        <f t="shared" si="42"/>
        <v>0</v>
      </c>
      <c r="FS33" s="5" t="s">
        <v>206</v>
      </c>
      <c r="FT33" s="5">
        <f t="shared" si="43"/>
        <v>0</v>
      </c>
      <c r="FU33" s="5" t="s">
        <v>206</v>
      </c>
      <c r="FV33" s="5">
        <f t="shared" si="44"/>
        <v>0</v>
      </c>
      <c r="FW33" s="5" t="s">
        <v>206</v>
      </c>
      <c r="FX33" s="5">
        <f t="shared" si="45"/>
        <v>0</v>
      </c>
      <c r="FY33" s="5" t="s">
        <v>206</v>
      </c>
      <c r="FZ33" s="5">
        <f t="shared" si="46"/>
        <v>0</v>
      </c>
      <c r="GA33" s="5" t="s">
        <v>206</v>
      </c>
      <c r="GB33" s="5">
        <f t="shared" si="47"/>
        <v>0</v>
      </c>
      <c r="GC33" s="5" t="s">
        <v>206</v>
      </c>
      <c r="GD33" s="5">
        <f t="shared" si="48"/>
        <v>0</v>
      </c>
      <c r="GE33" s="5">
        <f t="shared" si="49"/>
        <v>0</v>
      </c>
      <c r="GF33" s="5" t="str">
        <f t="shared" si="50"/>
        <v>Nivel de riesgo bajo</v>
      </c>
      <c r="GG33" s="5" t="s">
        <v>255</v>
      </c>
      <c r="GH33" s="5" t="s">
        <v>255</v>
      </c>
      <c r="GI33" s="5" t="s">
        <v>255</v>
      </c>
      <c r="GJ33" s="5" t="s">
        <v>255</v>
      </c>
      <c r="GK33" s="5" t="s">
        <v>233</v>
      </c>
      <c r="GL33" s="5" t="s">
        <v>233</v>
      </c>
      <c r="GM33" s="5" t="s">
        <v>255</v>
      </c>
      <c r="GN33" s="5" t="s">
        <v>256</v>
      </c>
      <c r="GO33" s="5" t="s">
        <v>256</v>
      </c>
      <c r="GP33" s="5" t="s">
        <v>257</v>
      </c>
      <c r="GQ33" s="5" t="s">
        <v>256</v>
      </c>
      <c r="GR33" s="5" t="s">
        <v>256</v>
      </c>
      <c r="GS33" s="5" t="s">
        <v>256</v>
      </c>
      <c r="GT33" s="5" t="s">
        <v>256</v>
      </c>
      <c r="GU33" s="5" t="s">
        <v>343</v>
      </c>
      <c r="GV33" s="5" t="str">
        <f>TEXT("6271304562447933713","0")</f>
        <v>6271304562447930000</v>
      </c>
    </row>
    <row r="34" spans="1:204" ht="15.75" customHeight="1" x14ac:dyDescent="0.15">
      <c r="A34" s="1">
        <f t="shared" si="0"/>
        <v>34</v>
      </c>
      <c r="B34" s="4">
        <v>45838.763981481483</v>
      </c>
      <c r="C34" s="5" t="s">
        <v>204</v>
      </c>
      <c r="D34" s="5" t="s">
        <v>206</v>
      </c>
      <c r="F34" s="5" t="s">
        <v>206</v>
      </c>
      <c r="G34" s="5" t="s">
        <v>204</v>
      </c>
      <c r="H34" s="5" t="s">
        <v>206</v>
      </c>
      <c r="J34" s="5" t="s">
        <v>209</v>
      </c>
      <c r="N34" s="5" t="s">
        <v>208</v>
      </c>
      <c r="W34" s="5" t="s">
        <v>207</v>
      </c>
      <c r="AB34" s="5" t="s">
        <v>207</v>
      </c>
      <c r="AG34" s="5" t="s">
        <v>207</v>
      </c>
      <c r="AH34" s="5" t="s">
        <v>268</v>
      </c>
      <c r="AI34" s="5">
        <v>2022</v>
      </c>
      <c r="AJ34" s="5" t="s">
        <v>330</v>
      </c>
      <c r="AK34" s="5" t="str">
        <f t="shared" si="1"/>
        <v>Asalariada</v>
      </c>
      <c r="AQ34" s="5" t="s">
        <v>204</v>
      </c>
      <c r="AR34" s="5" t="s">
        <v>241</v>
      </c>
      <c r="AS34" s="5" t="s">
        <v>241</v>
      </c>
      <c r="AT34" s="5" t="s">
        <v>241</v>
      </c>
      <c r="AU34" s="5" t="s">
        <v>241</v>
      </c>
      <c r="AV34" s="5" t="s">
        <v>213</v>
      </c>
      <c r="AW34" s="5" t="s">
        <v>204</v>
      </c>
      <c r="AX34" s="5" t="s">
        <v>204</v>
      </c>
      <c r="AY34" s="5" t="s">
        <v>214</v>
      </c>
      <c r="AZ34" s="5" t="s">
        <v>206</v>
      </c>
      <c r="BA34" s="5" t="s">
        <v>344</v>
      </c>
      <c r="BF34" s="5" t="s">
        <v>204</v>
      </c>
      <c r="BG34" s="5" t="s">
        <v>207</v>
      </c>
      <c r="BH34" s="5" t="s">
        <v>215</v>
      </c>
      <c r="BI34" s="5" t="s">
        <v>207</v>
      </c>
      <c r="BJ34" s="5" t="s">
        <v>207</v>
      </c>
      <c r="BK34" s="5" t="s">
        <v>243</v>
      </c>
      <c r="BL34" s="5" t="s">
        <v>243</v>
      </c>
      <c r="BM34" s="5" t="s">
        <v>243</v>
      </c>
      <c r="BN34" s="5" t="s">
        <v>243</v>
      </c>
      <c r="BO34" s="5" t="s">
        <v>243</v>
      </c>
      <c r="BP34" s="5" t="s">
        <v>243</v>
      </c>
      <c r="BQ34" s="5" t="s">
        <v>243</v>
      </c>
      <c r="BR34" s="5" t="s">
        <v>243</v>
      </c>
      <c r="BS34" s="5" t="s">
        <v>232</v>
      </c>
      <c r="BT34" s="5" t="s">
        <v>247</v>
      </c>
      <c r="BU34" s="5" t="s">
        <v>247</v>
      </c>
      <c r="BV34" s="5" t="s">
        <v>247</v>
      </c>
      <c r="BW34" s="5" t="s">
        <v>247</v>
      </c>
      <c r="BX34" s="5" t="s">
        <v>247</v>
      </c>
      <c r="BY34" s="5" t="s">
        <v>247</v>
      </c>
      <c r="BZ34" s="5" t="s">
        <v>243</v>
      </c>
      <c r="CA34" s="5" t="s">
        <v>243</v>
      </c>
      <c r="CB34" s="5" t="s">
        <v>243</v>
      </c>
      <c r="CC34" s="5" t="s">
        <v>243</v>
      </c>
      <c r="CD34" s="5" t="s">
        <v>204</v>
      </c>
      <c r="CE34" s="5" t="s">
        <v>286</v>
      </c>
      <c r="CF34" s="5" t="s">
        <v>219</v>
      </c>
      <c r="CG34" s="5" t="s">
        <v>206</v>
      </c>
      <c r="CH34" s="5" t="s">
        <v>206</v>
      </c>
      <c r="CI34" s="5" t="s">
        <v>206</v>
      </c>
      <c r="CJ34" s="5">
        <v>1</v>
      </c>
      <c r="CK34" s="5" t="s">
        <v>223</v>
      </c>
      <c r="CU34" s="5" t="s">
        <v>206</v>
      </c>
      <c r="DA34" s="5" t="s">
        <v>272</v>
      </c>
      <c r="DB34" s="5">
        <f t="shared" si="2"/>
        <v>1</v>
      </c>
      <c r="DC34" s="5" t="s">
        <v>251</v>
      </c>
      <c r="DD34" s="5">
        <f t="shared" si="3"/>
        <v>1</v>
      </c>
      <c r="DE34" s="5" t="s">
        <v>251</v>
      </c>
      <c r="DF34" s="5">
        <f t="shared" si="4"/>
        <v>1</v>
      </c>
      <c r="DG34" s="5" t="s">
        <v>251</v>
      </c>
      <c r="DH34" s="5">
        <f t="shared" si="5"/>
        <v>1</v>
      </c>
      <c r="DI34" s="5" t="s">
        <v>251</v>
      </c>
      <c r="DJ34" s="5">
        <f t="shared" si="6"/>
        <v>1</v>
      </c>
      <c r="DK34" s="5" t="s">
        <v>251</v>
      </c>
      <c r="DL34" s="5">
        <f t="shared" si="7"/>
        <v>1</v>
      </c>
      <c r="DM34" s="5" t="s">
        <v>251</v>
      </c>
      <c r="DN34" s="5">
        <f t="shared" si="8"/>
        <v>1</v>
      </c>
      <c r="DO34" s="5" t="s">
        <v>281</v>
      </c>
      <c r="DP34" s="5">
        <f t="shared" si="9"/>
        <v>1</v>
      </c>
      <c r="DQ34" s="5" t="s">
        <v>281</v>
      </c>
      <c r="DR34" s="5">
        <f t="shared" si="10"/>
        <v>1</v>
      </c>
      <c r="DS34" s="5" t="s">
        <v>281</v>
      </c>
      <c r="DT34" s="5">
        <f t="shared" si="11"/>
        <v>1</v>
      </c>
      <c r="DU34" s="5" t="s">
        <v>281</v>
      </c>
      <c r="DV34" s="5">
        <f t="shared" si="12"/>
        <v>1</v>
      </c>
      <c r="DW34" s="5" t="s">
        <v>281</v>
      </c>
      <c r="DX34" s="5">
        <f t="shared" si="13"/>
        <v>1</v>
      </c>
      <c r="DY34" s="5">
        <f t="shared" si="14"/>
        <v>12</v>
      </c>
      <c r="DZ34" s="5" t="str">
        <f t="shared" si="15"/>
        <v>Nivel de riesgo bajo</v>
      </c>
      <c r="EA34" s="5" t="s">
        <v>253</v>
      </c>
      <c r="EB34" s="5">
        <f t="shared" si="16"/>
        <v>0</v>
      </c>
      <c r="EC34" s="5" t="s">
        <v>253</v>
      </c>
      <c r="ED34" s="5">
        <f t="shared" si="17"/>
        <v>0</v>
      </c>
      <c r="EE34" s="5" t="s">
        <v>253</v>
      </c>
      <c r="EF34" s="5">
        <f t="shared" si="18"/>
        <v>0</v>
      </c>
      <c r="EG34" s="5">
        <f t="shared" si="19"/>
        <v>0</v>
      </c>
      <c r="EH34" s="5" t="str">
        <f t="shared" si="20"/>
        <v>Nivel de riesgo bajo</v>
      </c>
      <c r="EI34" s="5" t="s">
        <v>253</v>
      </c>
      <c r="EJ34" s="5">
        <f t="shared" si="21"/>
        <v>0</v>
      </c>
      <c r="EK34" s="5" t="s">
        <v>253</v>
      </c>
      <c r="EL34" s="5">
        <f t="shared" si="22"/>
        <v>0</v>
      </c>
      <c r="EM34" s="5" t="s">
        <v>253</v>
      </c>
      <c r="EN34" s="5">
        <f t="shared" si="23"/>
        <v>0</v>
      </c>
      <c r="EO34" s="5">
        <f t="shared" si="24"/>
        <v>0</v>
      </c>
      <c r="EP34" s="5" t="str">
        <f t="shared" si="25"/>
        <v>Nivel de riesgo bajo</v>
      </c>
      <c r="EQ34" s="5" t="s">
        <v>253</v>
      </c>
      <c r="ER34" s="5">
        <f t="shared" si="26"/>
        <v>4</v>
      </c>
      <c r="ES34" s="5" t="s">
        <v>253</v>
      </c>
      <c r="ET34" s="5">
        <f t="shared" si="27"/>
        <v>4</v>
      </c>
      <c r="EU34" s="5" t="s">
        <v>253</v>
      </c>
      <c r="EV34" s="5">
        <f t="shared" si="28"/>
        <v>4</v>
      </c>
      <c r="EW34" s="5" t="s">
        <v>253</v>
      </c>
      <c r="EX34" s="5">
        <f t="shared" si="29"/>
        <v>4</v>
      </c>
      <c r="EY34" s="5">
        <f t="shared" si="30"/>
        <v>16</v>
      </c>
      <c r="EZ34" s="5" t="str">
        <f t="shared" si="31"/>
        <v>Nivel de riesgo alto</v>
      </c>
      <c r="FA34" s="5" t="s">
        <v>253</v>
      </c>
      <c r="FB34" s="5">
        <f t="shared" si="32"/>
        <v>0</v>
      </c>
      <c r="FC34" s="5" t="s">
        <v>253</v>
      </c>
      <c r="FD34" s="5">
        <f t="shared" si="33"/>
        <v>0</v>
      </c>
      <c r="FE34" s="5" t="s">
        <v>253</v>
      </c>
      <c r="FF34" s="5">
        <f t="shared" si="34"/>
        <v>0</v>
      </c>
      <c r="FG34" s="5">
        <f t="shared" si="35"/>
        <v>0</v>
      </c>
      <c r="FH34" s="5" t="str">
        <f t="shared" si="36"/>
        <v>Nivel de riesgo bajo</v>
      </c>
      <c r="FI34" s="5" t="s">
        <v>253</v>
      </c>
      <c r="FJ34" s="5">
        <f t="shared" si="37"/>
        <v>0</v>
      </c>
      <c r="FK34" s="5" t="s">
        <v>253</v>
      </c>
      <c r="FL34" s="5">
        <f t="shared" si="38"/>
        <v>0</v>
      </c>
      <c r="FM34" s="5" t="s">
        <v>253</v>
      </c>
      <c r="FN34" s="5">
        <f t="shared" si="39"/>
        <v>0</v>
      </c>
      <c r="FO34" s="5">
        <f t="shared" si="40"/>
        <v>0</v>
      </c>
      <c r="FP34" s="5" t="str">
        <f t="shared" si="41"/>
        <v>Nivel de riesgo bajo</v>
      </c>
      <c r="FQ34" s="5" t="s">
        <v>206</v>
      </c>
      <c r="FR34" s="5">
        <f t="shared" si="42"/>
        <v>0</v>
      </c>
      <c r="FS34" s="5" t="s">
        <v>206</v>
      </c>
      <c r="FT34" s="5">
        <f t="shared" si="43"/>
        <v>0</v>
      </c>
      <c r="FU34" s="5" t="s">
        <v>206</v>
      </c>
      <c r="FV34" s="5">
        <f t="shared" si="44"/>
        <v>0</v>
      </c>
      <c r="FW34" s="5" t="s">
        <v>206</v>
      </c>
      <c r="FX34" s="5">
        <f t="shared" si="45"/>
        <v>0</v>
      </c>
      <c r="FY34" s="5" t="s">
        <v>206</v>
      </c>
      <c r="FZ34" s="5">
        <f t="shared" si="46"/>
        <v>0</v>
      </c>
      <c r="GA34" s="5" t="s">
        <v>206</v>
      </c>
      <c r="GB34" s="5">
        <f t="shared" si="47"/>
        <v>0</v>
      </c>
      <c r="GC34" s="5" t="s">
        <v>206</v>
      </c>
      <c r="GD34" s="5">
        <f t="shared" si="48"/>
        <v>0</v>
      </c>
      <c r="GE34" s="5">
        <f t="shared" si="49"/>
        <v>0</v>
      </c>
      <c r="GF34" s="5" t="str">
        <f t="shared" si="50"/>
        <v>Nivel de riesgo bajo</v>
      </c>
      <c r="GG34" s="5" t="s">
        <v>255</v>
      </c>
      <c r="GH34" s="5" t="s">
        <v>255</v>
      </c>
      <c r="GI34" s="5" t="s">
        <v>255</v>
      </c>
      <c r="GJ34" s="5" t="s">
        <v>255</v>
      </c>
      <c r="GK34" s="5" t="s">
        <v>255</v>
      </c>
      <c r="GL34" s="5" t="s">
        <v>255</v>
      </c>
      <c r="GM34" s="5" t="s">
        <v>255</v>
      </c>
      <c r="GN34" s="5" t="s">
        <v>256</v>
      </c>
      <c r="GO34" s="5" t="s">
        <v>256</v>
      </c>
      <c r="GP34" s="5" t="s">
        <v>256</v>
      </c>
      <c r="GQ34" s="5" t="s">
        <v>256</v>
      </c>
      <c r="GR34" s="5" t="s">
        <v>256</v>
      </c>
      <c r="GS34" s="5" t="s">
        <v>256</v>
      </c>
      <c r="GT34" s="5" t="s">
        <v>256</v>
      </c>
      <c r="GU34" s="5" t="s">
        <v>345</v>
      </c>
      <c r="GV34" s="5" t="str">
        <f>TEXT("6271312084015925703","0")</f>
        <v>6271312084015920000</v>
      </c>
    </row>
    <row r="35" spans="1:204" ht="15.75" customHeight="1" x14ac:dyDescent="0.15">
      <c r="A35" s="1">
        <f t="shared" si="0"/>
        <v>35</v>
      </c>
      <c r="B35" s="4">
        <v>45838.834201388891</v>
      </c>
      <c r="C35" s="5" t="s">
        <v>204</v>
      </c>
      <c r="D35" s="5" t="s">
        <v>204</v>
      </c>
      <c r="E35" s="5" t="s">
        <v>335</v>
      </c>
      <c r="F35" s="5" t="s">
        <v>204</v>
      </c>
      <c r="G35" s="5" t="s">
        <v>204</v>
      </c>
      <c r="H35" s="5" t="s">
        <v>204</v>
      </c>
      <c r="L35" s="5" t="s">
        <v>236</v>
      </c>
      <c r="R35" s="5" t="s">
        <v>207</v>
      </c>
      <c r="T35" s="5" t="s">
        <v>209</v>
      </c>
      <c r="X35" s="5" t="s">
        <v>208</v>
      </c>
      <c r="AC35" s="5" t="s">
        <v>208</v>
      </c>
      <c r="AH35" s="5" t="s">
        <v>346</v>
      </c>
      <c r="AI35" s="5">
        <v>2020</v>
      </c>
      <c r="AJ35" s="5" t="s">
        <v>238</v>
      </c>
      <c r="AK35" s="5" t="str">
        <f t="shared" si="1"/>
        <v>Trabajadora por cuenta propia</v>
      </c>
      <c r="AN35" s="5" t="s">
        <v>288</v>
      </c>
      <c r="AP35" s="5" t="s">
        <v>321</v>
      </c>
      <c r="AR35" s="5" t="s">
        <v>301</v>
      </c>
      <c r="AS35" s="5" t="s">
        <v>301</v>
      </c>
      <c r="AT35" s="5" t="s">
        <v>301</v>
      </c>
      <c r="AU35" s="5" t="s">
        <v>301</v>
      </c>
      <c r="AV35" s="5" t="s">
        <v>269</v>
      </c>
      <c r="AW35" s="5" t="s">
        <v>204</v>
      </c>
      <c r="AX35" s="5" t="s">
        <v>204</v>
      </c>
      <c r="AY35" s="5" t="s">
        <v>214</v>
      </c>
      <c r="AZ35" s="5" t="s">
        <v>204</v>
      </c>
      <c r="BA35" s="5" t="s">
        <v>344</v>
      </c>
      <c r="BF35" s="5" t="s">
        <v>204</v>
      </c>
      <c r="BG35" s="5" t="s">
        <v>278</v>
      </c>
      <c r="BH35" s="5" t="s">
        <v>278</v>
      </c>
      <c r="BI35" s="5" t="s">
        <v>278</v>
      </c>
      <c r="BJ35" s="5" t="s">
        <v>278</v>
      </c>
      <c r="BK35" s="5" t="s">
        <v>246</v>
      </c>
      <c r="BL35" s="5" t="s">
        <v>246</v>
      </c>
      <c r="BM35" s="5" t="s">
        <v>243</v>
      </c>
      <c r="BN35" s="5" t="s">
        <v>246</v>
      </c>
      <c r="BO35" s="5" t="s">
        <v>246</v>
      </c>
      <c r="BP35" s="5" t="s">
        <v>246</v>
      </c>
      <c r="BQ35" s="5" t="s">
        <v>243</v>
      </c>
      <c r="BR35" s="5" t="s">
        <v>243</v>
      </c>
      <c r="BS35" s="5" t="s">
        <v>247</v>
      </c>
      <c r="BT35" s="5" t="s">
        <v>247</v>
      </c>
      <c r="BU35" s="5" t="s">
        <v>247</v>
      </c>
      <c r="BV35" s="5" t="s">
        <v>247</v>
      </c>
      <c r="BW35" s="5" t="s">
        <v>248</v>
      </c>
      <c r="BX35" s="5" t="s">
        <v>248</v>
      </c>
      <c r="BY35" s="5" t="s">
        <v>248</v>
      </c>
      <c r="BZ35" s="5" t="s">
        <v>244</v>
      </c>
      <c r="CA35" s="5" t="s">
        <v>244</v>
      </c>
      <c r="CB35" s="5" t="s">
        <v>216</v>
      </c>
      <c r="CC35" s="5" t="s">
        <v>246</v>
      </c>
      <c r="CD35" s="5" t="s">
        <v>204</v>
      </c>
      <c r="CE35" s="5" t="s">
        <v>286</v>
      </c>
      <c r="CF35" s="5" t="s">
        <v>219</v>
      </c>
      <c r="CG35" s="5" t="s">
        <v>206</v>
      </c>
      <c r="CH35" s="5" t="s">
        <v>206</v>
      </c>
      <c r="CI35" s="5" t="s">
        <v>347</v>
      </c>
      <c r="CJ35" s="5">
        <v>3</v>
      </c>
      <c r="CK35" s="5" t="s">
        <v>223</v>
      </c>
      <c r="CU35" s="5" t="s">
        <v>206</v>
      </c>
      <c r="DA35" s="5" t="s">
        <v>252</v>
      </c>
      <c r="DB35" s="5">
        <f t="shared" si="2"/>
        <v>3</v>
      </c>
      <c r="DC35" s="5" t="s">
        <v>230</v>
      </c>
      <c r="DD35" s="5">
        <f t="shared" si="3"/>
        <v>2</v>
      </c>
      <c r="DE35" s="5" t="s">
        <v>250</v>
      </c>
      <c r="DF35" s="5">
        <f t="shared" si="4"/>
        <v>3</v>
      </c>
      <c r="DG35" s="5" t="s">
        <v>230</v>
      </c>
      <c r="DH35" s="5">
        <f t="shared" si="5"/>
        <v>2</v>
      </c>
      <c r="DI35" s="5" t="s">
        <v>250</v>
      </c>
      <c r="DJ35" s="5">
        <f t="shared" si="6"/>
        <v>3</v>
      </c>
      <c r="DK35" s="5" t="s">
        <v>250</v>
      </c>
      <c r="DL35" s="5">
        <f t="shared" si="7"/>
        <v>3</v>
      </c>
      <c r="DM35" s="5" t="s">
        <v>280</v>
      </c>
      <c r="DN35" s="5">
        <f t="shared" si="8"/>
        <v>4</v>
      </c>
      <c r="DO35" s="5" t="s">
        <v>252</v>
      </c>
      <c r="DP35" s="5">
        <f t="shared" si="9"/>
        <v>3</v>
      </c>
      <c r="DQ35" s="5" t="s">
        <v>231</v>
      </c>
      <c r="DR35" s="5">
        <f t="shared" si="10"/>
        <v>2</v>
      </c>
      <c r="DS35" s="5" t="s">
        <v>252</v>
      </c>
      <c r="DT35" s="5">
        <f t="shared" si="11"/>
        <v>3</v>
      </c>
      <c r="DU35" s="5" t="s">
        <v>252</v>
      </c>
      <c r="DV35" s="5">
        <f t="shared" si="12"/>
        <v>3</v>
      </c>
      <c r="DW35" s="5" t="s">
        <v>231</v>
      </c>
      <c r="DX35" s="5">
        <f t="shared" si="13"/>
        <v>2</v>
      </c>
      <c r="DY35" s="5">
        <f t="shared" si="14"/>
        <v>33</v>
      </c>
      <c r="DZ35" s="5" t="str">
        <f t="shared" si="15"/>
        <v>Nivel de riesgo alto</v>
      </c>
      <c r="EA35" s="5" t="s">
        <v>247</v>
      </c>
      <c r="EB35" s="5">
        <f t="shared" si="16"/>
        <v>2</v>
      </c>
      <c r="EC35" s="5" t="s">
        <v>232</v>
      </c>
      <c r="ED35" s="5">
        <f t="shared" si="17"/>
        <v>3</v>
      </c>
      <c r="EE35" s="5" t="s">
        <v>254</v>
      </c>
      <c r="EF35" s="5">
        <f t="shared" si="18"/>
        <v>4</v>
      </c>
      <c r="EG35" s="5">
        <f t="shared" si="19"/>
        <v>9</v>
      </c>
      <c r="EH35" s="5" t="str">
        <f t="shared" si="20"/>
        <v>Nivel de riesgo alto</v>
      </c>
      <c r="EI35" s="5" t="s">
        <v>247</v>
      </c>
      <c r="EJ35" s="5">
        <f t="shared" si="21"/>
        <v>2</v>
      </c>
      <c r="EK35" s="5" t="s">
        <v>253</v>
      </c>
      <c r="EL35" s="5">
        <f t="shared" si="22"/>
        <v>0</v>
      </c>
      <c r="EM35" s="5" t="s">
        <v>232</v>
      </c>
      <c r="EN35" s="5">
        <f t="shared" si="23"/>
        <v>3</v>
      </c>
      <c r="EO35" s="5">
        <f t="shared" si="24"/>
        <v>5</v>
      </c>
      <c r="EP35" s="5" t="str">
        <f t="shared" si="25"/>
        <v>Nivel de riesgo medio</v>
      </c>
      <c r="EQ35" s="5" t="s">
        <v>232</v>
      </c>
      <c r="ER35" s="5">
        <f t="shared" si="26"/>
        <v>1</v>
      </c>
      <c r="ES35" s="5" t="s">
        <v>247</v>
      </c>
      <c r="ET35" s="5">
        <f t="shared" si="27"/>
        <v>2</v>
      </c>
      <c r="EU35" s="5" t="s">
        <v>247</v>
      </c>
      <c r="EV35" s="5">
        <f t="shared" si="28"/>
        <v>2</v>
      </c>
      <c r="EW35" s="5" t="s">
        <v>247</v>
      </c>
      <c r="EX35" s="5">
        <f t="shared" si="29"/>
        <v>2</v>
      </c>
      <c r="EY35" s="5">
        <f t="shared" si="30"/>
        <v>7</v>
      </c>
      <c r="EZ35" s="5" t="str">
        <f t="shared" si="31"/>
        <v>Nivel de riesgo alto</v>
      </c>
      <c r="FA35" s="5" t="s">
        <v>247</v>
      </c>
      <c r="FB35" s="5">
        <f t="shared" si="32"/>
        <v>2</v>
      </c>
      <c r="FC35" s="5" t="s">
        <v>247</v>
      </c>
      <c r="FD35" s="5">
        <f t="shared" si="33"/>
        <v>2</v>
      </c>
      <c r="FE35" s="5" t="s">
        <v>247</v>
      </c>
      <c r="FF35" s="5">
        <f t="shared" si="34"/>
        <v>2</v>
      </c>
      <c r="FG35" s="5">
        <f t="shared" si="35"/>
        <v>6</v>
      </c>
      <c r="FH35" s="5" t="str">
        <f t="shared" si="36"/>
        <v>Nivel de riesgo alto</v>
      </c>
      <c r="FI35" s="5" t="s">
        <v>247</v>
      </c>
      <c r="FJ35" s="5">
        <f t="shared" si="37"/>
        <v>2</v>
      </c>
      <c r="FK35" s="5" t="s">
        <v>247</v>
      </c>
      <c r="FL35" s="5">
        <f t="shared" si="38"/>
        <v>2</v>
      </c>
      <c r="FM35" s="5" t="s">
        <v>247</v>
      </c>
      <c r="FN35" s="5">
        <f t="shared" si="39"/>
        <v>2</v>
      </c>
      <c r="FO35" s="5">
        <f t="shared" si="40"/>
        <v>6</v>
      </c>
      <c r="FP35" s="5" t="str">
        <f t="shared" si="41"/>
        <v>Nivel de riesgo alto</v>
      </c>
      <c r="FQ35" s="5" t="s">
        <v>206</v>
      </c>
      <c r="FR35" s="5">
        <f t="shared" si="42"/>
        <v>0</v>
      </c>
      <c r="FS35" s="5" t="s">
        <v>206</v>
      </c>
      <c r="FT35" s="5">
        <f t="shared" si="43"/>
        <v>0</v>
      </c>
      <c r="FU35" s="5" t="s">
        <v>206</v>
      </c>
      <c r="FV35" s="5">
        <f t="shared" si="44"/>
        <v>0</v>
      </c>
      <c r="FW35" s="5" t="s">
        <v>206</v>
      </c>
      <c r="FX35" s="5">
        <f t="shared" si="45"/>
        <v>0</v>
      </c>
      <c r="FY35" s="5" t="s">
        <v>206</v>
      </c>
      <c r="FZ35" s="5">
        <f t="shared" si="46"/>
        <v>0</v>
      </c>
      <c r="GA35" s="5" t="s">
        <v>206</v>
      </c>
      <c r="GB35" s="5">
        <f t="shared" si="47"/>
        <v>0</v>
      </c>
      <c r="GC35" s="5" t="s">
        <v>206</v>
      </c>
      <c r="GD35" s="5">
        <f t="shared" si="48"/>
        <v>0</v>
      </c>
      <c r="GE35" s="5">
        <f t="shared" si="49"/>
        <v>0</v>
      </c>
      <c r="GF35" s="5" t="str">
        <f t="shared" si="50"/>
        <v>Nivel de riesgo bajo</v>
      </c>
      <c r="GG35" s="5" t="s">
        <v>255</v>
      </c>
      <c r="GH35" s="5" t="s">
        <v>233</v>
      </c>
      <c r="GI35" s="5" t="s">
        <v>255</v>
      </c>
      <c r="GJ35" s="5" t="s">
        <v>233</v>
      </c>
      <c r="GK35" s="5" t="s">
        <v>233</v>
      </c>
      <c r="GL35" s="5" t="s">
        <v>266</v>
      </c>
      <c r="GM35" s="5" t="s">
        <v>266</v>
      </c>
      <c r="GN35" s="5" t="s">
        <v>243</v>
      </c>
      <c r="GO35" s="5" t="s">
        <v>257</v>
      </c>
      <c r="GP35" s="5" t="s">
        <v>257</v>
      </c>
      <c r="GQ35" s="5" t="s">
        <v>257</v>
      </c>
      <c r="GR35" s="5" t="s">
        <v>257</v>
      </c>
      <c r="GS35" s="5" t="s">
        <v>234</v>
      </c>
      <c r="GT35" s="5" t="s">
        <v>243</v>
      </c>
      <c r="GU35" s="5" t="s">
        <v>303</v>
      </c>
      <c r="GV35" s="5" t="str">
        <f>TEXT("6271372754312286979","0")</f>
        <v>6271372754312280000</v>
      </c>
    </row>
    <row r="36" spans="1:204" ht="15.75" customHeight="1" x14ac:dyDescent="0.15">
      <c r="A36" s="1">
        <f t="shared" si="0"/>
        <v>36</v>
      </c>
      <c r="B36" s="4">
        <v>45838.853888888887</v>
      </c>
      <c r="C36" s="5" t="s">
        <v>204</v>
      </c>
      <c r="D36" s="5" t="s">
        <v>206</v>
      </c>
      <c r="F36" s="5" t="s">
        <v>206</v>
      </c>
      <c r="G36" s="5" t="s">
        <v>206</v>
      </c>
      <c r="H36" s="5" t="s">
        <v>206</v>
      </c>
      <c r="K36" s="5" t="s">
        <v>237</v>
      </c>
      <c r="O36" s="5" t="s">
        <v>209</v>
      </c>
      <c r="S36" s="5" t="s">
        <v>208</v>
      </c>
      <c r="X36" s="5" t="s">
        <v>208</v>
      </c>
      <c r="AC36" s="5" t="s">
        <v>208</v>
      </c>
      <c r="AH36" s="5" t="s">
        <v>275</v>
      </c>
      <c r="AI36" s="5">
        <v>2017</v>
      </c>
      <c r="AJ36" s="5" t="s">
        <v>238</v>
      </c>
      <c r="AK36" s="5" t="str">
        <f t="shared" si="1"/>
        <v>Trabajadora por cuenta propia</v>
      </c>
      <c r="AM36" s="5" t="s">
        <v>309</v>
      </c>
      <c r="AP36" s="5" t="s">
        <v>284</v>
      </c>
      <c r="AR36" s="5" t="s">
        <v>276</v>
      </c>
      <c r="AS36" s="5" t="s">
        <v>276</v>
      </c>
      <c r="AT36" s="5" t="s">
        <v>276</v>
      </c>
      <c r="AU36" s="5" t="s">
        <v>276</v>
      </c>
      <c r="AV36" s="5" t="s">
        <v>285</v>
      </c>
      <c r="AW36" s="5" t="s">
        <v>204</v>
      </c>
      <c r="AX36" s="5" t="s">
        <v>204</v>
      </c>
      <c r="AY36" s="5" t="s">
        <v>270</v>
      </c>
      <c r="AZ36" s="5" t="s">
        <v>204</v>
      </c>
      <c r="BA36" s="5" t="s">
        <v>348</v>
      </c>
      <c r="BF36" s="5" t="s">
        <v>204</v>
      </c>
      <c r="BG36" s="5" t="s">
        <v>278</v>
      </c>
      <c r="BH36" s="5" t="s">
        <v>215</v>
      </c>
      <c r="BI36" s="5" t="s">
        <v>242</v>
      </c>
      <c r="BJ36" s="5" t="s">
        <v>215</v>
      </c>
      <c r="BK36" s="5" t="s">
        <v>244</v>
      </c>
      <c r="BL36" s="5" t="s">
        <v>244</v>
      </c>
      <c r="BM36" s="5" t="s">
        <v>244</v>
      </c>
      <c r="BN36" s="5" t="s">
        <v>244</v>
      </c>
      <c r="BO36" s="5" t="s">
        <v>244</v>
      </c>
      <c r="BP36" s="5" t="s">
        <v>244</v>
      </c>
      <c r="BQ36" s="5" t="s">
        <v>244</v>
      </c>
      <c r="BR36" s="5" t="s">
        <v>244</v>
      </c>
      <c r="BS36" s="5" t="s">
        <v>232</v>
      </c>
      <c r="BT36" s="5" t="s">
        <v>247</v>
      </c>
      <c r="BU36" s="5" t="s">
        <v>248</v>
      </c>
      <c r="BV36" s="5" t="s">
        <v>247</v>
      </c>
      <c r="BW36" s="5" t="s">
        <v>248</v>
      </c>
      <c r="BX36" s="5" t="s">
        <v>248</v>
      </c>
      <c r="BY36" s="5" t="s">
        <v>248</v>
      </c>
      <c r="BZ36" s="5" t="s">
        <v>216</v>
      </c>
      <c r="CA36" s="5" t="s">
        <v>244</v>
      </c>
      <c r="CB36" s="5" t="s">
        <v>244</v>
      </c>
      <c r="CC36" s="5" t="s">
        <v>244</v>
      </c>
      <c r="CD36" s="5" t="s">
        <v>206</v>
      </c>
      <c r="CH36" s="5" t="s">
        <v>206</v>
      </c>
      <c r="CI36" s="5" t="s">
        <v>307</v>
      </c>
      <c r="CJ36" s="5">
        <v>3</v>
      </c>
      <c r="CQ36" s="5" t="s">
        <v>349</v>
      </c>
      <c r="CU36" s="5" t="s">
        <v>204</v>
      </c>
      <c r="CV36" s="5" t="s">
        <v>350</v>
      </c>
      <c r="CW36" s="5" t="s">
        <v>351</v>
      </c>
      <c r="CX36" s="5" t="s">
        <v>352</v>
      </c>
      <c r="CY36" s="5" t="s">
        <v>353</v>
      </c>
      <c r="CZ36" s="5" t="s">
        <v>228</v>
      </c>
      <c r="DA36" s="5" t="s">
        <v>231</v>
      </c>
      <c r="DB36" s="5">
        <f t="shared" si="2"/>
        <v>2</v>
      </c>
      <c r="DC36" s="5" t="s">
        <v>230</v>
      </c>
      <c r="DD36" s="5">
        <f t="shared" si="3"/>
        <v>2</v>
      </c>
      <c r="DE36" s="5" t="s">
        <v>230</v>
      </c>
      <c r="DF36" s="5">
        <f t="shared" si="4"/>
        <v>2</v>
      </c>
      <c r="DG36" s="5" t="s">
        <v>251</v>
      </c>
      <c r="DH36" s="5">
        <f t="shared" si="5"/>
        <v>1</v>
      </c>
      <c r="DI36" s="5" t="s">
        <v>230</v>
      </c>
      <c r="DJ36" s="5">
        <f t="shared" si="6"/>
        <v>2</v>
      </c>
      <c r="DK36" s="5" t="s">
        <v>251</v>
      </c>
      <c r="DL36" s="5">
        <f t="shared" si="7"/>
        <v>1</v>
      </c>
      <c r="DM36" s="5" t="s">
        <v>251</v>
      </c>
      <c r="DN36" s="5">
        <f t="shared" si="8"/>
        <v>1</v>
      </c>
      <c r="DO36" s="5" t="s">
        <v>281</v>
      </c>
      <c r="DP36" s="5">
        <f t="shared" si="9"/>
        <v>1</v>
      </c>
      <c r="DQ36" s="5" t="s">
        <v>281</v>
      </c>
      <c r="DR36" s="5">
        <f t="shared" si="10"/>
        <v>1</v>
      </c>
      <c r="DS36" s="5" t="s">
        <v>231</v>
      </c>
      <c r="DT36" s="5">
        <f t="shared" si="11"/>
        <v>2</v>
      </c>
      <c r="DU36" s="5" t="s">
        <v>281</v>
      </c>
      <c r="DV36" s="5">
        <f t="shared" si="12"/>
        <v>1</v>
      </c>
      <c r="DW36" s="5" t="s">
        <v>231</v>
      </c>
      <c r="DX36" s="5">
        <f t="shared" si="13"/>
        <v>2</v>
      </c>
      <c r="DY36" s="5">
        <f t="shared" si="14"/>
        <v>18</v>
      </c>
      <c r="DZ36" s="5" t="str">
        <f t="shared" si="15"/>
        <v>Nivel de riesgo bajo</v>
      </c>
      <c r="EA36" s="5" t="s">
        <v>247</v>
      </c>
      <c r="EB36" s="5">
        <f t="shared" si="16"/>
        <v>2</v>
      </c>
      <c r="EC36" s="5" t="s">
        <v>247</v>
      </c>
      <c r="ED36" s="5">
        <f t="shared" si="17"/>
        <v>2</v>
      </c>
      <c r="EE36" s="5" t="s">
        <v>248</v>
      </c>
      <c r="EF36" s="5">
        <f t="shared" si="18"/>
        <v>1</v>
      </c>
      <c r="EG36" s="5">
        <f t="shared" si="19"/>
        <v>5</v>
      </c>
      <c r="EH36" s="5" t="str">
        <f t="shared" si="20"/>
        <v>Nivel de riesgo alto</v>
      </c>
      <c r="EI36" s="5" t="s">
        <v>248</v>
      </c>
      <c r="EJ36" s="5">
        <f t="shared" si="21"/>
        <v>1</v>
      </c>
      <c r="EK36" s="5" t="s">
        <v>247</v>
      </c>
      <c r="EL36" s="5">
        <f t="shared" si="22"/>
        <v>2</v>
      </c>
      <c r="EM36" s="5" t="s">
        <v>253</v>
      </c>
      <c r="EN36" s="5">
        <f t="shared" si="23"/>
        <v>0</v>
      </c>
      <c r="EO36" s="5">
        <f t="shared" si="24"/>
        <v>3</v>
      </c>
      <c r="EP36" s="5" t="str">
        <f t="shared" si="25"/>
        <v>Nivel de riesgo medio</v>
      </c>
      <c r="EQ36" s="5" t="s">
        <v>253</v>
      </c>
      <c r="ER36" s="5">
        <f t="shared" si="26"/>
        <v>4</v>
      </c>
      <c r="ES36" s="5" t="s">
        <v>253</v>
      </c>
      <c r="ET36" s="5">
        <f t="shared" si="27"/>
        <v>4</v>
      </c>
      <c r="EU36" s="5" t="s">
        <v>253</v>
      </c>
      <c r="EV36" s="5">
        <f t="shared" si="28"/>
        <v>4</v>
      </c>
      <c r="EW36" s="5" t="s">
        <v>253</v>
      </c>
      <c r="EX36" s="5">
        <f t="shared" si="29"/>
        <v>4</v>
      </c>
      <c r="EY36" s="5">
        <f t="shared" si="30"/>
        <v>16</v>
      </c>
      <c r="EZ36" s="5" t="str">
        <f t="shared" si="31"/>
        <v>Nivel de riesgo alto</v>
      </c>
      <c r="FA36" s="5" t="s">
        <v>253</v>
      </c>
      <c r="FB36" s="5">
        <f t="shared" si="32"/>
        <v>0</v>
      </c>
      <c r="FC36" s="5" t="s">
        <v>253</v>
      </c>
      <c r="FD36" s="5">
        <f t="shared" si="33"/>
        <v>0</v>
      </c>
      <c r="FE36" s="5" t="s">
        <v>253</v>
      </c>
      <c r="FF36" s="5">
        <f t="shared" si="34"/>
        <v>0</v>
      </c>
      <c r="FG36" s="5">
        <f t="shared" si="35"/>
        <v>0</v>
      </c>
      <c r="FH36" s="5" t="str">
        <f t="shared" si="36"/>
        <v>Nivel de riesgo bajo</v>
      </c>
      <c r="FI36" s="5" t="s">
        <v>253</v>
      </c>
      <c r="FJ36" s="5">
        <f t="shared" si="37"/>
        <v>0</v>
      </c>
      <c r="FK36" s="5" t="s">
        <v>253</v>
      </c>
      <c r="FL36" s="5">
        <f t="shared" si="38"/>
        <v>0</v>
      </c>
      <c r="FM36" s="5" t="s">
        <v>253</v>
      </c>
      <c r="FN36" s="5">
        <f t="shared" si="39"/>
        <v>0</v>
      </c>
      <c r="FO36" s="5">
        <f t="shared" si="40"/>
        <v>0</v>
      </c>
      <c r="FP36" s="5" t="str">
        <f t="shared" si="41"/>
        <v>Nivel de riesgo bajo</v>
      </c>
      <c r="FQ36" s="5" t="s">
        <v>206</v>
      </c>
      <c r="FR36" s="5">
        <f t="shared" si="42"/>
        <v>0</v>
      </c>
      <c r="FS36" s="5" t="s">
        <v>206</v>
      </c>
      <c r="FT36" s="5">
        <f t="shared" si="43"/>
        <v>0</v>
      </c>
      <c r="FU36" s="5" t="s">
        <v>206</v>
      </c>
      <c r="FV36" s="5">
        <f t="shared" si="44"/>
        <v>0</v>
      </c>
      <c r="FW36" s="5" t="s">
        <v>206</v>
      </c>
      <c r="FX36" s="5">
        <f t="shared" si="45"/>
        <v>0</v>
      </c>
      <c r="FY36" s="5" t="s">
        <v>206</v>
      </c>
      <c r="FZ36" s="5">
        <f t="shared" si="46"/>
        <v>0</v>
      </c>
      <c r="GA36" s="5" t="s">
        <v>206</v>
      </c>
      <c r="GB36" s="5">
        <f t="shared" si="47"/>
        <v>0</v>
      </c>
      <c r="GC36" s="5" t="s">
        <v>206</v>
      </c>
      <c r="GD36" s="5">
        <f t="shared" si="48"/>
        <v>0</v>
      </c>
      <c r="GE36" s="5">
        <f t="shared" si="49"/>
        <v>0</v>
      </c>
      <c r="GF36" s="5" t="str">
        <f t="shared" si="50"/>
        <v>Nivel de riesgo bajo</v>
      </c>
      <c r="GG36" s="5" t="s">
        <v>273</v>
      </c>
      <c r="GH36" s="5" t="s">
        <v>273</v>
      </c>
      <c r="GI36" s="5" t="s">
        <v>273</v>
      </c>
      <c r="GJ36" s="5" t="s">
        <v>233</v>
      </c>
      <c r="GK36" s="5" t="s">
        <v>233</v>
      </c>
      <c r="GL36" s="5" t="s">
        <v>298</v>
      </c>
      <c r="GM36" s="5" t="s">
        <v>298</v>
      </c>
      <c r="GN36" s="5" t="s">
        <v>243</v>
      </c>
      <c r="GO36" s="5" t="s">
        <v>243</v>
      </c>
      <c r="GP36" s="5" t="s">
        <v>243</v>
      </c>
      <c r="GQ36" s="5" t="s">
        <v>243</v>
      </c>
      <c r="GR36" s="5" t="s">
        <v>243</v>
      </c>
      <c r="GS36" s="5" t="s">
        <v>243</v>
      </c>
      <c r="GT36" s="5" t="s">
        <v>243</v>
      </c>
      <c r="GU36" s="5" t="s">
        <v>354</v>
      </c>
      <c r="GV36" s="5" t="str">
        <f>TEXT("6271389766642493098","0")</f>
        <v>6271389766642490000</v>
      </c>
    </row>
    <row r="37" spans="1:204" ht="15.75" customHeight="1" x14ac:dyDescent="0.15">
      <c r="A37" s="1">
        <f t="shared" si="0"/>
        <v>37</v>
      </c>
      <c r="B37" s="4">
        <v>45839.395648148151</v>
      </c>
      <c r="C37" s="5" t="s">
        <v>204</v>
      </c>
      <c r="D37" s="5" t="s">
        <v>206</v>
      </c>
      <c r="F37" s="5" t="s">
        <v>206</v>
      </c>
      <c r="G37" s="5" t="s">
        <v>206</v>
      </c>
      <c r="H37" s="5" t="s">
        <v>206</v>
      </c>
      <c r="K37" s="5" t="s">
        <v>237</v>
      </c>
      <c r="N37" s="5" t="s">
        <v>208</v>
      </c>
      <c r="T37" s="5" t="s">
        <v>209</v>
      </c>
      <c r="Z37" s="5" t="s">
        <v>237</v>
      </c>
      <c r="AF37" s="5" t="s">
        <v>236</v>
      </c>
      <c r="AH37" s="5" t="s">
        <v>268</v>
      </c>
      <c r="AI37" s="5">
        <v>2019</v>
      </c>
      <c r="AJ37" s="5" t="s">
        <v>238</v>
      </c>
      <c r="AK37" s="5" t="str">
        <f t="shared" si="1"/>
        <v>Trabajadora por cuenta propia</v>
      </c>
      <c r="AL37" s="5" t="s">
        <v>239</v>
      </c>
      <c r="AP37" s="5" t="s">
        <v>240</v>
      </c>
      <c r="AR37" s="5" t="s">
        <v>276</v>
      </c>
      <c r="AS37" s="5" t="s">
        <v>276</v>
      </c>
      <c r="AT37" s="5" t="s">
        <v>276</v>
      </c>
      <c r="AU37" s="5" t="s">
        <v>276</v>
      </c>
      <c r="AV37" s="5" t="s">
        <v>269</v>
      </c>
      <c r="AW37" s="5" t="s">
        <v>204</v>
      </c>
      <c r="AX37" s="5" t="s">
        <v>204</v>
      </c>
      <c r="AY37" s="5" t="s">
        <v>214</v>
      </c>
      <c r="AZ37" s="5" t="s">
        <v>204</v>
      </c>
      <c r="BA37" s="5" t="s">
        <v>344</v>
      </c>
      <c r="BF37" s="5" t="s">
        <v>204</v>
      </c>
      <c r="BG37" s="5" t="s">
        <v>278</v>
      </c>
      <c r="BH37" s="5" t="s">
        <v>215</v>
      </c>
      <c r="BI37" s="5" t="s">
        <v>278</v>
      </c>
      <c r="BJ37" s="5" t="s">
        <v>215</v>
      </c>
      <c r="BK37" s="5" t="s">
        <v>244</v>
      </c>
      <c r="BL37" s="5" t="s">
        <v>216</v>
      </c>
      <c r="BM37" s="5" t="s">
        <v>216</v>
      </c>
      <c r="BN37" s="5" t="s">
        <v>245</v>
      </c>
      <c r="BO37" s="5" t="s">
        <v>216</v>
      </c>
      <c r="BP37" s="5" t="s">
        <v>216</v>
      </c>
      <c r="BQ37" s="5" t="s">
        <v>216</v>
      </c>
      <c r="BR37" s="5" t="s">
        <v>216</v>
      </c>
      <c r="BS37" s="5" t="s">
        <v>217</v>
      </c>
      <c r="BT37" s="5" t="s">
        <v>217</v>
      </c>
      <c r="BU37" s="5" t="s">
        <v>217</v>
      </c>
      <c r="BV37" s="5" t="s">
        <v>217</v>
      </c>
      <c r="BW37" s="5" t="s">
        <v>247</v>
      </c>
      <c r="BX37" s="5" t="s">
        <v>217</v>
      </c>
      <c r="BY37" s="5" t="s">
        <v>217</v>
      </c>
      <c r="BZ37" s="5" t="s">
        <v>243</v>
      </c>
      <c r="CA37" s="5" t="s">
        <v>216</v>
      </c>
      <c r="CB37" s="5" t="s">
        <v>243</v>
      </c>
      <c r="CC37" s="5" t="s">
        <v>243</v>
      </c>
      <c r="CD37" s="5" t="s">
        <v>204</v>
      </c>
      <c r="CE37" s="5" t="s">
        <v>218</v>
      </c>
      <c r="CF37" s="5" t="s">
        <v>219</v>
      </c>
      <c r="CG37" s="5" t="s">
        <v>206</v>
      </c>
      <c r="CH37" s="5" t="s">
        <v>206</v>
      </c>
      <c r="CI37" s="5" t="s">
        <v>206</v>
      </c>
      <c r="CJ37" s="5">
        <v>0</v>
      </c>
      <c r="CK37" s="5" t="s">
        <v>223</v>
      </c>
      <c r="CU37" s="5" t="s">
        <v>206</v>
      </c>
      <c r="DA37" s="5" t="s">
        <v>252</v>
      </c>
      <c r="DB37" s="5">
        <f t="shared" si="2"/>
        <v>3</v>
      </c>
      <c r="DC37" s="5" t="s">
        <v>230</v>
      </c>
      <c r="DD37" s="5">
        <f t="shared" si="3"/>
        <v>2</v>
      </c>
      <c r="DE37" s="5" t="s">
        <v>230</v>
      </c>
      <c r="DF37" s="5">
        <f t="shared" si="4"/>
        <v>2</v>
      </c>
      <c r="DG37" s="5" t="s">
        <v>251</v>
      </c>
      <c r="DH37" s="5">
        <f t="shared" si="5"/>
        <v>1</v>
      </c>
      <c r="DI37" s="5" t="s">
        <v>230</v>
      </c>
      <c r="DJ37" s="5">
        <f t="shared" si="6"/>
        <v>2</v>
      </c>
      <c r="DK37" s="5" t="s">
        <v>251</v>
      </c>
      <c r="DL37" s="5">
        <f t="shared" si="7"/>
        <v>1</v>
      </c>
      <c r="DM37" s="5" t="s">
        <v>251</v>
      </c>
      <c r="DN37" s="5">
        <f t="shared" si="8"/>
        <v>1</v>
      </c>
      <c r="DO37" s="5" t="s">
        <v>281</v>
      </c>
      <c r="DP37" s="5">
        <f t="shared" si="9"/>
        <v>1</v>
      </c>
      <c r="DQ37" s="5" t="s">
        <v>281</v>
      </c>
      <c r="DR37" s="5">
        <f t="shared" si="10"/>
        <v>1</v>
      </c>
      <c r="DS37" s="5" t="s">
        <v>281</v>
      </c>
      <c r="DT37" s="5">
        <f t="shared" si="11"/>
        <v>1</v>
      </c>
      <c r="DU37" s="5" t="s">
        <v>281</v>
      </c>
      <c r="DV37" s="5">
        <f t="shared" si="12"/>
        <v>1</v>
      </c>
      <c r="DW37" s="5" t="s">
        <v>281</v>
      </c>
      <c r="DX37" s="5">
        <f t="shared" si="13"/>
        <v>1</v>
      </c>
      <c r="DY37" s="5">
        <f t="shared" si="14"/>
        <v>17</v>
      </c>
      <c r="DZ37" s="5" t="str">
        <f t="shared" si="15"/>
        <v>Nivel de riesgo bajo</v>
      </c>
      <c r="EA37" s="5" t="s">
        <v>253</v>
      </c>
      <c r="EB37" s="5">
        <f t="shared" si="16"/>
        <v>0</v>
      </c>
      <c r="EC37" s="5" t="s">
        <v>253</v>
      </c>
      <c r="ED37" s="5">
        <f t="shared" si="17"/>
        <v>0</v>
      </c>
      <c r="EE37" s="5" t="s">
        <v>253</v>
      </c>
      <c r="EF37" s="5">
        <f t="shared" si="18"/>
        <v>0</v>
      </c>
      <c r="EG37" s="5">
        <f t="shared" si="19"/>
        <v>0</v>
      </c>
      <c r="EH37" s="5" t="str">
        <f t="shared" si="20"/>
        <v>Nivel de riesgo bajo</v>
      </c>
      <c r="EI37" s="5" t="s">
        <v>253</v>
      </c>
      <c r="EJ37" s="5">
        <f t="shared" si="21"/>
        <v>0</v>
      </c>
      <c r="EK37" s="5" t="s">
        <v>248</v>
      </c>
      <c r="EL37" s="5">
        <f t="shared" si="22"/>
        <v>1</v>
      </c>
      <c r="EM37" s="5" t="s">
        <v>253</v>
      </c>
      <c r="EN37" s="5">
        <f t="shared" si="23"/>
        <v>0</v>
      </c>
      <c r="EO37" s="5">
        <f t="shared" si="24"/>
        <v>1</v>
      </c>
      <c r="EP37" s="5" t="str">
        <f t="shared" si="25"/>
        <v>Nivel de riesgo bajo</v>
      </c>
      <c r="EQ37" s="5" t="s">
        <v>254</v>
      </c>
      <c r="ER37" s="5">
        <f t="shared" si="26"/>
        <v>0</v>
      </c>
      <c r="ES37" s="5" t="s">
        <v>254</v>
      </c>
      <c r="ET37" s="5">
        <f t="shared" si="27"/>
        <v>0</v>
      </c>
      <c r="EU37" s="5" t="s">
        <v>254</v>
      </c>
      <c r="EV37" s="5">
        <f t="shared" si="28"/>
        <v>0</v>
      </c>
      <c r="EW37" s="5" t="s">
        <v>253</v>
      </c>
      <c r="EX37" s="5">
        <f t="shared" si="29"/>
        <v>4</v>
      </c>
      <c r="EY37" s="5">
        <f t="shared" si="30"/>
        <v>4</v>
      </c>
      <c r="EZ37" s="5" t="str">
        <f t="shared" si="31"/>
        <v>Nivel de riesgo medio</v>
      </c>
      <c r="FA37" s="5" t="s">
        <v>253</v>
      </c>
      <c r="FB37" s="5">
        <f t="shared" si="32"/>
        <v>0</v>
      </c>
      <c r="FC37" s="5" t="s">
        <v>253</v>
      </c>
      <c r="FD37" s="5">
        <f t="shared" si="33"/>
        <v>0</v>
      </c>
      <c r="FE37" s="5" t="s">
        <v>253</v>
      </c>
      <c r="FF37" s="5">
        <f t="shared" si="34"/>
        <v>0</v>
      </c>
      <c r="FG37" s="5">
        <f t="shared" si="35"/>
        <v>0</v>
      </c>
      <c r="FH37" s="5" t="str">
        <f t="shared" si="36"/>
        <v>Nivel de riesgo bajo</v>
      </c>
      <c r="FI37" s="5" t="s">
        <v>253</v>
      </c>
      <c r="FJ37" s="5">
        <f t="shared" si="37"/>
        <v>0</v>
      </c>
      <c r="FK37" s="5" t="s">
        <v>253</v>
      </c>
      <c r="FL37" s="5">
        <f t="shared" si="38"/>
        <v>0</v>
      </c>
      <c r="FM37" s="5" t="s">
        <v>253</v>
      </c>
      <c r="FN37" s="5">
        <f t="shared" si="39"/>
        <v>0</v>
      </c>
      <c r="FO37" s="5">
        <f t="shared" si="40"/>
        <v>0</v>
      </c>
      <c r="FP37" s="5" t="str">
        <f t="shared" si="41"/>
        <v>Nivel de riesgo bajo</v>
      </c>
      <c r="FQ37" s="5" t="s">
        <v>206</v>
      </c>
      <c r="FR37" s="5">
        <f t="shared" si="42"/>
        <v>0</v>
      </c>
      <c r="FS37" s="5" t="s">
        <v>206</v>
      </c>
      <c r="FT37" s="5">
        <f t="shared" si="43"/>
        <v>0</v>
      </c>
      <c r="FU37" s="5" t="s">
        <v>206</v>
      </c>
      <c r="FV37" s="5">
        <f t="shared" si="44"/>
        <v>0</v>
      </c>
      <c r="FW37" s="5" t="s">
        <v>206</v>
      </c>
      <c r="FX37" s="5">
        <f t="shared" si="45"/>
        <v>0</v>
      </c>
      <c r="FY37" s="5" t="s">
        <v>206</v>
      </c>
      <c r="FZ37" s="5">
        <f t="shared" si="46"/>
        <v>0</v>
      </c>
      <c r="GA37" s="5" t="s">
        <v>206</v>
      </c>
      <c r="GB37" s="5">
        <f t="shared" si="47"/>
        <v>0</v>
      </c>
      <c r="GC37" s="5" t="s">
        <v>206</v>
      </c>
      <c r="GD37" s="5">
        <f t="shared" si="48"/>
        <v>0</v>
      </c>
      <c r="GE37" s="5">
        <f t="shared" si="49"/>
        <v>0</v>
      </c>
      <c r="GF37" s="5" t="str">
        <f t="shared" si="50"/>
        <v>Nivel de riesgo bajo</v>
      </c>
      <c r="GG37" s="5" t="s">
        <v>255</v>
      </c>
      <c r="GH37" s="5" t="s">
        <v>255</v>
      </c>
      <c r="GI37" s="5" t="s">
        <v>255</v>
      </c>
      <c r="GJ37" s="5" t="s">
        <v>255</v>
      </c>
      <c r="GK37" s="5" t="s">
        <v>233</v>
      </c>
      <c r="GL37" s="5" t="s">
        <v>233</v>
      </c>
      <c r="GM37" s="5" t="s">
        <v>255</v>
      </c>
      <c r="GN37" s="5" t="s">
        <v>243</v>
      </c>
      <c r="GO37" s="5" t="s">
        <v>257</v>
      </c>
      <c r="GP37" s="5" t="s">
        <v>257</v>
      </c>
      <c r="GQ37" s="5" t="s">
        <v>243</v>
      </c>
      <c r="GR37" s="5" t="s">
        <v>234</v>
      </c>
      <c r="GS37" s="5" t="s">
        <v>234</v>
      </c>
      <c r="GT37" s="5" t="s">
        <v>243</v>
      </c>
      <c r="GU37" s="5" t="s">
        <v>355</v>
      </c>
      <c r="GV37" s="5" t="str">
        <f>TEXT("6271857841049000753","0")</f>
        <v>6271857841049000000</v>
      </c>
    </row>
    <row r="38" spans="1:204" ht="15.75" customHeight="1" x14ac:dyDescent="0.15">
      <c r="A38" s="1">
        <f t="shared" si="0"/>
        <v>38</v>
      </c>
      <c r="B38" s="4">
        <v>45839.527569444443</v>
      </c>
      <c r="C38" s="5" t="s">
        <v>204</v>
      </c>
      <c r="D38" s="5" t="s">
        <v>206</v>
      </c>
      <c r="F38" s="5" t="s">
        <v>206</v>
      </c>
      <c r="G38" s="5" t="s">
        <v>206</v>
      </c>
      <c r="H38" s="5" t="s">
        <v>206</v>
      </c>
      <c r="K38" s="5" t="s">
        <v>237</v>
      </c>
      <c r="P38" s="5" t="s">
        <v>237</v>
      </c>
      <c r="S38" s="5" t="s">
        <v>208</v>
      </c>
      <c r="X38" s="5" t="s">
        <v>208</v>
      </c>
      <c r="AC38" s="5" t="s">
        <v>208</v>
      </c>
      <c r="AH38" s="5" t="s">
        <v>259</v>
      </c>
      <c r="AI38" s="5">
        <v>2004</v>
      </c>
      <c r="AJ38" s="5" t="s">
        <v>238</v>
      </c>
      <c r="AK38" s="5" t="str">
        <f t="shared" si="1"/>
        <v>Trabajadora por cuenta propia</v>
      </c>
      <c r="AL38" s="5" t="s">
        <v>239</v>
      </c>
      <c r="AP38" s="5" t="s">
        <v>297</v>
      </c>
      <c r="AR38" s="5" t="s">
        <v>241</v>
      </c>
      <c r="AS38" s="5" t="s">
        <v>241</v>
      </c>
      <c r="AT38" s="5" t="s">
        <v>241</v>
      </c>
      <c r="AU38" s="5" t="s">
        <v>241</v>
      </c>
      <c r="AV38" s="5" t="s">
        <v>213</v>
      </c>
      <c r="AW38" s="5" t="s">
        <v>206</v>
      </c>
      <c r="BF38" s="5" t="s">
        <v>204</v>
      </c>
      <c r="BG38" s="5" t="s">
        <v>215</v>
      </c>
      <c r="BH38" s="5" t="s">
        <v>207</v>
      </c>
      <c r="BI38" s="5" t="s">
        <v>207</v>
      </c>
      <c r="BJ38" s="5" t="s">
        <v>207</v>
      </c>
      <c r="BK38" s="5" t="s">
        <v>246</v>
      </c>
      <c r="BL38" s="5" t="s">
        <v>244</v>
      </c>
      <c r="BM38" s="5" t="s">
        <v>246</v>
      </c>
      <c r="BN38" s="5" t="s">
        <v>246</v>
      </c>
      <c r="BO38" s="5" t="s">
        <v>243</v>
      </c>
      <c r="BP38" s="5" t="s">
        <v>246</v>
      </c>
      <c r="BQ38" s="5" t="s">
        <v>243</v>
      </c>
      <c r="BR38" s="5" t="s">
        <v>243</v>
      </c>
      <c r="BS38" s="5" t="s">
        <v>254</v>
      </c>
      <c r="BT38" s="5" t="s">
        <v>254</v>
      </c>
      <c r="BU38" s="5" t="s">
        <v>232</v>
      </c>
      <c r="BV38" s="5" t="s">
        <v>232</v>
      </c>
      <c r="BW38" s="5" t="s">
        <v>247</v>
      </c>
      <c r="BX38" s="5" t="s">
        <v>247</v>
      </c>
      <c r="BY38" s="5" t="s">
        <v>232</v>
      </c>
      <c r="CD38" s="5" t="s">
        <v>206</v>
      </c>
      <c r="CH38" s="5" t="s">
        <v>310</v>
      </c>
      <c r="CI38" s="5" t="s">
        <v>307</v>
      </c>
      <c r="CJ38" s="5">
        <v>3</v>
      </c>
      <c r="CK38" s="5" t="s">
        <v>223</v>
      </c>
      <c r="CU38" s="5" t="s">
        <v>206</v>
      </c>
      <c r="DA38" s="5" t="s">
        <v>229</v>
      </c>
      <c r="DB38" s="5">
        <f t="shared" si="2"/>
        <v>4</v>
      </c>
      <c r="DC38" s="5" t="s">
        <v>250</v>
      </c>
      <c r="DD38" s="5">
        <f t="shared" si="3"/>
        <v>3</v>
      </c>
      <c r="DE38" s="5" t="s">
        <v>250</v>
      </c>
      <c r="DF38" s="5">
        <f t="shared" si="4"/>
        <v>3</v>
      </c>
      <c r="DG38" s="5" t="s">
        <v>250</v>
      </c>
      <c r="DH38" s="5">
        <f t="shared" si="5"/>
        <v>3</v>
      </c>
      <c r="DI38" s="5" t="s">
        <v>230</v>
      </c>
      <c r="DJ38" s="5">
        <f t="shared" si="6"/>
        <v>2</v>
      </c>
      <c r="DK38" s="5" t="s">
        <v>230</v>
      </c>
      <c r="DL38" s="5">
        <f t="shared" si="7"/>
        <v>2</v>
      </c>
      <c r="DM38" s="5" t="s">
        <v>230</v>
      </c>
      <c r="DN38" s="5">
        <f t="shared" si="8"/>
        <v>2</v>
      </c>
      <c r="DO38" s="5" t="s">
        <v>252</v>
      </c>
      <c r="DP38" s="5">
        <f t="shared" si="9"/>
        <v>3</v>
      </c>
      <c r="DQ38" s="5" t="s">
        <v>231</v>
      </c>
      <c r="DR38" s="5">
        <f t="shared" si="10"/>
        <v>2</v>
      </c>
      <c r="DS38" s="5" t="s">
        <v>231</v>
      </c>
      <c r="DT38" s="5">
        <f t="shared" si="11"/>
        <v>2</v>
      </c>
      <c r="DU38" s="5" t="s">
        <v>252</v>
      </c>
      <c r="DV38" s="5">
        <f t="shared" si="12"/>
        <v>3</v>
      </c>
      <c r="DW38" s="5" t="s">
        <v>231</v>
      </c>
      <c r="DX38" s="5">
        <f t="shared" si="13"/>
        <v>2</v>
      </c>
      <c r="DY38" s="5">
        <f t="shared" si="14"/>
        <v>31</v>
      </c>
      <c r="DZ38" s="5" t="str">
        <f t="shared" si="15"/>
        <v>Nivel de riesgo alto</v>
      </c>
      <c r="EA38" s="5" t="s">
        <v>253</v>
      </c>
      <c r="EB38" s="5">
        <f t="shared" si="16"/>
        <v>0</v>
      </c>
      <c r="EC38" s="5" t="s">
        <v>253</v>
      </c>
      <c r="ED38" s="5">
        <f t="shared" si="17"/>
        <v>0</v>
      </c>
      <c r="EE38" s="5" t="s">
        <v>253</v>
      </c>
      <c r="EF38" s="5">
        <f t="shared" si="18"/>
        <v>0</v>
      </c>
      <c r="EG38" s="5">
        <f t="shared" si="19"/>
        <v>0</v>
      </c>
      <c r="EH38" s="5" t="str">
        <f t="shared" si="20"/>
        <v>Nivel de riesgo bajo</v>
      </c>
      <c r="EI38" s="5" t="s">
        <v>248</v>
      </c>
      <c r="EJ38" s="5">
        <f t="shared" si="21"/>
        <v>1</v>
      </c>
      <c r="EK38" s="5" t="s">
        <v>254</v>
      </c>
      <c r="EL38" s="5">
        <f t="shared" si="22"/>
        <v>4</v>
      </c>
      <c r="EM38" s="5" t="s">
        <v>247</v>
      </c>
      <c r="EN38" s="5">
        <f t="shared" si="23"/>
        <v>2</v>
      </c>
      <c r="EO38" s="5">
        <f t="shared" si="24"/>
        <v>7</v>
      </c>
      <c r="EP38" s="5" t="str">
        <f t="shared" si="25"/>
        <v>Nivel de riesgo alto</v>
      </c>
      <c r="EQ38" s="5" t="s">
        <v>247</v>
      </c>
      <c r="ER38" s="5">
        <f t="shared" si="26"/>
        <v>2</v>
      </c>
      <c r="ES38" s="5" t="s">
        <v>247</v>
      </c>
      <c r="ET38" s="5">
        <f t="shared" si="27"/>
        <v>2</v>
      </c>
      <c r="EU38" s="5" t="s">
        <v>247</v>
      </c>
      <c r="EV38" s="5">
        <f t="shared" si="28"/>
        <v>2</v>
      </c>
      <c r="EW38" s="5" t="s">
        <v>232</v>
      </c>
      <c r="EX38" s="5">
        <f t="shared" si="29"/>
        <v>1</v>
      </c>
      <c r="EY38" s="5">
        <f t="shared" si="30"/>
        <v>7</v>
      </c>
      <c r="EZ38" s="5" t="str">
        <f t="shared" si="31"/>
        <v>Nivel de riesgo alto</v>
      </c>
      <c r="FA38" s="5" t="s">
        <v>248</v>
      </c>
      <c r="FB38" s="5">
        <f t="shared" si="32"/>
        <v>1</v>
      </c>
      <c r="FC38" s="5" t="s">
        <v>247</v>
      </c>
      <c r="FD38" s="5">
        <f t="shared" si="33"/>
        <v>2</v>
      </c>
      <c r="FE38" s="5" t="s">
        <v>247</v>
      </c>
      <c r="FF38" s="5">
        <f t="shared" si="34"/>
        <v>2</v>
      </c>
      <c r="FG38" s="5">
        <f t="shared" si="35"/>
        <v>5</v>
      </c>
      <c r="FH38" s="5" t="str">
        <f t="shared" si="36"/>
        <v>Nivel de riesgo medio</v>
      </c>
      <c r="FI38" s="5" t="s">
        <v>247</v>
      </c>
      <c r="FJ38" s="5">
        <f t="shared" si="37"/>
        <v>2</v>
      </c>
      <c r="FK38" s="5" t="s">
        <v>248</v>
      </c>
      <c r="FL38" s="5">
        <f t="shared" si="38"/>
        <v>1</v>
      </c>
      <c r="FM38" s="5" t="s">
        <v>247</v>
      </c>
      <c r="FN38" s="5">
        <f t="shared" si="39"/>
        <v>2</v>
      </c>
      <c r="FO38" s="5">
        <f t="shared" si="40"/>
        <v>5</v>
      </c>
      <c r="FP38" s="5" t="str">
        <f t="shared" si="41"/>
        <v>Nivel de riesgo medio</v>
      </c>
      <c r="FQ38" s="5" t="s">
        <v>265</v>
      </c>
      <c r="FR38" s="5">
        <f t="shared" si="42"/>
        <v>1</v>
      </c>
      <c r="FS38" s="5" t="s">
        <v>265</v>
      </c>
      <c r="FT38" s="5">
        <f t="shared" si="43"/>
        <v>1</v>
      </c>
      <c r="FU38" s="5" t="s">
        <v>206</v>
      </c>
      <c r="FV38" s="5">
        <f t="shared" si="44"/>
        <v>0</v>
      </c>
      <c r="FW38" s="5" t="s">
        <v>206</v>
      </c>
      <c r="FX38" s="5">
        <f t="shared" si="45"/>
        <v>0</v>
      </c>
      <c r="FY38" s="5" t="s">
        <v>206</v>
      </c>
      <c r="FZ38" s="5">
        <f t="shared" si="46"/>
        <v>0</v>
      </c>
      <c r="GA38" s="5" t="s">
        <v>265</v>
      </c>
      <c r="GB38" s="5">
        <f t="shared" si="47"/>
        <v>1</v>
      </c>
      <c r="GC38" s="5" t="s">
        <v>206</v>
      </c>
      <c r="GD38" s="5">
        <f t="shared" si="48"/>
        <v>0</v>
      </c>
      <c r="GE38" s="5">
        <f t="shared" si="49"/>
        <v>3</v>
      </c>
      <c r="GF38" s="5" t="str">
        <f t="shared" si="50"/>
        <v>Nivel de riesgo medio</v>
      </c>
      <c r="GG38" s="5" t="s">
        <v>255</v>
      </c>
      <c r="GH38" s="5" t="s">
        <v>266</v>
      </c>
      <c r="GI38" s="5" t="s">
        <v>255</v>
      </c>
      <c r="GJ38" s="5" t="s">
        <v>273</v>
      </c>
      <c r="GK38" s="5" t="s">
        <v>233</v>
      </c>
      <c r="GL38" s="5" t="s">
        <v>266</v>
      </c>
      <c r="GM38" s="5" t="s">
        <v>255</v>
      </c>
      <c r="GN38" s="5" t="s">
        <v>256</v>
      </c>
      <c r="GO38" s="5" t="s">
        <v>257</v>
      </c>
      <c r="GP38" s="5" t="s">
        <v>243</v>
      </c>
      <c r="GQ38" s="5" t="s">
        <v>243</v>
      </c>
      <c r="GR38" s="5" t="s">
        <v>243</v>
      </c>
      <c r="GS38" s="5" t="s">
        <v>243</v>
      </c>
      <c r="GT38" s="5" t="s">
        <v>243</v>
      </c>
      <c r="GU38" s="5" t="s">
        <v>356</v>
      </c>
      <c r="GV38" s="5" t="str">
        <f>TEXT("6271971827483875561","0")</f>
        <v>6271971827483870000</v>
      </c>
    </row>
    <row r="39" spans="1:204" ht="15.75" customHeight="1" x14ac:dyDescent="0.15">
      <c r="A39" s="1">
        <f t="shared" si="0"/>
        <v>39</v>
      </c>
      <c r="B39" s="4">
        <v>45839.6409375</v>
      </c>
      <c r="C39" s="5" t="s">
        <v>204</v>
      </c>
      <c r="D39" s="5" t="s">
        <v>206</v>
      </c>
      <c r="F39" s="5" t="s">
        <v>206</v>
      </c>
      <c r="G39" s="5" t="s">
        <v>204</v>
      </c>
      <c r="H39" s="5" t="s">
        <v>204</v>
      </c>
      <c r="K39" s="5" t="s">
        <v>237</v>
      </c>
      <c r="O39" s="5" t="s">
        <v>209</v>
      </c>
      <c r="T39" s="5" t="s">
        <v>209</v>
      </c>
      <c r="X39" s="5" t="s">
        <v>208</v>
      </c>
      <c r="AD39" s="5" t="s">
        <v>209</v>
      </c>
      <c r="AH39" s="5" t="s">
        <v>357</v>
      </c>
      <c r="AI39" s="5">
        <v>2023</v>
      </c>
      <c r="AJ39" s="5" t="s">
        <v>330</v>
      </c>
      <c r="AK39" s="5" t="str">
        <f t="shared" si="1"/>
        <v>Asalariada</v>
      </c>
      <c r="AQ39" s="5" t="s">
        <v>204</v>
      </c>
      <c r="AR39" s="5" t="s">
        <v>261</v>
      </c>
      <c r="AS39" s="5" t="s">
        <v>294</v>
      </c>
      <c r="AT39" s="5" t="s">
        <v>276</v>
      </c>
      <c r="AU39" s="5" t="s">
        <v>294</v>
      </c>
      <c r="AV39" s="5" t="s">
        <v>277</v>
      </c>
      <c r="AW39" s="5" t="s">
        <v>206</v>
      </c>
      <c r="BF39" s="5" t="s">
        <v>204</v>
      </c>
      <c r="BG39" s="5" t="s">
        <v>242</v>
      </c>
      <c r="BH39" s="5" t="s">
        <v>215</v>
      </c>
      <c r="BI39" s="5" t="s">
        <v>242</v>
      </c>
      <c r="BJ39" s="5" t="s">
        <v>242</v>
      </c>
      <c r="BK39" s="5" t="s">
        <v>243</v>
      </c>
      <c r="BL39" s="5" t="s">
        <v>244</v>
      </c>
      <c r="BM39" s="5" t="s">
        <v>243</v>
      </c>
      <c r="BN39" s="5" t="s">
        <v>243</v>
      </c>
      <c r="BO39" s="5" t="s">
        <v>245</v>
      </c>
      <c r="BP39" s="5" t="s">
        <v>243</v>
      </c>
      <c r="BQ39" s="5" t="s">
        <v>246</v>
      </c>
      <c r="BR39" s="5" t="s">
        <v>243</v>
      </c>
      <c r="BS39" s="5" t="s">
        <v>248</v>
      </c>
      <c r="BT39" s="5" t="s">
        <v>217</v>
      </c>
      <c r="BU39" s="5" t="s">
        <v>247</v>
      </c>
      <c r="BV39" s="5" t="s">
        <v>247</v>
      </c>
      <c r="BW39" s="5" t="s">
        <v>254</v>
      </c>
      <c r="BX39" s="5" t="s">
        <v>247</v>
      </c>
      <c r="BY39" s="5" t="s">
        <v>232</v>
      </c>
      <c r="CD39" s="5" t="s">
        <v>206</v>
      </c>
      <c r="CH39" s="5" t="s">
        <v>206</v>
      </c>
      <c r="CI39" s="5" t="s">
        <v>206</v>
      </c>
      <c r="CJ39" s="5">
        <v>1</v>
      </c>
      <c r="CM39" s="5" t="s">
        <v>358</v>
      </c>
      <c r="CU39" s="5" t="s">
        <v>204</v>
      </c>
      <c r="CV39" s="5" t="s">
        <v>350</v>
      </c>
      <c r="CW39" s="5" t="s">
        <v>351</v>
      </c>
      <c r="CX39" s="5" t="s">
        <v>352</v>
      </c>
      <c r="CY39" s="5" t="s">
        <v>359</v>
      </c>
      <c r="CZ39" s="5" t="s">
        <v>206</v>
      </c>
      <c r="DA39" s="5" t="s">
        <v>231</v>
      </c>
      <c r="DB39" s="5">
        <f t="shared" si="2"/>
        <v>2</v>
      </c>
      <c r="DC39" s="5" t="s">
        <v>230</v>
      </c>
      <c r="DD39" s="5">
        <f t="shared" si="3"/>
        <v>2</v>
      </c>
      <c r="DE39" s="5" t="s">
        <v>250</v>
      </c>
      <c r="DF39" s="5">
        <f t="shared" si="4"/>
        <v>3</v>
      </c>
      <c r="DG39" s="5" t="s">
        <v>230</v>
      </c>
      <c r="DH39" s="5">
        <f t="shared" si="5"/>
        <v>2</v>
      </c>
      <c r="DI39" s="5" t="s">
        <v>230</v>
      </c>
      <c r="DJ39" s="5">
        <f t="shared" si="6"/>
        <v>2</v>
      </c>
      <c r="DK39" s="5" t="s">
        <v>251</v>
      </c>
      <c r="DL39" s="5">
        <f t="shared" si="7"/>
        <v>1</v>
      </c>
      <c r="DM39" s="5" t="s">
        <v>251</v>
      </c>
      <c r="DN39" s="5">
        <f t="shared" si="8"/>
        <v>1</v>
      </c>
      <c r="DO39" s="5" t="s">
        <v>231</v>
      </c>
      <c r="DP39" s="5">
        <f t="shared" si="9"/>
        <v>2</v>
      </c>
      <c r="DQ39" s="5" t="s">
        <v>281</v>
      </c>
      <c r="DR39" s="5">
        <f t="shared" si="10"/>
        <v>1</v>
      </c>
      <c r="DS39" s="5" t="s">
        <v>252</v>
      </c>
      <c r="DT39" s="5">
        <f t="shared" si="11"/>
        <v>3</v>
      </c>
      <c r="DU39" s="5" t="s">
        <v>281</v>
      </c>
      <c r="DV39" s="5">
        <f t="shared" si="12"/>
        <v>1</v>
      </c>
      <c r="DW39" s="5" t="s">
        <v>231</v>
      </c>
      <c r="DX39" s="5">
        <f t="shared" si="13"/>
        <v>2</v>
      </c>
      <c r="DY39" s="5">
        <f t="shared" si="14"/>
        <v>22</v>
      </c>
      <c r="DZ39" s="5" t="str">
        <f t="shared" si="15"/>
        <v>Nivel de riesgo medio</v>
      </c>
      <c r="EA39" s="5" t="s">
        <v>247</v>
      </c>
      <c r="EB39" s="5">
        <f t="shared" si="16"/>
        <v>2</v>
      </c>
      <c r="EC39" s="5" t="s">
        <v>248</v>
      </c>
      <c r="ED39" s="5">
        <f t="shared" si="17"/>
        <v>1</v>
      </c>
      <c r="EE39" s="5" t="s">
        <v>253</v>
      </c>
      <c r="EF39" s="5">
        <f t="shared" si="18"/>
        <v>0</v>
      </c>
      <c r="EG39" s="5">
        <f t="shared" si="19"/>
        <v>3</v>
      </c>
      <c r="EH39" s="5" t="str">
        <f t="shared" si="20"/>
        <v>Nivel de riesgo medio</v>
      </c>
      <c r="EI39" s="5" t="s">
        <v>253</v>
      </c>
      <c r="EJ39" s="5">
        <f t="shared" si="21"/>
        <v>0</v>
      </c>
      <c r="EK39" s="5" t="s">
        <v>248</v>
      </c>
      <c r="EL39" s="5">
        <f t="shared" si="22"/>
        <v>1</v>
      </c>
      <c r="EM39" s="5" t="s">
        <v>248</v>
      </c>
      <c r="EN39" s="5">
        <f t="shared" si="23"/>
        <v>1</v>
      </c>
      <c r="EO39" s="5">
        <f t="shared" si="24"/>
        <v>2</v>
      </c>
      <c r="EP39" s="5" t="str">
        <f t="shared" si="25"/>
        <v>Nivel de riesgo medio</v>
      </c>
      <c r="EQ39" s="5" t="s">
        <v>247</v>
      </c>
      <c r="ER39" s="5">
        <f t="shared" si="26"/>
        <v>2</v>
      </c>
      <c r="ES39" s="5" t="s">
        <v>247</v>
      </c>
      <c r="ET39" s="5">
        <f t="shared" si="27"/>
        <v>2</v>
      </c>
      <c r="EU39" s="5" t="s">
        <v>232</v>
      </c>
      <c r="EV39" s="5">
        <f t="shared" si="28"/>
        <v>1</v>
      </c>
      <c r="EW39" s="5" t="s">
        <v>232</v>
      </c>
      <c r="EX39" s="5">
        <f t="shared" si="29"/>
        <v>1</v>
      </c>
      <c r="EY39" s="5">
        <f t="shared" si="30"/>
        <v>6</v>
      </c>
      <c r="EZ39" s="5" t="str">
        <f t="shared" si="31"/>
        <v>Nivel de riesgo alto</v>
      </c>
      <c r="FA39" s="5" t="s">
        <v>247</v>
      </c>
      <c r="FB39" s="5">
        <f t="shared" si="32"/>
        <v>2</v>
      </c>
      <c r="FC39" s="5" t="s">
        <v>247</v>
      </c>
      <c r="FD39" s="5">
        <f t="shared" si="33"/>
        <v>2</v>
      </c>
      <c r="FE39" s="5" t="s">
        <v>247</v>
      </c>
      <c r="FF39" s="5">
        <f t="shared" si="34"/>
        <v>2</v>
      </c>
      <c r="FG39" s="5">
        <f t="shared" si="35"/>
        <v>6</v>
      </c>
      <c r="FH39" s="5" t="str">
        <f t="shared" si="36"/>
        <v>Nivel de riesgo alto</v>
      </c>
      <c r="FI39" s="5" t="s">
        <v>247</v>
      </c>
      <c r="FJ39" s="5">
        <f t="shared" si="37"/>
        <v>2</v>
      </c>
      <c r="FK39" s="5" t="s">
        <v>247</v>
      </c>
      <c r="FL39" s="5">
        <f t="shared" si="38"/>
        <v>2</v>
      </c>
      <c r="FM39" s="5" t="s">
        <v>247</v>
      </c>
      <c r="FN39" s="5">
        <f t="shared" si="39"/>
        <v>2</v>
      </c>
      <c r="FO39" s="5">
        <f t="shared" si="40"/>
        <v>6</v>
      </c>
      <c r="FP39" s="5" t="str">
        <f t="shared" si="41"/>
        <v>Nivel de riesgo alto</v>
      </c>
      <c r="FQ39" s="5" t="s">
        <v>265</v>
      </c>
      <c r="FR39" s="5">
        <f t="shared" si="42"/>
        <v>1</v>
      </c>
      <c r="FS39" s="5" t="s">
        <v>265</v>
      </c>
      <c r="FT39" s="5">
        <f t="shared" si="43"/>
        <v>1</v>
      </c>
      <c r="FU39" s="5" t="s">
        <v>206</v>
      </c>
      <c r="FV39" s="5">
        <f t="shared" si="44"/>
        <v>0</v>
      </c>
      <c r="FW39" s="5" t="s">
        <v>206</v>
      </c>
      <c r="FX39" s="5">
        <f t="shared" si="45"/>
        <v>0</v>
      </c>
      <c r="FY39" s="5" t="s">
        <v>206</v>
      </c>
      <c r="FZ39" s="5">
        <f t="shared" si="46"/>
        <v>0</v>
      </c>
      <c r="GA39" s="5" t="s">
        <v>265</v>
      </c>
      <c r="GB39" s="5">
        <f t="shared" si="47"/>
        <v>1</v>
      </c>
      <c r="GC39" s="5" t="s">
        <v>206</v>
      </c>
      <c r="GD39" s="5">
        <f t="shared" si="48"/>
        <v>0</v>
      </c>
      <c r="GE39" s="5">
        <f t="shared" si="49"/>
        <v>3</v>
      </c>
      <c r="GF39" s="5" t="str">
        <f t="shared" si="50"/>
        <v>Nivel de riesgo medio</v>
      </c>
      <c r="GG39" s="5" t="s">
        <v>273</v>
      </c>
      <c r="GH39" s="5" t="s">
        <v>273</v>
      </c>
      <c r="GI39" s="5" t="s">
        <v>273</v>
      </c>
      <c r="GJ39" s="5" t="s">
        <v>273</v>
      </c>
      <c r="GK39" s="5" t="s">
        <v>233</v>
      </c>
      <c r="GL39" s="5" t="s">
        <v>266</v>
      </c>
      <c r="GM39" s="5" t="s">
        <v>266</v>
      </c>
      <c r="GN39" s="5" t="s">
        <v>243</v>
      </c>
      <c r="GO39" s="5" t="s">
        <v>244</v>
      </c>
      <c r="GP39" s="5" t="s">
        <v>244</v>
      </c>
      <c r="GQ39" s="5" t="s">
        <v>257</v>
      </c>
      <c r="GR39" s="5" t="s">
        <v>257</v>
      </c>
      <c r="GS39" s="5" t="s">
        <v>257</v>
      </c>
      <c r="GT39" s="5" t="s">
        <v>257</v>
      </c>
      <c r="GU39" s="5" t="s">
        <v>360</v>
      </c>
      <c r="GV39" s="5" t="str">
        <f>TEXT("6272069776829190879","0")</f>
        <v>6272069776829190000</v>
      </c>
    </row>
    <row r="40" spans="1:204" ht="15.75" customHeight="1" x14ac:dyDescent="0.15">
      <c r="A40" s="1">
        <f t="shared" si="0"/>
        <v>40</v>
      </c>
      <c r="B40" s="4">
        <v>45839.840046296296</v>
      </c>
      <c r="C40" s="5" t="s">
        <v>204</v>
      </c>
      <c r="D40" s="5" t="s">
        <v>206</v>
      </c>
      <c r="F40" s="5" t="s">
        <v>206</v>
      </c>
      <c r="G40" s="5" t="s">
        <v>206</v>
      </c>
      <c r="H40" s="5" t="s">
        <v>204</v>
      </c>
      <c r="K40" s="5" t="s">
        <v>237</v>
      </c>
      <c r="P40" s="5" t="s">
        <v>237</v>
      </c>
      <c r="T40" s="5" t="s">
        <v>209</v>
      </c>
      <c r="U40" s="5" t="s">
        <v>237</v>
      </c>
      <c r="Y40" s="5" t="s">
        <v>209</v>
      </c>
      <c r="AE40" s="5" t="s">
        <v>237</v>
      </c>
      <c r="AH40" s="5" t="s">
        <v>210</v>
      </c>
      <c r="AI40" s="5">
        <v>2005</v>
      </c>
      <c r="AJ40" s="5" t="s">
        <v>337</v>
      </c>
      <c r="AK40" s="5" t="str">
        <f t="shared" si="1"/>
        <v>Asalariada</v>
      </c>
      <c r="AQ40" s="5" t="s">
        <v>206</v>
      </c>
      <c r="AR40" s="5" t="s">
        <v>241</v>
      </c>
      <c r="AS40" s="5" t="s">
        <v>261</v>
      </c>
      <c r="AT40" s="5" t="s">
        <v>261</v>
      </c>
      <c r="AU40" s="5" t="s">
        <v>294</v>
      </c>
      <c r="AV40" s="5" t="s">
        <v>285</v>
      </c>
      <c r="AW40" s="5" t="s">
        <v>204</v>
      </c>
      <c r="AX40" s="5" t="s">
        <v>206</v>
      </c>
      <c r="BF40" s="5" t="s">
        <v>204</v>
      </c>
      <c r="BG40" s="5" t="s">
        <v>215</v>
      </c>
      <c r="BH40" s="5" t="s">
        <v>264</v>
      </c>
      <c r="BI40" s="5" t="s">
        <v>264</v>
      </c>
      <c r="BJ40" s="5" t="s">
        <v>264</v>
      </c>
      <c r="BK40" s="5" t="s">
        <v>244</v>
      </c>
      <c r="BL40" s="5" t="s">
        <v>244</v>
      </c>
      <c r="BM40" s="5" t="s">
        <v>246</v>
      </c>
      <c r="BN40" s="5" t="s">
        <v>243</v>
      </c>
      <c r="BO40" s="5" t="s">
        <v>243</v>
      </c>
      <c r="BP40" s="5" t="s">
        <v>243</v>
      </c>
      <c r="BQ40" s="5" t="s">
        <v>243</v>
      </c>
      <c r="BR40" s="5" t="s">
        <v>246</v>
      </c>
      <c r="BS40" s="5" t="s">
        <v>232</v>
      </c>
      <c r="BT40" s="5" t="s">
        <v>232</v>
      </c>
      <c r="BU40" s="5" t="s">
        <v>254</v>
      </c>
      <c r="BV40" s="5" t="s">
        <v>232</v>
      </c>
      <c r="BW40" s="5" t="s">
        <v>232</v>
      </c>
      <c r="BX40" s="5" t="s">
        <v>254</v>
      </c>
      <c r="BY40" s="5" t="s">
        <v>232</v>
      </c>
      <c r="BZ40" s="5" t="s">
        <v>246</v>
      </c>
      <c r="CA40" s="5" t="s">
        <v>243</v>
      </c>
      <c r="CB40" s="5" t="s">
        <v>246</v>
      </c>
      <c r="CC40" s="5" t="s">
        <v>243</v>
      </c>
      <c r="CD40" s="5" t="s">
        <v>204</v>
      </c>
      <c r="CE40" s="5" t="s">
        <v>218</v>
      </c>
      <c r="CF40" s="5" t="s">
        <v>219</v>
      </c>
      <c r="CG40" s="5" t="s">
        <v>220</v>
      </c>
      <c r="CH40" s="5" t="s">
        <v>206</v>
      </c>
      <c r="CI40" s="5" t="s">
        <v>307</v>
      </c>
      <c r="CJ40" s="5">
        <v>6</v>
      </c>
      <c r="CK40" s="5" t="s">
        <v>223</v>
      </c>
      <c r="CU40" s="5" t="s">
        <v>206</v>
      </c>
      <c r="DA40" s="5" t="s">
        <v>252</v>
      </c>
      <c r="DB40" s="5">
        <f t="shared" si="2"/>
        <v>3</v>
      </c>
      <c r="DC40" s="5" t="s">
        <v>230</v>
      </c>
      <c r="DD40" s="5">
        <f t="shared" si="3"/>
        <v>2</v>
      </c>
      <c r="DE40" s="5" t="s">
        <v>230</v>
      </c>
      <c r="DF40" s="5">
        <f t="shared" si="4"/>
        <v>2</v>
      </c>
      <c r="DG40" s="5" t="s">
        <v>250</v>
      </c>
      <c r="DH40" s="5">
        <f t="shared" si="5"/>
        <v>3</v>
      </c>
      <c r="DI40" s="5" t="s">
        <v>250</v>
      </c>
      <c r="DJ40" s="5">
        <f t="shared" si="6"/>
        <v>3</v>
      </c>
      <c r="DK40" s="5" t="s">
        <v>230</v>
      </c>
      <c r="DL40" s="5">
        <f t="shared" si="7"/>
        <v>2</v>
      </c>
      <c r="DM40" s="5" t="s">
        <v>251</v>
      </c>
      <c r="DN40" s="5">
        <f t="shared" si="8"/>
        <v>1</v>
      </c>
      <c r="DO40" s="5" t="s">
        <v>281</v>
      </c>
      <c r="DP40" s="5">
        <f t="shared" si="9"/>
        <v>1</v>
      </c>
      <c r="DQ40" s="5" t="s">
        <v>281</v>
      </c>
      <c r="DR40" s="5">
        <f t="shared" si="10"/>
        <v>1</v>
      </c>
      <c r="DS40" s="5" t="s">
        <v>231</v>
      </c>
      <c r="DT40" s="5">
        <f t="shared" si="11"/>
        <v>2</v>
      </c>
      <c r="DU40" s="5" t="s">
        <v>231</v>
      </c>
      <c r="DV40" s="5">
        <f t="shared" si="12"/>
        <v>2</v>
      </c>
      <c r="DW40" s="5" t="s">
        <v>231</v>
      </c>
      <c r="DX40" s="5">
        <f t="shared" si="13"/>
        <v>2</v>
      </c>
      <c r="DY40" s="5">
        <f t="shared" si="14"/>
        <v>24</v>
      </c>
      <c r="DZ40" s="5" t="str">
        <f t="shared" si="15"/>
        <v>Nivel de riesgo alto</v>
      </c>
      <c r="EA40" s="5" t="s">
        <v>247</v>
      </c>
      <c r="EB40" s="5">
        <f t="shared" si="16"/>
        <v>2</v>
      </c>
      <c r="EC40" s="5" t="s">
        <v>232</v>
      </c>
      <c r="ED40" s="5">
        <f t="shared" si="17"/>
        <v>3</v>
      </c>
      <c r="EE40" s="5" t="s">
        <v>248</v>
      </c>
      <c r="EF40" s="5">
        <f t="shared" si="18"/>
        <v>1</v>
      </c>
      <c r="EG40" s="5">
        <f t="shared" si="19"/>
        <v>6</v>
      </c>
      <c r="EH40" s="5" t="str">
        <f t="shared" si="20"/>
        <v>Nivel de riesgo alto</v>
      </c>
      <c r="EI40" s="5" t="s">
        <v>248</v>
      </c>
      <c r="EJ40" s="5">
        <f t="shared" si="21"/>
        <v>1</v>
      </c>
      <c r="EK40" s="5" t="s">
        <v>247</v>
      </c>
      <c r="EL40" s="5">
        <f t="shared" si="22"/>
        <v>2</v>
      </c>
      <c r="EM40" s="5" t="s">
        <v>248</v>
      </c>
      <c r="EN40" s="5">
        <f t="shared" si="23"/>
        <v>1</v>
      </c>
      <c r="EO40" s="5">
        <f t="shared" si="24"/>
        <v>4</v>
      </c>
      <c r="EP40" s="5" t="str">
        <f t="shared" si="25"/>
        <v>Nivel de riesgo medio</v>
      </c>
      <c r="EQ40" s="5" t="s">
        <v>253</v>
      </c>
      <c r="ER40" s="5">
        <f t="shared" si="26"/>
        <v>4</v>
      </c>
      <c r="ES40" s="5" t="s">
        <v>248</v>
      </c>
      <c r="ET40" s="5">
        <f t="shared" si="27"/>
        <v>3</v>
      </c>
      <c r="EU40" s="5" t="s">
        <v>232</v>
      </c>
      <c r="EV40" s="5">
        <f t="shared" si="28"/>
        <v>1</v>
      </c>
      <c r="EW40" s="5" t="s">
        <v>232</v>
      </c>
      <c r="EX40" s="5">
        <f t="shared" si="29"/>
        <v>1</v>
      </c>
      <c r="EY40" s="5">
        <f t="shared" si="30"/>
        <v>9</v>
      </c>
      <c r="EZ40" s="5" t="str">
        <f t="shared" si="31"/>
        <v>Nivel de riesgo alto</v>
      </c>
      <c r="FA40" s="5" t="s">
        <v>247</v>
      </c>
      <c r="FB40" s="5">
        <f t="shared" si="32"/>
        <v>2</v>
      </c>
      <c r="FC40" s="5" t="s">
        <v>254</v>
      </c>
      <c r="FD40" s="5">
        <f t="shared" si="33"/>
        <v>4</v>
      </c>
      <c r="FE40" s="5" t="s">
        <v>232</v>
      </c>
      <c r="FF40" s="5">
        <f t="shared" si="34"/>
        <v>3</v>
      </c>
      <c r="FG40" s="5">
        <f t="shared" si="35"/>
        <v>9</v>
      </c>
      <c r="FH40" s="5" t="str">
        <f t="shared" si="36"/>
        <v>Nivel de riesgo alto</v>
      </c>
      <c r="FI40" s="5" t="s">
        <v>232</v>
      </c>
      <c r="FJ40" s="5">
        <f t="shared" si="37"/>
        <v>3</v>
      </c>
      <c r="FK40" s="5" t="s">
        <v>247</v>
      </c>
      <c r="FL40" s="5">
        <f t="shared" si="38"/>
        <v>2</v>
      </c>
      <c r="FM40" s="5" t="s">
        <v>248</v>
      </c>
      <c r="FN40" s="5">
        <f t="shared" si="39"/>
        <v>1</v>
      </c>
      <c r="FO40" s="5">
        <f t="shared" si="40"/>
        <v>6</v>
      </c>
      <c r="FP40" s="5" t="str">
        <f t="shared" si="41"/>
        <v>Nivel de riesgo alto</v>
      </c>
      <c r="FQ40" s="5" t="s">
        <v>325</v>
      </c>
      <c r="FR40" s="5">
        <f t="shared" si="42"/>
        <v>2</v>
      </c>
      <c r="FS40" s="5" t="s">
        <v>265</v>
      </c>
      <c r="FT40" s="5">
        <f t="shared" si="43"/>
        <v>1</v>
      </c>
      <c r="FU40" s="5" t="s">
        <v>361</v>
      </c>
      <c r="FV40" s="5">
        <f t="shared" si="44"/>
        <v>3</v>
      </c>
      <c r="FW40" s="5" t="s">
        <v>206</v>
      </c>
      <c r="FX40" s="5">
        <f t="shared" si="45"/>
        <v>0</v>
      </c>
      <c r="FY40" s="5" t="s">
        <v>206</v>
      </c>
      <c r="FZ40" s="5">
        <f t="shared" si="46"/>
        <v>0</v>
      </c>
      <c r="GA40" s="5" t="s">
        <v>206</v>
      </c>
      <c r="GB40" s="5">
        <f t="shared" si="47"/>
        <v>0</v>
      </c>
      <c r="GC40" s="5" t="s">
        <v>265</v>
      </c>
      <c r="GD40" s="5">
        <f t="shared" si="48"/>
        <v>1</v>
      </c>
      <c r="GE40" s="5">
        <f t="shared" si="49"/>
        <v>7</v>
      </c>
      <c r="GF40" s="5" t="str">
        <f t="shared" si="50"/>
        <v>Nivel de riesgo medio</v>
      </c>
      <c r="GG40" s="5" t="s">
        <v>273</v>
      </c>
      <c r="GH40" s="5" t="s">
        <v>266</v>
      </c>
      <c r="GI40" s="5" t="s">
        <v>273</v>
      </c>
      <c r="GJ40" s="5" t="s">
        <v>266</v>
      </c>
      <c r="GK40" s="5" t="s">
        <v>233</v>
      </c>
      <c r="GL40" s="5" t="s">
        <v>233</v>
      </c>
      <c r="GM40" s="5" t="s">
        <v>298</v>
      </c>
      <c r="GN40" s="5" t="s">
        <v>256</v>
      </c>
      <c r="GO40" s="5" t="s">
        <v>243</v>
      </c>
      <c r="GP40" s="5" t="s">
        <v>243</v>
      </c>
      <c r="GQ40" s="5" t="s">
        <v>257</v>
      </c>
      <c r="GR40" s="5" t="s">
        <v>243</v>
      </c>
      <c r="GS40" s="5" t="s">
        <v>257</v>
      </c>
      <c r="GT40" s="5" t="s">
        <v>243</v>
      </c>
      <c r="GU40" s="5" t="s">
        <v>362</v>
      </c>
      <c r="GV40" s="5" t="str">
        <f>TEXT("6272241801419970095","0")</f>
        <v>6272241801419970000</v>
      </c>
    </row>
    <row r="41" spans="1:204" ht="15.75" customHeight="1" x14ac:dyDescent="0.15">
      <c r="A41" s="1">
        <f t="shared" si="0"/>
        <v>41</v>
      </c>
      <c r="B41" s="4">
        <v>45840.486400462964</v>
      </c>
      <c r="C41" s="5" t="s">
        <v>204</v>
      </c>
      <c r="D41" s="5" t="s">
        <v>206</v>
      </c>
      <c r="F41" s="5" t="s">
        <v>206</v>
      </c>
      <c r="G41" s="5" t="s">
        <v>204</v>
      </c>
      <c r="H41" s="5" t="s">
        <v>206</v>
      </c>
      <c r="K41" s="5" t="s">
        <v>237</v>
      </c>
      <c r="O41" s="5" t="s">
        <v>209</v>
      </c>
      <c r="S41" s="5" t="s">
        <v>208</v>
      </c>
      <c r="X41" s="5" t="s">
        <v>208</v>
      </c>
      <c r="AD41" s="5" t="s">
        <v>209</v>
      </c>
      <c r="AH41" s="5" t="s">
        <v>268</v>
      </c>
      <c r="AI41" s="5">
        <v>2014</v>
      </c>
      <c r="AJ41" s="5" t="s">
        <v>238</v>
      </c>
      <c r="AK41" s="5" t="str">
        <f t="shared" si="1"/>
        <v>Trabajadora por cuenta propia</v>
      </c>
      <c r="AN41" s="5" t="s">
        <v>288</v>
      </c>
      <c r="AP41" s="5" t="s">
        <v>240</v>
      </c>
      <c r="AR41" s="5" t="s">
        <v>241</v>
      </c>
      <c r="AS41" s="5" t="s">
        <v>241</v>
      </c>
      <c r="AT41" s="5" t="s">
        <v>241</v>
      </c>
      <c r="AU41" s="5" t="s">
        <v>241</v>
      </c>
      <c r="AV41" s="5" t="s">
        <v>277</v>
      </c>
      <c r="AW41" s="5" t="s">
        <v>204</v>
      </c>
      <c r="AX41" s="5" t="s">
        <v>204</v>
      </c>
      <c r="AY41" s="5" t="s">
        <v>214</v>
      </c>
      <c r="AZ41" s="5" t="s">
        <v>204</v>
      </c>
      <c r="BA41" s="5" t="s">
        <v>344</v>
      </c>
      <c r="BF41" s="5" t="s">
        <v>204</v>
      </c>
      <c r="BG41" s="5" t="s">
        <v>242</v>
      </c>
      <c r="BH41" s="5" t="s">
        <v>215</v>
      </c>
      <c r="BI41" s="5" t="s">
        <v>242</v>
      </c>
      <c r="BJ41" s="5" t="s">
        <v>242</v>
      </c>
      <c r="BK41" s="5" t="s">
        <v>244</v>
      </c>
      <c r="BL41" s="5" t="s">
        <v>244</v>
      </c>
      <c r="BM41" s="5" t="s">
        <v>244</v>
      </c>
      <c r="BN41" s="5" t="s">
        <v>244</v>
      </c>
      <c r="BO41" s="5" t="s">
        <v>244</v>
      </c>
      <c r="BP41" s="5" t="s">
        <v>244</v>
      </c>
      <c r="BQ41" s="5" t="s">
        <v>244</v>
      </c>
      <c r="BR41" s="5" t="s">
        <v>243</v>
      </c>
      <c r="BS41" s="5" t="s">
        <v>248</v>
      </c>
      <c r="BT41" s="5" t="s">
        <v>248</v>
      </c>
      <c r="BU41" s="5" t="s">
        <v>248</v>
      </c>
      <c r="BV41" s="5" t="s">
        <v>248</v>
      </c>
      <c r="BW41" s="5" t="s">
        <v>248</v>
      </c>
      <c r="BX41" s="5" t="s">
        <v>247</v>
      </c>
      <c r="BY41" s="5" t="s">
        <v>248</v>
      </c>
      <c r="BZ41" s="5" t="s">
        <v>244</v>
      </c>
      <c r="CA41" s="5" t="s">
        <v>244</v>
      </c>
      <c r="CB41" s="5" t="s">
        <v>244</v>
      </c>
      <c r="CC41" s="5" t="s">
        <v>244</v>
      </c>
      <c r="CD41" s="5" t="s">
        <v>206</v>
      </c>
      <c r="CH41" s="5" t="s">
        <v>206</v>
      </c>
      <c r="CI41" s="5" t="s">
        <v>291</v>
      </c>
      <c r="CJ41" s="5">
        <v>1</v>
      </c>
      <c r="CK41" s="5" t="s">
        <v>223</v>
      </c>
      <c r="CU41" s="5" t="s">
        <v>206</v>
      </c>
      <c r="DA41" s="5" t="s">
        <v>231</v>
      </c>
      <c r="DB41" s="5">
        <f t="shared" si="2"/>
        <v>2</v>
      </c>
      <c r="DC41" s="5" t="s">
        <v>230</v>
      </c>
      <c r="DD41" s="5">
        <f t="shared" si="3"/>
        <v>2</v>
      </c>
      <c r="DE41" s="5" t="s">
        <v>230</v>
      </c>
      <c r="DF41" s="5">
        <f t="shared" si="4"/>
        <v>2</v>
      </c>
      <c r="DG41" s="5" t="s">
        <v>230</v>
      </c>
      <c r="DH41" s="5">
        <f t="shared" si="5"/>
        <v>2</v>
      </c>
      <c r="DI41" s="5" t="s">
        <v>230</v>
      </c>
      <c r="DJ41" s="5">
        <f t="shared" si="6"/>
        <v>2</v>
      </c>
      <c r="DK41" s="5" t="s">
        <v>251</v>
      </c>
      <c r="DL41" s="5">
        <f t="shared" si="7"/>
        <v>1</v>
      </c>
      <c r="DM41" s="5" t="s">
        <v>251</v>
      </c>
      <c r="DN41" s="5">
        <f t="shared" si="8"/>
        <v>1</v>
      </c>
      <c r="DO41" s="5" t="s">
        <v>231</v>
      </c>
      <c r="DP41" s="5">
        <f t="shared" si="9"/>
        <v>2</v>
      </c>
      <c r="DQ41" s="5" t="s">
        <v>231</v>
      </c>
      <c r="DR41" s="5">
        <f t="shared" si="10"/>
        <v>2</v>
      </c>
      <c r="DS41" s="5" t="s">
        <v>231</v>
      </c>
      <c r="DT41" s="5">
        <f t="shared" si="11"/>
        <v>2</v>
      </c>
      <c r="DU41" s="5" t="s">
        <v>231</v>
      </c>
      <c r="DV41" s="5">
        <f t="shared" si="12"/>
        <v>2</v>
      </c>
      <c r="DW41" s="5" t="s">
        <v>231</v>
      </c>
      <c r="DX41" s="5">
        <f t="shared" si="13"/>
        <v>2</v>
      </c>
      <c r="DY41" s="5">
        <f t="shared" si="14"/>
        <v>22</v>
      </c>
      <c r="DZ41" s="5" t="str">
        <f t="shared" si="15"/>
        <v>Nivel de riesgo medio</v>
      </c>
      <c r="EA41" s="5" t="s">
        <v>247</v>
      </c>
      <c r="EB41" s="5">
        <f t="shared" si="16"/>
        <v>2</v>
      </c>
      <c r="EC41" s="5" t="s">
        <v>247</v>
      </c>
      <c r="ED41" s="5">
        <f t="shared" si="17"/>
        <v>2</v>
      </c>
      <c r="EE41" s="5" t="s">
        <v>248</v>
      </c>
      <c r="EF41" s="5">
        <f t="shared" si="18"/>
        <v>1</v>
      </c>
      <c r="EG41" s="5">
        <f t="shared" si="19"/>
        <v>5</v>
      </c>
      <c r="EH41" s="5" t="str">
        <f t="shared" si="20"/>
        <v>Nivel de riesgo alto</v>
      </c>
      <c r="EI41" s="5" t="s">
        <v>253</v>
      </c>
      <c r="EJ41" s="5">
        <f t="shared" si="21"/>
        <v>0</v>
      </c>
      <c r="EK41" s="5" t="s">
        <v>253</v>
      </c>
      <c r="EL41" s="5">
        <f t="shared" si="22"/>
        <v>0</v>
      </c>
      <c r="EM41" s="5" t="s">
        <v>253</v>
      </c>
      <c r="EN41" s="5">
        <f t="shared" si="23"/>
        <v>0</v>
      </c>
      <c r="EO41" s="5">
        <f t="shared" si="24"/>
        <v>0</v>
      </c>
      <c r="EP41" s="5" t="str">
        <f t="shared" si="25"/>
        <v>Nivel de riesgo bajo</v>
      </c>
      <c r="EQ41" s="5" t="s">
        <v>253</v>
      </c>
      <c r="ER41" s="5">
        <f t="shared" si="26"/>
        <v>4</v>
      </c>
      <c r="ES41" s="5" t="s">
        <v>253</v>
      </c>
      <c r="ET41" s="5">
        <f t="shared" si="27"/>
        <v>4</v>
      </c>
      <c r="EU41" s="5" t="s">
        <v>232</v>
      </c>
      <c r="EV41" s="5">
        <f t="shared" si="28"/>
        <v>1</v>
      </c>
      <c r="EW41" s="5" t="s">
        <v>232</v>
      </c>
      <c r="EX41" s="5">
        <f t="shared" si="29"/>
        <v>1</v>
      </c>
      <c r="EY41" s="5">
        <f t="shared" si="30"/>
        <v>10</v>
      </c>
      <c r="EZ41" s="5" t="str">
        <f t="shared" si="31"/>
        <v>Nivel de riesgo alto</v>
      </c>
      <c r="FA41" s="5" t="s">
        <v>253</v>
      </c>
      <c r="FB41" s="5">
        <f t="shared" si="32"/>
        <v>0</v>
      </c>
      <c r="FC41" s="5" t="s">
        <v>253</v>
      </c>
      <c r="FD41" s="5">
        <f t="shared" si="33"/>
        <v>0</v>
      </c>
      <c r="FE41" s="5" t="s">
        <v>253</v>
      </c>
      <c r="FF41" s="5">
        <f t="shared" si="34"/>
        <v>0</v>
      </c>
      <c r="FG41" s="5">
        <f t="shared" si="35"/>
        <v>0</v>
      </c>
      <c r="FH41" s="5" t="str">
        <f t="shared" si="36"/>
        <v>Nivel de riesgo bajo</v>
      </c>
      <c r="FI41" s="5" t="s">
        <v>253</v>
      </c>
      <c r="FJ41" s="5">
        <f t="shared" si="37"/>
        <v>0</v>
      </c>
      <c r="FK41" s="5" t="s">
        <v>253</v>
      </c>
      <c r="FL41" s="5">
        <f t="shared" si="38"/>
        <v>0</v>
      </c>
      <c r="FM41" s="5" t="s">
        <v>253</v>
      </c>
      <c r="FN41" s="5">
        <f t="shared" si="39"/>
        <v>0</v>
      </c>
      <c r="FO41" s="5">
        <f t="shared" si="40"/>
        <v>0</v>
      </c>
      <c r="FP41" s="5" t="str">
        <f t="shared" si="41"/>
        <v>Nivel de riesgo bajo</v>
      </c>
      <c r="FQ41" s="5" t="s">
        <v>206</v>
      </c>
      <c r="FR41" s="5">
        <f t="shared" si="42"/>
        <v>0</v>
      </c>
      <c r="FS41" s="5" t="s">
        <v>206</v>
      </c>
      <c r="FT41" s="5">
        <f t="shared" si="43"/>
        <v>0</v>
      </c>
      <c r="FU41" s="5" t="s">
        <v>206</v>
      </c>
      <c r="FV41" s="5">
        <f t="shared" si="44"/>
        <v>0</v>
      </c>
      <c r="FW41" s="5" t="s">
        <v>206</v>
      </c>
      <c r="FX41" s="5">
        <f t="shared" si="45"/>
        <v>0</v>
      </c>
      <c r="FY41" s="5" t="s">
        <v>206</v>
      </c>
      <c r="FZ41" s="5">
        <f t="shared" si="46"/>
        <v>0</v>
      </c>
      <c r="GA41" s="5" t="s">
        <v>206</v>
      </c>
      <c r="GB41" s="5">
        <f t="shared" si="47"/>
        <v>0</v>
      </c>
      <c r="GC41" s="5" t="s">
        <v>206</v>
      </c>
      <c r="GD41" s="5">
        <f t="shared" si="48"/>
        <v>0</v>
      </c>
      <c r="GE41" s="5">
        <f t="shared" si="49"/>
        <v>0</v>
      </c>
      <c r="GF41" s="5" t="str">
        <f t="shared" si="50"/>
        <v>Nivel de riesgo bajo</v>
      </c>
      <c r="GG41" s="5" t="s">
        <v>255</v>
      </c>
      <c r="GH41" s="5" t="s">
        <v>273</v>
      </c>
      <c r="GI41" s="5" t="s">
        <v>255</v>
      </c>
      <c r="GJ41" s="5" t="s">
        <v>266</v>
      </c>
      <c r="GK41" s="5" t="s">
        <v>233</v>
      </c>
      <c r="GL41" s="5" t="s">
        <v>233</v>
      </c>
      <c r="GM41" s="5" t="s">
        <v>266</v>
      </c>
      <c r="GN41" s="5" t="s">
        <v>243</v>
      </c>
      <c r="GO41" s="5" t="s">
        <v>244</v>
      </c>
      <c r="GP41" s="5" t="s">
        <v>244</v>
      </c>
      <c r="GQ41" s="5" t="s">
        <v>257</v>
      </c>
      <c r="GR41" s="5" t="s">
        <v>257</v>
      </c>
      <c r="GS41" s="5" t="s">
        <v>244</v>
      </c>
      <c r="GT41" s="5" t="s">
        <v>257</v>
      </c>
      <c r="GU41" s="5" t="s">
        <v>363</v>
      </c>
      <c r="GV41" s="5" t="str">
        <f>TEXT("6272800256319825595","0")</f>
        <v>6272800256319820000</v>
      </c>
    </row>
    <row r="42" spans="1:204" ht="15.75" hidden="1" customHeight="1" x14ac:dyDescent="0.15">
      <c r="B42" s="4">
        <v>45840.550868055558</v>
      </c>
      <c r="C42" s="5" t="s">
        <v>204</v>
      </c>
      <c r="D42" s="5" t="s">
        <v>206</v>
      </c>
      <c r="F42" s="5" t="s">
        <v>206</v>
      </c>
      <c r="G42" s="5" t="s">
        <v>206</v>
      </c>
      <c r="H42" s="5" t="s">
        <v>206</v>
      </c>
      <c r="K42" s="5" t="s">
        <v>237</v>
      </c>
      <c r="P42" s="5" t="s">
        <v>237</v>
      </c>
      <c r="S42" s="5" t="s">
        <v>208</v>
      </c>
      <c r="X42" s="5" t="s">
        <v>208</v>
      </c>
      <c r="AC42" s="5" t="s">
        <v>208</v>
      </c>
      <c r="AH42" s="5" t="s">
        <v>275</v>
      </c>
      <c r="AI42" s="5">
        <v>2018</v>
      </c>
      <c r="AJ42" s="5" t="s">
        <v>293</v>
      </c>
      <c r="AK42" s="5"/>
      <c r="AR42" s="5" t="s">
        <v>261</v>
      </c>
      <c r="AS42" s="5" t="s">
        <v>261</v>
      </c>
      <c r="AT42" s="5" t="s">
        <v>241</v>
      </c>
      <c r="AU42" s="5" t="s">
        <v>294</v>
      </c>
      <c r="AV42" s="5" t="s">
        <v>213</v>
      </c>
      <c r="AW42" s="5" t="s">
        <v>206</v>
      </c>
      <c r="BF42" s="5" t="s">
        <v>204</v>
      </c>
      <c r="BG42" s="5" t="s">
        <v>215</v>
      </c>
      <c r="BH42" s="5" t="s">
        <v>264</v>
      </c>
      <c r="BI42" s="5" t="s">
        <v>207</v>
      </c>
      <c r="BJ42" s="5" t="s">
        <v>207</v>
      </c>
      <c r="BK42" s="5" t="s">
        <v>246</v>
      </c>
      <c r="BL42" s="5" t="s">
        <v>246</v>
      </c>
      <c r="BM42" s="5" t="s">
        <v>244</v>
      </c>
      <c r="BN42" s="5" t="s">
        <v>244</v>
      </c>
      <c r="BO42" s="5" t="s">
        <v>244</v>
      </c>
      <c r="BP42" s="5" t="s">
        <v>246</v>
      </c>
      <c r="BQ42" s="5" t="s">
        <v>244</v>
      </c>
      <c r="BR42" s="5" t="s">
        <v>244</v>
      </c>
      <c r="BS42" s="5" t="s">
        <v>247</v>
      </c>
      <c r="BT42" s="5" t="s">
        <v>232</v>
      </c>
      <c r="BU42" s="5" t="s">
        <v>247</v>
      </c>
      <c r="BV42" s="5" t="s">
        <v>248</v>
      </c>
      <c r="BW42" s="5" t="s">
        <v>247</v>
      </c>
      <c r="BX42" s="5" t="s">
        <v>247</v>
      </c>
      <c r="BY42" s="5" t="s">
        <v>247</v>
      </c>
      <c r="CD42" s="5" t="s">
        <v>206</v>
      </c>
      <c r="CH42" s="5" t="s">
        <v>206</v>
      </c>
      <c r="CI42" s="5" t="s">
        <v>249</v>
      </c>
      <c r="CJ42" s="5">
        <v>4</v>
      </c>
      <c r="CK42" s="5" t="s">
        <v>223</v>
      </c>
      <c r="CU42" s="5" t="s">
        <v>206</v>
      </c>
      <c r="DA42" s="5" t="s">
        <v>231</v>
      </c>
      <c r="DB42" s="5"/>
      <c r="DC42" s="5" t="s">
        <v>230</v>
      </c>
      <c r="DD42" s="5"/>
      <c r="DE42" s="5" t="s">
        <v>230</v>
      </c>
      <c r="DF42" s="5"/>
      <c r="DG42" s="5" t="s">
        <v>230</v>
      </c>
      <c r="DH42" s="5"/>
      <c r="DI42" s="5" t="s">
        <v>251</v>
      </c>
      <c r="DJ42" s="5"/>
      <c r="DK42" s="5" t="s">
        <v>251</v>
      </c>
      <c r="DL42" s="5"/>
      <c r="DM42" s="5" t="s">
        <v>251</v>
      </c>
      <c r="DN42" s="5"/>
      <c r="DO42" s="5" t="s">
        <v>281</v>
      </c>
      <c r="DP42" s="5"/>
      <c r="DQ42" s="5" t="s">
        <v>281</v>
      </c>
      <c r="DR42" s="5"/>
      <c r="DS42" s="5" t="s">
        <v>231</v>
      </c>
      <c r="DT42" s="5"/>
      <c r="DU42" s="5" t="s">
        <v>231</v>
      </c>
      <c r="DV42" s="5"/>
      <c r="DW42" s="5" t="s">
        <v>281</v>
      </c>
      <c r="DX42" s="5"/>
      <c r="DY42" s="5"/>
      <c r="DZ42" s="5"/>
      <c r="EA42" s="5" t="s">
        <v>247</v>
      </c>
      <c r="EB42" s="5"/>
      <c r="EC42" s="5" t="s">
        <v>248</v>
      </c>
      <c r="ED42" s="5"/>
      <c r="EE42" s="5" t="s">
        <v>248</v>
      </c>
      <c r="EF42" s="5"/>
      <c r="EG42" s="5"/>
      <c r="EH42" s="5"/>
      <c r="EI42" s="5" t="s">
        <v>247</v>
      </c>
      <c r="EJ42" s="5"/>
      <c r="EK42" s="5" t="s">
        <v>253</v>
      </c>
      <c r="EL42" s="5"/>
      <c r="EM42" s="5" t="s">
        <v>232</v>
      </c>
      <c r="EN42" s="5"/>
      <c r="EO42" s="5"/>
      <c r="EP42" s="5"/>
      <c r="EQ42" s="5" t="s">
        <v>253</v>
      </c>
      <c r="ER42" s="5"/>
      <c r="ES42" s="5" t="s">
        <v>253</v>
      </c>
      <c r="ET42" s="5"/>
      <c r="EU42" s="5" t="s">
        <v>253</v>
      </c>
      <c r="EV42" s="5"/>
      <c r="EW42" s="5" t="s">
        <v>253</v>
      </c>
      <c r="EX42" s="5"/>
      <c r="EY42" s="5"/>
      <c r="EZ42" s="5"/>
      <c r="FA42" s="5" t="s">
        <v>253</v>
      </c>
      <c r="FB42" s="5"/>
      <c r="FC42" s="5" t="s">
        <v>253</v>
      </c>
      <c r="FD42" s="5"/>
      <c r="FE42" s="5" t="s">
        <v>253</v>
      </c>
      <c r="FF42" s="5"/>
      <c r="FG42" s="5"/>
      <c r="FH42" s="5"/>
      <c r="FI42" s="5" t="s">
        <v>247</v>
      </c>
      <c r="FJ42" s="5"/>
      <c r="FK42" s="5" t="s">
        <v>247</v>
      </c>
      <c r="FL42" s="5"/>
      <c r="FM42" s="5" t="s">
        <v>247</v>
      </c>
      <c r="FN42" s="5"/>
      <c r="FO42" s="5"/>
      <c r="FP42" s="5"/>
      <c r="FQ42" s="5" t="s">
        <v>206</v>
      </c>
      <c r="FR42" s="5"/>
      <c r="FS42" s="5" t="s">
        <v>206</v>
      </c>
      <c r="FT42" s="5"/>
      <c r="FU42" s="5" t="s">
        <v>206</v>
      </c>
      <c r="FV42" s="5"/>
      <c r="FW42" s="5" t="s">
        <v>206</v>
      </c>
      <c r="FX42" s="5"/>
      <c r="FY42" s="5" t="s">
        <v>206</v>
      </c>
      <c r="FZ42" s="5"/>
      <c r="GA42" s="5" t="s">
        <v>206</v>
      </c>
      <c r="GB42" s="5"/>
      <c r="GC42" s="5" t="s">
        <v>206</v>
      </c>
      <c r="GD42" s="5"/>
      <c r="GE42" s="5"/>
      <c r="GF42" s="5"/>
      <c r="GG42" s="5" t="s">
        <v>255</v>
      </c>
      <c r="GH42" s="5" t="s">
        <v>255</v>
      </c>
      <c r="GI42" s="5" t="s">
        <v>255</v>
      </c>
      <c r="GJ42" s="5" t="s">
        <v>233</v>
      </c>
      <c r="GK42" s="5" t="s">
        <v>233</v>
      </c>
      <c r="GL42" s="5" t="s">
        <v>266</v>
      </c>
      <c r="GM42" s="5" t="s">
        <v>266</v>
      </c>
      <c r="GN42" s="5" t="s">
        <v>243</v>
      </c>
      <c r="GO42" s="5" t="s">
        <v>257</v>
      </c>
      <c r="GP42" s="5" t="s">
        <v>257</v>
      </c>
      <c r="GQ42" s="5" t="s">
        <v>257</v>
      </c>
      <c r="GR42" s="5" t="s">
        <v>244</v>
      </c>
      <c r="GS42" s="5" t="s">
        <v>244</v>
      </c>
      <c r="GT42" s="5" t="s">
        <v>257</v>
      </c>
      <c r="GU42" s="5" t="s">
        <v>364</v>
      </c>
      <c r="GV42" s="5" t="str">
        <f>TEXT("6272855950987230856","0")</f>
        <v>6272855950987230000</v>
      </c>
    </row>
    <row r="43" spans="1:204" ht="15.75" customHeight="1" x14ac:dyDescent="0.15">
      <c r="A43" s="1">
        <f>ROW(A43)</f>
        <v>43</v>
      </c>
      <c r="B43" s="4">
        <v>45840.690775462965</v>
      </c>
      <c r="C43" s="5" t="s">
        <v>204</v>
      </c>
      <c r="D43" s="5" t="s">
        <v>206</v>
      </c>
      <c r="F43" s="5" t="s">
        <v>206</v>
      </c>
      <c r="G43" s="5" t="s">
        <v>206</v>
      </c>
      <c r="H43" s="5" t="s">
        <v>206</v>
      </c>
      <c r="L43" s="5" t="s">
        <v>236</v>
      </c>
      <c r="Q43" s="5" t="s">
        <v>236</v>
      </c>
      <c r="U43" s="5" t="s">
        <v>237</v>
      </c>
      <c r="X43" s="5" t="s">
        <v>208</v>
      </c>
      <c r="AC43" s="5" t="s">
        <v>208</v>
      </c>
      <c r="AH43" s="5" t="s">
        <v>210</v>
      </c>
      <c r="AI43" s="5">
        <v>2021</v>
      </c>
      <c r="AJ43" s="5" t="s">
        <v>238</v>
      </c>
      <c r="AK43" s="5" t="str">
        <f>IF(OR(AJ43="Empleada del sector privado",AJ43="Empleada del sector público"),"Asalariada",
IF(AJ43="Trabajadora por cuenta propia","Trabajadora por cuenta propia",""))</f>
        <v>Trabajadora por cuenta propia</v>
      </c>
      <c r="AM43" s="5" t="s">
        <v>309</v>
      </c>
      <c r="AP43" s="5" t="s">
        <v>365</v>
      </c>
      <c r="AR43" s="5" t="s">
        <v>294</v>
      </c>
      <c r="AS43" s="5" t="s">
        <v>301</v>
      </c>
      <c r="AT43" s="5" t="s">
        <v>301</v>
      </c>
      <c r="AU43" s="5" t="s">
        <v>301</v>
      </c>
      <c r="AV43" s="5" t="s">
        <v>269</v>
      </c>
      <c r="AW43" s="5" t="s">
        <v>204</v>
      </c>
      <c r="AX43" s="5" t="s">
        <v>204</v>
      </c>
      <c r="AY43" s="5" t="s">
        <v>366</v>
      </c>
      <c r="AZ43" s="5" t="s">
        <v>204</v>
      </c>
      <c r="BA43" s="5" t="s">
        <v>263</v>
      </c>
      <c r="BF43" s="5" t="s">
        <v>204</v>
      </c>
      <c r="BG43" s="5" t="s">
        <v>278</v>
      </c>
      <c r="BH43" s="5" t="s">
        <v>242</v>
      </c>
      <c r="BI43" s="5" t="s">
        <v>278</v>
      </c>
      <c r="BJ43" s="5" t="s">
        <v>278</v>
      </c>
      <c r="BK43" s="5" t="s">
        <v>245</v>
      </c>
      <c r="BL43" s="5" t="s">
        <v>243</v>
      </c>
      <c r="BM43" s="5" t="s">
        <v>245</v>
      </c>
      <c r="BN43" s="5" t="s">
        <v>245</v>
      </c>
      <c r="BO43" s="5" t="s">
        <v>245</v>
      </c>
      <c r="BP43" s="5" t="s">
        <v>245</v>
      </c>
      <c r="BQ43" s="5" t="s">
        <v>245</v>
      </c>
      <c r="BR43" s="5" t="s">
        <v>245</v>
      </c>
      <c r="BS43" s="5" t="s">
        <v>254</v>
      </c>
      <c r="BT43" s="5" t="s">
        <v>254</v>
      </c>
      <c r="BU43" s="5" t="s">
        <v>232</v>
      </c>
      <c r="BV43" s="5" t="s">
        <v>232</v>
      </c>
      <c r="BW43" s="5" t="s">
        <v>254</v>
      </c>
      <c r="BX43" s="5" t="s">
        <v>254</v>
      </c>
      <c r="BY43" s="5" t="s">
        <v>232</v>
      </c>
      <c r="BZ43" s="5" t="s">
        <v>245</v>
      </c>
      <c r="CA43" s="5" t="s">
        <v>245</v>
      </c>
      <c r="CB43" s="5" t="s">
        <v>245</v>
      </c>
      <c r="CC43" s="5" t="s">
        <v>245</v>
      </c>
      <c r="CD43" s="5" t="s">
        <v>206</v>
      </c>
      <c r="CH43" s="5" t="s">
        <v>367</v>
      </c>
      <c r="CI43" s="5" t="s">
        <v>307</v>
      </c>
      <c r="CJ43" s="5">
        <v>2</v>
      </c>
      <c r="CK43" s="5" t="s">
        <v>223</v>
      </c>
      <c r="CU43" s="5" t="s">
        <v>206</v>
      </c>
      <c r="DA43" s="5" t="s">
        <v>229</v>
      </c>
      <c r="DB43" s="5">
        <f>IF(DA43="Mejor que lo habitual",1,
IF(DA43="Igual que lo habitual",2,
IF(DA43="Menos que lo habitual",3,
IF(DA43="Mucho menos que lo habitual",4,""))))</f>
        <v>4</v>
      </c>
      <c r="DC43" s="5" t="s">
        <v>280</v>
      </c>
      <c r="DD43" s="5">
        <f>IF(DC43="No, en absoluto",1,
IF(DC43="No más que lo habitual",2,
IF(DC43="Bastante más que lo habitual",3,
IF(DC43="Mucho más que lo habitual",4,""))))</f>
        <v>4</v>
      </c>
      <c r="DE43" s="5" t="s">
        <v>280</v>
      </c>
      <c r="DF43" s="5">
        <f>IF(DE43="No, en absoluto",1,
IF(DE43="No más que lo habitual",2,
IF(DE43="Bastante más que lo habitual",3,
IF(DE43="Mucho más que lo habitual",4,""))))</f>
        <v>4</v>
      </c>
      <c r="DG43" s="5" t="s">
        <v>280</v>
      </c>
      <c r="DH43" s="5">
        <f>IF(DG43="No, en absoluto",1,
IF(DG43="No más que lo habitual",2,
IF(DG43="Bastante más que lo habitual",3,
IF(DG43="Mucho más que lo habitual",4,""))))</f>
        <v>4</v>
      </c>
      <c r="DI43" s="5" t="s">
        <v>280</v>
      </c>
      <c r="DJ43" s="5">
        <f>IF(DI43="No, en absoluto",1,
IF(DI43="No más que lo habitual",2,
IF(DI43="Bastante más que lo habitual",3,
IF(DI43="Mucho más que lo habitual",4,""))))</f>
        <v>4</v>
      </c>
      <c r="DK43" s="5" t="s">
        <v>280</v>
      </c>
      <c r="DL43" s="5">
        <f>IF(DK43="No, en absoluto",1,
IF(DK43="No más que lo habitual",2,
IF(DK43="Bastante más que lo habitual",3,
IF(DK43="Mucho más que lo habitual",4,""))))</f>
        <v>4</v>
      </c>
      <c r="DM43" s="5" t="s">
        <v>280</v>
      </c>
      <c r="DN43" s="5">
        <f>IF(DM43="No, en absoluto",1,
IF(DM43="No más que lo habitual",2,
IF(DM43="Bastante más que lo habitual",3,
IF(DM43="Mucho más que lo habitual",4,""))))</f>
        <v>4</v>
      </c>
      <c r="DO43" s="5" t="s">
        <v>252</v>
      </c>
      <c r="DP43" s="5">
        <f>IF(DO43="Más que lo habitual",1,
IF(DO43="Igual que lo habitual",2,
IF(DO43="Menos que lo habitual",3,
IF(DO43="Mucho menos que lo habitual",4,""))))</f>
        <v>3</v>
      </c>
      <c r="DQ43" s="5" t="s">
        <v>252</v>
      </c>
      <c r="DR43" s="5">
        <f>IF(DQ43="Más que lo habitual",1,
IF(DQ43="Igual que lo habitual",2,
IF(DQ43="Menos que lo habitual",3,
IF(DQ43="Mucho menos que lo habitual",4,""))))</f>
        <v>3</v>
      </c>
      <c r="DS43" s="5" t="s">
        <v>229</v>
      </c>
      <c r="DT43" s="5">
        <f>IF(DS43="Más que lo habitual",1,
IF(DS43="Igual que lo habitual",2,
IF(DS43="Menos que lo habitual",3,
IF(DS43="Mucho menos que lo habitual",4,""))))</f>
        <v>4</v>
      </c>
      <c r="DU43" s="5" t="s">
        <v>229</v>
      </c>
      <c r="DV43" s="5">
        <f>IF(DU43="Más que lo habitual",1,
IF(DU43="Igual que lo habitual",2,
IF(DU43="Menos que lo habitual",3,
IF(DU43="Mucho menos que lo habitual",4,""))))</f>
        <v>4</v>
      </c>
      <c r="DW43" s="5" t="s">
        <v>252</v>
      </c>
      <c r="DX43" s="5">
        <f>IF(DW43="Más que lo habitual",1,
IF(DW43="Igual que lo habitual",2,
IF(DW43="Menos que lo habitual",3,
IF(DW43="Mucho menos que lo habitual",4,""))))</f>
        <v>3</v>
      </c>
      <c r="DY43" s="5">
        <f>SUM(DB43,DD43,DF43,DH43,DJ43,DL43,DN43,DP43,DR43,DT43,DV43,DX43)</f>
        <v>45</v>
      </c>
      <c r="DZ43" s="5" t="str">
        <f>IF(DY43&lt;=18,"Nivel de riesgo bajo",
IF(DY43&lt;=23,"Nivel de riesgo medio",
"Nivel de riesgo alto"))</f>
        <v>Nivel de riesgo alto</v>
      </c>
      <c r="EA43" s="5" t="s">
        <v>253</v>
      </c>
      <c r="EB43" s="5">
        <f>IF(EA43="Nunca/ casi nunca",0,
IF(EA43="Rara vez",1,
IF(EA43="A veces",2,
IF(EA43="A menudo",3,
IF(EA43="Siempre",4,"")))))</f>
        <v>0</v>
      </c>
      <c r="EC43" s="5" t="s">
        <v>232</v>
      </c>
      <c r="ED43" s="5">
        <f>IF(EC43="Nunca/ casi nunca",0,
IF(EC43="Rara vez",1,
IF(EC43="A veces",2,
IF(EC43="A menudo",3,
IF(EC43="Siempre",4,"")))))</f>
        <v>3</v>
      </c>
      <c r="EE43" s="5" t="s">
        <v>232</v>
      </c>
      <c r="EF43" s="5">
        <f>IF(EE43="Nunca/ casi nunca",0,
IF(EE43="Rara vez",1,
IF(EE43="A veces",2,
IF(EE43="A menudo",3,
IF(EE43="Siempre",4,"")))))</f>
        <v>3</v>
      </c>
      <c r="EG43" s="5">
        <f>SUM(EB43,ED43,EF43)</f>
        <v>6</v>
      </c>
      <c r="EH43" s="5" t="str">
        <f>IF(EG43&lt;=1,"Nivel de riesgo bajo",
IF(EG43&lt;=4,"Nivel de riesgo medio",
"Nivel de riesgo alto"))</f>
        <v>Nivel de riesgo alto</v>
      </c>
      <c r="EI43" s="5" t="s">
        <v>248</v>
      </c>
      <c r="EJ43" s="5">
        <f>IF(EI43="Nunca/ casi nunca",0,
IF(EI43="Rara vez",1,
IF(EI43="A veces",2,
IF(EI43="A menudo",3,
IF(EI43="Siempre",4,"")))))</f>
        <v>1</v>
      </c>
      <c r="EK43" s="5" t="s">
        <v>254</v>
      </c>
      <c r="EL43" s="5">
        <f>IF(EK43="Nunca/ casi nunca",0,
IF(EK43="Rara vez",1,
IF(EK43="A veces",2,
IF(EK43="A menudo",3,
IF(EK43="Siempre",4,"")))))</f>
        <v>4</v>
      </c>
      <c r="EM43" s="5" t="s">
        <v>254</v>
      </c>
      <c r="EN43" s="5">
        <f>IF(EM43="Nunca/ casi nunca",0,
IF(EM43="Rara vez",1,
IF(EM43="A veces",2,
IF(EM43="A menudo",3,
IF(EM43="Siempre",4,"")))))</f>
        <v>4</v>
      </c>
      <c r="EO43" s="5">
        <f>SUM(EJ43,EL43,EN43)</f>
        <v>9</v>
      </c>
      <c r="EP43" s="5" t="str">
        <f>IF(EO43&lt;=1,"Nivel de riesgo bajo",
IF(EO43&lt;=5,"Nivel de riesgo medio",
"Nivel de riesgo alto"))</f>
        <v>Nivel de riesgo alto</v>
      </c>
      <c r="EQ43" s="5" t="s">
        <v>253</v>
      </c>
      <c r="ER43" s="5">
        <f>IF(EQ43="Nunca/ casi nunca",4,
IF(EQ43="Rara vez",3,
IF(EQ43="A veces",2,
IF(EQ43="A menudo",1,
IF(EQ43="Siempre",0,"")))))</f>
        <v>4</v>
      </c>
      <c r="ES43" s="5" t="s">
        <v>254</v>
      </c>
      <c r="ET43" s="5">
        <f>IF(ES43="Nunca/ casi nunca",4,
IF(ES43="Rara vez",3,
IF(ES43="A veces",2,
IF(ES43="A menudo",1,
IF(ES43="Siempre",0,"")))))</f>
        <v>0</v>
      </c>
      <c r="EU43" s="5" t="s">
        <v>254</v>
      </c>
      <c r="EV43" s="5">
        <f>IF(EU43="Nunca/ casi nunca",4,
IF(EU43="Rara vez",3,
IF(EU43="A veces",2,
IF(EU43="A menudo",1,
IF(EU43="Siempre",0,"")))))</f>
        <v>0</v>
      </c>
      <c r="EW43" s="5" t="s">
        <v>232</v>
      </c>
      <c r="EX43" s="5">
        <f>IF(EW43="Nunca/ casi nunca",4,
IF(EW43="Rara vez",3,
IF(EW43="A veces",2,
IF(EW43="A menudo",1,
IF(EW43="Siempre",0,"")))))</f>
        <v>1</v>
      </c>
      <c r="EY43" s="5">
        <f>SUM(ER43,ET43,EV43,EX43)</f>
        <v>5</v>
      </c>
      <c r="EZ43" s="5" t="str">
        <f>IF(EY43&lt;=0,"Nivel de riesgo bajo",
IF(EY43&lt;=4,"Nivel de riesgo medio",
"Nivel de riesgo alto"))</f>
        <v>Nivel de riesgo alto</v>
      </c>
      <c r="FA43" s="5" t="s">
        <v>232</v>
      </c>
      <c r="FB43" s="5">
        <f>IF(FA43="Nunca/ casi nunca",0,
IF(FA43="Rara vez",1,
IF(FA43="A veces",2,
IF(FA43="A menudo",3,
IF(FA43="Siempre",4,"")))))</f>
        <v>3</v>
      </c>
      <c r="FC43" s="5" t="s">
        <v>253</v>
      </c>
      <c r="FD43" s="5">
        <f>IF(FC43="Nunca/ casi nunca",0,
IF(FC43="Rara vez",1,
IF(FC43="A veces",2,
IF(FC43="A menudo",3,
IF(FC43="Siempre",4,"")))))</f>
        <v>0</v>
      </c>
      <c r="FE43" s="5" t="s">
        <v>253</v>
      </c>
      <c r="FF43" s="5">
        <f>IF(FE43="Nunca/ casi nunca",0,
IF(FE43="Rara vez",1,
IF(FE43="A veces",2,
IF(FE43="A menudo",3,
IF(FE43="Siempre",4,"")))))</f>
        <v>0</v>
      </c>
      <c r="FG43" s="5">
        <f>SUM(FB43,FD43,FF43)</f>
        <v>3</v>
      </c>
      <c r="FH43" s="5" t="str">
        <f>IF(FG43&lt;=2,"Nivel de riesgo bajo",
IF(FG43&lt;=5,"Nivel de riesgo medio",
"Nivel de riesgo alto"))</f>
        <v>Nivel de riesgo medio</v>
      </c>
      <c r="FI43" s="5" t="s">
        <v>254</v>
      </c>
      <c r="FJ43" s="5">
        <f>IF(FI43="Nunca/ casi nunca",0,
IF(FI43="Rara vez",1,
IF(FI43="A veces",2,
IF(FI43="A menudo",3,
IF(FI43="Siempre",4,"")))))</f>
        <v>4</v>
      </c>
      <c r="FK43" s="5" t="s">
        <v>254</v>
      </c>
      <c r="FL43" s="5">
        <f>IF(FK43="Nunca/ casi nunca",0,
IF(FK43="Rara vez",1,
IF(FK43="A veces",2,
IF(FK43="A menudo",3,
IF(FK43="Siempre",4,"")))))</f>
        <v>4</v>
      </c>
      <c r="FM43" s="5" t="s">
        <v>247</v>
      </c>
      <c r="FN43" s="5">
        <f>IF(FM43="Nunca/ casi nunca",0,
IF(FM43="Rara vez",1,
IF(FM43="A veces",2,
IF(FM43="A menudo",3,
IF(FM43="Siempre",4,"")))))</f>
        <v>2</v>
      </c>
      <c r="FO43" s="5">
        <f>SUM(FJ43,FL43,FN43)</f>
        <v>10</v>
      </c>
      <c r="FP43" s="5" t="str">
        <f>IF(FO43&lt;=2,"Nivel de riesgo bajo",
IF(FO43&lt;=5,"Nivel de riesgo medio",
"Nivel de riesgo alto"))</f>
        <v>Nivel de riesgo alto</v>
      </c>
      <c r="FQ43" s="5" t="s">
        <v>265</v>
      </c>
      <c r="FR43" s="5">
        <f>IF(FQ43="No",0,
IF(FQ43="Sí, unas pocas veces",1,
IF(FQ43="Sí, mensualmente",2,
IF(FQ43="Sí, semanalmente",3,
IF(FQ43="Sí, diariamente",4,"")))))</f>
        <v>1</v>
      </c>
      <c r="FS43" s="5" t="s">
        <v>206</v>
      </c>
      <c r="FT43" s="5">
        <f>IF(FS43="No",0,
IF(FS43="Sí, unas pocas veces",1,
IF(FS43="Sí, mensualmente",2,
IF(FS43="Sí, semanalmente",3,
IF(FS43="Sí, diariamente",4,"")))))</f>
        <v>0</v>
      </c>
      <c r="FU43" s="5" t="s">
        <v>206</v>
      </c>
      <c r="FV43" s="5">
        <f>IF(FU43="No",0,
IF(FU43="Sí, unas pocas veces",1,
IF(FU43="Sí, mensualmente",2,
IF(FU43="Sí, semanalmente",3,
IF(FU43="Sí, diariamente",4,"")))))</f>
        <v>0</v>
      </c>
      <c r="FW43" s="5" t="s">
        <v>206</v>
      </c>
      <c r="FX43" s="5">
        <f>IF(FW43="No",0,
IF(FW43="Sí, unas pocas veces",1,
IF(FW43="Sí, mensualmente",2,
IF(FW43="Sí, semanalmente",3,
IF(FW43="Sí, diariamente",4,"")))))</f>
        <v>0</v>
      </c>
      <c r="FY43" s="5" t="s">
        <v>206</v>
      </c>
      <c r="FZ43" s="5">
        <f>IF(FY43="No",0,
IF(FY43="Sí, unas pocas veces",1,
IF(FY43="Sí, mensualmente",2,
IF(FY43="Sí, semanalmente",3,
IF(FY43="Sí, diariamente",4,"")))))</f>
        <v>0</v>
      </c>
      <c r="GA43" s="5" t="s">
        <v>206</v>
      </c>
      <c r="GB43" s="5">
        <f>IF(GA43="No",0,
IF(GA43="Sí, unas pocas veces",1,
IF(GA43="Sí, mensualmente",2,
IF(GA43="Sí, semanalmente",3,
IF(GA43="Sí, diariamente",4,"")))))</f>
        <v>0</v>
      </c>
      <c r="GC43" s="5" t="s">
        <v>206</v>
      </c>
      <c r="GD43" s="5">
        <f>IF(GC43="No",0,
IF(GC43="Sí, unas pocas veces",1,
IF(GC43="Sí, mensualmente",2,
IF(GC43="Sí, semanalmente",3,
IF(GC43="Sí, diariamente",4,"")))))</f>
        <v>0</v>
      </c>
      <c r="GE43" s="5">
        <f>SUM(FR43,FT43,FV43,FX43,FZ43,GB43,GD43)</f>
        <v>1</v>
      </c>
      <c r="GF43" s="5" t="str">
        <f>IF(GE43&lt;=0,"Nivel de riesgo bajo",
IF(GE43&lt;=14,"Nivel de riesgo medio",
"Nivel de riesgo alto"))</f>
        <v>Nivel de riesgo medio</v>
      </c>
      <c r="GG43" s="5" t="s">
        <v>255</v>
      </c>
      <c r="GH43" s="5" t="s">
        <v>255</v>
      </c>
      <c r="GI43" s="5" t="s">
        <v>266</v>
      </c>
      <c r="GJ43" s="5" t="s">
        <v>266</v>
      </c>
      <c r="GK43" s="5" t="s">
        <v>233</v>
      </c>
      <c r="GL43" s="5" t="s">
        <v>298</v>
      </c>
      <c r="GM43" s="5" t="s">
        <v>298</v>
      </c>
      <c r="GN43" s="5" t="s">
        <v>243</v>
      </c>
      <c r="GO43" s="5" t="s">
        <v>234</v>
      </c>
      <c r="GP43" s="5" t="s">
        <v>234</v>
      </c>
      <c r="GQ43" s="5" t="s">
        <v>234</v>
      </c>
      <c r="GR43" s="5" t="s">
        <v>234</v>
      </c>
      <c r="GS43" s="5" t="s">
        <v>234</v>
      </c>
      <c r="GT43" s="5" t="s">
        <v>256</v>
      </c>
      <c r="GU43" s="5" t="s">
        <v>368</v>
      </c>
      <c r="GV43" s="5" t="str">
        <f>TEXT("6272976833011850939","0")</f>
        <v>6272976833011850000</v>
      </c>
    </row>
    <row r="44" spans="1:204" ht="15.75" customHeight="1" x14ac:dyDescent="0.15">
      <c r="A44" s="1">
        <f>ROW(A44)</f>
        <v>44</v>
      </c>
      <c r="B44" s="4">
        <v>45841.418310185189</v>
      </c>
      <c r="C44" s="5" t="s">
        <v>204</v>
      </c>
      <c r="D44" s="5" t="s">
        <v>206</v>
      </c>
      <c r="F44" s="5" t="s">
        <v>206</v>
      </c>
      <c r="G44" s="5" t="s">
        <v>204</v>
      </c>
      <c r="H44" s="5" t="s">
        <v>206</v>
      </c>
      <c r="K44" s="5" t="s">
        <v>237</v>
      </c>
      <c r="P44" s="5" t="s">
        <v>237</v>
      </c>
      <c r="T44" s="5" t="s">
        <v>209</v>
      </c>
      <c r="X44" s="5" t="s">
        <v>208</v>
      </c>
      <c r="Y44" s="5" t="s">
        <v>209</v>
      </c>
      <c r="AG44" s="5" t="s">
        <v>207</v>
      </c>
      <c r="AH44" s="5" t="s">
        <v>275</v>
      </c>
      <c r="AI44" s="5">
        <v>2023</v>
      </c>
      <c r="AJ44" s="5" t="s">
        <v>238</v>
      </c>
      <c r="AK44" s="5" t="str">
        <f>IF(OR(AJ44="Empleada del sector privado",AJ44="Empleada del sector público"),"Asalariada",
IF(AJ44="Trabajadora por cuenta propia","Trabajadora por cuenta propia",""))</f>
        <v>Trabajadora por cuenta propia</v>
      </c>
      <c r="AL44" s="5" t="s">
        <v>239</v>
      </c>
      <c r="AP44" s="5" t="s">
        <v>284</v>
      </c>
      <c r="AR44" s="5" t="s">
        <v>241</v>
      </c>
      <c r="AS44" s="5" t="s">
        <v>241</v>
      </c>
      <c r="AT44" s="5" t="s">
        <v>261</v>
      </c>
      <c r="AU44" s="5" t="s">
        <v>261</v>
      </c>
      <c r="AV44" s="5" t="s">
        <v>213</v>
      </c>
      <c r="AW44" s="5" t="s">
        <v>206</v>
      </c>
      <c r="BF44" s="5" t="s">
        <v>204</v>
      </c>
      <c r="BG44" s="5" t="s">
        <v>278</v>
      </c>
      <c r="BH44" s="5" t="s">
        <v>278</v>
      </c>
      <c r="BI44" s="5" t="s">
        <v>207</v>
      </c>
      <c r="BJ44" s="5" t="s">
        <v>207</v>
      </c>
      <c r="BK44" s="5" t="s">
        <v>243</v>
      </c>
      <c r="BL44" s="5" t="s">
        <v>245</v>
      </c>
      <c r="BM44" s="5" t="s">
        <v>245</v>
      </c>
      <c r="BN44" s="5" t="s">
        <v>243</v>
      </c>
      <c r="BO44" s="5" t="s">
        <v>246</v>
      </c>
      <c r="BP44" s="5" t="s">
        <v>243</v>
      </c>
      <c r="BQ44" s="5" t="s">
        <v>243</v>
      </c>
      <c r="BR44" s="5" t="s">
        <v>245</v>
      </c>
      <c r="BS44" s="5" t="s">
        <v>217</v>
      </c>
      <c r="BT44" s="5" t="s">
        <v>217</v>
      </c>
      <c r="BU44" s="5" t="s">
        <v>217</v>
      </c>
      <c r="BV44" s="5" t="s">
        <v>217</v>
      </c>
      <c r="BW44" s="5" t="s">
        <v>254</v>
      </c>
      <c r="BX44" s="5" t="s">
        <v>254</v>
      </c>
      <c r="BY44" s="5" t="s">
        <v>248</v>
      </c>
      <c r="CD44" s="5" t="s">
        <v>206</v>
      </c>
      <c r="CH44" s="5" t="s">
        <v>369</v>
      </c>
      <c r="CI44" s="5" t="s">
        <v>332</v>
      </c>
      <c r="CJ44" s="5">
        <v>3</v>
      </c>
      <c r="CK44" s="5" t="s">
        <v>223</v>
      </c>
      <c r="CU44" s="5" t="s">
        <v>206</v>
      </c>
      <c r="DA44" s="5" t="s">
        <v>252</v>
      </c>
      <c r="DB44" s="5">
        <f>IF(DA44="Mejor que lo habitual",1,
IF(DA44="Igual que lo habitual",2,
IF(DA44="Menos que lo habitual",3,
IF(DA44="Mucho menos que lo habitual",4,""))))</f>
        <v>3</v>
      </c>
      <c r="DC44" s="5" t="s">
        <v>230</v>
      </c>
      <c r="DD44" s="5">
        <f>IF(DC44="No, en absoluto",1,
IF(DC44="No más que lo habitual",2,
IF(DC44="Bastante más que lo habitual",3,
IF(DC44="Mucho más que lo habitual",4,""))))</f>
        <v>2</v>
      </c>
      <c r="DE44" s="5" t="s">
        <v>250</v>
      </c>
      <c r="DF44" s="5">
        <f>IF(DE44="No, en absoluto",1,
IF(DE44="No más que lo habitual",2,
IF(DE44="Bastante más que lo habitual",3,
IF(DE44="Mucho más que lo habitual",4,""))))</f>
        <v>3</v>
      </c>
      <c r="DG44" s="5" t="s">
        <v>251</v>
      </c>
      <c r="DH44" s="5">
        <f>IF(DG44="No, en absoluto",1,
IF(DG44="No más que lo habitual",2,
IF(DG44="Bastante más que lo habitual",3,
IF(DG44="Mucho más que lo habitual",4,""))))</f>
        <v>1</v>
      </c>
      <c r="DI44" s="5" t="s">
        <v>230</v>
      </c>
      <c r="DJ44" s="5">
        <f>IF(DI44="No, en absoluto",1,
IF(DI44="No más que lo habitual",2,
IF(DI44="Bastante más que lo habitual",3,
IF(DI44="Mucho más que lo habitual",4,""))))</f>
        <v>2</v>
      </c>
      <c r="DK44" s="5" t="s">
        <v>230</v>
      </c>
      <c r="DL44" s="5">
        <f>IF(DK44="No, en absoluto",1,
IF(DK44="No más que lo habitual",2,
IF(DK44="Bastante más que lo habitual",3,
IF(DK44="Mucho más que lo habitual",4,""))))</f>
        <v>2</v>
      </c>
      <c r="DM44" s="5" t="s">
        <v>251</v>
      </c>
      <c r="DN44" s="5">
        <f>IF(DM44="No, en absoluto",1,
IF(DM44="No más que lo habitual",2,
IF(DM44="Bastante más que lo habitual",3,
IF(DM44="Mucho más que lo habitual",4,""))))</f>
        <v>1</v>
      </c>
      <c r="DO44" s="5" t="s">
        <v>281</v>
      </c>
      <c r="DP44" s="5">
        <f>IF(DO44="Más que lo habitual",1,
IF(DO44="Igual que lo habitual",2,
IF(DO44="Menos que lo habitual",3,
IF(DO44="Mucho menos que lo habitual",4,""))))</f>
        <v>1</v>
      </c>
      <c r="DQ44" s="5" t="s">
        <v>281</v>
      </c>
      <c r="DR44" s="5">
        <f>IF(DQ44="Más que lo habitual",1,
IF(DQ44="Igual que lo habitual",2,
IF(DQ44="Menos que lo habitual",3,
IF(DQ44="Mucho menos que lo habitual",4,""))))</f>
        <v>1</v>
      </c>
      <c r="DS44" s="5" t="s">
        <v>252</v>
      </c>
      <c r="DT44" s="5">
        <f>IF(DS44="Más que lo habitual",1,
IF(DS44="Igual que lo habitual",2,
IF(DS44="Menos que lo habitual",3,
IF(DS44="Mucho menos que lo habitual",4,""))))</f>
        <v>3</v>
      </c>
      <c r="DU44" s="5" t="s">
        <v>281</v>
      </c>
      <c r="DV44" s="5">
        <f>IF(DU44="Más que lo habitual",1,
IF(DU44="Igual que lo habitual",2,
IF(DU44="Menos que lo habitual",3,
IF(DU44="Mucho menos que lo habitual",4,""))))</f>
        <v>1</v>
      </c>
      <c r="DW44" s="5" t="s">
        <v>231</v>
      </c>
      <c r="DX44" s="5">
        <f>IF(DW44="Más que lo habitual",1,
IF(DW44="Igual que lo habitual",2,
IF(DW44="Menos que lo habitual",3,
IF(DW44="Mucho menos que lo habitual",4,""))))</f>
        <v>2</v>
      </c>
      <c r="DY44" s="5">
        <f>SUM(DB44,DD44,DF44,DH44,DJ44,DL44,DN44,DP44,DR44,DT44,DV44,DX44)</f>
        <v>22</v>
      </c>
      <c r="DZ44" s="5" t="str">
        <f>IF(DY44&lt;=18,"Nivel de riesgo bajo",
IF(DY44&lt;=23,"Nivel de riesgo medio",
"Nivel de riesgo alto"))</f>
        <v>Nivel de riesgo medio</v>
      </c>
      <c r="EA44" s="5" t="s">
        <v>247</v>
      </c>
      <c r="EB44" s="5">
        <f>IF(EA44="Nunca/ casi nunca",0,
IF(EA44="Rara vez",1,
IF(EA44="A veces",2,
IF(EA44="A menudo",3,
IF(EA44="Siempre",4,"")))))</f>
        <v>2</v>
      </c>
      <c r="EC44" s="5" t="s">
        <v>247</v>
      </c>
      <c r="ED44" s="5">
        <f>IF(EC44="Nunca/ casi nunca",0,
IF(EC44="Rara vez",1,
IF(EC44="A veces",2,
IF(EC44="A menudo",3,
IF(EC44="Siempre",4,"")))))</f>
        <v>2</v>
      </c>
      <c r="EE44" s="5" t="s">
        <v>247</v>
      </c>
      <c r="EF44" s="5">
        <f>IF(EE44="Nunca/ casi nunca",0,
IF(EE44="Rara vez",1,
IF(EE44="A veces",2,
IF(EE44="A menudo",3,
IF(EE44="Siempre",4,"")))))</f>
        <v>2</v>
      </c>
      <c r="EG44" s="5">
        <f>SUM(EB44,ED44,EF44)</f>
        <v>6</v>
      </c>
      <c r="EH44" s="5" t="str">
        <f>IF(EG44&lt;=1,"Nivel de riesgo bajo",
IF(EG44&lt;=4,"Nivel de riesgo medio",
"Nivel de riesgo alto"))</f>
        <v>Nivel de riesgo alto</v>
      </c>
      <c r="EI44" s="5" t="s">
        <v>253</v>
      </c>
      <c r="EJ44" s="5">
        <f>IF(EI44="Nunca/ casi nunca",0,
IF(EI44="Rara vez",1,
IF(EI44="A veces",2,
IF(EI44="A menudo",3,
IF(EI44="Siempre",4,"")))))</f>
        <v>0</v>
      </c>
      <c r="EK44" s="5" t="s">
        <v>248</v>
      </c>
      <c r="EL44" s="5">
        <f>IF(EK44="Nunca/ casi nunca",0,
IF(EK44="Rara vez",1,
IF(EK44="A veces",2,
IF(EK44="A menudo",3,
IF(EK44="Siempre",4,"")))))</f>
        <v>1</v>
      </c>
      <c r="EM44" s="5" t="s">
        <v>248</v>
      </c>
      <c r="EN44" s="5">
        <f>IF(EM44="Nunca/ casi nunca",0,
IF(EM44="Rara vez",1,
IF(EM44="A veces",2,
IF(EM44="A menudo",3,
IF(EM44="Siempre",4,"")))))</f>
        <v>1</v>
      </c>
      <c r="EO44" s="5">
        <f>SUM(EJ44,EL44,EN44)</f>
        <v>2</v>
      </c>
      <c r="EP44" s="5" t="str">
        <f>IF(EO44&lt;=1,"Nivel de riesgo bajo",
IF(EO44&lt;=5,"Nivel de riesgo medio",
"Nivel de riesgo alto"))</f>
        <v>Nivel de riesgo medio</v>
      </c>
      <c r="EQ44" s="5" t="s">
        <v>253</v>
      </c>
      <c r="ER44" s="5">
        <f>IF(EQ44="Nunca/ casi nunca",4,
IF(EQ44="Rara vez",3,
IF(EQ44="A veces",2,
IF(EQ44="A menudo",1,
IF(EQ44="Siempre",0,"")))))</f>
        <v>4</v>
      </c>
      <c r="ES44" s="5" t="s">
        <v>253</v>
      </c>
      <c r="ET44" s="5">
        <f>IF(ES44="Nunca/ casi nunca",4,
IF(ES44="Rara vez",3,
IF(ES44="A veces",2,
IF(ES44="A menudo",1,
IF(ES44="Siempre",0,"")))))</f>
        <v>4</v>
      </c>
      <c r="EU44" s="5" t="s">
        <v>253</v>
      </c>
      <c r="EV44" s="5">
        <f>IF(EU44="Nunca/ casi nunca",4,
IF(EU44="Rara vez",3,
IF(EU44="A veces",2,
IF(EU44="A menudo",1,
IF(EU44="Siempre",0,"")))))</f>
        <v>4</v>
      </c>
      <c r="EW44" s="5" t="s">
        <v>253</v>
      </c>
      <c r="EX44" s="5">
        <f>IF(EW44="Nunca/ casi nunca",4,
IF(EW44="Rara vez",3,
IF(EW44="A veces",2,
IF(EW44="A menudo",1,
IF(EW44="Siempre",0,"")))))</f>
        <v>4</v>
      </c>
      <c r="EY44" s="5">
        <f>SUM(ER44,ET44,EV44,EX44)</f>
        <v>16</v>
      </c>
      <c r="EZ44" s="5" t="str">
        <f>IF(EY44&lt;=0,"Nivel de riesgo bajo",
IF(EY44&lt;=4,"Nivel de riesgo medio",
"Nivel de riesgo alto"))</f>
        <v>Nivel de riesgo alto</v>
      </c>
      <c r="FA44" s="5" t="s">
        <v>253</v>
      </c>
      <c r="FB44" s="5">
        <f>IF(FA44="Nunca/ casi nunca",0,
IF(FA44="Rara vez",1,
IF(FA44="A veces",2,
IF(FA44="A menudo",3,
IF(FA44="Siempre",4,"")))))</f>
        <v>0</v>
      </c>
      <c r="FC44" s="5" t="s">
        <v>253</v>
      </c>
      <c r="FD44" s="5">
        <f>IF(FC44="Nunca/ casi nunca",0,
IF(FC44="Rara vez",1,
IF(FC44="A veces",2,
IF(FC44="A menudo",3,
IF(FC44="Siempre",4,"")))))</f>
        <v>0</v>
      </c>
      <c r="FE44" s="5" t="s">
        <v>253</v>
      </c>
      <c r="FF44" s="5">
        <f>IF(FE44="Nunca/ casi nunca",0,
IF(FE44="Rara vez",1,
IF(FE44="A veces",2,
IF(FE44="A menudo",3,
IF(FE44="Siempre",4,"")))))</f>
        <v>0</v>
      </c>
      <c r="FG44" s="5">
        <f>SUM(FB44,FD44,FF44)</f>
        <v>0</v>
      </c>
      <c r="FH44" s="5" t="str">
        <f>IF(FG44&lt;=2,"Nivel de riesgo bajo",
IF(FG44&lt;=5,"Nivel de riesgo medio",
"Nivel de riesgo alto"))</f>
        <v>Nivel de riesgo bajo</v>
      </c>
      <c r="FI44" s="5" t="s">
        <v>253</v>
      </c>
      <c r="FJ44" s="5">
        <f>IF(FI44="Nunca/ casi nunca",0,
IF(FI44="Rara vez",1,
IF(FI44="A veces",2,
IF(FI44="A menudo",3,
IF(FI44="Siempre",4,"")))))</f>
        <v>0</v>
      </c>
      <c r="FK44" s="5" t="s">
        <v>253</v>
      </c>
      <c r="FL44" s="5">
        <f>IF(FK44="Nunca/ casi nunca",0,
IF(FK44="Rara vez",1,
IF(FK44="A veces",2,
IF(FK44="A menudo",3,
IF(FK44="Siempre",4,"")))))</f>
        <v>0</v>
      </c>
      <c r="FM44" s="5" t="s">
        <v>253</v>
      </c>
      <c r="FN44" s="5">
        <f>IF(FM44="Nunca/ casi nunca",0,
IF(FM44="Rara vez",1,
IF(FM44="A veces",2,
IF(FM44="A menudo",3,
IF(FM44="Siempre",4,"")))))</f>
        <v>0</v>
      </c>
      <c r="FO44" s="5">
        <f>SUM(FJ44,FL44,FN44)</f>
        <v>0</v>
      </c>
      <c r="FP44" s="5" t="str">
        <f>IF(FO44&lt;=2,"Nivel de riesgo bajo",
IF(FO44&lt;=5,"Nivel de riesgo medio",
"Nivel de riesgo alto"))</f>
        <v>Nivel de riesgo bajo</v>
      </c>
      <c r="FQ44" s="5" t="s">
        <v>265</v>
      </c>
      <c r="FR44" s="5">
        <f>IF(FQ44="No",0,
IF(FQ44="Sí, unas pocas veces",1,
IF(FQ44="Sí, mensualmente",2,
IF(FQ44="Sí, semanalmente",3,
IF(FQ44="Sí, diariamente",4,"")))))</f>
        <v>1</v>
      </c>
      <c r="FS44" s="5" t="s">
        <v>206</v>
      </c>
      <c r="FT44" s="5">
        <f>IF(FS44="No",0,
IF(FS44="Sí, unas pocas veces",1,
IF(FS44="Sí, mensualmente",2,
IF(FS44="Sí, semanalmente",3,
IF(FS44="Sí, diariamente",4,"")))))</f>
        <v>0</v>
      </c>
      <c r="FU44" s="5" t="s">
        <v>206</v>
      </c>
      <c r="FV44" s="5">
        <f>IF(FU44="No",0,
IF(FU44="Sí, unas pocas veces",1,
IF(FU44="Sí, mensualmente",2,
IF(FU44="Sí, semanalmente",3,
IF(FU44="Sí, diariamente",4,"")))))</f>
        <v>0</v>
      </c>
      <c r="FW44" s="5" t="s">
        <v>206</v>
      </c>
      <c r="FX44" s="5">
        <f>IF(FW44="No",0,
IF(FW44="Sí, unas pocas veces",1,
IF(FW44="Sí, mensualmente",2,
IF(FW44="Sí, semanalmente",3,
IF(FW44="Sí, diariamente",4,"")))))</f>
        <v>0</v>
      </c>
      <c r="FY44" s="5" t="s">
        <v>206</v>
      </c>
      <c r="FZ44" s="5">
        <f>IF(FY44="No",0,
IF(FY44="Sí, unas pocas veces",1,
IF(FY44="Sí, mensualmente",2,
IF(FY44="Sí, semanalmente",3,
IF(FY44="Sí, diariamente",4,"")))))</f>
        <v>0</v>
      </c>
      <c r="GA44" s="5" t="s">
        <v>206</v>
      </c>
      <c r="GB44" s="5">
        <f>IF(GA44="No",0,
IF(GA44="Sí, unas pocas veces",1,
IF(GA44="Sí, mensualmente",2,
IF(GA44="Sí, semanalmente",3,
IF(GA44="Sí, diariamente",4,"")))))</f>
        <v>0</v>
      </c>
      <c r="GC44" s="5" t="s">
        <v>206</v>
      </c>
      <c r="GD44" s="5">
        <f>IF(GC44="No",0,
IF(GC44="Sí, unas pocas veces",1,
IF(GC44="Sí, mensualmente",2,
IF(GC44="Sí, semanalmente",3,
IF(GC44="Sí, diariamente",4,"")))))</f>
        <v>0</v>
      </c>
      <c r="GE44" s="5">
        <f>SUM(FR44,FT44,FV44,FX44,FZ44,GB44,GD44)</f>
        <v>1</v>
      </c>
      <c r="GF44" s="5" t="str">
        <f>IF(GE44&lt;=0,"Nivel de riesgo bajo",
IF(GE44&lt;=14,"Nivel de riesgo medio",
"Nivel de riesgo alto"))</f>
        <v>Nivel de riesgo medio</v>
      </c>
      <c r="GG44" s="5" t="s">
        <v>255</v>
      </c>
      <c r="GH44" s="5" t="s">
        <v>255</v>
      </c>
      <c r="GI44" s="5" t="s">
        <v>255</v>
      </c>
      <c r="GJ44" s="5" t="s">
        <v>298</v>
      </c>
      <c r="GK44" s="5" t="s">
        <v>233</v>
      </c>
      <c r="GL44" s="5" t="s">
        <v>233</v>
      </c>
      <c r="GM44" s="5" t="s">
        <v>233</v>
      </c>
      <c r="GN44" s="5" t="s">
        <v>257</v>
      </c>
      <c r="GO44" s="5" t="s">
        <v>257</v>
      </c>
      <c r="GP44" s="5" t="s">
        <v>257</v>
      </c>
      <c r="GQ44" s="5" t="s">
        <v>257</v>
      </c>
      <c r="GR44" s="5" t="s">
        <v>257</v>
      </c>
      <c r="GS44" s="5" t="s">
        <v>257</v>
      </c>
      <c r="GT44" s="5" t="s">
        <v>257</v>
      </c>
      <c r="GU44" s="5" t="s">
        <v>370</v>
      </c>
      <c r="GV44" s="5" t="str">
        <f>TEXT("6273605422934232500","0")</f>
        <v>6273605422934230000</v>
      </c>
    </row>
    <row r="45" spans="1:204" ht="15.75" hidden="1" customHeight="1" x14ac:dyDescent="0.15">
      <c r="B45" s="4">
        <v>45842.449479166666</v>
      </c>
      <c r="C45" s="5" t="s">
        <v>206</v>
      </c>
      <c r="GV45" s="5" t="str">
        <f>TEXT("6274496351461258861","0")</f>
        <v>6274496351461250000</v>
      </c>
    </row>
    <row r="46" spans="1:204" ht="15.75" customHeight="1" x14ac:dyDescent="0.15">
      <c r="A46" s="1">
        <f>ROW(A46)</f>
        <v>46</v>
      </c>
      <c r="B46" s="4">
        <v>45842.586284722223</v>
      </c>
      <c r="C46" s="5" t="s">
        <v>204</v>
      </c>
      <c r="D46" s="5" t="s">
        <v>206</v>
      </c>
      <c r="F46" s="5" t="s">
        <v>206</v>
      </c>
      <c r="G46" s="5" t="s">
        <v>206</v>
      </c>
      <c r="H46" s="5" t="s">
        <v>206</v>
      </c>
      <c r="K46" s="5" t="s">
        <v>237</v>
      </c>
      <c r="N46" s="5" t="s">
        <v>208</v>
      </c>
      <c r="T46" s="5" t="s">
        <v>209</v>
      </c>
      <c r="Y46" s="5" t="s">
        <v>209</v>
      </c>
      <c r="AE46" s="5" t="s">
        <v>237</v>
      </c>
      <c r="AH46" s="5" t="s">
        <v>268</v>
      </c>
      <c r="AI46" s="5">
        <v>1990</v>
      </c>
      <c r="AJ46" s="5" t="s">
        <v>337</v>
      </c>
      <c r="AK46" s="5" t="str">
        <f>IF(OR(AJ46="Empleada del sector privado",AJ46="Empleada del sector público"),"Asalariada",
IF(AJ46="Trabajadora por cuenta propia","Trabajadora por cuenta propia",""))</f>
        <v>Asalariada</v>
      </c>
      <c r="AQ46" s="5" t="s">
        <v>204</v>
      </c>
      <c r="AR46" s="5" t="s">
        <v>261</v>
      </c>
      <c r="AS46" s="5" t="s">
        <v>261</v>
      </c>
      <c r="AT46" s="5" t="s">
        <v>261</v>
      </c>
      <c r="AU46" s="5" t="s">
        <v>261</v>
      </c>
      <c r="AV46" s="5" t="s">
        <v>213</v>
      </c>
      <c r="AW46" s="5" t="s">
        <v>206</v>
      </c>
      <c r="BF46" s="5" t="s">
        <v>204</v>
      </c>
      <c r="BG46" s="5" t="s">
        <v>207</v>
      </c>
      <c r="BH46" s="5" t="s">
        <v>207</v>
      </c>
      <c r="BI46" s="5" t="s">
        <v>207</v>
      </c>
      <c r="BJ46" s="5" t="s">
        <v>207</v>
      </c>
      <c r="BK46" s="5" t="s">
        <v>246</v>
      </c>
      <c r="BL46" s="5" t="s">
        <v>246</v>
      </c>
      <c r="BM46" s="5" t="s">
        <v>243</v>
      </c>
      <c r="BN46" s="5" t="s">
        <v>246</v>
      </c>
      <c r="BO46" s="5" t="s">
        <v>246</v>
      </c>
      <c r="BP46" s="5" t="s">
        <v>246</v>
      </c>
      <c r="BQ46" s="5" t="s">
        <v>246</v>
      </c>
      <c r="BR46" s="5" t="s">
        <v>243</v>
      </c>
      <c r="BS46" s="5" t="s">
        <v>247</v>
      </c>
      <c r="BT46" s="5" t="s">
        <v>232</v>
      </c>
      <c r="BU46" s="5" t="s">
        <v>254</v>
      </c>
      <c r="BV46" s="5" t="s">
        <v>232</v>
      </c>
      <c r="BW46" s="5" t="s">
        <v>254</v>
      </c>
      <c r="BX46" s="5" t="s">
        <v>254</v>
      </c>
      <c r="BY46" s="5" t="s">
        <v>232</v>
      </c>
      <c r="CD46" s="5" t="s">
        <v>206</v>
      </c>
      <c r="CH46" s="5" t="s">
        <v>206</v>
      </c>
      <c r="CI46" s="5" t="s">
        <v>206</v>
      </c>
      <c r="CJ46" s="5">
        <v>0</v>
      </c>
      <c r="CQ46" s="5" t="s">
        <v>349</v>
      </c>
      <c r="CU46" s="5" t="s">
        <v>204</v>
      </c>
      <c r="CV46" s="5" t="s">
        <v>350</v>
      </c>
      <c r="CW46" s="5" t="s">
        <v>371</v>
      </c>
      <c r="CX46" s="5" t="s">
        <v>352</v>
      </c>
      <c r="CY46" s="5" t="s">
        <v>353</v>
      </c>
      <c r="CZ46" s="5" t="s">
        <v>228</v>
      </c>
      <c r="DA46" s="5" t="s">
        <v>231</v>
      </c>
      <c r="DB46" s="5">
        <f>IF(DA46="Mejor que lo habitual",1,
IF(DA46="Igual que lo habitual",2,
IF(DA46="Menos que lo habitual",3,
IF(DA46="Mucho menos que lo habitual",4,""))))</f>
        <v>2</v>
      </c>
      <c r="DC46" s="5" t="s">
        <v>280</v>
      </c>
      <c r="DD46" s="5">
        <f>IF(DC46="No, en absoluto",1,
IF(DC46="No más que lo habitual",2,
IF(DC46="Bastante más que lo habitual",3,
IF(DC46="Mucho más que lo habitual",4,""))))</f>
        <v>4</v>
      </c>
      <c r="DE46" s="5" t="s">
        <v>280</v>
      </c>
      <c r="DF46" s="5">
        <f>IF(DE46="No, en absoluto",1,
IF(DE46="No más que lo habitual",2,
IF(DE46="Bastante más que lo habitual",3,
IF(DE46="Mucho más que lo habitual",4,""))))</f>
        <v>4</v>
      </c>
      <c r="DG46" s="5" t="s">
        <v>250</v>
      </c>
      <c r="DH46" s="5">
        <f>IF(DG46="No, en absoluto",1,
IF(DG46="No más que lo habitual",2,
IF(DG46="Bastante más que lo habitual",3,
IF(DG46="Mucho más que lo habitual",4,""))))</f>
        <v>3</v>
      </c>
      <c r="DI46" s="5" t="s">
        <v>250</v>
      </c>
      <c r="DJ46" s="5">
        <f>IF(DI46="No, en absoluto",1,
IF(DI46="No más que lo habitual",2,
IF(DI46="Bastante más que lo habitual",3,
IF(DI46="Mucho más que lo habitual",4,""))))</f>
        <v>3</v>
      </c>
      <c r="DK46" s="5" t="s">
        <v>230</v>
      </c>
      <c r="DL46" s="5">
        <f>IF(DK46="No, en absoluto",1,
IF(DK46="No más que lo habitual",2,
IF(DK46="Bastante más que lo habitual",3,
IF(DK46="Mucho más que lo habitual",4,""))))</f>
        <v>2</v>
      </c>
      <c r="DM46" s="5" t="s">
        <v>230</v>
      </c>
      <c r="DN46" s="5">
        <f>IF(DM46="No, en absoluto",1,
IF(DM46="No más que lo habitual",2,
IF(DM46="Bastante más que lo habitual",3,
IF(DM46="Mucho más que lo habitual",4,""))))</f>
        <v>2</v>
      </c>
      <c r="DO46" s="5" t="s">
        <v>281</v>
      </c>
      <c r="DP46" s="5">
        <f>IF(DO46="Más que lo habitual",1,
IF(DO46="Igual que lo habitual",2,
IF(DO46="Menos que lo habitual",3,
IF(DO46="Mucho menos que lo habitual",4,""))))</f>
        <v>1</v>
      </c>
      <c r="DQ46" s="5" t="s">
        <v>281</v>
      </c>
      <c r="DR46" s="5">
        <f>IF(DQ46="Más que lo habitual",1,
IF(DQ46="Igual que lo habitual",2,
IF(DQ46="Menos que lo habitual",3,
IF(DQ46="Mucho menos que lo habitual",4,""))))</f>
        <v>1</v>
      </c>
      <c r="DS46" s="5" t="s">
        <v>281</v>
      </c>
      <c r="DT46" s="5">
        <f>IF(DS46="Más que lo habitual",1,
IF(DS46="Igual que lo habitual",2,
IF(DS46="Menos que lo habitual",3,
IF(DS46="Mucho menos que lo habitual",4,""))))</f>
        <v>1</v>
      </c>
      <c r="DU46" s="5" t="s">
        <v>281</v>
      </c>
      <c r="DV46" s="5">
        <f>IF(DU46="Más que lo habitual",1,
IF(DU46="Igual que lo habitual",2,
IF(DU46="Menos que lo habitual",3,
IF(DU46="Mucho menos que lo habitual",4,""))))</f>
        <v>1</v>
      </c>
      <c r="DW46" s="5" t="s">
        <v>231</v>
      </c>
      <c r="DX46" s="5">
        <f>IF(DW46="Más que lo habitual",1,
IF(DW46="Igual que lo habitual",2,
IF(DW46="Menos que lo habitual",3,
IF(DW46="Mucho menos que lo habitual",4,""))))</f>
        <v>2</v>
      </c>
      <c r="DY46" s="5">
        <f>SUM(DB46,DD46,DF46,DH46,DJ46,DL46,DN46,DP46,DR46,DT46,DV46,DX46)</f>
        <v>26</v>
      </c>
      <c r="DZ46" s="5" t="str">
        <f>IF(DY46&lt;=18,"Nivel de riesgo bajo",
IF(DY46&lt;=23,"Nivel de riesgo medio",
"Nivel de riesgo alto"))</f>
        <v>Nivel de riesgo alto</v>
      </c>
      <c r="EA46" s="5" t="s">
        <v>232</v>
      </c>
      <c r="EB46" s="5">
        <f>IF(EA46="Nunca/ casi nunca",0,
IF(EA46="Rara vez",1,
IF(EA46="A veces",2,
IF(EA46="A menudo",3,
IF(EA46="Siempre",4,"")))))</f>
        <v>3</v>
      </c>
      <c r="EC46" s="5" t="s">
        <v>232</v>
      </c>
      <c r="ED46" s="5">
        <f>IF(EC46="Nunca/ casi nunca",0,
IF(EC46="Rara vez",1,
IF(EC46="A veces",2,
IF(EC46="A menudo",3,
IF(EC46="Siempre",4,"")))))</f>
        <v>3</v>
      </c>
      <c r="EE46" s="5" t="s">
        <v>248</v>
      </c>
      <c r="EF46" s="5">
        <f>IF(EE46="Nunca/ casi nunca",0,
IF(EE46="Rara vez",1,
IF(EE46="A veces",2,
IF(EE46="A menudo",3,
IF(EE46="Siempre",4,"")))))</f>
        <v>1</v>
      </c>
      <c r="EG46" s="5">
        <f>SUM(EB46,ED46,EF46)</f>
        <v>7</v>
      </c>
      <c r="EH46" s="5" t="str">
        <f>IF(EG46&lt;=1,"Nivel de riesgo bajo",
IF(EG46&lt;=4,"Nivel de riesgo medio",
"Nivel de riesgo alto"))</f>
        <v>Nivel de riesgo alto</v>
      </c>
      <c r="EI46" s="5" t="s">
        <v>247</v>
      </c>
      <c r="EJ46" s="5">
        <f>IF(EI46="Nunca/ casi nunca",0,
IF(EI46="Rara vez",1,
IF(EI46="A veces",2,
IF(EI46="A menudo",3,
IF(EI46="Siempre",4,"")))))</f>
        <v>2</v>
      </c>
      <c r="EK46" s="5" t="s">
        <v>253</v>
      </c>
      <c r="EL46" s="5">
        <f>IF(EK46="Nunca/ casi nunca",0,
IF(EK46="Rara vez",1,
IF(EK46="A veces",2,
IF(EK46="A menudo",3,
IF(EK46="Siempre",4,"")))))</f>
        <v>0</v>
      </c>
      <c r="EM46" s="5" t="s">
        <v>254</v>
      </c>
      <c r="EN46" s="5">
        <f>IF(EM46="Nunca/ casi nunca",0,
IF(EM46="Rara vez",1,
IF(EM46="A veces",2,
IF(EM46="A menudo",3,
IF(EM46="Siempre",4,"")))))</f>
        <v>4</v>
      </c>
      <c r="EO46" s="5">
        <f>SUM(EJ46,EL46,EN46)</f>
        <v>6</v>
      </c>
      <c r="EP46" s="5" t="str">
        <f>IF(EO46&lt;=1,"Nivel de riesgo bajo",
IF(EO46&lt;=5,"Nivel de riesgo medio",
"Nivel de riesgo alto"))</f>
        <v>Nivel de riesgo alto</v>
      </c>
      <c r="EQ46" s="5" t="s">
        <v>253</v>
      </c>
      <c r="ER46" s="5">
        <f>IF(EQ46="Nunca/ casi nunca",4,
IF(EQ46="Rara vez",3,
IF(EQ46="A veces",2,
IF(EQ46="A menudo",1,
IF(EQ46="Siempre",0,"")))))</f>
        <v>4</v>
      </c>
      <c r="ES46" s="5" t="s">
        <v>253</v>
      </c>
      <c r="ET46" s="5">
        <f>IF(ES46="Nunca/ casi nunca",4,
IF(ES46="Rara vez",3,
IF(ES46="A veces",2,
IF(ES46="A menudo",1,
IF(ES46="Siempre",0,"")))))</f>
        <v>4</v>
      </c>
      <c r="EU46" s="5" t="s">
        <v>254</v>
      </c>
      <c r="EV46" s="5">
        <f>IF(EU46="Nunca/ casi nunca",4,
IF(EU46="Rara vez",3,
IF(EU46="A veces",2,
IF(EU46="A menudo",1,
IF(EU46="Siempre",0,"")))))</f>
        <v>0</v>
      </c>
      <c r="EW46" s="5" t="s">
        <v>232</v>
      </c>
      <c r="EX46" s="5">
        <f>IF(EW46="Nunca/ casi nunca",4,
IF(EW46="Rara vez",3,
IF(EW46="A veces",2,
IF(EW46="A menudo",1,
IF(EW46="Siempre",0,"")))))</f>
        <v>1</v>
      </c>
      <c r="EY46" s="5">
        <f>SUM(ER46,ET46,EV46,EX46)</f>
        <v>9</v>
      </c>
      <c r="EZ46" s="5" t="str">
        <f>IF(EY46&lt;=0,"Nivel de riesgo bajo",
IF(EY46&lt;=4,"Nivel de riesgo medio",
"Nivel de riesgo alto"))</f>
        <v>Nivel de riesgo alto</v>
      </c>
      <c r="FA46" s="5" t="s">
        <v>232</v>
      </c>
      <c r="FB46" s="5">
        <f>IF(FA46="Nunca/ casi nunca",0,
IF(FA46="Rara vez",1,
IF(FA46="A veces",2,
IF(FA46="A menudo",3,
IF(FA46="Siempre",4,"")))))</f>
        <v>3</v>
      </c>
      <c r="FC46" s="5" t="s">
        <v>232</v>
      </c>
      <c r="FD46" s="5">
        <f>IF(FC46="Nunca/ casi nunca",0,
IF(FC46="Rara vez",1,
IF(FC46="A veces",2,
IF(FC46="A menudo",3,
IF(FC46="Siempre",4,"")))))</f>
        <v>3</v>
      </c>
      <c r="FE46" s="5" t="s">
        <v>232</v>
      </c>
      <c r="FF46" s="5">
        <f>IF(FE46="Nunca/ casi nunca",0,
IF(FE46="Rara vez",1,
IF(FE46="A veces",2,
IF(FE46="A menudo",3,
IF(FE46="Siempre",4,"")))))</f>
        <v>3</v>
      </c>
      <c r="FG46" s="5">
        <f>SUM(FB46,FD46,FF46)</f>
        <v>9</v>
      </c>
      <c r="FH46" s="5" t="str">
        <f>IF(FG46&lt;=2,"Nivel de riesgo bajo",
IF(FG46&lt;=5,"Nivel de riesgo medio",
"Nivel de riesgo alto"))</f>
        <v>Nivel de riesgo alto</v>
      </c>
      <c r="FI46" s="5" t="s">
        <v>254</v>
      </c>
      <c r="FJ46" s="5">
        <f>IF(FI46="Nunca/ casi nunca",0,
IF(FI46="Rara vez",1,
IF(FI46="A veces",2,
IF(FI46="A menudo",3,
IF(FI46="Siempre",4,"")))))</f>
        <v>4</v>
      </c>
      <c r="FK46" s="5" t="s">
        <v>254</v>
      </c>
      <c r="FL46" s="5">
        <f>IF(FK46="Nunca/ casi nunca",0,
IF(FK46="Rara vez",1,
IF(FK46="A veces",2,
IF(FK46="A menudo",3,
IF(FK46="Siempre",4,"")))))</f>
        <v>4</v>
      </c>
      <c r="FM46" s="5" t="s">
        <v>254</v>
      </c>
      <c r="FN46" s="5">
        <f>IF(FM46="Nunca/ casi nunca",0,
IF(FM46="Rara vez",1,
IF(FM46="A veces",2,
IF(FM46="A menudo",3,
IF(FM46="Siempre",4,"")))))</f>
        <v>4</v>
      </c>
      <c r="FO46" s="5">
        <f>SUM(FJ46,FL46,FN46)</f>
        <v>12</v>
      </c>
      <c r="FP46" s="5" t="str">
        <f>IF(FO46&lt;=2,"Nivel de riesgo bajo",
IF(FO46&lt;=5,"Nivel de riesgo medio",
"Nivel de riesgo alto"))</f>
        <v>Nivel de riesgo alto</v>
      </c>
      <c r="FQ46" s="5" t="s">
        <v>265</v>
      </c>
      <c r="FR46" s="5">
        <f>IF(FQ46="No",0,
IF(FQ46="Sí, unas pocas veces",1,
IF(FQ46="Sí, mensualmente",2,
IF(FQ46="Sí, semanalmente",3,
IF(FQ46="Sí, diariamente",4,"")))))</f>
        <v>1</v>
      </c>
      <c r="FS46" s="5" t="s">
        <v>265</v>
      </c>
      <c r="FT46" s="5">
        <f>IF(FS46="No",0,
IF(FS46="Sí, unas pocas veces",1,
IF(FS46="Sí, mensualmente",2,
IF(FS46="Sí, semanalmente",3,
IF(FS46="Sí, diariamente",4,"")))))</f>
        <v>1</v>
      </c>
      <c r="FU46" s="5" t="s">
        <v>206</v>
      </c>
      <c r="FV46" s="5">
        <f>IF(FU46="No",0,
IF(FU46="Sí, unas pocas veces",1,
IF(FU46="Sí, mensualmente",2,
IF(FU46="Sí, semanalmente",3,
IF(FU46="Sí, diariamente",4,"")))))</f>
        <v>0</v>
      </c>
      <c r="FW46" s="5" t="s">
        <v>206</v>
      </c>
      <c r="FX46" s="5">
        <f>IF(FW46="No",0,
IF(FW46="Sí, unas pocas veces",1,
IF(FW46="Sí, mensualmente",2,
IF(FW46="Sí, semanalmente",3,
IF(FW46="Sí, diariamente",4,"")))))</f>
        <v>0</v>
      </c>
      <c r="FY46" s="5" t="s">
        <v>206</v>
      </c>
      <c r="FZ46" s="5">
        <f>IF(FY46="No",0,
IF(FY46="Sí, unas pocas veces",1,
IF(FY46="Sí, mensualmente",2,
IF(FY46="Sí, semanalmente",3,
IF(FY46="Sí, diariamente",4,"")))))</f>
        <v>0</v>
      </c>
      <c r="GA46" s="5" t="s">
        <v>206</v>
      </c>
      <c r="GB46" s="5">
        <f>IF(GA46="No",0,
IF(GA46="Sí, unas pocas veces",1,
IF(GA46="Sí, mensualmente",2,
IF(GA46="Sí, semanalmente",3,
IF(GA46="Sí, diariamente",4,"")))))</f>
        <v>0</v>
      </c>
      <c r="GC46" s="5" t="s">
        <v>265</v>
      </c>
      <c r="GD46" s="5">
        <f>IF(GC46="No",0,
IF(GC46="Sí, unas pocas veces",1,
IF(GC46="Sí, mensualmente",2,
IF(GC46="Sí, semanalmente",3,
IF(GC46="Sí, diariamente",4,"")))))</f>
        <v>1</v>
      </c>
      <c r="GE46" s="5">
        <f>SUM(FR46,FT46,FV46,FX46,FZ46,GB46,GD46)</f>
        <v>3</v>
      </c>
      <c r="GF46" s="5" t="str">
        <f>IF(GE46&lt;=0,"Nivel de riesgo bajo",
IF(GE46&lt;=14,"Nivel de riesgo medio",
"Nivel de riesgo alto"))</f>
        <v>Nivel de riesgo medio</v>
      </c>
      <c r="GG46" s="5" t="s">
        <v>255</v>
      </c>
      <c r="GH46" s="5" t="s">
        <v>255</v>
      </c>
      <c r="GI46" s="5" t="s">
        <v>255</v>
      </c>
      <c r="GJ46" s="5" t="s">
        <v>233</v>
      </c>
      <c r="GK46" s="5" t="s">
        <v>233</v>
      </c>
      <c r="GL46" s="5" t="s">
        <v>298</v>
      </c>
      <c r="GM46" s="5" t="s">
        <v>266</v>
      </c>
      <c r="GN46" s="5" t="s">
        <v>243</v>
      </c>
      <c r="GO46" s="5" t="s">
        <v>243</v>
      </c>
      <c r="GP46" s="5" t="s">
        <v>243</v>
      </c>
      <c r="GQ46" s="5" t="s">
        <v>243</v>
      </c>
      <c r="GR46" s="5" t="s">
        <v>243</v>
      </c>
      <c r="GS46" s="5" t="s">
        <v>243</v>
      </c>
      <c r="GT46" s="5" t="s">
        <v>256</v>
      </c>
      <c r="GU46" s="5" t="s">
        <v>372</v>
      </c>
      <c r="GV46" s="5" t="str">
        <f>TEXT("6274614555222915665","0")</f>
        <v>6274614555222910000</v>
      </c>
    </row>
    <row r="47" spans="1:204" ht="15.75" customHeight="1" x14ac:dyDescent="0.15">
      <c r="A47" s="1">
        <f>ROW(A47)</f>
        <v>47</v>
      </c>
      <c r="B47" s="4">
        <v>45842.966226851851</v>
      </c>
      <c r="C47" s="5" t="s">
        <v>204</v>
      </c>
      <c r="D47" s="5" t="s">
        <v>206</v>
      </c>
      <c r="F47" s="5" t="s">
        <v>206</v>
      </c>
      <c r="G47" s="5" t="s">
        <v>206</v>
      </c>
      <c r="H47" s="5" t="s">
        <v>204</v>
      </c>
      <c r="K47" s="5" t="s">
        <v>237</v>
      </c>
      <c r="P47" s="5" t="s">
        <v>237</v>
      </c>
      <c r="U47" s="5" t="s">
        <v>237</v>
      </c>
      <c r="X47" s="5" t="s">
        <v>208</v>
      </c>
      <c r="AE47" s="5" t="s">
        <v>237</v>
      </c>
      <c r="AH47" s="5" t="s">
        <v>268</v>
      </c>
      <c r="AI47" s="5">
        <v>2009</v>
      </c>
      <c r="AJ47" s="5" t="s">
        <v>238</v>
      </c>
      <c r="AK47" s="5" t="str">
        <f>IF(OR(AJ47="Empleada del sector privado",AJ47="Empleada del sector público"),"Asalariada",
IF(AJ47="Trabajadora por cuenta propia","Trabajadora por cuenta propia",""))</f>
        <v>Trabajadora por cuenta propia</v>
      </c>
      <c r="AM47" s="5" t="s">
        <v>309</v>
      </c>
      <c r="AP47" s="5" t="s">
        <v>284</v>
      </c>
      <c r="AR47" s="5" t="s">
        <v>276</v>
      </c>
      <c r="AS47" s="5" t="s">
        <v>276</v>
      </c>
      <c r="AT47" s="5" t="s">
        <v>276</v>
      </c>
      <c r="AU47" s="5" t="s">
        <v>276</v>
      </c>
      <c r="AV47" s="5" t="s">
        <v>277</v>
      </c>
      <c r="AW47" s="5" t="s">
        <v>206</v>
      </c>
      <c r="BF47" s="5" t="s">
        <v>204</v>
      </c>
      <c r="BG47" s="5" t="s">
        <v>215</v>
      </c>
      <c r="BH47" s="5" t="s">
        <v>215</v>
      </c>
      <c r="BI47" s="5" t="s">
        <v>242</v>
      </c>
      <c r="BJ47" s="5" t="s">
        <v>242</v>
      </c>
      <c r="BK47" s="5" t="s">
        <v>216</v>
      </c>
      <c r="BL47" s="5" t="s">
        <v>244</v>
      </c>
      <c r="BM47" s="5" t="s">
        <v>244</v>
      </c>
      <c r="BN47" s="5" t="s">
        <v>244</v>
      </c>
      <c r="BO47" s="5" t="s">
        <v>216</v>
      </c>
      <c r="BP47" s="5" t="s">
        <v>245</v>
      </c>
      <c r="BQ47" s="5" t="s">
        <v>244</v>
      </c>
      <c r="BR47" s="5" t="s">
        <v>244</v>
      </c>
      <c r="BS47" s="5" t="s">
        <v>247</v>
      </c>
      <c r="BT47" s="5" t="s">
        <v>247</v>
      </c>
      <c r="BU47" s="5" t="s">
        <v>248</v>
      </c>
      <c r="BV47" s="5" t="s">
        <v>217</v>
      </c>
      <c r="BW47" s="5" t="s">
        <v>248</v>
      </c>
      <c r="BX47" s="5" t="s">
        <v>248</v>
      </c>
      <c r="BY47" s="5" t="s">
        <v>217</v>
      </c>
      <c r="CD47" s="5" t="s">
        <v>204</v>
      </c>
      <c r="CE47" s="5" t="s">
        <v>218</v>
      </c>
      <c r="CF47" s="5" t="s">
        <v>219</v>
      </c>
      <c r="CG47" s="5" t="s">
        <v>373</v>
      </c>
      <c r="CH47" s="5" t="s">
        <v>206</v>
      </c>
      <c r="CI47" s="5" t="s">
        <v>206</v>
      </c>
      <c r="CJ47" s="5">
        <v>0</v>
      </c>
      <c r="CK47" s="5" t="s">
        <v>223</v>
      </c>
      <c r="CU47" s="5" t="s">
        <v>206</v>
      </c>
      <c r="DA47" s="5" t="s">
        <v>272</v>
      </c>
      <c r="DB47" s="5">
        <f>IF(DA47="Mejor que lo habitual",1,
IF(DA47="Igual que lo habitual",2,
IF(DA47="Menos que lo habitual",3,
IF(DA47="Mucho menos que lo habitual",4,""))))</f>
        <v>1</v>
      </c>
      <c r="DC47" s="5" t="s">
        <v>251</v>
      </c>
      <c r="DD47" s="5">
        <f>IF(DC47="No, en absoluto",1,
IF(DC47="No más que lo habitual",2,
IF(DC47="Bastante más que lo habitual",3,
IF(DC47="Mucho más que lo habitual",4,""))))</f>
        <v>1</v>
      </c>
      <c r="DE47" s="5" t="s">
        <v>251</v>
      </c>
      <c r="DF47" s="5">
        <f>IF(DE47="No, en absoluto",1,
IF(DE47="No más que lo habitual",2,
IF(DE47="Bastante más que lo habitual",3,
IF(DE47="Mucho más que lo habitual",4,""))))</f>
        <v>1</v>
      </c>
      <c r="DG47" s="5" t="s">
        <v>251</v>
      </c>
      <c r="DH47" s="5">
        <f>IF(DG47="No, en absoluto",1,
IF(DG47="No más que lo habitual",2,
IF(DG47="Bastante más que lo habitual",3,
IF(DG47="Mucho más que lo habitual",4,""))))</f>
        <v>1</v>
      </c>
      <c r="DI47" s="5" t="s">
        <v>251</v>
      </c>
      <c r="DJ47" s="5">
        <f>IF(DI47="No, en absoluto",1,
IF(DI47="No más que lo habitual",2,
IF(DI47="Bastante más que lo habitual",3,
IF(DI47="Mucho más que lo habitual",4,""))))</f>
        <v>1</v>
      </c>
      <c r="DK47" s="5" t="s">
        <v>251</v>
      </c>
      <c r="DL47" s="5">
        <f>IF(DK47="No, en absoluto",1,
IF(DK47="No más que lo habitual",2,
IF(DK47="Bastante más que lo habitual",3,
IF(DK47="Mucho más que lo habitual",4,""))))</f>
        <v>1</v>
      </c>
      <c r="DM47" s="5" t="s">
        <v>251</v>
      </c>
      <c r="DN47" s="5">
        <f>IF(DM47="No, en absoluto",1,
IF(DM47="No más que lo habitual",2,
IF(DM47="Bastante más que lo habitual",3,
IF(DM47="Mucho más que lo habitual",4,""))))</f>
        <v>1</v>
      </c>
      <c r="DO47" s="5" t="s">
        <v>281</v>
      </c>
      <c r="DP47" s="5">
        <f>IF(DO47="Más que lo habitual",1,
IF(DO47="Igual que lo habitual",2,
IF(DO47="Menos que lo habitual",3,
IF(DO47="Mucho menos que lo habitual",4,""))))</f>
        <v>1</v>
      </c>
      <c r="DQ47" s="5" t="s">
        <v>281</v>
      </c>
      <c r="DR47" s="5">
        <f>IF(DQ47="Más que lo habitual",1,
IF(DQ47="Igual que lo habitual",2,
IF(DQ47="Menos que lo habitual",3,
IF(DQ47="Mucho menos que lo habitual",4,""))))</f>
        <v>1</v>
      </c>
      <c r="DS47" s="5" t="s">
        <v>281</v>
      </c>
      <c r="DT47" s="5">
        <f>IF(DS47="Más que lo habitual",1,
IF(DS47="Igual que lo habitual",2,
IF(DS47="Menos que lo habitual",3,
IF(DS47="Mucho menos que lo habitual",4,""))))</f>
        <v>1</v>
      </c>
      <c r="DU47" s="5" t="s">
        <v>281</v>
      </c>
      <c r="DV47" s="5">
        <f>IF(DU47="Más que lo habitual",1,
IF(DU47="Igual que lo habitual",2,
IF(DU47="Menos que lo habitual",3,
IF(DU47="Mucho menos que lo habitual",4,""))))</f>
        <v>1</v>
      </c>
      <c r="DW47" s="5" t="s">
        <v>281</v>
      </c>
      <c r="DX47" s="5">
        <f>IF(DW47="Más que lo habitual",1,
IF(DW47="Igual que lo habitual",2,
IF(DW47="Menos que lo habitual",3,
IF(DW47="Mucho menos que lo habitual",4,""))))</f>
        <v>1</v>
      </c>
      <c r="DY47" s="5">
        <f>SUM(DB47,DD47,DF47,DH47,DJ47,DL47,DN47,DP47,DR47,DT47,DV47,DX47)</f>
        <v>12</v>
      </c>
      <c r="DZ47" s="5" t="str">
        <f>IF(DY47&lt;=18,"Nivel de riesgo bajo",
IF(DY47&lt;=23,"Nivel de riesgo medio",
"Nivel de riesgo alto"))</f>
        <v>Nivel de riesgo bajo</v>
      </c>
      <c r="EA47" s="5" t="s">
        <v>253</v>
      </c>
      <c r="EB47" s="5">
        <f>IF(EA47="Nunca/ casi nunca",0,
IF(EA47="Rara vez",1,
IF(EA47="A veces",2,
IF(EA47="A menudo",3,
IF(EA47="Siempre",4,"")))))</f>
        <v>0</v>
      </c>
      <c r="EC47" s="5" t="s">
        <v>253</v>
      </c>
      <c r="ED47" s="5">
        <f>IF(EC47="Nunca/ casi nunca",0,
IF(EC47="Rara vez",1,
IF(EC47="A veces",2,
IF(EC47="A menudo",3,
IF(EC47="Siempre",4,"")))))</f>
        <v>0</v>
      </c>
      <c r="EE47" s="5" t="s">
        <v>253</v>
      </c>
      <c r="EF47" s="5">
        <f>IF(EE47="Nunca/ casi nunca",0,
IF(EE47="Rara vez",1,
IF(EE47="A veces",2,
IF(EE47="A menudo",3,
IF(EE47="Siempre",4,"")))))</f>
        <v>0</v>
      </c>
      <c r="EG47" s="5">
        <f>SUM(EB47,ED47,EF47)</f>
        <v>0</v>
      </c>
      <c r="EH47" s="5" t="str">
        <f>IF(EG47&lt;=1,"Nivel de riesgo bajo",
IF(EG47&lt;=4,"Nivel de riesgo medio",
"Nivel de riesgo alto"))</f>
        <v>Nivel de riesgo bajo</v>
      </c>
      <c r="EI47" s="5" t="s">
        <v>253</v>
      </c>
      <c r="EJ47" s="5">
        <f>IF(EI47="Nunca/ casi nunca",0,
IF(EI47="Rara vez",1,
IF(EI47="A veces",2,
IF(EI47="A menudo",3,
IF(EI47="Siempre",4,"")))))</f>
        <v>0</v>
      </c>
      <c r="EK47" s="5" t="s">
        <v>254</v>
      </c>
      <c r="EL47" s="5">
        <f>IF(EK47="Nunca/ casi nunca",0,
IF(EK47="Rara vez",1,
IF(EK47="A veces",2,
IF(EK47="A menudo",3,
IF(EK47="Siempre",4,"")))))</f>
        <v>4</v>
      </c>
      <c r="EM47" s="5" t="s">
        <v>254</v>
      </c>
      <c r="EN47" s="5">
        <f>IF(EM47="Nunca/ casi nunca",0,
IF(EM47="Rara vez",1,
IF(EM47="A veces",2,
IF(EM47="A menudo",3,
IF(EM47="Siempre",4,"")))))</f>
        <v>4</v>
      </c>
      <c r="EO47" s="5">
        <f>SUM(EJ47,EL47,EN47)</f>
        <v>8</v>
      </c>
      <c r="EP47" s="5" t="str">
        <f>IF(EO47&lt;=1,"Nivel de riesgo bajo",
IF(EO47&lt;=5,"Nivel de riesgo medio",
"Nivel de riesgo alto"))</f>
        <v>Nivel de riesgo alto</v>
      </c>
      <c r="EQ47" s="5" t="s">
        <v>254</v>
      </c>
      <c r="ER47" s="5">
        <f>IF(EQ47="Nunca/ casi nunca",4,
IF(EQ47="Rara vez",3,
IF(EQ47="A veces",2,
IF(EQ47="A menudo",1,
IF(EQ47="Siempre",0,"")))))</f>
        <v>0</v>
      </c>
      <c r="ES47" s="5" t="s">
        <v>254</v>
      </c>
      <c r="ET47" s="5">
        <f>IF(ES47="Nunca/ casi nunca",4,
IF(ES47="Rara vez",3,
IF(ES47="A veces",2,
IF(ES47="A menudo",1,
IF(ES47="Siempre",0,"")))))</f>
        <v>0</v>
      </c>
      <c r="EU47" s="5" t="s">
        <v>254</v>
      </c>
      <c r="EV47" s="5">
        <f>IF(EU47="Nunca/ casi nunca",4,
IF(EU47="Rara vez",3,
IF(EU47="A veces",2,
IF(EU47="A menudo",1,
IF(EU47="Siempre",0,"")))))</f>
        <v>0</v>
      </c>
      <c r="EW47" s="5" t="s">
        <v>254</v>
      </c>
      <c r="EX47" s="5">
        <f>IF(EW47="Nunca/ casi nunca",4,
IF(EW47="Rara vez",3,
IF(EW47="A veces",2,
IF(EW47="A menudo",1,
IF(EW47="Siempre",0,"")))))</f>
        <v>0</v>
      </c>
      <c r="EY47" s="5">
        <f>SUM(ER47,ET47,EV47,EX47)</f>
        <v>0</v>
      </c>
      <c r="EZ47" s="5" t="str">
        <f>IF(EY47&lt;=0,"Nivel de riesgo bajo",
IF(EY47&lt;=4,"Nivel de riesgo medio",
"Nivel de riesgo alto"))</f>
        <v>Nivel de riesgo bajo</v>
      </c>
      <c r="FA47" s="5" t="s">
        <v>253</v>
      </c>
      <c r="FB47" s="5">
        <f>IF(FA47="Nunca/ casi nunca",0,
IF(FA47="Rara vez",1,
IF(FA47="A veces",2,
IF(FA47="A menudo",3,
IF(FA47="Siempre",4,"")))))</f>
        <v>0</v>
      </c>
      <c r="FC47" s="5" t="s">
        <v>253</v>
      </c>
      <c r="FD47" s="5">
        <f>IF(FC47="Nunca/ casi nunca",0,
IF(FC47="Rara vez",1,
IF(FC47="A veces",2,
IF(FC47="A menudo",3,
IF(FC47="Siempre",4,"")))))</f>
        <v>0</v>
      </c>
      <c r="FE47" s="5" t="s">
        <v>248</v>
      </c>
      <c r="FF47" s="5">
        <f>IF(FE47="Nunca/ casi nunca",0,
IF(FE47="Rara vez",1,
IF(FE47="A veces",2,
IF(FE47="A menudo",3,
IF(FE47="Siempre",4,"")))))</f>
        <v>1</v>
      </c>
      <c r="FG47" s="5">
        <f>SUM(FB47,FD47,FF47)</f>
        <v>1</v>
      </c>
      <c r="FH47" s="5" t="str">
        <f>IF(FG47&lt;=2,"Nivel de riesgo bajo",
IF(FG47&lt;=5,"Nivel de riesgo medio",
"Nivel de riesgo alto"))</f>
        <v>Nivel de riesgo bajo</v>
      </c>
      <c r="FI47" s="5" t="s">
        <v>248</v>
      </c>
      <c r="FJ47" s="5">
        <f>IF(FI47="Nunca/ casi nunca",0,
IF(FI47="Rara vez",1,
IF(FI47="A veces",2,
IF(FI47="A menudo",3,
IF(FI47="Siempre",4,"")))))</f>
        <v>1</v>
      </c>
      <c r="FK47" s="5" t="s">
        <v>248</v>
      </c>
      <c r="FL47" s="5">
        <f>IF(FK47="Nunca/ casi nunca",0,
IF(FK47="Rara vez",1,
IF(FK47="A veces",2,
IF(FK47="A menudo",3,
IF(FK47="Siempre",4,"")))))</f>
        <v>1</v>
      </c>
      <c r="FM47" s="5" t="s">
        <v>253</v>
      </c>
      <c r="FN47" s="5">
        <f>IF(FM47="Nunca/ casi nunca",0,
IF(FM47="Rara vez",1,
IF(FM47="A veces",2,
IF(FM47="A menudo",3,
IF(FM47="Siempre",4,"")))))</f>
        <v>0</v>
      </c>
      <c r="FO47" s="5">
        <f>SUM(FJ47,FL47,FN47)</f>
        <v>2</v>
      </c>
      <c r="FP47" s="5" t="str">
        <f>IF(FO47&lt;=2,"Nivel de riesgo bajo",
IF(FO47&lt;=5,"Nivel de riesgo medio",
"Nivel de riesgo alto"))</f>
        <v>Nivel de riesgo bajo</v>
      </c>
      <c r="FQ47" s="5" t="s">
        <v>206</v>
      </c>
      <c r="FR47" s="5">
        <f>IF(FQ47="No",0,
IF(FQ47="Sí, unas pocas veces",1,
IF(FQ47="Sí, mensualmente",2,
IF(FQ47="Sí, semanalmente",3,
IF(FQ47="Sí, diariamente",4,"")))))</f>
        <v>0</v>
      </c>
      <c r="FS47" s="5" t="s">
        <v>206</v>
      </c>
      <c r="FT47" s="5">
        <f>IF(FS47="No",0,
IF(FS47="Sí, unas pocas veces",1,
IF(FS47="Sí, mensualmente",2,
IF(FS47="Sí, semanalmente",3,
IF(FS47="Sí, diariamente",4,"")))))</f>
        <v>0</v>
      </c>
      <c r="FU47" s="5" t="s">
        <v>206</v>
      </c>
      <c r="FV47" s="5">
        <f>IF(FU47="No",0,
IF(FU47="Sí, unas pocas veces",1,
IF(FU47="Sí, mensualmente",2,
IF(FU47="Sí, semanalmente",3,
IF(FU47="Sí, diariamente",4,"")))))</f>
        <v>0</v>
      </c>
      <c r="FW47" s="5" t="s">
        <v>206</v>
      </c>
      <c r="FX47" s="5">
        <f>IF(FW47="No",0,
IF(FW47="Sí, unas pocas veces",1,
IF(FW47="Sí, mensualmente",2,
IF(FW47="Sí, semanalmente",3,
IF(FW47="Sí, diariamente",4,"")))))</f>
        <v>0</v>
      </c>
      <c r="FY47" s="5" t="s">
        <v>206</v>
      </c>
      <c r="FZ47" s="5">
        <f>IF(FY47="No",0,
IF(FY47="Sí, unas pocas veces",1,
IF(FY47="Sí, mensualmente",2,
IF(FY47="Sí, semanalmente",3,
IF(FY47="Sí, diariamente",4,"")))))</f>
        <v>0</v>
      </c>
      <c r="GA47" s="5" t="s">
        <v>206</v>
      </c>
      <c r="GB47" s="5">
        <f>IF(GA47="No",0,
IF(GA47="Sí, unas pocas veces",1,
IF(GA47="Sí, mensualmente",2,
IF(GA47="Sí, semanalmente",3,
IF(GA47="Sí, diariamente",4,"")))))</f>
        <v>0</v>
      </c>
      <c r="GC47" s="5" t="s">
        <v>206</v>
      </c>
      <c r="GD47" s="5">
        <f>IF(GC47="No",0,
IF(GC47="Sí, unas pocas veces",1,
IF(GC47="Sí, mensualmente",2,
IF(GC47="Sí, semanalmente",3,
IF(GC47="Sí, diariamente",4,"")))))</f>
        <v>0</v>
      </c>
      <c r="GE47" s="5">
        <f>SUM(FR47,FT47,FV47,FX47,FZ47,GB47,GD47)</f>
        <v>0</v>
      </c>
      <c r="GF47" s="5" t="str">
        <f>IF(GE47&lt;=0,"Nivel de riesgo bajo",
IF(GE47&lt;=14,"Nivel de riesgo medio",
"Nivel de riesgo alto"))</f>
        <v>Nivel de riesgo bajo</v>
      </c>
      <c r="GG47" s="5" t="s">
        <v>255</v>
      </c>
      <c r="GH47" s="5" t="s">
        <v>255</v>
      </c>
      <c r="GI47" s="5" t="s">
        <v>255</v>
      </c>
      <c r="GJ47" s="5" t="s">
        <v>255</v>
      </c>
      <c r="GK47" s="5" t="s">
        <v>233</v>
      </c>
      <c r="GL47" s="5" t="s">
        <v>255</v>
      </c>
      <c r="GM47" s="5" t="s">
        <v>255</v>
      </c>
      <c r="GN47" s="5" t="s">
        <v>256</v>
      </c>
      <c r="GO47" s="5" t="s">
        <v>256</v>
      </c>
      <c r="GP47" s="5" t="s">
        <v>256</v>
      </c>
      <c r="GQ47" s="5" t="s">
        <v>256</v>
      </c>
      <c r="GR47" s="5" t="s">
        <v>256</v>
      </c>
      <c r="GS47" s="5" t="s">
        <v>256</v>
      </c>
      <c r="GT47" s="5" t="s">
        <v>256</v>
      </c>
      <c r="GU47" s="5" t="s">
        <v>338</v>
      </c>
      <c r="GV47" s="5" t="str">
        <f>TEXT("6274942829559308531","0")</f>
        <v>6274942829559300000</v>
      </c>
    </row>
    <row r="48" spans="1:204" ht="15.75" hidden="1" customHeight="1" x14ac:dyDescent="0.15">
      <c r="B48" s="4">
        <v>45844.805243055554</v>
      </c>
      <c r="C48" s="5" t="s">
        <v>204</v>
      </c>
      <c r="D48" s="5" t="s">
        <v>206</v>
      </c>
      <c r="F48" s="5" t="s">
        <v>204</v>
      </c>
      <c r="G48" s="5" t="s">
        <v>204</v>
      </c>
      <c r="H48" s="5" t="s">
        <v>206</v>
      </c>
      <c r="L48" s="5" t="s">
        <v>236</v>
      </c>
      <c r="O48" s="5" t="s">
        <v>209</v>
      </c>
      <c r="T48" s="5" t="s">
        <v>209</v>
      </c>
      <c r="X48" s="5" t="s">
        <v>208</v>
      </c>
      <c r="AG48" s="5" t="s">
        <v>207</v>
      </c>
      <c r="AH48" s="5" t="s">
        <v>268</v>
      </c>
      <c r="AI48" s="5">
        <v>2007</v>
      </c>
      <c r="AJ48" s="5" t="s">
        <v>293</v>
      </c>
      <c r="AK48" s="5"/>
      <c r="AR48" s="5" t="s">
        <v>261</v>
      </c>
      <c r="AS48" s="5" t="s">
        <v>294</v>
      </c>
      <c r="AT48" s="5" t="s">
        <v>276</v>
      </c>
      <c r="AU48" s="5" t="s">
        <v>294</v>
      </c>
      <c r="AV48" s="5" t="s">
        <v>213</v>
      </c>
      <c r="AW48" s="5" t="s">
        <v>206</v>
      </c>
      <c r="BF48" s="5" t="s">
        <v>204</v>
      </c>
      <c r="BG48" s="5" t="s">
        <v>207</v>
      </c>
      <c r="BH48" s="5" t="s">
        <v>215</v>
      </c>
      <c r="BI48" s="5" t="s">
        <v>207</v>
      </c>
      <c r="BJ48" s="5" t="s">
        <v>215</v>
      </c>
      <c r="BK48" s="5" t="s">
        <v>244</v>
      </c>
      <c r="BL48" s="5" t="s">
        <v>244</v>
      </c>
      <c r="BM48" s="5" t="s">
        <v>216</v>
      </c>
      <c r="BN48" s="5" t="s">
        <v>216</v>
      </c>
      <c r="BO48" s="5" t="s">
        <v>216</v>
      </c>
      <c r="BP48" s="5" t="s">
        <v>216</v>
      </c>
      <c r="BQ48" s="5" t="s">
        <v>244</v>
      </c>
      <c r="BR48" s="5" t="s">
        <v>216</v>
      </c>
      <c r="BS48" s="5" t="s">
        <v>247</v>
      </c>
      <c r="BT48" s="5" t="s">
        <v>247</v>
      </c>
      <c r="BU48" s="5" t="s">
        <v>232</v>
      </c>
      <c r="BV48" s="5" t="s">
        <v>247</v>
      </c>
      <c r="BW48" s="5" t="s">
        <v>232</v>
      </c>
      <c r="BX48" s="5" t="s">
        <v>232</v>
      </c>
      <c r="BY48" s="5" t="s">
        <v>247</v>
      </c>
      <c r="CD48" s="5" t="s">
        <v>204</v>
      </c>
      <c r="CE48" s="5" t="s">
        <v>286</v>
      </c>
      <c r="CF48" s="5" t="s">
        <v>219</v>
      </c>
      <c r="CG48" s="5" t="s">
        <v>206</v>
      </c>
      <c r="CH48" s="5" t="s">
        <v>206</v>
      </c>
      <c r="CI48" s="5" t="s">
        <v>307</v>
      </c>
      <c r="CJ48" s="5">
        <v>3</v>
      </c>
      <c r="CK48" s="5" t="s">
        <v>223</v>
      </c>
      <c r="CU48" s="5" t="s">
        <v>206</v>
      </c>
      <c r="DA48" s="5" t="s">
        <v>231</v>
      </c>
      <c r="DB48" s="5"/>
      <c r="DC48" s="5" t="s">
        <v>230</v>
      </c>
      <c r="DD48" s="5"/>
      <c r="DE48" s="5" t="s">
        <v>250</v>
      </c>
      <c r="DF48" s="5"/>
      <c r="DG48" s="5" t="s">
        <v>230</v>
      </c>
      <c r="DH48" s="5"/>
      <c r="DI48" s="5" t="s">
        <v>230</v>
      </c>
      <c r="DJ48" s="5"/>
      <c r="DK48" s="5" t="s">
        <v>251</v>
      </c>
      <c r="DL48" s="5"/>
      <c r="DM48" s="5" t="s">
        <v>251</v>
      </c>
      <c r="DN48" s="5"/>
      <c r="DO48" s="5" t="s">
        <v>231</v>
      </c>
      <c r="DP48" s="5"/>
      <c r="DQ48" s="5" t="s">
        <v>231</v>
      </c>
      <c r="DR48" s="5"/>
      <c r="DS48" s="5" t="s">
        <v>231</v>
      </c>
      <c r="DT48" s="5"/>
      <c r="DU48" s="5" t="s">
        <v>231</v>
      </c>
      <c r="DV48" s="5"/>
      <c r="DW48" s="5" t="s">
        <v>231</v>
      </c>
      <c r="DX48" s="5"/>
      <c r="DY48" s="5"/>
      <c r="DZ48" s="5"/>
      <c r="EA48" s="5" t="s">
        <v>247</v>
      </c>
      <c r="EB48" s="5"/>
      <c r="EC48" s="5" t="s">
        <v>248</v>
      </c>
      <c r="ED48" s="5"/>
      <c r="EE48" s="5" t="s">
        <v>248</v>
      </c>
      <c r="EF48" s="5"/>
      <c r="EG48" s="5"/>
      <c r="EH48" s="5"/>
      <c r="EI48" s="5" t="s">
        <v>247</v>
      </c>
      <c r="EJ48" s="5"/>
      <c r="EK48" s="5" t="s">
        <v>247</v>
      </c>
      <c r="EL48" s="5"/>
      <c r="EM48" s="5" t="s">
        <v>253</v>
      </c>
      <c r="EN48" s="5"/>
      <c r="EO48" s="5"/>
      <c r="EP48" s="5"/>
      <c r="EQ48" s="5" t="s">
        <v>232</v>
      </c>
      <c r="ER48" s="5"/>
      <c r="ES48" s="5" t="s">
        <v>232</v>
      </c>
      <c r="ET48" s="5"/>
      <c r="EU48" s="5" t="s">
        <v>232</v>
      </c>
      <c r="EV48" s="5"/>
      <c r="EW48" s="5" t="s">
        <v>254</v>
      </c>
      <c r="EX48" s="5"/>
      <c r="EY48" s="5"/>
      <c r="EZ48" s="5"/>
      <c r="FA48" s="5" t="s">
        <v>232</v>
      </c>
      <c r="FB48" s="5"/>
      <c r="FC48" s="5" t="s">
        <v>247</v>
      </c>
      <c r="FD48" s="5"/>
      <c r="FE48" s="5" t="s">
        <v>247</v>
      </c>
      <c r="FF48" s="5"/>
      <c r="FG48" s="5"/>
      <c r="FH48" s="5"/>
      <c r="FI48" s="5" t="s">
        <v>253</v>
      </c>
      <c r="FJ48" s="5"/>
      <c r="FK48" s="5" t="s">
        <v>253</v>
      </c>
      <c r="FL48" s="5"/>
      <c r="FM48" s="5" t="s">
        <v>253</v>
      </c>
      <c r="FN48" s="5"/>
      <c r="FO48" s="5"/>
      <c r="FP48" s="5"/>
      <c r="FQ48" s="5" t="s">
        <v>265</v>
      </c>
      <c r="FR48" s="5"/>
      <c r="FS48" s="5" t="s">
        <v>206</v>
      </c>
      <c r="FT48" s="5"/>
      <c r="FU48" s="5" t="s">
        <v>206</v>
      </c>
      <c r="FV48" s="5"/>
      <c r="FW48" s="5" t="s">
        <v>206</v>
      </c>
      <c r="FX48" s="5"/>
      <c r="FY48" s="5" t="s">
        <v>206</v>
      </c>
      <c r="FZ48" s="5"/>
      <c r="GA48" s="5" t="s">
        <v>206</v>
      </c>
      <c r="GB48" s="5"/>
      <c r="GC48" s="5" t="s">
        <v>206</v>
      </c>
      <c r="GD48" s="5"/>
      <c r="GE48" s="5"/>
      <c r="GF48" s="5"/>
      <c r="GG48" s="5" t="s">
        <v>273</v>
      </c>
      <c r="GH48" s="5" t="s">
        <v>266</v>
      </c>
      <c r="GI48" s="5" t="s">
        <v>266</v>
      </c>
      <c r="GJ48" s="5" t="s">
        <v>298</v>
      </c>
      <c r="GK48" s="5" t="s">
        <v>233</v>
      </c>
      <c r="GL48" s="5" t="s">
        <v>233</v>
      </c>
      <c r="GM48" s="5" t="s">
        <v>233</v>
      </c>
      <c r="GN48" s="5" t="s">
        <v>243</v>
      </c>
      <c r="GO48" s="5" t="s">
        <v>243</v>
      </c>
      <c r="GP48" s="5" t="s">
        <v>243</v>
      </c>
      <c r="GQ48" s="5" t="s">
        <v>243</v>
      </c>
      <c r="GR48" s="5" t="s">
        <v>243</v>
      </c>
      <c r="GS48" s="5" t="s">
        <v>243</v>
      </c>
      <c r="GT48" s="5" t="s">
        <v>243</v>
      </c>
      <c r="GU48" s="5" t="s">
        <v>374</v>
      </c>
      <c r="GV48" s="5" t="str">
        <f>TEXT("6276531732314047282","0")</f>
        <v>6276531732314040000</v>
      </c>
    </row>
    <row r="49" spans="1:204" ht="15.75" hidden="1" customHeight="1" x14ac:dyDescent="0.15">
      <c r="B49" s="4">
        <v>45844.948657407411</v>
      </c>
      <c r="C49" s="5" t="s">
        <v>204</v>
      </c>
      <c r="D49" s="5" t="s">
        <v>206</v>
      </c>
      <c r="F49" s="5" t="s">
        <v>204</v>
      </c>
      <c r="G49" s="5" t="s">
        <v>204</v>
      </c>
      <c r="H49" s="5" t="s">
        <v>206</v>
      </c>
      <c r="K49" s="5" t="s">
        <v>237</v>
      </c>
      <c r="N49" s="5" t="s">
        <v>208</v>
      </c>
      <c r="T49" s="5" t="s">
        <v>209</v>
      </c>
      <c r="X49" s="5" t="s">
        <v>208</v>
      </c>
      <c r="AC49" s="5" t="s">
        <v>208</v>
      </c>
      <c r="AH49" s="5" t="s">
        <v>210</v>
      </c>
      <c r="AI49" s="5">
        <v>2019</v>
      </c>
      <c r="AJ49" s="5" t="s">
        <v>260</v>
      </c>
      <c r="AK49" s="5"/>
      <c r="AR49" s="5" t="s">
        <v>261</v>
      </c>
      <c r="AS49" s="5" t="s">
        <v>294</v>
      </c>
      <c r="AT49" s="5" t="s">
        <v>261</v>
      </c>
      <c r="AU49" s="5" t="s">
        <v>294</v>
      </c>
      <c r="AV49" s="5" t="s">
        <v>285</v>
      </c>
      <c r="AW49" s="5" t="s">
        <v>204</v>
      </c>
      <c r="AX49" s="5" t="s">
        <v>204</v>
      </c>
      <c r="AY49" s="5" t="s">
        <v>214</v>
      </c>
      <c r="AZ49" s="5" t="s">
        <v>204</v>
      </c>
      <c r="BA49" s="5" t="s">
        <v>295</v>
      </c>
      <c r="BB49" s="5" t="s">
        <v>204</v>
      </c>
      <c r="BC49" s="5" t="s">
        <v>204</v>
      </c>
      <c r="BD49" s="5" t="s">
        <v>306</v>
      </c>
      <c r="BE49" s="5" t="s">
        <v>206</v>
      </c>
      <c r="BF49" s="5" t="s">
        <v>204</v>
      </c>
      <c r="BG49" s="5" t="s">
        <v>278</v>
      </c>
      <c r="BH49" s="5" t="s">
        <v>242</v>
      </c>
      <c r="BI49" s="5" t="s">
        <v>278</v>
      </c>
      <c r="BJ49" s="5" t="s">
        <v>278</v>
      </c>
      <c r="BK49" s="5" t="s">
        <v>245</v>
      </c>
      <c r="BL49" s="5" t="s">
        <v>245</v>
      </c>
      <c r="BM49" s="5" t="s">
        <v>245</v>
      </c>
      <c r="BN49" s="5" t="s">
        <v>245</v>
      </c>
      <c r="BO49" s="5" t="s">
        <v>245</v>
      </c>
      <c r="BP49" s="5" t="s">
        <v>245</v>
      </c>
      <c r="BQ49" s="5" t="s">
        <v>245</v>
      </c>
      <c r="BR49" s="5" t="s">
        <v>245</v>
      </c>
      <c r="BS49" s="5" t="s">
        <v>254</v>
      </c>
      <c r="BT49" s="5" t="s">
        <v>247</v>
      </c>
      <c r="BU49" s="5" t="s">
        <v>254</v>
      </c>
      <c r="BV49" s="5" t="s">
        <v>247</v>
      </c>
      <c r="BW49" s="5" t="s">
        <v>254</v>
      </c>
      <c r="BX49" s="5" t="s">
        <v>254</v>
      </c>
      <c r="BY49" s="5" t="s">
        <v>254</v>
      </c>
      <c r="BZ49" s="5" t="s">
        <v>245</v>
      </c>
      <c r="CA49" s="5" t="s">
        <v>245</v>
      </c>
      <c r="CB49" s="5" t="s">
        <v>246</v>
      </c>
      <c r="CC49" s="5" t="s">
        <v>246</v>
      </c>
      <c r="CD49" s="5" t="s">
        <v>206</v>
      </c>
      <c r="CH49" s="5" t="s">
        <v>221</v>
      </c>
      <c r="CI49" s="5" t="s">
        <v>318</v>
      </c>
      <c r="CJ49" s="5">
        <v>4</v>
      </c>
      <c r="CM49" s="5" t="s">
        <v>358</v>
      </c>
      <c r="CU49" s="5" t="s">
        <v>204</v>
      </c>
      <c r="CV49" s="5" t="s">
        <v>350</v>
      </c>
      <c r="CW49" s="5" t="s">
        <v>351</v>
      </c>
      <c r="CX49" s="5" t="s">
        <v>352</v>
      </c>
      <c r="CY49" s="5" t="s">
        <v>227</v>
      </c>
      <c r="CZ49" s="5" t="s">
        <v>228</v>
      </c>
      <c r="DA49" s="5" t="s">
        <v>229</v>
      </c>
      <c r="DB49" s="5"/>
      <c r="DC49" s="5" t="s">
        <v>280</v>
      </c>
      <c r="DD49" s="5"/>
      <c r="DE49" s="5" t="s">
        <v>280</v>
      </c>
      <c r="DF49" s="5"/>
      <c r="DG49" s="5" t="s">
        <v>280</v>
      </c>
      <c r="DH49" s="5"/>
      <c r="DI49" s="5" t="s">
        <v>280</v>
      </c>
      <c r="DJ49" s="5"/>
      <c r="DK49" s="5" t="s">
        <v>280</v>
      </c>
      <c r="DL49" s="5"/>
      <c r="DM49" s="5" t="s">
        <v>230</v>
      </c>
      <c r="DN49" s="5"/>
      <c r="DO49" s="5" t="s">
        <v>231</v>
      </c>
      <c r="DP49" s="5"/>
      <c r="DQ49" s="5" t="s">
        <v>231</v>
      </c>
      <c r="DR49" s="5"/>
      <c r="DS49" s="5" t="s">
        <v>252</v>
      </c>
      <c r="DT49" s="5"/>
      <c r="DU49" s="5" t="s">
        <v>231</v>
      </c>
      <c r="DV49" s="5"/>
      <c r="DW49" s="5" t="s">
        <v>231</v>
      </c>
      <c r="DX49" s="5"/>
      <c r="DY49" s="5"/>
      <c r="DZ49" s="5"/>
      <c r="EA49" s="5" t="s">
        <v>248</v>
      </c>
      <c r="EB49" s="5"/>
      <c r="EC49" s="5" t="s">
        <v>232</v>
      </c>
      <c r="ED49" s="5"/>
      <c r="EE49" s="5" t="s">
        <v>232</v>
      </c>
      <c r="EF49" s="5"/>
      <c r="EG49" s="5"/>
      <c r="EH49" s="5"/>
      <c r="EI49" s="5" t="s">
        <v>232</v>
      </c>
      <c r="EJ49" s="5"/>
      <c r="EK49" s="5" t="s">
        <v>254</v>
      </c>
      <c r="EL49" s="5"/>
      <c r="EM49" s="5" t="s">
        <v>247</v>
      </c>
      <c r="EN49" s="5"/>
      <c r="EO49" s="5"/>
      <c r="EP49" s="5"/>
      <c r="EQ49" s="5" t="s">
        <v>254</v>
      </c>
      <c r="ER49" s="5"/>
      <c r="ES49" s="5" t="s">
        <v>254</v>
      </c>
      <c r="ET49" s="5"/>
      <c r="EU49" s="5" t="s">
        <v>254</v>
      </c>
      <c r="EV49" s="5"/>
      <c r="EW49" s="5" t="s">
        <v>254</v>
      </c>
      <c r="EX49" s="5"/>
      <c r="EY49" s="5"/>
      <c r="EZ49" s="5"/>
      <c r="FA49" s="5" t="s">
        <v>232</v>
      </c>
      <c r="FB49" s="5"/>
      <c r="FC49" s="5" t="s">
        <v>232</v>
      </c>
      <c r="FD49" s="5"/>
      <c r="FE49" s="5" t="s">
        <v>232</v>
      </c>
      <c r="FF49" s="5"/>
      <c r="FG49" s="5"/>
      <c r="FH49" s="5"/>
      <c r="FI49" s="5" t="s">
        <v>254</v>
      </c>
      <c r="FJ49" s="5"/>
      <c r="FK49" s="5" t="s">
        <v>254</v>
      </c>
      <c r="FL49" s="5"/>
      <c r="FM49" s="5" t="s">
        <v>247</v>
      </c>
      <c r="FN49" s="5"/>
      <c r="FO49" s="5"/>
      <c r="FP49" s="5"/>
      <c r="FQ49" s="5" t="s">
        <v>206</v>
      </c>
      <c r="FR49" s="5"/>
      <c r="FS49" s="5" t="s">
        <v>206</v>
      </c>
      <c r="FT49" s="5"/>
      <c r="FU49" s="5" t="s">
        <v>206</v>
      </c>
      <c r="FV49" s="5"/>
      <c r="FW49" s="5" t="s">
        <v>206</v>
      </c>
      <c r="FX49" s="5"/>
      <c r="FY49" s="5" t="s">
        <v>206</v>
      </c>
      <c r="FZ49" s="5"/>
      <c r="GA49" s="5" t="s">
        <v>206</v>
      </c>
      <c r="GB49" s="5"/>
      <c r="GC49" s="5" t="s">
        <v>206</v>
      </c>
      <c r="GD49" s="5"/>
      <c r="GE49" s="5"/>
      <c r="GF49" s="5"/>
      <c r="GG49" s="5" t="s">
        <v>273</v>
      </c>
      <c r="GH49" s="5" t="s">
        <v>273</v>
      </c>
      <c r="GI49" s="5" t="s">
        <v>273</v>
      </c>
      <c r="GJ49" s="5" t="s">
        <v>233</v>
      </c>
      <c r="GK49" s="5" t="s">
        <v>233</v>
      </c>
      <c r="GL49" s="5" t="s">
        <v>233</v>
      </c>
      <c r="GM49" s="5" t="s">
        <v>273</v>
      </c>
      <c r="GN49" s="5" t="s">
        <v>234</v>
      </c>
      <c r="GO49" s="5" t="s">
        <v>234</v>
      </c>
      <c r="GP49" s="5" t="s">
        <v>234</v>
      </c>
      <c r="GQ49" s="5" t="s">
        <v>234</v>
      </c>
      <c r="GR49" s="5" t="s">
        <v>234</v>
      </c>
      <c r="GS49" s="5" t="s">
        <v>234</v>
      </c>
      <c r="GT49" s="5" t="s">
        <v>234</v>
      </c>
      <c r="GU49" s="5" t="s">
        <v>375</v>
      </c>
      <c r="GV49" s="5" t="str">
        <f>TEXT("6276655647212496989","0")</f>
        <v>6276655647212490000</v>
      </c>
    </row>
    <row r="50" spans="1:204" ht="15.75" customHeight="1" x14ac:dyDescent="0.15">
      <c r="A50" s="1">
        <f t="shared" ref="A50:A65" si="51">ROW(A50)</f>
        <v>50</v>
      </c>
      <c r="B50" s="4">
        <v>45844.971180555556</v>
      </c>
      <c r="C50" s="5" t="s">
        <v>204</v>
      </c>
      <c r="D50" s="5" t="s">
        <v>206</v>
      </c>
      <c r="F50" s="5" t="s">
        <v>206</v>
      </c>
      <c r="G50" s="5" t="s">
        <v>204</v>
      </c>
      <c r="H50" s="5" t="s">
        <v>206</v>
      </c>
      <c r="K50" s="5" t="s">
        <v>237</v>
      </c>
      <c r="O50" s="5" t="s">
        <v>209</v>
      </c>
      <c r="T50" s="5" t="s">
        <v>209</v>
      </c>
      <c r="Y50" s="5" t="s">
        <v>209</v>
      </c>
      <c r="AC50" s="5" t="s">
        <v>208</v>
      </c>
      <c r="AH50" s="5" t="s">
        <v>268</v>
      </c>
      <c r="AI50" s="5">
        <v>2018</v>
      </c>
      <c r="AJ50" s="5" t="s">
        <v>238</v>
      </c>
      <c r="AK50" s="5" t="str">
        <f t="shared" ref="AK50:AK65" si="52">IF(OR(AJ50="Empleada del sector privado",AJ50="Empleada del sector público"),"Asalariada",
IF(AJ50="Trabajadora por cuenta propia","Trabajadora por cuenta propia",""))</f>
        <v>Trabajadora por cuenta propia</v>
      </c>
      <c r="AL50" s="5" t="s">
        <v>239</v>
      </c>
      <c r="AP50" s="5" t="s">
        <v>240</v>
      </c>
      <c r="AR50" s="5" t="s">
        <v>261</v>
      </c>
      <c r="AS50" s="5" t="s">
        <v>294</v>
      </c>
      <c r="AT50" s="5" t="s">
        <v>294</v>
      </c>
      <c r="AU50" s="5" t="s">
        <v>294</v>
      </c>
      <c r="AV50" s="5" t="s">
        <v>269</v>
      </c>
      <c r="AW50" s="5" t="s">
        <v>204</v>
      </c>
      <c r="AX50" s="5" t="s">
        <v>206</v>
      </c>
      <c r="BF50" s="5" t="s">
        <v>204</v>
      </c>
      <c r="BG50" s="5" t="s">
        <v>215</v>
      </c>
      <c r="BH50" s="5" t="s">
        <v>215</v>
      </c>
      <c r="BI50" s="5" t="s">
        <v>278</v>
      </c>
      <c r="BJ50" s="5" t="s">
        <v>242</v>
      </c>
      <c r="BK50" s="5" t="s">
        <v>246</v>
      </c>
      <c r="BL50" s="5" t="s">
        <v>243</v>
      </c>
      <c r="BM50" s="5" t="s">
        <v>243</v>
      </c>
      <c r="BN50" s="5" t="s">
        <v>243</v>
      </c>
      <c r="BO50" s="5" t="s">
        <v>246</v>
      </c>
      <c r="BP50" s="5" t="s">
        <v>243</v>
      </c>
      <c r="BQ50" s="5" t="s">
        <v>243</v>
      </c>
      <c r="BR50" s="5" t="s">
        <v>243</v>
      </c>
      <c r="BS50" s="5" t="s">
        <v>254</v>
      </c>
      <c r="BT50" s="5" t="s">
        <v>247</v>
      </c>
      <c r="BU50" s="5" t="s">
        <v>232</v>
      </c>
      <c r="BV50" s="5" t="s">
        <v>232</v>
      </c>
      <c r="BW50" s="5" t="s">
        <v>232</v>
      </c>
      <c r="BX50" s="5" t="s">
        <v>232</v>
      </c>
      <c r="BY50" s="5" t="s">
        <v>232</v>
      </c>
      <c r="BZ50" s="5" t="s">
        <v>243</v>
      </c>
      <c r="CA50" s="5" t="s">
        <v>243</v>
      </c>
      <c r="CB50" s="5" t="s">
        <v>246</v>
      </c>
      <c r="CC50" s="5" t="s">
        <v>243</v>
      </c>
      <c r="CD50" s="5" t="s">
        <v>206</v>
      </c>
      <c r="CH50" s="5" t="s">
        <v>331</v>
      </c>
      <c r="CI50" s="5" t="s">
        <v>291</v>
      </c>
      <c r="CJ50" s="5">
        <v>1</v>
      </c>
      <c r="CK50" s="5" t="s">
        <v>223</v>
      </c>
      <c r="CU50" s="5" t="s">
        <v>206</v>
      </c>
      <c r="DA50" s="5" t="s">
        <v>252</v>
      </c>
      <c r="DB50" s="5">
        <f t="shared" ref="DB50:DB65" si="53">IF(DA50="Mejor que lo habitual",1,
IF(DA50="Igual que lo habitual",2,
IF(DA50="Menos que lo habitual",3,
IF(DA50="Mucho menos que lo habitual",4,""))))</f>
        <v>3</v>
      </c>
      <c r="DC50" s="5" t="s">
        <v>250</v>
      </c>
      <c r="DD50" s="5">
        <f t="shared" ref="DD50:DD65" si="54">IF(DC50="No, en absoluto",1,
IF(DC50="No más que lo habitual",2,
IF(DC50="Bastante más que lo habitual",3,
IF(DC50="Mucho más que lo habitual",4,""))))</f>
        <v>3</v>
      </c>
      <c r="DE50" s="5" t="s">
        <v>250</v>
      </c>
      <c r="DF50" s="5">
        <f t="shared" ref="DF50:DF65" si="55">IF(DE50="No, en absoluto",1,
IF(DE50="No más que lo habitual",2,
IF(DE50="Bastante más que lo habitual",3,
IF(DE50="Mucho más que lo habitual",4,""))))</f>
        <v>3</v>
      </c>
      <c r="DG50" s="5" t="s">
        <v>250</v>
      </c>
      <c r="DH50" s="5">
        <f t="shared" ref="DH50:DH65" si="56">IF(DG50="No, en absoluto",1,
IF(DG50="No más que lo habitual",2,
IF(DG50="Bastante más que lo habitual",3,
IF(DG50="Mucho más que lo habitual",4,""))))</f>
        <v>3</v>
      </c>
      <c r="DI50" s="5" t="s">
        <v>250</v>
      </c>
      <c r="DJ50" s="5">
        <f t="shared" ref="DJ50:DJ65" si="57">IF(DI50="No, en absoluto",1,
IF(DI50="No más que lo habitual",2,
IF(DI50="Bastante más que lo habitual",3,
IF(DI50="Mucho más que lo habitual",4,""))))</f>
        <v>3</v>
      </c>
      <c r="DK50" s="5" t="s">
        <v>250</v>
      </c>
      <c r="DL50" s="5">
        <f t="shared" ref="DL50:DL65" si="58">IF(DK50="No, en absoluto",1,
IF(DK50="No más que lo habitual",2,
IF(DK50="Bastante más que lo habitual",3,
IF(DK50="Mucho más que lo habitual",4,""))))</f>
        <v>3</v>
      </c>
      <c r="DM50" s="5" t="s">
        <v>250</v>
      </c>
      <c r="DN50" s="5">
        <f t="shared" ref="DN50:DN65" si="59">IF(DM50="No, en absoluto",1,
IF(DM50="No más que lo habitual",2,
IF(DM50="Bastante más que lo habitual",3,
IF(DM50="Mucho más que lo habitual",4,""))))</f>
        <v>3</v>
      </c>
      <c r="DO50" s="5" t="s">
        <v>252</v>
      </c>
      <c r="DP50" s="5">
        <f t="shared" ref="DP50:DP65" si="60">IF(DO50="Más que lo habitual",1,
IF(DO50="Igual que lo habitual",2,
IF(DO50="Menos que lo habitual",3,
IF(DO50="Mucho menos que lo habitual",4,""))))</f>
        <v>3</v>
      </c>
      <c r="DQ50" s="5" t="s">
        <v>252</v>
      </c>
      <c r="DR50" s="5">
        <f t="shared" ref="DR50:DR65" si="61">IF(DQ50="Más que lo habitual",1,
IF(DQ50="Igual que lo habitual",2,
IF(DQ50="Menos que lo habitual",3,
IF(DQ50="Mucho menos que lo habitual",4,""))))</f>
        <v>3</v>
      </c>
      <c r="DS50" s="5" t="s">
        <v>252</v>
      </c>
      <c r="DT50" s="5">
        <f t="shared" ref="DT50:DT65" si="62">IF(DS50="Más que lo habitual",1,
IF(DS50="Igual que lo habitual",2,
IF(DS50="Menos que lo habitual",3,
IF(DS50="Mucho menos que lo habitual",4,""))))</f>
        <v>3</v>
      </c>
      <c r="DU50" s="5" t="s">
        <v>252</v>
      </c>
      <c r="DV50" s="5">
        <f t="shared" ref="DV50:DV65" si="63">IF(DU50="Más que lo habitual",1,
IF(DU50="Igual que lo habitual",2,
IF(DU50="Menos que lo habitual",3,
IF(DU50="Mucho menos que lo habitual",4,""))))</f>
        <v>3</v>
      </c>
      <c r="DW50" s="5" t="s">
        <v>231</v>
      </c>
      <c r="DX50" s="5">
        <f t="shared" ref="DX50:DX65" si="64">IF(DW50="Más que lo habitual",1,
IF(DW50="Igual que lo habitual",2,
IF(DW50="Menos que lo habitual",3,
IF(DW50="Mucho menos que lo habitual",4,""))))</f>
        <v>2</v>
      </c>
      <c r="DY50" s="5">
        <f t="shared" ref="DY50:DY65" si="65">SUM(DB50,DD50,DF50,DH50,DJ50,DL50,DN50,DP50,DR50,DT50,DV50,DX50)</f>
        <v>35</v>
      </c>
      <c r="DZ50" s="5" t="str">
        <f t="shared" ref="DZ50:DZ65" si="66">IF(DY50&lt;=18,"Nivel de riesgo bajo",
IF(DY50&lt;=23,"Nivel de riesgo medio",
"Nivel de riesgo alto"))</f>
        <v>Nivel de riesgo alto</v>
      </c>
      <c r="EA50" s="5" t="s">
        <v>232</v>
      </c>
      <c r="EB50" s="5">
        <f t="shared" ref="EB50:EB65" si="67">IF(EA50="Nunca/ casi nunca",0,
IF(EA50="Rara vez",1,
IF(EA50="A veces",2,
IF(EA50="A menudo",3,
IF(EA50="Siempre",4,"")))))</f>
        <v>3</v>
      </c>
      <c r="EC50" s="5" t="s">
        <v>232</v>
      </c>
      <c r="ED50" s="5">
        <f t="shared" ref="ED50:ED65" si="68">IF(EC50="Nunca/ casi nunca",0,
IF(EC50="Rara vez",1,
IF(EC50="A veces",2,
IF(EC50="A menudo",3,
IF(EC50="Siempre",4,"")))))</f>
        <v>3</v>
      </c>
      <c r="EE50" s="5" t="s">
        <v>232</v>
      </c>
      <c r="EF50" s="5">
        <f t="shared" ref="EF50:EF65" si="69">IF(EE50="Nunca/ casi nunca",0,
IF(EE50="Rara vez",1,
IF(EE50="A veces",2,
IF(EE50="A menudo",3,
IF(EE50="Siempre",4,"")))))</f>
        <v>3</v>
      </c>
      <c r="EG50" s="5">
        <f t="shared" ref="EG50:EG65" si="70">SUM(EB50,ED50,EF50)</f>
        <v>9</v>
      </c>
      <c r="EH50" s="5" t="str">
        <f t="shared" ref="EH50:EH65" si="71">IF(EG50&lt;=1,"Nivel de riesgo bajo",
IF(EG50&lt;=4,"Nivel de riesgo medio",
"Nivel de riesgo alto"))</f>
        <v>Nivel de riesgo alto</v>
      </c>
      <c r="EI50" s="5" t="s">
        <v>232</v>
      </c>
      <c r="EJ50" s="5">
        <f t="shared" ref="EJ50:EJ65" si="72">IF(EI50="Nunca/ casi nunca",0,
IF(EI50="Rara vez",1,
IF(EI50="A veces",2,
IF(EI50="A menudo",3,
IF(EI50="Siempre",4,"")))))</f>
        <v>3</v>
      </c>
      <c r="EK50" s="5" t="s">
        <v>232</v>
      </c>
      <c r="EL50" s="5">
        <f t="shared" ref="EL50:EL65" si="73">IF(EK50="Nunca/ casi nunca",0,
IF(EK50="Rara vez",1,
IF(EK50="A veces",2,
IF(EK50="A menudo",3,
IF(EK50="Siempre",4,"")))))</f>
        <v>3</v>
      </c>
      <c r="EM50" s="5" t="s">
        <v>232</v>
      </c>
      <c r="EN50" s="5">
        <f t="shared" ref="EN50:EN65" si="74">IF(EM50="Nunca/ casi nunca",0,
IF(EM50="Rara vez",1,
IF(EM50="A veces",2,
IF(EM50="A menudo",3,
IF(EM50="Siempre",4,"")))))</f>
        <v>3</v>
      </c>
      <c r="EO50" s="5">
        <f t="shared" ref="EO50:EO65" si="75">SUM(EJ50,EL50,EN50)</f>
        <v>9</v>
      </c>
      <c r="EP50" s="5" t="str">
        <f t="shared" ref="EP50:EP65" si="76">IF(EO50&lt;=1,"Nivel de riesgo bajo",
IF(EO50&lt;=5,"Nivel de riesgo medio",
"Nivel de riesgo alto"))</f>
        <v>Nivel de riesgo alto</v>
      </c>
      <c r="EQ50" s="5" t="s">
        <v>232</v>
      </c>
      <c r="ER50" s="5">
        <f t="shared" ref="ER50:ER65" si="77">IF(EQ50="Nunca/ casi nunca",4,
IF(EQ50="Rara vez",3,
IF(EQ50="A veces",2,
IF(EQ50="A menudo",1,
IF(EQ50="Siempre",0,"")))))</f>
        <v>1</v>
      </c>
      <c r="ES50" s="5" t="s">
        <v>232</v>
      </c>
      <c r="ET50" s="5">
        <f t="shared" ref="ET50:ET65" si="78">IF(ES50="Nunca/ casi nunca",4,
IF(ES50="Rara vez",3,
IF(ES50="A veces",2,
IF(ES50="A menudo",1,
IF(ES50="Siempre",0,"")))))</f>
        <v>1</v>
      </c>
      <c r="EU50" s="5" t="s">
        <v>232</v>
      </c>
      <c r="EV50" s="5">
        <f t="shared" ref="EV50:EV65" si="79">IF(EU50="Nunca/ casi nunca",4,
IF(EU50="Rara vez",3,
IF(EU50="A veces",2,
IF(EU50="A menudo",1,
IF(EU50="Siempre",0,"")))))</f>
        <v>1</v>
      </c>
      <c r="EW50" s="5" t="s">
        <v>232</v>
      </c>
      <c r="EX50" s="5">
        <f t="shared" ref="EX50:EX65" si="80">IF(EW50="Nunca/ casi nunca",4,
IF(EW50="Rara vez",3,
IF(EW50="A veces",2,
IF(EW50="A menudo",1,
IF(EW50="Siempre",0,"")))))</f>
        <v>1</v>
      </c>
      <c r="EY50" s="5">
        <f t="shared" ref="EY50:EY65" si="81">SUM(ER50,ET50,EV50,EX50)</f>
        <v>4</v>
      </c>
      <c r="EZ50" s="5" t="str">
        <f t="shared" ref="EZ50:EZ65" si="82">IF(EY50&lt;=0,"Nivel de riesgo bajo",
IF(EY50&lt;=4,"Nivel de riesgo medio",
"Nivel de riesgo alto"))</f>
        <v>Nivel de riesgo medio</v>
      </c>
      <c r="FA50" s="5" t="s">
        <v>232</v>
      </c>
      <c r="FB50" s="5">
        <f t="shared" ref="FB50:FB65" si="83">IF(FA50="Nunca/ casi nunca",0,
IF(FA50="Rara vez",1,
IF(FA50="A veces",2,
IF(FA50="A menudo",3,
IF(FA50="Siempre",4,"")))))</f>
        <v>3</v>
      </c>
      <c r="FC50" s="5" t="s">
        <v>232</v>
      </c>
      <c r="FD50" s="5">
        <f t="shared" ref="FD50:FD65" si="84">IF(FC50="Nunca/ casi nunca",0,
IF(FC50="Rara vez",1,
IF(FC50="A veces",2,
IF(FC50="A menudo",3,
IF(FC50="Siempre",4,"")))))</f>
        <v>3</v>
      </c>
      <c r="FE50" s="5" t="s">
        <v>232</v>
      </c>
      <c r="FF50" s="5">
        <f t="shared" ref="FF50:FF65" si="85">IF(FE50="Nunca/ casi nunca",0,
IF(FE50="Rara vez",1,
IF(FE50="A veces",2,
IF(FE50="A menudo",3,
IF(FE50="Siempre",4,"")))))</f>
        <v>3</v>
      </c>
      <c r="FG50" s="5">
        <f t="shared" ref="FG50:FG65" si="86">SUM(FB50,FD50,FF50)</f>
        <v>9</v>
      </c>
      <c r="FH50" s="5" t="str">
        <f t="shared" ref="FH50:FH65" si="87">IF(FG50&lt;=2,"Nivel de riesgo bajo",
IF(FG50&lt;=5,"Nivel de riesgo medio",
"Nivel de riesgo alto"))</f>
        <v>Nivel de riesgo alto</v>
      </c>
      <c r="FI50" s="5" t="s">
        <v>232</v>
      </c>
      <c r="FJ50" s="5">
        <f t="shared" ref="FJ50:FJ65" si="88">IF(FI50="Nunca/ casi nunca",0,
IF(FI50="Rara vez",1,
IF(FI50="A veces",2,
IF(FI50="A menudo",3,
IF(FI50="Siempre",4,"")))))</f>
        <v>3</v>
      </c>
      <c r="FK50" s="5" t="s">
        <v>232</v>
      </c>
      <c r="FL50" s="5">
        <f t="shared" ref="FL50:FL65" si="89">IF(FK50="Nunca/ casi nunca",0,
IF(FK50="Rara vez",1,
IF(FK50="A veces",2,
IF(FK50="A menudo",3,
IF(FK50="Siempre",4,"")))))</f>
        <v>3</v>
      </c>
      <c r="FM50" s="5" t="s">
        <v>232</v>
      </c>
      <c r="FN50" s="5">
        <f t="shared" ref="FN50:FN65" si="90">IF(FM50="Nunca/ casi nunca",0,
IF(FM50="Rara vez",1,
IF(FM50="A veces",2,
IF(FM50="A menudo",3,
IF(FM50="Siempre",4,"")))))</f>
        <v>3</v>
      </c>
      <c r="FO50" s="5">
        <f t="shared" ref="FO50:FO65" si="91">SUM(FJ50,FL50,FN50)</f>
        <v>9</v>
      </c>
      <c r="FP50" s="5" t="str">
        <f t="shared" ref="FP50:FP65" si="92">IF(FO50&lt;=2,"Nivel de riesgo bajo",
IF(FO50&lt;=5,"Nivel de riesgo medio",
"Nivel de riesgo alto"))</f>
        <v>Nivel de riesgo alto</v>
      </c>
      <c r="FQ50" s="5" t="s">
        <v>265</v>
      </c>
      <c r="FR50" s="5">
        <f t="shared" ref="FR50:FR65" si="93">IF(FQ50="No",0,
IF(FQ50="Sí, unas pocas veces",1,
IF(FQ50="Sí, mensualmente",2,
IF(FQ50="Sí, semanalmente",3,
IF(FQ50="Sí, diariamente",4,"")))))</f>
        <v>1</v>
      </c>
      <c r="FS50" s="5" t="s">
        <v>265</v>
      </c>
      <c r="FT50" s="5">
        <f t="shared" ref="FT50:FT65" si="94">IF(FS50="No",0,
IF(FS50="Sí, unas pocas veces",1,
IF(FS50="Sí, mensualmente",2,
IF(FS50="Sí, semanalmente",3,
IF(FS50="Sí, diariamente",4,"")))))</f>
        <v>1</v>
      </c>
      <c r="FU50" s="5" t="s">
        <v>265</v>
      </c>
      <c r="FV50" s="5">
        <f t="shared" ref="FV50:FV65" si="95">IF(FU50="No",0,
IF(FU50="Sí, unas pocas veces",1,
IF(FU50="Sí, mensualmente",2,
IF(FU50="Sí, semanalmente",3,
IF(FU50="Sí, diariamente",4,"")))))</f>
        <v>1</v>
      </c>
      <c r="FW50" s="5" t="s">
        <v>265</v>
      </c>
      <c r="FX50" s="5">
        <f t="shared" ref="FX50:FX65" si="96">IF(FW50="No",0,
IF(FW50="Sí, unas pocas veces",1,
IF(FW50="Sí, mensualmente",2,
IF(FW50="Sí, semanalmente",3,
IF(FW50="Sí, diariamente",4,"")))))</f>
        <v>1</v>
      </c>
      <c r="FY50" s="5" t="s">
        <v>265</v>
      </c>
      <c r="FZ50" s="5">
        <f t="shared" ref="FZ50:FZ65" si="97">IF(FY50="No",0,
IF(FY50="Sí, unas pocas veces",1,
IF(FY50="Sí, mensualmente",2,
IF(FY50="Sí, semanalmente",3,
IF(FY50="Sí, diariamente",4,"")))))</f>
        <v>1</v>
      </c>
      <c r="GA50" s="5" t="s">
        <v>265</v>
      </c>
      <c r="GB50" s="5">
        <f t="shared" ref="GB50:GB65" si="98">IF(GA50="No",0,
IF(GA50="Sí, unas pocas veces",1,
IF(GA50="Sí, mensualmente",2,
IF(GA50="Sí, semanalmente",3,
IF(GA50="Sí, diariamente",4,"")))))</f>
        <v>1</v>
      </c>
      <c r="GC50" s="5" t="s">
        <v>265</v>
      </c>
      <c r="GD50" s="5">
        <f t="shared" ref="GD50:GD65" si="99">IF(GC50="No",0,
IF(GC50="Sí, unas pocas veces",1,
IF(GC50="Sí, mensualmente",2,
IF(GC50="Sí, semanalmente",3,
IF(GC50="Sí, diariamente",4,"")))))</f>
        <v>1</v>
      </c>
      <c r="GE50" s="5">
        <f t="shared" ref="GE50:GE65" si="100">SUM(FR50,FT50,FV50,FX50,FZ50,GB50,GD50)</f>
        <v>7</v>
      </c>
      <c r="GF50" s="5" t="str">
        <f t="shared" ref="GF50:GF65" si="101">IF(GE50&lt;=0,"Nivel de riesgo bajo",
IF(GE50&lt;=14,"Nivel de riesgo medio",
"Nivel de riesgo alto"))</f>
        <v>Nivel de riesgo medio</v>
      </c>
      <c r="GG50" s="5" t="s">
        <v>255</v>
      </c>
      <c r="GH50" s="5" t="s">
        <v>255</v>
      </c>
      <c r="GI50" s="5" t="s">
        <v>273</v>
      </c>
      <c r="GJ50" s="5" t="s">
        <v>298</v>
      </c>
      <c r="GK50" s="5" t="s">
        <v>233</v>
      </c>
      <c r="GL50" s="5" t="s">
        <v>298</v>
      </c>
      <c r="GM50" s="5" t="s">
        <v>255</v>
      </c>
      <c r="GN50" s="5" t="s">
        <v>256</v>
      </c>
      <c r="GO50" s="5" t="s">
        <v>257</v>
      </c>
      <c r="GP50" s="5" t="s">
        <v>257</v>
      </c>
      <c r="GQ50" s="5" t="s">
        <v>257</v>
      </c>
      <c r="GR50" s="5" t="s">
        <v>257</v>
      </c>
      <c r="GS50" s="5" t="s">
        <v>257</v>
      </c>
      <c r="GT50" s="5" t="s">
        <v>257</v>
      </c>
      <c r="GU50" s="5" t="s">
        <v>376</v>
      </c>
      <c r="GV50" s="5" t="str">
        <f>TEXT("6276675104327440848","0")</f>
        <v>6276675104327440000</v>
      </c>
    </row>
    <row r="51" spans="1:204" ht="15.75" customHeight="1" x14ac:dyDescent="0.15">
      <c r="A51" s="1">
        <f t="shared" si="51"/>
        <v>51</v>
      </c>
      <c r="B51" s="4">
        <v>45847.388344907406</v>
      </c>
      <c r="C51" s="5" t="s">
        <v>204</v>
      </c>
      <c r="D51" s="5" t="s">
        <v>206</v>
      </c>
      <c r="F51" s="5" t="s">
        <v>206</v>
      </c>
      <c r="G51" s="5" t="s">
        <v>206</v>
      </c>
      <c r="H51" s="5" t="s">
        <v>206</v>
      </c>
      <c r="K51" s="5" t="s">
        <v>237</v>
      </c>
      <c r="P51" s="5" t="s">
        <v>237</v>
      </c>
      <c r="S51" s="5" t="s">
        <v>208</v>
      </c>
      <c r="X51" s="5" t="s">
        <v>208</v>
      </c>
      <c r="AG51" s="5" t="s">
        <v>207</v>
      </c>
      <c r="AH51" s="5" t="s">
        <v>377</v>
      </c>
      <c r="AI51" s="5">
        <v>2014</v>
      </c>
      <c r="AJ51" s="5" t="s">
        <v>238</v>
      </c>
      <c r="AK51" s="5" t="str">
        <f t="shared" si="52"/>
        <v>Trabajadora por cuenta propia</v>
      </c>
      <c r="AL51" s="5" t="s">
        <v>239</v>
      </c>
      <c r="AP51" s="5" t="s">
        <v>240</v>
      </c>
      <c r="AR51" s="5" t="s">
        <v>241</v>
      </c>
      <c r="AS51" s="5" t="s">
        <v>261</v>
      </c>
      <c r="AT51" s="5" t="s">
        <v>276</v>
      </c>
      <c r="AU51" s="5" t="s">
        <v>276</v>
      </c>
      <c r="AV51" s="5" t="s">
        <v>285</v>
      </c>
      <c r="AW51" s="5" t="s">
        <v>204</v>
      </c>
      <c r="AX51" s="5" t="s">
        <v>206</v>
      </c>
      <c r="BF51" s="5" t="s">
        <v>204</v>
      </c>
      <c r="BG51" s="5" t="s">
        <v>215</v>
      </c>
      <c r="BH51" s="5" t="s">
        <v>242</v>
      </c>
      <c r="BI51" s="5" t="s">
        <v>215</v>
      </c>
      <c r="BJ51" s="5" t="s">
        <v>264</v>
      </c>
      <c r="BK51" s="5" t="s">
        <v>244</v>
      </c>
      <c r="BL51" s="5" t="s">
        <v>244</v>
      </c>
      <c r="BM51" s="5" t="s">
        <v>244</v>
      </c>
      <c r="BN51" s="5" t="s">
        <v>243</v>
      </c>
      <c r="BO51" s="5" t="s">
        <v>244</v>
      </c>
      <c r="BP51" s="5" t="s">
        <v>244</v>
      </c>
      <c r="BQ51" s="5" t="s">
        <v>244</v>
      </c>
      <c r="BR51" s="5" t="s">
        <v>243</v>
      </c>
      <c r="BS51" s="5" t="s">
        <v>247</v>
      </c>
      <c r="BT51" s="5" t="s">
        <v>247</v>
      </c>
      <c r="BU51" s="5" t="s">
        <v>247</v>
      </c>
      <c r="BV51" s="5" t="s">
        <v>247</v>
      </c>
      <c r="BW51" s="5" t="s">
        <v>232</v>
      </c>
      <c r="BX51" s="5" t="s">
        <v>247</v>
      </c>
      <c r="BY51" s="5" t="s">
        <v>247</v>
      </c>
      <c r="BZ51" s="5" t="s">
        <v>246</v>
      </c>
      <c r="CA51" s="5" t="s">
        <v>243</v>
      </c>
      <c r="CB51" s="5" t="s">
        <v>246</v>
      </c>
      <c r="CC51" s="5" t="s">
        <v>246</v>
      </c>
      <c r="CD51" s="5" t="s">
        <v>206</v>
      </c>
      <c r="CH51" s="5" t="s">
        <v>206</v>
      </c>
      <c r="CI51" s="5" t="s">
        <v>249</v>
      </c>
      <c r="CJ51" s="5">
        <v>2</v>
      </c>
      <c r="CK51" s="5" t="s">
        <v>223</v>
      </c>
      <c r="CL51" s="5" t="s">
        <v>378</v>
      </c>
      <c r="CU51" s="5" t="s">
        <v>206</v>
      </c>
      <c r="DA51" s="5" t="s">
        <v>231</v>
      </c>
      <c r="DB51" s="5">
        <f t="shared" si="53"/>
        <v>2</v>
      </c>
      <c r="DC51" s="5" t="s">
        <v>280</v>
      </c>
      <c r="DD51" s="5">
        <f t="shared" si="54"/>
        <v>4</v>
      </c>
      <c r="DE51" s="5" t="s">
        <v>250</v>
      </c>
      <c r="DF51" s="5">
        <f t="shared" si="55"/>
        <v>3</v>
      </c>
      <c r="DG51" s="5" t="s">
        <v>230</v>
      </c>
      <c r="DH51" s="5">
        <f t="shared" si="56"/>
        <v>2</v>
      </c>
      <c r="DI51" s="5" t="s">
        <v>230</v>
      </c>
      <c r="DJ51" s="5">
        <f t="shared" si="57"/>
        <v>2</v>
      </c>
      <c r="DK51" s="5" t="s">
        <v>251</v>
      </c>
      <c r="DL51" s="5">
        <f t="shared" si="58"/>
        <v>1</v>
      </c>
      <c r="DM51" s="5" t="s">
        <v>251</v>
      </c>
      <c r="DN51" s="5">
        <f t="shared" si="59"/>
        <v>1</v>
      </c>
      <c r="DO51" s="5" t="s">
        <v>229</v>
      </c>
      <c r="DP51" s="5">
        <f t="shared" si="60"/>
        <v>4</v>
      </c>
      <c r="DQ51" s="5" t="s">
        <v>229</v>
      </c>
      <c r="DR51" s="5">
        <f t="shared" si="61"/>
        <v>4</v>
      </c>
      <c r="DS51" s="5" t="s">
        <v>252</v>
      </c>
      <c r="DT51" s="5">
        <f t="shared" si="62"/>
        <v>3</v>
      </c>
      <c r="DU51" s="5" t="s">
        <v>231</v>
      </c>
      <c r="DV51" s="5">
        <f t="shared" si="63"/>
        <v>2</v>
      </c>
      <c r="DW51" s="5" t="s">
        <v>231</v>
      </c>
      <c r="DX51" s="5">
        <f t="shared" si="64"/>
        <v>2</v>
      </c>
      <c r="DY51" s="5">
        <f t="shared" si="65"/>
        <v>30</v>
      </c>
      <c r="DZ51" s="5" t="str">
        <f t="shared" si="66"/>
        <v>Nivel de riesgo alto</v>
      </c>
      <c r="EA51" s="5" t="s">
        <v>248</v>
      </c>
      <c r="EB51" s="5">
        <f t="shared" si="67"/>
        <v>1</v>
      </c>
      <c r="EC51" s="5" t="s">
        <v>248</v>
      </c>
      <c r="ED51" s="5">
        <f t="shared" si="68"/>
        <v>1</v>
      </c>
      <c r="EE51" s="5" t="s">
        <v>248</v>
      </c>
      <c r="EF51" s="5">
        <f t="shared" si="69"/>
        <v>1</v>
      </c>
      <c r="EG51" s="5">
        <f t="shared" si="70"/>
        <v>3</v>
      </c>
      <c r="EH51" s="5" t="str">
        <f t="shared" si="71"/>
        <v>Nivel de riesgo medio</v>
      </c>
      <c r="EI51" s="5" t="s">
        <v>248</v>
      </c>
      <c r="EJ51" s="5">
        <f t="shared" si="72"/>
        <v>1</v>
      </c>
      <c r="EK51" s="5" t="s">
        <v>248</v>
      </c>
      <c r="EL51" s="5">
        <f t="shared" si="73"/>
        <v>1</v>
      </c>
      <c r="EM51" s="5" t="s">
        <v>248</v>
      </c>
      <c r="EN51" s="5">
        <f t="shared" si="74"/>
        <v>1</v>
      </c>
      <c r="EO51" s="5">
        <f t="shared" si="75"/>
        <v>3</v>
      </c>
      <c r="EP51" s="5" t="str">
        <f t="shared" si="76"/>
        <v>Nivel de riesgo medio</v>
      </c>
      <c r="EQ51" s="5" t="s">
        <v>232</v>
      </c>
      <c r="ER51" s="5">
        <f t="shared" si="77"/>
        <v>1</v>
      </c>
      <c r="ES51" s="5" t="s">
        <v>232</v>
      </c>
      <c r="ET51" s="5">
        <f t="shared" si="78"/>
        <v>1</v>
      </c>
      <c r="EU51" s="5" t="s">
        <v>232</v>
      </c>
      <c r="EV51" s="5">
        <f t="shared" si="79"/>
        <v>1</v>
      </c>
      <c r="EW51" s="5" t="s">
        <v>232</v>
      </c>
      <c r="EX51" s="5">
        <f t="shared" si="80"/>
        <v>1</v>
      </c>
      <c r="EY51" s="5">
        <f t="shared" si="81"/>
        <v>4</v>
      </c>
      <c r="EZ51" s="5" t="str">
        <f t="shared" si="82"/>
        <v>Nivel de riesgo medio</v>
      </c>
      <c r="FA51" s="5" t="s">
        <v>247</v>
      </c>
      <c r="FB51" s="5">
        <f t="shared" si="83"/>
        <v>2</v>
      </c>
      <c r="FC51" s="5" t="s">
        <v>254</v>
      </c>
      <c r="FD51" s="5">
        <f t="shared" si="84"/>
        <v>4</v>
      </c>
      <c r="FE51" s="5" t="s">
        <v>247</v>
      </c>
      <c r="FF51" s="5">
        <f t="shared" si="85"/>
        <v>2</v>
      </c>
      <c r="FG51" s="5">
        <f t="shared" si="86"/>
        <v>8</v>
      </c>
      <c r="FH51" s="5" t="str">
        <f t="shared" si="87"/>
        <v>Nivel de riesgo alto</v>
      </c>
      <c r="FI51" s="5" t="s">
        <v>247</v>
      </c>
      <c r="FJ51" s="5">
        <f t="shared" si="88"/>
        <v>2</v>
      </c>
      <c r="FK51" s="5" t="s">
        <v>247</v>
      </c>
      <c r="FL51" s="5">
        <f t="shared" si="89"/>
        <v>2</v>
      </c>
      <c r="FM51" s="5" t="s">
        <v>247</v>
      </c>
      <c r="FN51" s="5">
        <f t="shared" si="90"/>
        <v>2</v>
      </c>
      <c r="FO51" s="5">
        <f t="shared" si="91"/>
        <v>6</v>
      </c>
      <c r="FP51" s="5" t="str">
        <f t="shared" si="92"/>
        <v>Nivel de riesgo alto</v>
      </c>
      <c r="FQ51" s="5" t="s">
        <v>206</v>
      </c>
      <c r="FR51" s="5">
        <f t="shared" si="93"/>
        <v>0</v>
      </c>
      <c r="FS51" s="5" t="s">
        <v>206</v>
      </c>
      <c r="FT51" s="5">
        <f t="shared" si="94"/>
        <v>0</v>
      </c>
      <c r="FU51" s="5" t="s">
        <v>206</v>
      </c>
      <c r="FV51" s="5">
        <f t="shared" si="95"/>
        <v>0</v>
      </c>
      <c r="FW51" s="5" t="s">
        <v>206</v>
      </c>
      <c r="FX51" s="5">
        <f t="shared" si="96"/>
        <v>0</v>
      </c>
      <c r="FY51" s="5" t="s">
        <v>206</v>
      </c>
      <c r="FZ51" s="5">
        <f t="shared" si="97"/>
        <v>0</v>
      </c>
      <c r="GA51" s="5" t="s">
        <v>206</v>
      </c>
      <c r="GB51" s="5">
        <f t="shared" si="98"/>
        <v>0</v>
      </c>
      <c r="GC51" s="5" t="s">
        <v>206</v>
      </c>
      <c r="GD51" s="5">
        <f t="shared" si="99"/>
        <v>0</v>
      </c>
      <c r="GE51" s="5">
        <f t="shared" si="100"/>
        <v>0</v>
      </c>
      <c r="GF51" s="5" t="str">
        <f t="shared" si="101"/>
        <v>Nivel de riesgo bajo</v>
      </c>
      <c r="GG51" s="5" t="s">
        <v>255</v>
      </c>
      <c r="GH51" s="5" t="s">
        <v>255</v>
      </c>
      <c r="GI51" s="5" t="s">
        <v>255</v>
      </c>
      <c r="GJ51" s="5" t="s">
        <v>255</v>
      </c>
      <c r="GK51" s="5" t="s">
        <v>233</v>
      </c>
      <c r="GL51" s="5" t="s">
        <v>255</v>
      </c>
      <c r="GM51" s="5" t="s">
        <v>255</v>
      </c>
      <c r="GN51" s="5" t="s">
        <v>256</v>
      </c>
      <c r="GO51" s="5" t="s">
        <v>243</v>
      </c>
      <c r="GP51" s="5" t="s">
        <v>243</v>
      </c>
      <c r="GQ51" s="5" t="s">
        <v>243</v>
      </c>
      <c r="GR51" s="5" t="s">
        <v>243</v>
      </c>
      <c r="GS51" s="5" t="s">
        <v>234</v>
      </c>
      <c r="GT51" s="5" t="s">
        <v>256</v>
      </c>
      <c r="GU51" s="5" t="s">
        <v>379</v>
      </c>
      <c r="GV51" s="5" t="str">
        <f>TEXT("6278763535147668561","0")</f>
        <v>6278763535147660000</v>
      </c>
    </row>
    <row r="52" spans="1:204" ht="15.75" customHeight="1" x14ac:dyDescent="0.15">
      <c r="A52" s="1">
        <f t="shared" si="51"/>
        <v>52</v>
      </c>
      <c r="B52" s="4">
        <v>45847.392395833333</v>
      </c>
      <c r="C52" s="5" t="s">
        <v>204</v>
      </c>
      <c r="D52" s="5" t="s">
        <v>206</v>
      </c>
      <c r="F52" s="5" t="s">
        <v>206</v>
      </c>
      <c r="G52" s="5" t="s">
        <v>206</v>
      </c>
      <c r="H52" s="5" t="s">
        <v>206</v>
      </c>
      <c r="K52" s="5" t="s">
        <v>237</v>
      </c>
      <c r="O52" s="5" t="s">
        <v>209</v>
      </c>
      <c r="T52" s="5" t="s">
        <v>209</v>
      </c>
      <c r="X52" s="5" t="s">
        <v>208</v>
      </c>
      <c r="AC52" s="5" t="s">
        <v>208</v>
      </c>
      <c r="AH52" s="5" t="s">
        <v>210</v>
      </c>
      <c r="AI52" s="5">
        <v>2015</v>
      </c>
      <c r="AJ52" s="5" t="s">
        <v>238</v>
      </c>
      <c r="AK52" s="5" t="str">
        <f t="shared" si="52"/>
        <v>Trabajadora por cuenta propia</v>
      </c>
      <c r="AM52" s="5" t="s">
        <v>309</v>
      </c>
      <c r="AP52" s="5" t="s">
        <v>240</v>
      </c>
      <c r="AR52" s="5" t="s">
        <v>276</v>
      </c>
      <c r="AS52" s="5" t="s">
        <v>276</v>
      </c>
      <c r="AT52" s="5" t="s">
        <v>276</v>
      </c>
      <c r="AU52" s="5" t="s">
        <v>276</v>
      </c>
      <c r="AV52" s="5" t="s">
        <v>269</v>
      </c>
      <c r="AW52" s="5" t="s">
        <v>204</v>
      </c>
      <c r="AX52" s="5" t="s">
        <v>206</v>
      </c>
      <c r="BF52" s="5" t="s">
        <v>204</v>
      </c>
      <c r="BG52" s="5" t="s">
        <v>215</v>
      </c>
      <c r="BH52" s="5" t="s">
        <v>215</v>
      </c>
      <c r="BI52" s="5" t="s">
        <v>242</v>
      </c>
      <c r="BJ52" s="5" t="s">
        <v>242</v>
      </c>
      <c r="BK52" s="5" t="s">
        <v>246</v>
      </c>
      <c r="BL52" s="5" t="s">
        <v>244</v>
      </c>
      <c r="BM52" s="5" t="s">
        <v>216</v>
      </c>
      <c r="BN52" s="5" t="s">
        <v>246</v>
      </c>
      <c r="BO52" s="5" t="s">
        <v>216</v>
      </c>
      <c r="BP52" s="5" t="s">
        <v>243</v>
      </c>
      <c r="BQ52" s="5" t="s">
        <v>216</v>
      </c>
      <c r="BR52" s="5" t="s">
        <v>244</v>
      </c>
      <c r="BS52" s="5" t="s">
        <v>232</v>
      </c>
      <c r="BT52" s="5" t="s">
        <v>247</v>
      </c>
      <c r="BU52" s="5" t="s">
        <v>247</v>
      </c>
      <c r="BV52" s="5" t="s">
        <v>217</v>
      </c>
      <c r="BW52" s="5" t="s">
        <v>217</v>
      </c>
      <c r="BX52" s="5" t="s">
        <v>217</v>
      </c>
      <c r="BY52" s="5" t="s">
        <v>217</v>
      </c>
      <c r="BZ52" s="5" t="s">
        <v>216</v>
      </c>
      <c r="CA52" s="5" t="s">
        <v>216</v>
      </c>
      <c r="CB52" s="5" t="s">
        <v>216</v>
      </c>
      <c r="CC52" s="5" t="s">
        <v>216</v>
      </c>
      <c r="CD52" s="5" t="s">
        <v>206</v>
      </c>
      <c r="CH52" s="5" t="s">
        <v>206</v>
      </c>
      <c r="CI52" s="5" t="s">
        <v>206</v>
      </c>
      <c r="CJ52" s="5">
        <v>0</v>
      </c>
      <c r="CK52" s="5" t="s">
        <v>223</v>
      </c>
      <c r="CU52" s="5" t="s">
        <v>206</v>
      </c>
      <c r="DA52" s="5" t="s">
        <v>231</v>
      </c>
      <c r="DB52" s="5">
        <f t="shared" si="53"/>
        <v>2</v>
      </c>
      <c r="DC52" s="5" t="s">
        <v>250</v>
      </c>
      <c r="DD52" s="5">
        <f t="shared" si="54"/>
        <v>3</v>
      </c>
      <c r="DE52" s="5" t="s">
        <v>250</v>
      </c>
      <c r="DF52" s="5">
        <f t="shared" si="55"/>
        <v>3</v>
      </c>
      <c r="DG52" s="5" t="s">
        <v>230</v>
      </c>
      <c r="DH52" s="5">
        <f t="shared" si="56"/>
        <v>2</v>
      </c>
      <c r="DI52" s="5" t="s">
        <v>250</v>
      </c>
      <c r="DJ52" s="5">
        <f t="shared" si="57"/>
        <v>3</v>
      </c>
      <c r="DK52" s="5" t="s">
        <v>230</v>
      </c>
      <c r="DL52" s="5">
        <f t="shared" si="58"/>
        <v>2</v>
      </c>
      <c r="DM52" s="5" t="s">
        <v>251</v>
      </c>
      <c r="DN52" s="5">
        <f t="shared" si="59"/>
        <v>1</v>
      </c>
      <c r="DO52" s="5" t="s">
        <v>281</v>
      </c>
      <c r="DP52" s="5">
        <f t="shared" si="60"/>
        <v>1</v>
      </c>
      <c r="DQ52" s="5" t="s">
        <v>281</v>
      </c>
      <c r="DR52" s="5">
        <f t="shared" si="61"/>
        <v>1</v>
      </c>
      <c r="DS52" s="5" t="s">
        <v>281</v>
      </c>
      <c r="DT52" s="5">
        <f t="shared" si="62"/>
        <v>1</v>
      </c>
      <c r="DU52" s="5" t="s">
        <v>281</v>
      </c>
      <c r="DV52" s="5">
        <f t="shared" si="63"/>
        <v>1</v>
      </c>
      <c r="DW52" s="5" t="s">
        <v>281</v>
      </c>
      <c r="DX52" s="5">
        <f t="shared" si="64"/>
        <v>1</v>
      </c>
      <c r="DY52" s="5">
        <f t="shared" si="65"/>
        <v>21</v>
      </c>
      <c r="DZ52" s="5" t="str">
        <f t="shared" si="66"/>
        <v>Nivel de riesgo medio</v>
      </c>
      <c r="EA52" s="5" t="s">
        <v>248</v>
      </c>
      <c r="EB52" s="5">
        <f t="shared" si="67"/>
        <v>1</v>
      </c>
      <c r="EC52" s="5" t="s">
        <v>248</v>
      </c>
      <c r="ED52" s="5">
        <f t="shared" si="68"/>
        <v>1</v>
      </c>
      <c r="EE52" s="5" t="s">
        <v>253</v>
      </c>
      <c r="EF52" s="5">
        <f t="shared" si="69"/>
        <v>0</v>
      </c>
      <c r="EG52" s="5">
        <f t="shared" si="70"/>
        <v>2</v>
      </c>
      <c r="EH52" s="5" t="str">
        <f t="shared" si="71"/>
        <v>Nivel de riesgo medio</v>
      </c>
      <c r="EI52" s="5" t="s">
        <v>253</v>
      </c>
      <c r="EJ52" s="5">
        <f t="shared" si="72"/>
        <v>0</v>
      </c>
      <c r="EK52" s="5" t="s">
        <v>248</v>
      </c>
      <c r="EL52" s="5">
        <f t="shared" si="73"/>
        <v>1</v>
      </c>
      <c r="EM52" s="5" t="s">
        <v>247</v>
      </c>
      <c r="EN52" s="5">
        <f t="shared" si="74"/>
        <v>2</v>
      </c>
      <c r="EO52" s="5">
        <f t="shared" si="75"/>
        <v>3</v>
      </c>
      <c r="EP52" s="5" t="str">
        <f t="shared" si="76"/>
        <v>Nivel de riesgo medio</v>
      </c>
      <c r="EQ52" s="5" t="s">
        <v>247</v>
      </c>
      <c r="ER52" s="5">
        <f t="shared" si="77"/>
        <v>2</v>
      </c>
      <c r="ES52" s="5" t="s">
        <v>247</v>
      </c>
      <c r="ET52" s="5">
        <f t="shared" si="78"/>
        <v>2</v>
      </c>
      <c r="EU52" s="5" t="s">
        <v>232</v>
      </c>
      <c r="EV52" s="5">
        <f t="shared" si="79"/>
        <v>1</v>
      </c>
      <c r="EW52" s="5" t="s">
        <v>254</v>
      </c>
      <c r="EX52" s="5">
        <f t="shared" si="80"/>
        <v>0</v>
      </c>
      <c r="EY52" s="5">
        <f t="shared" si="81"/>
        <v>5</v>
      </c>
      <c r="EZ52" s="5" t="str">
        <f t="shared" si="82"/>
        <v>Nivel de riesgo alto</v>
      </c>
      <c r="FA52" s="5" t="s">
        <v>253</v>
      </c>
      <c r="FB52" s="5">
        <f t="shared" si="83"/>
        <v>0</v>
      </c>
      <c r="FC52" s="5" t="s">
        <v>253</v>
      </c>
      <c r="FD52" s="5">
        <f t="shared" si="84"/>
        <v>0</v>
      </c>
      <c r="FE52" s="5" t="s">
        <v>253</v>
      </c>
      <c r="FF52" s="5">
        <f t="shared" si="85"/>
        <v>0</v>
      </c>
      <c r="FG52" s="5">
        <f t="shared" si="86"/>
        <v>0</v>
      </c>
      <c r="FH52" s="5" t="str">
        <f t="shared" si="87"/>
        <v>Nivel de riesgo bajo</v>
      </c>
      <c r="FI52" s="5" t="s">
        <v>253</v>
      </c>
      <c r="FJ52" s="5">
        <f t="shared" si="88"/>
        <v>0</v>
      </c>
      <c r="FK52" s="5" t="s">
        <v>253</v>
      </c>
      <c r="FL52" s="5">
        <f t="shared" si="89"/>
        <v>0</v>
      </c>
      <c r="FM52" s="5" t="s">
        <v>253</v>
      </c>
      <c r="FN52" s="5">
        <f t="shared" si="90"/>
        <v>0</v>
      </c>
      <c r="FO52" s="5">
        <f t="shared" si="91"/>
        <v>0</v>
      </c>
      <c r="FP52" s="5" t="str">
        <f t="shared" si="92"/>
        <v>Nivel de riesgo bajo</v>
      </c>
      <c r="FQ52" s="5" t="s">
        <v>206</v>
      </c>
      <c r="FR52" s="5">
        <f t="shared" si="93"/>
        <v>0</v>
      </c>
      <c r="FS52" s="5" t="s">
        <v>206</v>
      </c>
      <c r="FT52" s="5">
        <f t="shared" si="94"/>
        <v>0</v>
      </c>
      <c r="FU52" s="5" t="s">
        <v>206</v>
      </c>
      <c r="FV52" s="5">
        <f t="shared" si="95"/>
        <v>0</v>
      </c>
      <c r="FW52" s="5" t="s">
        <v>206</v>
      </c>
      <c r="FX52" s="5">
        <f t="shared" si="96"/>
        <v>0</v>
      </c>
      <c r="FY52" s="5" t="s">
        <v>206</v>
      </c>
      <c r="FZ52" s="5">
        <f t="shared" si="97"/>
        <v>0</v>
      </c>
      <c r="GA52" s="5" t="s">
        <v>206</v>
      </c>
      <c r="GB52" s="5">
        <f t="shared" si="98"/>
        <v>0</v>
      </c>
      <c r="GC52" s="5" t="s">
        <v>206</v>
      </c>
      <c r="GD52" s="5">
        <f t="shared" si="99"/>
        <v>0</v>
      </c>
      <c r="GE52" s="5">
        <f t="shared" si="100"/>
        <v>0</v>
      </c>
      <c r="GF52" s="5" t="str">
        <f t="shared" si="101"/>
        <v>Nivel de riesgo bajo</v>
      </c>
      <c r="GG52" s="5" t="s">
        <v>255</v>
      </c>
      <c r="GH52" s="5" t="s">
        <v>255</v>
      </c>
      <c r="GI52" s="5" t="s">
        <v>255</v>
      </c>
      <c r="GJ52" s="5" t="s">
        <v>255</v>
      </c>
      <c r="GK52" s="5" t="s">
        <v>233</v>
      </c>
      <c r="GL52" s="5" t="s">
        <v>233</v>
      </c>
      <c r="GM52" s="5" t="s">
        <v>273</v>
      </c>
      <c r="GN52" s="5" t="s">
        <v>243</v>
      </c>
      <c r="GO52" s="5" t="s">
        <v>256</v>
      </c>
      <c r="GP52" s="5" t="s">
        <v>243</v>
      </c>
      <c r="GQ52" s="5" t="s">
        <v>256</v>
      </c>
      <c r="GR52" s="5" t="s">
        <v>256</v>
      </c>
      <c r="GS52" s="5" t="s">
        <v>256</v>
      </c>
      <c r="GT52" s="5" t="s">
        <v>256</v>
      </c>
      <c r="GU52" s="5" t="s">
        <v>380</v>
      </c>
      <c r="GV52" s="5" t="str">
        <f>TEXT("6278767034169823645","0")</f>
        <v>6278767034169820000</v>
      </c>
    </row>
    <row r="53" spans="1:204" ht="15.75" customHeight="1" x14ac:dyDescent="0.15">
      <c r="A53" s="1">
        <f t="shared" si="51"/>
        <v>53</v>
      </c>
      <c r="B53" s="4">
        <v>45847.395439814813</v>
      </c>
      <c r="C53" s="5" t="s">
        <v>204</v>
      </c>
      <c r="D53" s="5" t="s">
        <v>206</v>
      </c>
      <c r="F53" s="5" t="s">
        <v>206</v>
      </c>
      <c r="G53" s="5" t="s">
        <v>206</v>
      </c>
      <c r="H53" s="5" t="s">
        <v>206</v>
      </c>
      <c r="J53" s="5" t="s">
        <v>209</v>
      </c>
      <c r="N53" s="5" t="s">
        <v>208</v>
      </c>
      <c r="S53" s="5" t="s">
        <v>208</v>
      </c>
      <c r="X53" s="5" t="s">
        <v>208</v>
      </c>
      <c r="AC53" s="5" t="s">
        <v>208</v>
      </c>
      <c r="AH53" s="5" t="s">
        <v>210</v>
      </c>
      <c r="AI53" s="5">
        <v>2013</v>
      </c>
      <c r="AJ53" s="5" t="s">
        <v>330</v>
      </c>
      <c r="AK53" s="5" t="str">
        <f t="shared" si="52"/>
        <v>Asalariada</v>
      </c>
      <c r="AQ53" s="5" t="s">
        <v>204</v>
      </c>
      <c r="AR53" s="5" t="s">
        <v>301</v>
      </c>
      <c r="AS53" s="5" t="s">
        <v>261</v>
      </c>
      <c r="AT53" s="5" t="s">
        <v>294</v>
      </c>
      <c r="AU53" s="5" t="s">
        <v>294</v>
      </c>
      <c r="AV53" s="5" t="s">
        <v>269</v>
      </c>
      <c r="AW53" s="5" t="s">
        <v>204</v>
      </c>
      <c r="AX53" s="5" t="s">
        <v>204</v>
      </c>
      <c r="AY53" s="5" t="s">
        <v>214</v>
      </c>
      <c r="AZ53" s="5" t="s">
        <v>204</v>
      </c>
      <c r="BA53" s="5" t="s">
        <v>263</v>
      </c>
      <c r="BF53" s="5" t="s">
        <v>204</v>
      </c>
      <c r="BG53" s="5" t="s">
        <v>207</v>
      </c>
      <c r="BH53" s="5" t="s">
        <v>264</v>
      </c>
      <c r="BI53" s="5" t="s">
        <v>207</v>
      </c>
      <c r="BJ53" s="5" t="s">
        <v>264</v>
      </c>
      <c r="BK53" s="5" t="s">
        <v>216</v>
      </c>
      <c r="BL53" s="5" t="s">
        <v>216</v>
      </c>
      <c r="BM53" s="5" t="s">
        <v>216</v>
      </c>
      <c r="BN53" s="5" t="s">
        <v>216</v>
      </c>
      <c r="BO53" s="5" t="s">
        <v>216</v>
      </c>
      <c r="BP53" s="5" t="s">
        <v>216</v>
      </c>
      <c r="BQ53" s="5" t="s">
        <v>216</v>
      </c>
      <c r="BR53" s="5" t="s">
        <v>216</v>
      </c>
      <c r="BS53" s="5" t="s">
        <v>217</v>
      </c>
      <c r="BT53" s="5" t="s">
        <v>217</v>
      </c>
      <c r="BU53" s="5" t="s">
        <v>247</v>
      </c>
      <c r="BV53" s="5" t="s">
        <v>217</v>
      </c>
      <c r="BW53" s="5" t="s">
        <v>217</v>
      </c>
      <c r="BX53" s="5" t="s">
        <v>217</v>
      </c>
      <c r="BY53" s="5" t="s">
        <v>217</v>
      </c>
      <c r="BZ53" s="5" t="s">
        <v>246</v>
      </c>
      <c r="CA53" s="5" t="s">
        <v>246</v>
      </c>
      <c r="CB53" s="5" t="s">
        <v>246</v>
      </c>
      <c r="CC53" s="5" t="s">
        <v>246</v>
      </c>
      <c r="CD53" s="5" t="s">
        <v>206</v>
      </c>
      <c r="CH53" s="5" t="s">
        <v>206</v>
      </c>
      <c r="CI53" s="5" t="s">
        <v>249</v>
      </c>
      <c r="CJ53" s="5">
        <v>1</v>
      </c>
      <c r="CK53" s="5" t="s">
        <v>223</v>
      </c>
      <c r="CU53" s="5" t="s">
        <v>206</v>
      </c>
      <c r="DA53" s="5" t="s">
        <v>272</v>
      </c>
      <c r="DB53" s="5">
        <f t="shared" si="53"/>
        <v>1</v>
      </c>
      <c r="DC53" s="5" t="s">
        <v>251</v>
      </c>
      <c r="DD53" s="5">
        <f t="shared" si="54"/>
        <v>1</v>
      </c>
      <c r="DE53" s="5" t="s">
        <v>251</v>
      </c>
      <c r="DF53" s="5">
        <f t="shared" si="55"/>
        <v>1</v>
      </c>
      <c r="DG53" s="5" t="s">
        <v>251</v>
      </c>
      <c r="DH53" s="5">
        <f t="shared" si="56"/>
        <v>1</v>
      </c>
      <c r="DI53" s="5" t="s">
        <v>251</v>
      </c>
      <c r="DJ53" s="5">
        <f t="shared" si="57"/>
        <v>1</v>
      </c>
      <c r="DK53" s="5" t="s">
        <v>251</v>
      </c>
      <c r="DL53" s="5">
        <f t="shared" si="58"/>
        <v>1</v>
      </c>
      <c r="DM53" s="5" t="s">
        <v>251</v>
      </c>
      <c r="DN53" s="5">
        <f t="shared" si="59"/>
        <v>1</v>
      </c>
      <c r="DO53" s="5" t="s">
        <v>229</v>
      </c>
      <c r="DP53" s="5">
        <f t="shared" si="60"/>
        <v>4</v>
      </c>
      <c r="DQ53" s="5" t="s">
        <v>229</v>
      </c>
      <c r="DR53" s="5">
        <f t="shared" si="61"/>
        <v>4</v>
      </c>
      <c r="DS53" s="5" t="s">
        <v>229</v>
      </c>
      <c r="DT53" s="5">
        <f t="shared" si="62"/>
        <v>4</v>
      </c>
      <c r="DU53" s="5" t="s">
        <v>229</v>
      </c>
      <c r="DV53" s="5">
        <f t="shared" si="63"/>
        <v>4</v>
      </c>
      <c r="DW53" s="5" t="s">
        <v>229</v>
      </c>
      <c r="DX53" s="5">
        <f t="shared" si="64"/>
        <v>4</v>
      </c>
      <c r="DY53" s="5">
        <f t="shared" si="65"/>
        <v>27</v>
      </c>
      <c r="DZ53" s="5" t="str">
        <f t="shared" si="66"/>
        <v>Nivel de riesgo alto</v>
      </c>
      <c r="EA53" s="5" t="s">
        <v>253</v>
      </c>
      <c r="EB53" s="5">
        <f t="shared" si="67"/>
        <v>0</v>
      </c>
      <c r="EC53" s="5" t="s">
        <v>253</v>
      </c>
      <c r="ED53" s="5">
        <f t="shared" si="68"/>
        <v>0</v>
      </c>
      <c r="EE53" s="5" t="s">
        <v>253</v>
      </c>
      <c r="EF53" s="5">
        <f t="shared" si="69"/>
        <v>0</v>
      </c>
      <c r="EG53" s="5">
        <f t="shared" si="70"/>
        <v>0</v>
      </c>
      <c r="EH53" s="5" t="str">
        <f t="shared" si="71"/>
        <v>Nivel de riesgo bajo</v>
      </c>
      <c r="EI53" s="5" t="s">
        <v>253</v>
      </c>
      <c r="EJ53" s="5">
        <f t="shared" si="72"/>
        <v>0</v>
      </c>
      <c r="EK53" s="5" t="s">
        <v>253</v>
      </c>
      <c r="EL53" s="5">
        <f t="shared" si="73"/>
        <v>0</v>
      </c>
      <c r="EM53" s="5" t="s">
        <v>253</v>
      </c>
      <c r="EN53" s="5">
        <f t="shared" si="74"/>
        <v>0</v>
      </c>
      <c r="EO53" s="5">
        <f t="shared" si="75"/>
        <v>0</v>
      </c>
      <c r="EP53" s="5" t="str">
        <f t="shared" si="76"/>
        <v>Nivel de riesgo bajo</v>
      </c>
      <c r="EQ53" s="5" t="s">
        <v>253</v>
      </c>
      <c r="ER53" s="5">
        <f t="shared" si="77"/>
        <v>4</v>
      </c>
      <c r="ES53" s="5" t="s">
        <v>253</v>
      </c>
      <c r="ET53" s="5">
        <f t="shared" si="78"/>
        <v>4</v>
      </c>
      <c r="EU53" s="5" t="s">
        <v>253</v>
      </c>
      <c r="EV53" s="5">
        <f t="shared" si="79"/>
        <v>4</v>
      </c>
      <c r="EW53" s="5" t="s">
        <v>253</v>
      </c>
      <c r="EX53" s="5">
        <f t="shared" si="80"/>
        <v>4</v>
      </c>
      <c r="EY53" s="5">
        <f t="shared" si="81"/>
        <v>16</v>
      </c>
      <c r="EZ53" s="5" t="str">
        <f t="shared" si="82"/>
        <v>Nivel de riesgo alto</v>
      </c>
      <c r="FA53" s="5" t="s">
        <v>253</v>
      </c>
      <c r="FB53" s="5">
        <f t="shared" si="83"/>
        <v>0</v>
      </c>
      <c r="FC53" s="5" t="s">
        <v>253</v>
      </c>
      <c r="FD53" s="5">
        <f t="shared" si="84"/>
        <v>0</v>
      </c>
      <c r="FE53" s="5" t="s">
        <v>253</v>
      </c>
      <c r="FF53" s="5">
        <f t="shared" si="85"/>
        <v>0</v>
      </c>
      <c r="FG53" s="5">
        <f t="shared" si="86"/>
        <v>0</v>
      </c>
      <c r="FH53" s="5" t="str">
        <f t="shared" si="87"/>
        <v>Nivel de riesgo bajo</v>
      </c>
      <c r="FI53" s="5" t="s">
        <v>253</v>
      </c>
      <c r="FJ53" s="5">
        <f t="shared" si="88"/>
        <v>0</v>
      </c>
      <c r="FK53" s="5" t="s">
        <v>253</v>
      </c>
      <c r="FL53" s="5">
        <f t="shared" si="89"/>
        <v>0</v>
      </c>
      <c r="FM53" s="5" t="s">
        <v>253</v>
      </c>
      <c r="FN53" s="5">
        <f t="shared" si="90"/>
        <v>0</v>
      </c>
      <c r="FO53" s="5">
        <f t="shared" si="91"/>
        <v>0</v>
      </c>
      <c r="FP53" s="5" t="str">
        <f t="shared" si="92"/>
        <v>Nivel de riesgo bajo</v>
      </c>
      <c r="FQ53" s="5" t="s">
        <v>206</v>
      </c>
      <c r="FR53" s="5">
        <f t="shared" si="93"/>
        <v>0</v>
      </c>
      <c r="FS53" s="5" t="s">
        <v>206</v>
      </c>
      <c r="FT53" s="5">
        <f t="shared" si="94"/>
        <v>0</v>
      </c>
      <c r="FU53" s="5" t="s">
        <v>206</v>
      </c>
      <c r="FV53" s="5">
        <f t="shared" si="95"/>
        <v>0</v>
      </c>
      <c r="FW53" s="5" t="s">
        <v>206</v>
      </c>
      <c r="FX53" s="5">
        <f t="shared" si="96"/>
        <v>0</v>
      </c>
      <c r="FY53" s="5" t="s">
        <v>206</v>
      </c>
      <c r="FZ53" s="5">
        <f t="shared" si="97"/>
        <v>0</v>
      </c>
      <c r="GA53" s="5" t="s">
        <v>206</v>
      </c>
      <c r="GB53" s="5">
        <f t="shared" si="98"/>
        <v>0</v>
      </c>
      <c r="GC53" s="5" t="s">
        <v>206</v>
      </c>
      <c r="GD53" s="5">
        <f t="shared" si="99"/>
        <v>0</v>
      </c>
      <c r="GE53" s="5">
        <f t="shared" si="100"/>
        <v>0</v>
      </c>
      <c r="GF53" s="5" t="str">
        <f t="shared" si="101"/>
        <v>Nivel de riesgo bajo</v>
      </c>
      <c r="GG53" s="5" t="s">
        <v>255</v>
      </c>
      <c r="GH53" s="5" t="s">
        <v>255</v>
      </c>
      <c r="GI53" s="5" t="s">
        <v>255</v>
      </c>
      <c r="GJ53" s="5" t="s">
        <v>255</v>
      </c>
      <c r="GK53" s="5" t="s">
        <v>255</v>
      </c>
      <c r="GL53" s="5" t="s">
        <v>255</v>
      </c>
      <c r="GM53" s="5" t="s">
        <v>255</v>
      </c>
      <c r="GN53" s="5" t="s">
        <v>256</v>
      </c>
      <c r="GO53" s="5" t="s">
        <v>256</v>
      </c>
      <c r="GP53" s="5" t="s">
        <v>256</v>
      </c>
      <c r="GQ53" s="5" t="s">
        <v>256</v>
      </c>
      <c r="GR53" s="5" t="s">
        <v>256</v>
      </c>
      <c r="GS53" s="5" t="s">
        <v>256</v>
      </c>
      <c r="GT53" s="5" t="s">
        <v>256</v>
      </c>
      <c r="GU53" s="5" t="s">
        <v>381</v>
      </c>
      <c r="GV53" s="5" t="str">
        <f>TEXT("6278769662819281491","0")</f>
        <v>6278769662819280000</v>
      </c>
    </row>
    <row r="54" spans="1:204" ht="15.75" customHeight="1" x14ac:dyDescent="0.15">
      <c r="A54" s="1">
        <f t="shared" si="51"/>
        <v>54</v>
      </c>
      <c r="B54" s="4">
        <v>45847.397222222222</v>
      </c>
      <c r="C54" s="5" t="s">
        <v>204</v>
      </c>
      <c r="D54" s="5" t="s">
        <v>206</v>
      </c>
      <c r="F54" s="5" t="s">
        <v>206</v>
      </c>
      <c r="G54" s="5" t="s">
        <v>204</v>
      </c>
      <c r="H54" s="5" t="s">
        <v>206</v>
      </c>
      <c r="J54" s="5" t="s">
        <v>209</v>
      </c>
      <c r="O54" s="5" t="s">
        <v>209</v>
      </c>
      <c r="S54" s="5" t="s">
        <v>208</v>
      </c>
      <c r="X54" s="5" t="s">
        <v>208</v>
      </c>
      <c r="AC54" s="5" t="s">
        <v>208</v>
      </c>
      <c r="AH54" s="5" t="s">
        <v>210</v>
      </c>
      <c r="AI54" s="5">
        <v>2016</v>
      </c>
      <c r="AJ54" s="5" t="s">
        <v>238</v>
      </c>
      <c r="AK54" s="5" t="str">
        <f t="shared" si="52"/>
        <v>Trabajadora por cuenta propia</v>
      </c>
      <c r="AL54" s="5" t="s">
        <v>239</v>
      </c>
      <c r="AP54" s="5" t="s">
        <v>297</v>
      </c>
      <c r="AR54" s="5" t="s">
        <v>261</v>
      </c>
      <c r="AS54" s="5" t="s">
        <v>241</v>
      </c>
      <c r="AT54" s="5" t="s">
        <v>241</v>
      </c>
      <c r="AU54" s="5" t="s">
        <v>241</v>
      </c>
      <c r="AV54" s="5" t="s">
        <v>213</v>
      </c>
      <c r="AW54" s="5" t="s">
        <v>204</v>
      </c>
      <c r="AX54" s="5" t="s">
        <v>206</v>
      </c>
      <c r="BF54" s="5" t="s">
        <v>204</v>
      </c>
      <c r="BG54" s="5" t="s">
        <v>278</v>
      </c>
      <c r="BH54" s="5" t="s">
        <v>278</v>
      </c>
      <c r="BI54" s="5" t="s">
        <v>278</v>
      </c>
      <c r="BJ54" s="5" t="s">
        <v>278</v>
      </c>
      <c r="BK54" s="5" t="s">
        <v>245</v>
      </c>
      <c r="BL54" s="5" t="s">
        <v>243</v>
      </c>
      <c r="BM54" s="5" t="s">
        <v>243</v>
      </c>
      <c r="BN54" s="5" t="s">
        <v>243</v>
      </c>
      <c r="BO54" s="5" t="s">
        <v>243</v>
      </c>
      <c r="BP54" s="5" t="s">
        <v>243</v>
      </c>
      <c r="BQ54" s="5" t="s">
        <v>243</v>
      </c>
      <c r="BR54" s="5" t="s">
        <v>246</v>
      </c>
      <c r="BS54" s="5" t="s">
        <v>232</v>
      </c>
      <c r="BT54" s="5" t="s">
        <v>232</v>
      </c>
      <c r="BU54" s="5" t="s">
        <v>248</v>
      </c>
      <c r="BV54" s="5" t="s">
        <v>232</v>
      </c>
      <c r="BW54" s="5" t="s">
        <v>247</v>
      </c>
      <c r="BX54" s="5" t="s">
        <v>247</v>
      </c>
      <c r="BY54" s="5" t="s">
        <v>247</v>
      </c>
      <c r="BZ54" s="5" t="s">
        <v>246</v>
      </c>
      <c r="CA54" s="5" t="s">
        <v>246</v>
      </c>
      <c r="CB54" s="5" t="s">
        <v>243</v>
      </c>
      <c r="CC54" s="5" t="s">
        <v>243</v>
      </c>
      <c r="CD54" s="5" t="s">
        <v>206</v>
      </c>
      <c r="CH54" s="5" t="s">
        <v>206</v>
      </c>
      <c r="CI54" s="5" t="s">
        <v>222</v>
      </c>
      <c r="CJ54" s="5">
        <v>1</v>
      </c>
      <c r="CK54" s="5" t="s">
        <v>223</v>
      </c>
      <c r="CU54" s="5" t="s">
        <v>206</v>
      </c>
      <c r="DA54" s="5" t="s">
        <v>231</v>
      </c>
      <c r="DB54" s="5">
        <f t="shared" si="53"/>
        <v>2</v>
      </c>
      <c r="DC54" s="5" t="s">
        <v>250</v>
      </c>
      <c r="DD54" s="5">
        <f t="shared" si="54"/>
        <v>3</v>
      </c>
      <c r="DE54" s="5" t="s">
        <v>250</v>
      </c>
      <c r="DF54" s="5">
        <f t="shared" si="55"/>
        <v>3</v>
      </c>
      <c r="DG54" s="5" t="s">
        <v>230</v>
      </c>
      <c r="DH54" s="5">
        <f t="shared" si="56"/>
        <v>2</v>
      </c>
      <c r="DI54" s="5" t="s">
        <v>230</v>
      </c>
      <c r="DJ54" s="5">
        <f t="shared" si="57"/>
        <v>2</v>
      </c>
      <c r="DK54" s="5" t="s">
        <v>230</v>
      </c>
      <c r="DL54" s="5">
        <f t="shared" si="58"/>
        <v>2</v>
      </c>
      <c r="DM54" s="5" t="s">
        <v>251</v>
      </c>
      <c r="DN54" s="5">
        <f t="shared" si="59"/>
        <v>1</v>
      </c>
      <c r="DO54" s="5" t="s">
        <v>231</v>
      </c>
      <c r="DP54" s="5">
        <f t="shared" si="60"/>
        <v>2</v>
      </c>
      <c r="DQ54" s="5" t="s">
        <v>281</v>
      </c>
      <c r="DR54" s="5">
        <f t="shared" si="61"/>
        <v>1</v>
      </c>
      <c r="DS54" s="5" t="s">
        <v>231</v>
      </c>
      <c r="DT54" s="5">
        <f t="shared" si="62"/>
        <v>2</v>
      </c>
      <c r="DU54" s="5" t="s">
        <v>231</v>
      </c>
      <c r="DV54" s="5">
        <f t="shared" si="63"/>
        <v>2</v>
      </c>
      <c r="DW54" s="5" t="s">
        <v>231</v>
      </c>
      <c r="DX54" s="5">
        <f t="shared" si="64"/>
        <v>2</v>
      </c>
      <c r="DY54" s="5">
        <f t="shared" si="65"/>
        <v>24</v>
      </c>
      <c r="DZ54" s="5" t="str">
        <f t="shared" si="66"/>
        <v>Nivel de riesgo alto</v>
      </c>
      <c r="EA54" s="5" t="s">
        <v>247</v>
      </c>
      <c r="EB54" s="5">
        <f t="shared" si="67"/>
        <v>2</v>
      </c>
      <c r="EC54" s="5" t="s">
        <v>247</v>
      </c>
      <c r="ED54" s="5">
        <f t="shared" si="68"/>
        <v>2</v>
      </c>
      <c r="EE54" s="5" t="s">
        <v>247</v>
      </c>
      <c r="EF54" s="5">
        <f t="shared" si="69"/>
        <v>2</v>
      </c>
      <c r="EG54" s="5">
        <f t="shared" si="70"/>
        <v>6</v>
      </c>
      <c r="EH54" s="5" t="str">
        <f t="shared" si="71"/>
        <v>Nivel de riesgo alto</v>
      </c>
      <c r="EI54" s="5" t="s">
        <v>247</v>
      </c>
      <c r="EJ54" s="5">
        <f t="shared" si="72"/>
        <v>2</v>
      </c>
      <c r="EK54" s="5" t="s">
        <v>232</v>
      </c>
      <c r="EL54" s="5">
        <f t="shared" si="73"/>
        <v>3</v>
      </c>
      <c r="EM54" s="5" t="s">
        <v>254</v>
      </c>
      <c r="EN54" s="5">
        <f t="shared" si="74"/>
        <v>4</v>
      </c>
      <c r="EO54" s="5">
        <f t="shared" si="75"/>
        <v>9</v>
      </c>
      <c r="EP54" s="5" t="str">
        <f t="shared" si="76"/>
        <v>Nivel de riesgo alto</v>
      </c>
      <c r="EQ54" s="5" t="s">
        <v>253</v>
      </c>
      <c r="ER54" s="5">
        <f t="shared" si="77"/>
        <v>4</v>
      </c>
      <c r="ES54" s="5" t="s">
        <v>253</v>
      </c>
      <c r="ET54" s="5">
        <f t="shared" si="78"/>
        <v>4</v>
      </c>
      <c r="EU54" s="5" t="s">
        <v>253</v>
      </c>
      <c r="EV54" s="5">
        <f t="shared" si="79"/>
        <v>4</v>
      </c>
      <c r="EW54" s="5" t="s">
        <v>253</v>
      </c>
      <c r="EX54" s="5">
        <f t="shared" si="80"/>
        <v>4</v>
      </c>
      <c r="EY54" s="5">
        <f t="shared" si="81"/>
        <v>16</v>
      </c>
      <c r="EZ54" s="5" t="str">
        <f t="shared" si="82"/>
        <v>Nivel de riesgo alto</v>
      </c>
      <c r="FA54" s="5" t="s">
        <v>247</v>
      </c>
      <c r="FB54" s="5">
        <f t="shared" si="83"/>
        <v>2</v>
      </c>
      <c r="FC54" s="5" t="s">
        <v>253</v>
      </c>
      <c r="FD54" s="5">
        <f t="shared" si="84"/>
        <v>0</v>
      </c>
      <c r="FE54" s="5" t="s">
        <v>253</v>
      </c>
      <c r="FF54" s="5">
        <f t="shared" si="85"/>
        <v>0</v>
      </c>
      <c r="FG54" s="5">
        <f t="shared" si="86"/>
        <v>2</v>
      </c>
      <c r="FH54" s="5" t="str">
        <f t="shared" si="87"/>
        <v>Nivel de riesgo bajo</v>
      </c>
      <c r="FI54" s="5" t="s">
        <v>248</v>
      </c>
      <c r="FJ54" s="5">
        <f t="shared" si="88"/>
        <v>1</v>
      </c>
      <c r="FK54" s="5" t="s">
        <v>248</v>
      </c>
      <c r="FL54" s="5">
        <f t="shared" si="89"/>
        <v>1</v>
      </c>
      <c r="FM54" s="5" t="s">
        <v>232</v>
      </c>
      <c r="FN54" s="5">
        <f t="shared" si="90"/>
        <v>3</v>
      </c>
      <c r="FO54" s="5">
        <f t="shared" si="91"/>
        <v>5</v>
      </c>
      <c r="FP54" s="5" t="str">
        <f t="shared" si="92"/>
        <v>Nivel de riesgo medio</v>
      </c>
      <c r="FQ54" s="5" t="s">
        <v>206</v>
      </c>
      <c r="FR54" s="5">
        <f t="shared" si="93"/>
        <v>0</v>
      </c>
      <c r="FS54" s="5" t="s">
        <v>206</v>
      </c>
      <c r="FT54" s="5">
        <f t="shared" si="94"/>
        <v>0</v>
      </c>
      <c r="FU54" s="5" t="s">
        <v>206</v>
      </c>
      <c r="FV54" s="5">
        <f t="shared" si="95"/>
        <v>0</v>
      </c>
      <c r="FW54" s="5" t="s">
        <v>206</v>
      </c>
      <c r="FX54" s="5">
        <f t="shared" si="96"/>
        <v>0</v>
      </c>
      <c r="FY54" s="5" t="s">
        <v>206</v>
      </c>
      <c r="FZ54" s="5">
        <f t="shared" si="97"/>
        <v>0</v>
      </c>
      <c r="GA54" s="5" t="s">
        <v>206</v>
      </c>
      <c r="GB54" s="5">
        <f t="shared" si="98"/>
        <v>0</v>
      </c>
      <c r="GC54" s="5" t="s">
        <v>206</v>
      </c>
      <c r="GD54" s="5">
        <f t="shared" si="99"/>
        <v>0</v>
      </c>
      <c r="GE54" s="5">
        <f t="shared" si="100"/>
        <v>0</v>
      </c>
      <c r="GF54" s="5" t="str">
        <f t="shared" si="101"/>
        <v>Nivel de riesgo bajo</v>
      </c>
      <c r="GG54" s="5" t="s">
        <v>255</v>
      </c>
      <c r="GH54" s="5" t="s">
        <v>255</v>
      </c>
      <c r="GI54" s="5" t="s">
        <v>255</v>
      </c>
      <c r="GJ54" s="5" t="s">
        <v>233</v>
      </c>
      <c r="GK54" s="5" t="s">
        <v>233</v>
      </c>
      <c r="GL54" s="5" t="s">
        <v>273</v>
      </c>
      <c r="GM54" s="5" t="s">
        <v>266</v>
      </c>
      <c r="GN54" s="5" t="s">
        <v>256</v>
      </c>
      <c r="GO54" s="5" t="s">
        <v>257</v>
      </c>
      <c r="GP54" s="5" t="s">
        <v>257</v>
      </c>
      <c r="GQ54" s="5" t="s">
        <v>244</v>
      </c>
      <c r="GR54" s="5" t="s">
        <v>244</v>
      </c>
      <c r="GS54" s="5" t="s">
        <v>234</v>
      </c>
      <c r="GT54" s="5" t="s">
        <v>256</v>
      </c>
      <c r="GU54" s="5" t="s">
        <v>382</v>
      </c>
      <c r="GV54" s="5" t="str">
        <f>TEXT("6278771207208966927","0")</f>
        <v>6278771207208960000</v>
      </c>
    </row>
    <row r="55" spans="1:204" ht="15.75" customHeight="1" x14ac:dyDescent="0.15">
      <c r="A55" s="1">
        <f t="shared" si="51"/>
        <v>55</v>
      </c>
      <c r="B55" s="4">
        <v>45847.402395833335</v>
      </c>
      <c r="C55" s="5" t="s">
        <v>204</v>
      </c>
      <c r="D55" s="5" t="s">
        <v>206</v>
      </c>
      <c r="F55" s="5" t="s">
        <v>206</v>
      </c>
      <c r="G55" s="5" t="s">
        <v>204</v>
      </c>
      <c r="H55" s="5" t="s">
        <v>206</v>
      </c>
      <c r="K55" s="5" t="s">
        <v>237</v>
      </c>
      <c r="O55" s="5" t="s">
        <v>209</v>
      </c>
      <c r="T55" s="5" t="s">
        <v>209</v>
      </c>
      <c r="Y55" s="5" t="s">
        <v>209</v>
      </c>
      <c r="AD55" s="5" t="s">
        <v>209</v>
      </c>
      <c r="AH55" s="5" t="s">
        <v>210</v>
      </c>
      <c r="AI55" s="5">
        <v>2023</v>
      </c>
      <c r="AJ55" s="5" t="s">
        <v>238</v>
      </c>
      <c r="AK55" s="5" t="str">
        <f t="shared" si="52"/>
        <v>Trabajadora por cuenta propia</v>
      </c>
      <c r="AN55" s="5" t="s">
        <v>288</v>
      </c>
      <c r="AP55" s="5" t="s">
        <v>240</v>
      </c>
      <c r="AR55" s="5" t="s">
        <v>301</v>
      </c>
      <c r="AS55" s="5" t="s">
        <v>301</v>
      </c>
      <c r="AT55" s="5" t="s">
        <v>241</v>
      </c>
      <c r="AU55" s="5" t="s">
        <v>241</v>
      </c>
      <c r="AV55" s="5" t="s">
        <v>213</v>
      </c>
      <c r="AW55" s="5" t="s">
        <v>204</v>
      </c>
      <c r="AX55" s="5" t="s">
        <v>204</v>
      </c>
      <c r="AY55" s="5" t="s">
        <v>270</v>
      </c>
      <c r="AZ55" s="5" t="s">
        <v>204</v>
      </c>
      <c r="BA55" s="5" t="s">
        <v>263</v>
      </c>
      <c r="BF55" s="5" t="s">
        <v>204</v>
      </c>
      <c r="BG55" s="5" t="s">
        <v>278</v>
      </c>
      <c r="BH55" s="5" t="s">
        <v>278</v>
      </c>
      <c r="BI55" s="5" t="s">
        <v>242</v>
      </c>
      <c r="BJ55" s="5" t="s">
        <v>242</v>
      </c>
      <c r="BK55" s="5" t="s">
        <v>243</v>
      </c>
      <c r="BL55" s="5" t="s">
        <v>243</v>
      </c>
      <c r="BM55" s="5" t="s">
        <v>243</v>
      </c>
      <c r="BN55" s="5" t="s">
        <v>246</v>
      </c>
      <c r="BO55" s="5" t="s">
        <v>243</v>
      </c>
      <c r="BP55" s="5" t="s">
        <v>243</v>
      </c>
      <c r="BQ55" s="5" t="s">
        <v>243</v>
      </c>
      <c r="BR55" s="5" t="s">
        <v>243</v>
      </c>
      <c r="BS55" s="5" t="s">
        <v>232</v>
      </c>
      <c r="BT55" s="5" t="s">
        <v>254</v>
      </c>
      <c r="BU55" s="5" t="s">
        <v>232</v>
      </c>
      <c r="BV55" s="5" t="s">
        <v>232</v>
      </c>
      <c r="BW55" s="5" t="s">
        <v>247</v>
      </c>
      <c r="BX55" s="5" t="s">
        <v>232</v>
      </c>
      <c r="BY55" s="5" t="s">
        <v>232</v>
      </c>
      <c r="BZ55" s="5" t="s">
        <v>246</v>
      </c>
      <c r="CA55" s="5" t="s">
        <v>243</v>
      </c>
      <c r="CB55" s="5" t="s">
        <v>246</v>
      </c>
      <c r="CC55" s="5" t="s">
        <v>243</v>
      </c>
      <c r="CD55" s="5" t="s">
        <v>204</v>
      </c>
      <c r="CE55" s="5" t="s">
        <v>218</v>
      </c>
      <c r="CF55" s="5" t="s">
        <v>219</v>
      </c>
      <c r="CG55" s="5" t="s">
        <v>220</v>
      </c>
      <c r="CH55" s="5" t="s">
        <v>206</v>
      </c>
      <c r="CI55" s="5" t="s">
        <v>291</v>
      </c>
      <c r="CJ55" s="5">
        <v>1</v>
      </c>
      <c r="CK55" s="5" t="s">
        <v>223</v>
      </c>
      <c r="CU55" s="5" t="s">
        <v>206</v>
      </c>
      <c r="DA55" s="5" t="s">
        <v>231</v>
      </c>
      <c r="DB55" s="5">
        <f t="shared" si="53"/>
        <v>2</v>
      </c>
      <c r="DC55" s="5" t="s">
        <v>230</v>
      </c>
      <c r="DD55" s="5">
        <f t="shared" si="54"/>
        <v>2</v>
      </c>
      <c r="DE55" s="5" t="s">
        <v>230</v>
      </c>
      <c r="DF55" s="5">
        <f t="shared" si="55"/>
        <v>2</v>
      </c>
      <c r="DG55" s="5" t="s">
        <v>230</v>
      </c>
      <c r="DH55" s="5">
        <f t="shared" si="56"/>
        <v>2</v>
      </c>
      <c r="DI55" s="5" t="s">
        <v>230</v>
      </c>
      <c r="DJ55" s="5">
        <f t="shared" si="57"/>
        <v>2</v>
      </c>
      <c r="DK55" s="5" t="s">
        <v>230</v>
      </c>
      <c r="DL55" s="5">
        <f t="shared" si="58"/>
        <v>2</v>
      </c>
      <c r="DM55" s="5" t="s">
        <v>251</v>
      </c>
      <c r="DN55" s="5">
        <f t="shared" si="59"/>
        <v>1</v>
      </c>
      <c r="DO55" s="5" t="s">
        <v>231</v>
      </c>
      <c r="DP55" s="5">
        <f t="shared" si="60"/>
        <v>2</v>
      </c>
      <c r="DQ55" s="5" t="s">
        <v>231</v>
      </c>
      <c r="DR55" s="5">
        <f t="shared" si="61"/>
        <v>2</v>
      </c>
      <c r="DS55" s="5" t="s">
        <v>231</v>
      </c>
      <c r="DT55" s="5">
        <f t="shared" si="62"/>
        <v>2</v>
      </c>
      <c r="DU55" s="5" t="s">
        <v>231</v>
      </c>
      <c r="DV55" s="5">
        <f t="shared" si="63"/>
        <v>2</v>
      </c>
      <c r="DW55" s="5" t="s">
        <v>231</v>
      </c>
      <c r="DX55" s="5">
        <f t="shared" si="64"/>
        <v>2</v>
      </c>
      <c r="DY55" s="5">
        <f t="shared" si="65"/>
        <v>23</v>
      </c>
      <c r="DZ55" s="5" t="str">
        <f t="shared" si="66"/>
        <v>Nivel de riesgo medio</v>
      </c>
      <c r="EA55" s="5" t="s">
        <v>232</v>
      </c>
      <c r="EB55" s="5">
        <f t="shared" si="67"/>
        <v>3</v>
      </c>
      <c r="EC55" s="5" t="s">
        <v>247</v>
      </c>
      <c r="ED55" s="5">
        <f t="shared" si="68"/>
        <v>2</v>
      </c>
      <c r="EE55" s="5" t="s">
        <v>253</v>
      </c>
      <c r="EF55" s="5">
        <f t="shared" si="69"/>
        <v>0</v>
      </c>
      <c r="EG55" s="5">
        <f t="shared" si="70"/>
        <v>5</v>
      </c>
      <c r="EH55" s="5" t="str">
        <f t="shared" si="71"/>
        <v>Nivel de riesgo alto</v>
      </c>
      <c r="EI55" s="5" t="s">
        <v>248</v>
      </c>
      <c r="EJ55" s="5">
        <f t="shared" si="72"/>
        <v>1</v>
      </c>
      <c r="EK55" s="5" t="s">
        <v>248</v>
      </c>
      <c r="EL55" s="5">
        <f t="shared" si="73"/>
        <v>1</v>
      </c>
      <c r="EM55" s="5" t="s">
        <v>253</v>
      </c>
      <c r="EN55" s="5">
        <f t="shared" si="74"/>
        <v>0</v>
      </c>
      <c r="EO55" s="5">
        <f t="shared" si="75"/>
        <v>2</v>
      </c>
      <c r="EP55" s="5" t="str">
        <f t="shared" si="76"/>
        <v>Nivel de riesgo medio</v>
      </c>
      <c r="EQ55" s="5" t="s">
        <v>232</v>
      </c>
      <c r="ER55" s="5">
        <f t="shared" si="77"/>
        <v>1</v>
      </c>
      <c r="ES55" s="5" t="s">
        <v>232</v>
      </c>
      <c r="ET55" s="5">
        <f t="shared" si="78"/>
        <v>1</v>
      </c>
      <c r="EU55" s="5" t="s">
        <v>232</v>
      </c>
      <c r="EV55" s="5">
        <f t="shared" si="79"/>
        <v>1</v>
      </c>
      <c r="EW55" s="5" t="s">
        <v>254</v>
      </c>
      <c r="EX55" s="5">
        <f t="shared" si="80"/>
        <v>0</v>
      </c>
      <c r="EY55" s="5">
        <f t="shared" si="81"/>
        <v>3</v>
      </c>
      <c r="EZ55" s="5" t="str">
        <f t="shared" si="82"/>
        <v>Nivel de riesgo medio</v>
      </c>
      <c r="FA55" s="5" t="s">
        <v>253</v>
      </c>
      <c r="FB55" s="5">
        <f t="shared" si="83"/>
        <v>0</v>
      </c>
      <c r="FC55" s="5" t="s">
        <v>253</v>
      </c>
      <c r="FD55" s="5">
        <f t="shared" si="84"/>
        <v>0</v>
      </c>
      <c r="FE55" s="5" t="s">
        <v>253</v>
      </c>
      <c r="FF55" s="5">
        <f t="shared" si="85"/>
        <v>0</v>
      </c>
      <c r="FG55" s="5">
        <f t="shared" si="86"/>
        <v>0</v>
      </c>
      <c r="FH55" s="5" t="str">
        <f t="shared" si="87"/>
        <v>Nivel de riesgo bajo</v>
      </c>
      <c r="FI55" s="5" t="s">
        <v>253</v>
      </c>
      <c r="FJ55" s="5">
        <f t="shared" si="88"/>
        <v>0</v>
      </c>
      <c r="FK55" s="5" t="s">
        <v>247</v>
      </c>
      <c r="FL55" s="5">
        <f t="shared" si="89"/>
        <v>2</v>
      </c>
      <c r="FM55" s="5" t="s">
        <v>253</v>
      </c>
      <c r="FN55" s="5">
        <f t="shared" si="90"/>
        <v>0</v>
      </c>
      <c r="FO55" s="5">
        <f t="shared" si="91"/>
        <v>2</v>
      </c>
      <c r="FP55" s="5" t="str">
        <f t="shared" si="92"/>
        <v>Nivel de riesgo bajo</v>
      </c>
      <c r="FQ55" s="5" t="s">
        <v>206</v>
      </c>
      <c r="FR55" s="5">
        <f t="shared" si="93"/>
        <v>0</v>
      </c>
      <c r="FS55" s="5" t="s">
        <v>206</v>
      </c>
      <c r="FT55" s="5">
        <f t="shared" si="94"/>
        <v>0</v>
      </c>
      <c r="FU55" s="5" t="s">
        <v>206</v>
      </c>
      <c r="FV55" s="5">
        <f t="shared" si="95"/>
        <v>0</v>
      </c>
      <c r="FW55" s="5" t="s">
        <v>206</v>
      </c>
      <c r="FX55" s="5">
        <f t="shared" si="96"/>
        <v>0</v>
      </c>
      <c r="FY55" s="5" t="s">
        <v>206</v>
      </c>
      <c r="FZ55" s="5">
        <f t="shared" si="97"/>
        <v>0</v>
      </c>
      <c r="GA55" s="5" t="s">
        <v>206</v>
      </c>
      <c r="GB55" s="5">
        <f t="shared" si="98"/>
        <v>0</v>
      </c>
      <c r="GC55" s="5" t="s">
        <v>206</v>
      </c>
      <c r="GD55" s="5">
        <f t="shared" si="99"/>
        <v>0</v>
      </c>
      <c r="GE55" s="5">
        <f t="shared" si="100"/>
        <v>0</v>
      </c>
      <c r="GF55" s="5" t="str">
        <f t="shared" si="101"/>
        <v>Nivel de riesgo bajo</v>
      </c>
      <c r="GG55" s="5" t="s">
        <v>255</v>
      </c>
      <c r="GH55" s="5" t="s">
        <v>255</v>
      </c>
      <c r="GI55" s="5" t="s">
        <v>255</v>
      </c>
      <c r="GJ55" s="5" t="s">
        <v>255</v>
      </c>
      <c r="GK55" s="5" t="s">
        <v>255</v>
      </c>
      <c r="GL55" s="5" t="s">
        <v>255</v>
      </c>
      <c r="GM55" s="5" t="s">
        <v>255</v>
      </c>
      <c r="GN55" s="5" t="s">
        <v>256</v>
      </c>
      <c r="GO55" s="5" t="s">
        <v>256</v>
      </c>
      <c r="GP55" s="5" t="s">
        <v>256</v>
      </c>
      <c r="GQ55" s="5" t="s">
        <v>256</v>
      </c>
      <c r="GR55" s="5" t="s">
        <v>256</v>
      </c>
      <c r="GS55" s="5" t="s">
        <v>256</v>
      </c>
      <c r="GT55" s="5" t="s">
        <v>256</v>
      </c>
      <c r="GU55" s="5" t="s">
        <v>303</v>
      </c>
      <c r="GV55" s="5" t="str">
        <f>TEXT("6278775679635396279","0")</f>
        <v>6278775679635390000</v>
      </c>
    </row>
    <row r="56" spans="1:204" ht="15.75" customHeight="1" x14ac:dyDescent="0.15">
      <c r="A56" s="1">
        <f t="shared" si="51"/>
        <v>56</v>
      </c>
      <c r="B56" s="4">
        <v>45847.414259259262</v>
      </c>
      <c r="C56" s="5" t="s">
        <v>204</v>
      </c>
      <c r="D56" s="5" t="s">
        <v>206</v>
      </c>
      <c r="F56" s="5" t="s">
        <v>206</v>
      </c>
      <c r="G56" s="5" t="s">
        <v>204</v>
      </c>
      <c r="H56" s="5" t="s">
        <v>206</v>
      </c>
      <c r="J56" s="5" t="s">
        <v>209</v>
      </c>
      <c r="Q56" s="5" t="s">
        <v>236</v>
      </c>
      <c r="S56" s="5" t="s">
        <v>208</v>
      </c>
      <c r="Y56" s="5" t="s">
        <v>209</v>
      </c>
      <c r="AC56" s="5" t="s">
        <v>208</v>
      </c>
      <c r="AH56" s="5" t="s">
        <v>275</v>
      </c>
      <c r="AI56" s="5">
        <v>2018</v>
      </c>
      <c r="AJ56" s="5" t="s">
        <v>238</v>
      </c>
      <c r="AK56" s="5" t="str">
        <f t="shared" si="52"/>
        <v>Trabajadora por cuenta propia</v>
      </c>
      <c r="AL56" s="5" t="s">
        <v>239</v>
      </c>
      <c r="AP56" s="5" t="s">
        <v>297</v>
      </c>
      <c r="AR56" s="5" t="s">
        <v>276</v>
      </c>
      <c r="AS56" s="5" t="s">
        <v>276</v>
      </c>
      <c r="AT56" s="5" t="s">
        <v>276</v>
      </c>
      <c r="AU56" s="5" t="s">
        <v>294</v>
      </c>
      <c r="AV56" s="5" t="s">
        <v>213</v>
      </c>
      <c r="AW56" s="5" t="s">
        <v>204</v>
      </c>
      <c r="AX56" s="5" t="s">
        <v>206</v>
      </c>
      <c r="BF56" s="5" t="s">
        <v>204</v>
      </c>
      <c r="BG56" s="5" t="s">
        <v>207</v>
      </c>
      <c r="BH56" s="5" t="s">
        <v>264</v>
      </c>
      <c r="BI56" s="5" t="s">
        <v>207</v>
      </c>
      <c r="BJ56" s="5" t="s">
        <v>264</v>
      </c>
      <c r="BK56" s="5" t="s">
        <v>243</v>
      </c>
      <c r="BL56" s="5" t="s">
        <v>243</v>
      </c>
      <c r="BM56" s="5" t="s">
        <v>246</v>
      </c>
      <c r="BN56" s="5" t="s">
        <v>244</v>
      </c>
      <c r="BO56" s="5" t="s">
        <v>244</v>
      </c>
      <c r="BP56" s="5" t="s">
        <v>246</v>
      </c>
      <c r="BQ56" s="5" t="s">
        <v>243</v>
      </c>
      <c r="BR56" s="5" t="s">
        <v>243</v>
      </c>
      <c r="BS56" s="5" t="s">
        <v>254</v>
      </c>
      <c r="BT56" s="5" t="s">
        <v>254</v>
      </c>
      <c r="BU56" s="5" t="s">
        <v>248</v>
      </c>
      <c r="BV56" s="5" t="s">
        <v>254</v>
      </c>
      <c r="BW56" s="5" t="s">
        <v>247</v>
      </c>
      <c r="BX56" s="5" t="s">
        <v>247</v>
      </c>
      <c r="BY56" s="5" t="s">
        <v>254</v>
      </c>
      <c r="BZ56" s="5" t="s">
        <v>244</v>
      </c>
      <c r="CA56" s="5" t="s">
        <v>244</v>
      </c>
      <c r="CB56" s="5" t="s">
        <v>216</v>
      </c>
      <c r="CC56" s="5" t="s">
        <v>244</v>
      </c>
      <c r="CD56" s="5" t="s">
        <v>206</v>
      </c>
      <c r="CH56" s="5" t="s">
        <v>206</v>
      </c>
      <c r="CI56" s="5" t="s">
        <v>383</v>
      </c>
      <c r="CJ56" s="5">
        <v>9</v>
      </c>
      <c r="CK56" s="5" t="s">
        <v>223</v>
      </c>
      <c r="CU56" s="5" t="s">
        <v>206</v>
      </c>
      <c r="DA56" s="5" t="s">
        <v>252</v>
      </c>
      <c r="DB56" s="5">
        <f t="shared" si="53"/>
        <v>3</v>
      </c>
      <c r="DC56" s="5" t="s">
        <v>250</v>
      </c>
      <c r="DD56" s="5">
        <f t="shared" si="54"/>
        <v>3</v>
      </c>
      <c r="DE56" s="5" t="s">
        <v>250</v>
      </c>
      <c r="DF56" s="5">
        <f t="shared" si="55"/>
        <v>3</v>
      </c>
      <c r="DG56" s="5" t="s">
        <v>250</v>
      </c>
      <c r="DH56" s="5">
        <f t="shared" si="56"/>
        <v>3</v>
      </c>
      <c r="DI56" s="5" t="s">
        <v>250</v>
      </c>
      <c r="DJ56" s="5">
        <f t="shared" si="57"/>
        <v>3</v>
      </c>
      <c r="DK56" s="5" t="s">
        <v>230</v>
      </c>
      <c r="DL56" s="5">
        <f t="shared" si="58"/>
        <v>2</v>
      </c>
      <c r="DM56" s="5" t="s">
        <v>230</v>
      </c>
      <c r="DN56" s="5">
        <f t="shared" si="59"/>
        <v>2</v>
      </c>
      <c r="DO56" s="5" t="s">
        <v>281</v>
      </c>
      <c r="DP56" s="5">
        <f t="shared" si="60"/>
        <v>1</v>
      </c>
      <c r="DQ56" s="5" t="s">
        <v>281</v>
      </c>
      <c r="DR56" s="5">
        <f t="shared" si="61"/>
        <v>1</v>
      </c>
      <c r="DS56" s="5" t="s">
        <v>281</v>
      </c>
      <c r="DT56" s="5">
        <f t="shared" si="62"/>
        <v>1</v>
      </c>
      <c r="DU56" s="5" t="s">
        <v>281</v>
      </c>
      <c r="DV56" s="5">
        <f t="shared" si="63"/>
        <v>1</v>
      </c>
      <c r="DW56" s="5" t="s">
        <v>252</v>
      </c>
      <c r="DX56" s="5">
        <f t="shared" si="64"/>
        <v>3</v>
      </c>
      <c r="DY56" s="5">
        <f t="shared" si="65"/>
        <v>26</v>
      </c>
      <c r="DZ56" s="5" t="str">
        <f t="shared" si="66"/>
        <v>Nivel de riesgo alto</v>
      </c>
      <c r="EA56" s="5" t="s">
        <v>253</v>
      </c>
      <c r="EB56" s="5">
        <f t="shared" si="67"/>
        <v>0</v>
      </c>
      <c r="EC56" s="5" t="s">
        <v>253</v>
      </c>
      <c r="ED56" s="5">
        <f t="shared" si="68"/>
        <v>0</v>
      </c>
      <c r="EE56" s="5" t="s">
        <v>253</v>
      </c>
      <c r="EF56" s="5">
        <f t="shared" si="69"/>
        <v>0</v>
      </c>
      <c r="EG56" s="5">
        <f t="shared" si="70"/>
        <v>0</v>
      </c>
      <c r="EH56" s="5" t="str">
        <f t="shared" si="71"/>
        <v>Nivel de riesgo bajo</v>
      </c>
      <c r="EI56" s="5" t="s">
        <v>248</v>
      </c>
      <c r="EJ56" s="5">
        <f t="shared" si="72"/>
        <v>1</v>
      </c>
      <c r="EK56" s="5" t="s">
        <v>232</v>
      </c>
      <c r="EL56" s="5">
        <f t="shared" si="73"/>
        <v>3</v>
      </c>
      <c r="EM56" s="5" t="s">
        <v>254</v>
      </c>
      <c r="EN56" s="5">
        <f t="shared" si="74"/>
        <v>4</v>
      </c>
      <c r="EO56" s="5">
        <f t="shared" si="75"/>
        <v>8</v>
      </c>
      <c r="EP56" s="5" t="str">
        <f t="shared" si="76"/>
        <v>Nivel de riesgo alto</v>
      </c>
      <c r="EQ56" s="5" t="s">
        <v>253</v>
      </c>
      <c r="ER56" s="5">
        <f t="shared" si="77"/>
        <v>4</v>
      </c>
      <c r="ES56" s="5" t="s">
        <v>253</v>
      </c>
      <c r="ET56" s="5">
        <f t="shared" si="78"/>
        <v>4</v>
      </c>
      <c r="EU56" s="5" t="s">
        <v>254</v>
      </c>
      <c r="EV56" s="5">
        <f t="shared" si="79"/>
        <v>0</v>
      </c>
      <c r="EW56" s="5" t="s">
        <v>254</v>
      </c>
      <c r="EX56" s="5">
        <f t="shared" si="80"/>
        <v>0</v>
      </c>
      <c r="EY56" s="5">
        <f t="shared" si="81"/>
        <v>8</v>
      </c>
      <c r="EZ56" s="5" t="str">
        <f t="shared" si="82"/>
        <v>Nivel de riesgo alto</v>
      </c>
      <c r="FA56" s="5" t="s">
        <v>247</v>
      </c>
      <c r="FB56" s="5">
        <f t="shared" si="83"/>
        <v>2</v>
      </c>
      <c r="FC56" s="5" t="s">
        <v>253</v>
      </c>
      <c r="FD56" s="5">
        <f t="shared" si="84"/>
        <v>0</v>
      </c>
      <c r="FE56" s="5" t="s">
        <v>253</v>
      </c>
      <c r="FF56" s="5">
        <f t="shared" si="85"/>
        <v>0</v>
      </c>
      <c r="FG56" s="5">
        <f t="shared" si="86"/>
        <v>2</v>
      </c>
      <c r="FH56" s="5" t="str">
        <f t="shared" si="87"/>
        <v>Nivel de riesgo bajo</v>
      </c>
      <c r="FI56" s="5" t="s">
        <v>248</v>
      </c>
      <c r="FJ56" s="5">
        <f t="shared" si="88"/>
        <v>1</v>
      </c>
      <c r="FK56" s="5" t="s">
        <v>247</v>
      </c>
      <c r="FL56" s="5">
        <f t="shared" si="89"/>
        <v>2</v>
      </c>
      <c r="FM56" s="5" t="s">
        <v>247</v>
      </c>
      <c r="FN56" s="5">
        <f t="shared" si="90"/>
        <v>2</v>
      </c>
      <c r="FO56" s="5">
        <f t="shared" si="91"/>
        <v>5</v>
      </c>
      <c r="FP56" s="5" t="str">
        <f t="shared" si="92"/>
        <v>Nivel de riesgo medio</v>
      </c>
      <c r="FQ56" s="5" t="s">
        <v>206</v>
      </c>
      <c r="FR56" s="5">
        <f t="shared" si="93"/>
        <v>0</v>
      </c>
      <c r="FS56" s="5" t="s">
        <v>206</v>
      </c>
      <c r="FT56" s="5">
        <f t="shared" si="94"/>
        <v>0</v>
      </c>
      <c r="FU56" s="5" t="s">
        <v>206</v>
      </c>
      <c r="FV56" s="5">
        <f t="shared" si="95"/>
        <v>0</v>
      </c>
      <c r="FW56" s="5" t="s">
        <v>206</v>
      </c>
      <c r="FX56" s="5">
        <f t="shared" si="96"/>
        <v>0</v>
      </c>
      <c r="FY56" s="5" t="s">
        <v>206</v>
      </c>
      <c r="FZ56" s="5">
        <f t="shared" si="97"/>
        <v>0</v>
      </c>
      <c r="GA56" s="5" t="s">
        <v>206</v>
      </c>
      <c r="GB56" s="5">
        <f t="shared" si="98"/>
        <v>0</v>
      </c>
      <c r="GC56" s="5" t="s">
        <v>206</v>
      </c>
      <c r="GD56" s="5">
        <f t="shared" si="99"/>
        <v>0</v>
      </c>
      <c r="GE56" s="5">
        <f t="shared" si="100"/>
        <v>0</v>
      </c>
      <c r="GF56" s="5" t="str">
        <f t="shared" si="101"/>
        <v>Nivel de riesgo bajo</v>
      </c>
      <c r="GG56" s="5" t="s">
        <v>255</v>
      </c>
      <c r="GH56" s="5" t="s">
        <v>255</v>
      </c>
      <c r="GI56" s="5" t="s">
        <v>255</v>
      </c>
      <c r="GJ56" s="5" t="s">
        <v>255</v>
      </c>
      <c r="GK56" s="5" t="s">
        <v>233</v>
      </c>
      <c r="GL56" s="5" t="s">
        <v>233</v>
      </c>
      <c r="GM56" s="5" t="s">
        <v>233</v>
      </c>
      <c r="GN56" s="5" t="s">
        <v>256</v>
      </c>
      <c r="GO56" s="5" t="s">
        <v>244</v>
      </c>
      <c r="GP56" s="5" t="s">
        <v>256</v>
      </c>
      <c r="GQ56" s="5" t="s">
        <v>244</v>
      </c>
      <c r="GR56" s="5" t="s">
        <v>244</v>
      </c>
      <c r="GS56" s="5" t="s">
        <v>244</v>
      </c>
      <c r="GT56" s="5" t="s">
        <v>256</v>
      </c>
      <c r="GU56" s="5" t="s">
        <v>384</v>
      </c>
      <c r="GV56" s="5" t="str">
        <f>TEXT("6278785921825687564","0")</f>
        <v>6278785921825680000</v>
      </c>
    </row>
    <row r="57" spans="1:204" ht="15.75" customHeight="1" x14ac:dyDescent="0.15">
      <c r="A57" s="1">
        <f t="shared" si="51"/>
        <v>57</v>
      </c>
      <c r="B57" s="4">
        <v>45847.415162037039</v>
      </c>
      <c r="C57" s="5" t="s">
        <v>204</v>
      </c>
      <c r="D57" s="5" t="s">
        <v>204</v>
      </c>
      <c r="E57" s="5" t="s">
        <v>335</v>
      </c>
      <c r="F57" s="5" t="s">
        <v>204</v>
      </c>
      <c r="G57" s="5" t="s">
        <v>204</v>
      </c>
      <c r="H57" s="5" t="s">
        <v>204</v>
      </c>
      <c r="L57" s="5" t="s">
        <v>236</v>
      </c>
      <c r="N57" s="5" t="s">
        <v>208</v>
      </c>
      <c r="S57" s="5" t="s">
        <v>208</v>
      </c>
      <c r="Z57" s="5" t="s">
        <v>237</v>
      </c>
      <c r="AD57" s="5" t="s">
        <v>209</v>
      </c>
      <c r="AH57" s="5" t="s">
        <v>268</v>
      </c>
      <c r="AI57" s="5">
        <v>2019</v>
      </c>
      <c r="AJ57" s="5" t="s">
        <v>238</v>
      </c>
      <c r="AK57" s="5" t="str">
        <f t="shared" si="52"/>
        <v>Trabajadora por cuenta propia</v>
      </c>
      <c r="AL57" s="5" t="s">
        <v>239</v>
      </c>
      <c r="AP57" s="5" t="s">
        <v>385</v>
      </c>
      <c r="AR57" s="5" t="s">
        <v>241</v>
      </c>
      <c r="AS57" s="5" t="s">
        <v>301</v>
      </c>
      <c r="AT57" s="5" t="s">
        <v>241</v>
      </c>
      <c r="AU57" s="5" t="s">
        <v>241</v>
      </c>
      <c r="AV57" s="5" t="s">
        <v>277</v>
      </c>
      <c r="AW57" s="5" t="s">
        <v>206</v>
      </c>
      <c r="BF57" s="5" t="s">
        <v>204</v>
      </c>
      <c r="BG57" s="5" t="s">
        <v>271</v>
      </c>
      <c r="BH57" s="5" t="s">
        <v>264</v>
      </c>
      <c r="BI57" s="5" t="s">
        <v>278</v>
      </c>
      <c r="BJ57" s="5" t="s">
        <v>264</v>
      </c>
      <c r="BK57" s="5" t="s">
        <v>216</v>
      </c>
      <c r="BL57" s="5" t="s">
        <v>246</v>
      </c>
      <c r="BM57" s="5" t="s">
        <v>246</v>
      </c>
      <c r="BN57" s="5" t="s">
        <v>246</v>
      </c>
      <c r="BO57" s="5" t="s">
        <v>246</v>
      </c>
      <c r="BP57" s="5" t="s">
        <v>245</v>
      </c>
      <c r="BQ57" s="5" t="s">
        <v>245</v>
      </c>
      <c r="BR57" s="5" t="s">
        <v>246</v>
      </c>
      <c r="BS57" s="5" t="s">
        <v>247</v>
      </c>
      <c r="BT57" s="5" t="s">
        <v>232</v>
      </c>
      <c r="BU57" s="5" t="s">
        <v>232</v>
      </c>
      <c r="BV57" s="5" t="s">
        <v>232</v>
      </c>
      <c r="BW57" s="5" t="s">
        <v>247</v>
      </c>
      <c r="BX57" s="5" t="s">
        <v>232</v>
      </c>
      <c r="BY57" s="5" t="s">
        <v>247</v>
      </c>
      <c r="CD57" s="5" t="s">
        <v>206</v>
      </c>
      <c r="CH57" s="5" t="s">
        <v>206</v>
      </c>
      <c r="CI57" s="5" t="s">
        <v>249</v>
      </c>
      <c r="CJ57" s="5">
        <v>1</v>
      </c>
      <c r="CK57" s="5" t="s">
        <v>223</v>
      </c>
      <c r="CL57" s="5" t="s">
        <v>386</v>
      </c>
      <c r="CU57" s="5" t="s">
        <v>206</v>
      </c>
      <c r="DA57" s="5" t="s">
        <v>252</v>
      </c>
      <c r="DB57" s="5">
        <f t="shared" si="53"/>
        <v>3</v>
      </c>
      <c r="DC57" s="5" t="s">
        <v>250</v>
      </c>
      <c r="DD57" s="5">
        <f t="shared" si="54"/>
        <v>3</v>
      </c>
      <c r="DE57" s="5" t="s">
        <v>251</v>
      </c>
      <c r="DF57" s="5">
        <f t="shared" si="55"/>
        <v>1</v>
      </c>
      <c r="DG57" s="5" t="s">
        <v>251</v>
      </c>
      <c r="DH57" s="5">
        <f t="shared" si="56"/>
        <v>1</v>
      </c>
      <c r="DI57" s="5" t="s">
        <v>251</v>
      </c>
      <c r="DJ57" s="5">
        <f t="shared" si="57"/>
        <v>1</v>
      </c>
      <c r="DK57" s="5" t="s">
        <v>251</v>
      </c>
      <c r="DL57" s="5">
        <f t="shared" si="58"/>
        <v>1</v>
      </c>
      <c r="DM57" s="5" t="s">
        <v>251</v>
      </c>
      <c r="DN57" s="5">
        <f t="shared" si="59"/>
        <v>1</v>
      </c>
      <c r="DO57" s="5" t="s">
        <v>281</v>
      </c>
      <c r="DP57" s="5">
        <f t="shared" si="60"/>
        <v>1</v>
      </c>
      <c r="DQ57" s="5" t="s">
        <v>281</v>
      </c>
      <c r="DR57" s="5">
        <f t="shared" si="61"/>
        <v>1</v>
      </c>
      <c r="DS57" s="5" t="s">
        <v>281</v>
      </c>
      <c r="DT57" s="5">
        <f t="shared" si="62"/>
        <v>1</v>
      </c>
      <c r="DU57" s="5" t="s">
        <v>281</v>
      </c>
      <c r="DV57" s="5">
        <f t="shared" si="63"/>
        <v>1</v>
      </c>
      <c r="DW57" s="5" t="s">
        <v>281</v>
      </c>
      <c r="DX57" s="5">
        <f t="shared" si="64"/>
        <v>1</v>
      </c>
      <c r="DY57" s="5">
        <f t="shared" si="65"/>
        <v>16</v>
      </c>
      <c r="DZ57" s="5" t="str">
        <f t="shared" si="66"/>
        <v>Nivel de riesgo bajo</v>
      </c>
      <c r="EA57" s="5" t="s">
        <v>247</v>
      </c>
      <c r="EB57" s="5">
        <f t="shared" si="67"/>
        <v>2</v>
      </c>
      <c r="EC57" s="5" t="s">
        <v>232</v>
      </c>
      <c r="ED57" s="5">
        <f t="shared" si="68"/>
        <v>3</v>
      </c>
      <c r="EE57" s="5" t="s">
        <v>253</v>
      </c>
      <c r="EF57" s="5">
        <f t="shared" si="69"/>
        <v>0</v>
      </c>
      <c r="EG57" s="5">
        <f t="shared" si="70"/>
        <v>5</v>
      </c>
      <c r="EH57" s="5" t="str">
        <f t="shared" si="71"/>
        <v>Nivel de riesgo alto</v>
      </c>
      <c r="EI57" s="5" t="s">
        <v>248</v>
      </c>
      <c r="EJ57" s="5">
        <f t="shared" si="72"/>
        <v>1</v>
      </c>
      <c r="EK57" s="5" t="s">
        <v>247</v>
      </c>
      <c r="EL57" s="5">
        <f t="shared" si="73"/>
        <v>2</v>
      </c>
      <c r="EM57" s="5" t="s">
        <v>248</v>
      </c>
      <c r="EN57" s="5">
        <f t="shared" si="74"/>
        <v>1</v>
      </c>
      <c r="EO57" s="5">
        <f t="shared" si="75"/>
        <v>4</v>
      </c>
      <c r="EP57" s="5" t="str">
        <f t="shared" si="76"/>
        <v>Nivel de riesgo medio</v>
      </c>
      <c r="EQ57" s="5" t="s">
        <v>253</v>
      </c>
      <c r="ER57" s="5">
        <f t="shared" si="77"/>
        <v>4</v>
      </c>
      <c r="ES57" s="5" t="s">
        <v>253</v>
      </c>
      <c r="ET57" s="5">
        <f t="shared" si="78"/>
        <v>4</v>
      </c>
      <c r="EU57" s="5" t="s">
        <v>232</v>
      </c>
      <c r="EV57" s="5">
        <f t="shared" si="79"/>
        <v>1</v>
      </c>
      <c r="EW57" s="5" t="s">
        <v>248</v>
      </c>
      <c r="EX57" s="5">
        <f t="shared" si="80"/>
        <v>3</v>
      </c>
      <c r="EY57" s="5">
        <f t="shared" si="81"/>
        <v>12</v>
      </c>
      <c r="EZ57" s="5" t="str">
        <f t="shared" si="82"/>
        <v>Nivel de riesgo alto</v>
      </c>
      <c r="FA57" s="5" t="s">
        <v>247</v>
      </c>
      <c r="FB57" s="5">
        <f t="shared" si="83"/>
        <v>2</v>
      </c>
      <c r="FC57" s="5" t="s">
        <v>232</v>
      </c>
      <c r="FD57" s="5">
        <f t="shared" si="84"/>
        <v>3</v>
      </c>
      <c r="FE57" s="5" t="s">
        <v>232</v>
      </c>
      <c r="FF57" s="5">
        <f t="shared" si="85"/>
        <v>3</v>
      </c>
      <c r="FG57" s="5">
        <f t="shared" si="86"/>
        <v>8</v>
      </c>
      <c r="FH57" s="5" t="str">
        <f t="shared" si="87"/>
        <v>Nivel de riesgo alto</v>
      </c>
      <c r="FI57" s="5" t="s">
        <v>247</v>
      </c>
      <c r="FJ57" s="5">
        <f t="shared" si="88"/>
        <v>2</v>
      </c>
      <c r="FK57" s="5" t="s">
        <v>253</v>
      </c>
      <c r="FL57" s="5">
        <f t="shared" si="89"/>
        <v>0</v>
      </c>
      <c r="FM57" s="5" t="s">
        <v>247</v>
      </c>
      <c r="FN57" s="5">
        <f t="shared" si="90"/>
        <v>2</v>
      </c>
      <c r="FO57" s="5">
        <f t="shared" si="91"/>
        <v>4</v>
      </c>
      <c r="FP57" s="5" t="str">
        <f t="shared" si="92"/>
        <v>Nivel de riesgo medio</v>
      </c>
      <c r="FQ57" s="5" t="s">
        <v>206</v>
      </c>
      <c r="FR57" s="5">
        <f t="shared" si="93"/>
        <v>0</v>
      </c>
      <c r="FS57" s="5" t="s">
        <v>206</v>
      </c>
      <c r="FT57" s="5">
        <f t="shared" si="94"/>
        <v>0</v>
      </c>
      <c r="FU57" s="5" t="s">
        <v>206</v>
      </c>
      <c r="FV57" s="5">
        <f t="shared" si="95"/>
        <v>0</v>
      </c>
      <c r="FW57" s="5" t="s">
        <v>206</v>
      </c>
      <c r="FX57" s="5">
        <f t="shared" si="96"/>
        <v>0</v>
      </c>
      <c r="FY57" s="5" t="s">
        <v>206</v>
      </c>
      <c r="FZ57" s="5">
        <f t="shared" si="97"/>
        <v>0</v>
      </c>
      <c r="GA57" s="5" t="s">
        <v>206</v>
      </c>
      <c r="GB57" s="5">
        <f t="shared" si="98"/>
        <v>0</v>
      </c>
      <c r="GC57" s="5" t="s">
        <v>206</v>
      </c>
      <c r="GD57" s="5">
        <f t="shared" si="99"/>
        <v>0</v>
      </c>
      <c r="GE57" s="5">
        <f t="shared" si="100"/>
        <v>0</v>
      </c>
      <c r="GF57" s="5" t="str">
        <f t="shared" si="101"/>
        <v>Nivel de riesgo bajo</v>
      </c>
      <c r="GG57" s="5" t="s">
        <v>255</v>
      </c>
      <c r="GH57" s="5" t="s">
        <v>273</v>
      </c>
      <c r="GI57" s="5" t="s">
        <v>255</v>
      </c>
      <c r="GJ57" s="5" t="s">
        <v>255</v>
      </c>
      <c r="GK57" s="5" t="s">
        <v>233</v>
      </c>
      <c r="GL57" s="5" t="s">
        <v>233</v>
      </c>
      <c r="GM57" s="5" t="s">
        <v>255</v>
      </c>
      <c r="GN57" s="5" t="s">
        <v>256</v>
      </c>
      <c r="GO57" s="5" t="s">
        <v>256</v>
      </c>
      <c r="GP57" s="5" t="s">
        <v>243</v>
      </c>
      <c r="GQ57" s="5" t="s">
        <v>243</v>
      </c>
      <c r="GR57" s="5" t="s">
        <v>257</v>
      </c>
      <c r="GS57" s="5" t="s">
        <v>257</v>
      </c>
      <c r="GT57" s="5" t="s">
        <v>257</v>
      </c>
      <c r="GU57" s="5" t="s">
        <v>387</v>
      </c>
      <c r="GV57" s="5" t="str">
        <f>TEXT("6278786709114725158","0")</f>
        <v>6278786709114720000</v>
      </c>
    </row>
    <row r="58" spans="1:204" ht="15.75" customHeight="1" x14ac:dyDescent="0.15">
      <c r="A58" s="1">
        <f t="shared" si="51"/>
        <v>58</v>
      </c>
      <c r="B58" s="4">
        <v>45847.415868055556</v>
      </c>
      <c r="C58" s="5" t="s">
        <v>204</v>
      </c>
      <c r="D58" s="5" t="s">
        <v>206</v>
      </c>
      <c r="F58" s="5" t="s">
        <v>206</v>
      </c>
      <c r="G58" s="5" t="s">
        <v>206</v>
      </c>
      <c r="H58" s="5" t="s">
        <v>206</v>
      </c>
      <c r="K58" s="5" t="s">
        <v>237</v>
      </c>
      <c r="O58" s="5" t="s">
        <v>209</v>
      </c>
      <c r="T58" s="5" t="s">
        <v>209</v>
      </c>
      <c r="X58" s="5" t="s">
        <v>208</v>
      </c>
      <c r="AE58" s="5" t="s">
        <v>237</v>
      </c>
      <c r="AH58" s="5" t="s">
        <v>268</v>
      </c>
      <c r="AI58" s="5">
        <v>2007</v>
      </c>
      <c r="AJ58" s="5" t="s">
        <v>238</v>
      </c>
      <c r="AK58" s="5" t="str">
        <f t="shared" si="52"/>
        <v>Trabajadora por cuenta propia</v>
      </c>
      <c r="AL58" s="5" t="s">
        <v>239</v>
      </c>
      <c r="AP58" s="5" t="s">
        <v>284</v>
      </c>
      <c r="AR58" s="5" t="s">
        <v>241</v>
      </c>
      <c r="AS58" s="5" t="s">
        <v>241</v>
      </c>
      <c r="AT58" s="5" t="s">
        <v>241</v>
      </c>
      <c r="AU58" s="5" t="s">
        <v>301</v>
      </c>
      <c r="AV58" s="5" t="s">
        <v>285</v>
      </c>
      <c r="AW58" s="5" t="s">
        <v>204</v>
      </c>
      <c r="AX58" s="5" t="s">
        <v>204</v>
      </c>
      <c r="AY58" s="5" t="s">
        <v>214</v>
      </c>
      <c r="AZ58" s="5" t="s">
        <v>204</v>
      </c>
      <c r="BA58" s="5" t="s">
        <v>344</v>
      </c>
      <c r="BF58" s="5" t="s">
        <v>204</v>
      </c>
      <c r="BG58" s="5" t="s">
        <v>242</v>
      </c>
      <c r="BH58" s="5" t="s">
        <v>215</v>
      </c>
      <c r="BI58" s="5" t="s">
        <v>242</v>
      </c>
      <c r="BJ58" s="5" t="s">
        <v>242</v>
      </c>
      <c r="BK58" s="5" t="s">
        <v>243</v>
      </c>
      <c r="BL58" s="5" t="s">
        <v>243</v>
      </c>
      <c r="BM58" s="5" t="s">
        <v>243</v>
      </c>
      <c r="BN58" s="5" t="s">
        <v>243</v>
      </c>
      <c r="BO58" s="5" t="s">
        <v>243</v>
      </c>
      <c r="BP58" s="5" t="s">
        <v>245</v>
      </c>
      <c r="BQ58" s="5" t="s">
        <v>245</v>
      </c>
      <c r="BR58" s="5" t="s">
        <v>246</v>
      </c>
      <c r="BS58" s="5" t="s">
        <v>232</v>
      </c>
      <c r="BT58" s="5" t="s">
        <v>232</v>
      </c>
      <c r="BU58" s="5" t="s">
        <v>232</v>
      </c>
      <c r="BV58" s="5" t="s">
        <v>232</v>
      </c>
      <c r="BW58" s="5" t="s">
        <v>232</v>
      </c>
      <c r="BX58" s="5" t="s">
        <v>232</v>
      </c>
      <c r="BY58" s="5" t="s">
        <v>232</v>
      </c>
      <c r="BZ58" s="5" t="s">
        <v>243</v>
      </c>
      <c r="CA58" s="5" t="s">
        <v>243</v>
      </c>
      <c r="CB58" s="5" t="s">
        <v>245</v>
      </c>
      <c r="CC58" s="5" t="s">
        <v>245</v>
      </c>
      <c r="CD58" s="5" t="s">
        <v>206</v>
      </c>
      <c r="CH58" s="5" t="s">
        <v>206</v>
      </c>
      <c r="CI58" s="5" t="s">
        <v>307</v>
      </c>
      <c r="CJ58" s="5">
        <v>1</v>
      </c>
      <c r="CK58" s="5" t="s">
        <v>223</v>
      </c>
      <c r="CU58" s="5" t="s">
        <v>206</v>
      </c>
      <c r="DA58" s="5" t="s">
        <v>229</v>
      </c>
      <c r="DB58" s="5">
        <f t="shared" si="53"/>
        <v>4</v>
      </c>
      <c r="DC58" s="5" t="s">
        <v>280</v>
      </c>
      <c r="DD58" s="5">
        <f t="shared" si="54"/>
        <v>4</v>
      </c>
      <c r="DE58" s="5" t="s">
        <v>250</v>
      </c>
      <c r="DF58" s="5">
        <f t="shared" si="55"/>
        <v>3</v>
      </c>
      <c r="DG58" s="5" t="s">
        <v>250</v>
      </c>
      <c r="DH58" s="5">
        <f t="shared" si="56"/>
        <v>3</v>
      </c>
      <c r="DI58" s="5" t="s">
        <v>280</v>
      </c>
      <c r="DJ58" s="5">
        <f t="shared" si="57"/>
        <v>4</v>
      </c>
      <c r="DK58" s="5" t="s">
        <v>280</v>
      </c>
      <c r="DL58" s="5">
        <f t="shared" si="58"/>
        <v>4</v>
      </c>
      <c r="DM58" s="5" t="s">
        <v>280</v>
      </c>
      <c r="DN58" s="5">
        <f t="shared" si="59"/>
        <v>4</v>
      </c>
      <c r="DO58" s="5" t="s">
        <v>252</v>
      </c>
      <c r="DP58" s="5">
        <f t="shared" si="60"/>
        <v>3</v>
      </c>
      <c r="DQ58" s="5" t="s">
        <v>252</v>
      </c>
      <c r="DR58" s="5">
        <f t="shared" si="61"/>
        <v>3</v>
      </c>
      <c r="DS58" s="5" t="s">
        <v>252</v>
      </c>
      <c r="DT58" s="5">
        <f t="shared" si="62"/>
        <v>3</v>
      </c>
      <c r="DU58" s="5" t="s">
        <v>229</v>
      </c>
      <c r="DV58" s="5">
        <f t="shared" si="63"/>
        <v>4</v>
      </c>
      <c r="DW58" s="5" t="s">
        <v>229</v>
      </c>
      <c r="DX58" s="5">
        <f t="shared" si="64"/>
        <v>4</v>
      </c>
      <c r="DY58" s="5">
        <f t="shared" si="65"/>
        <v>43</v>
      </c>
      <c r="DZ58" s="5" t="str">
        <f t="shared" si="66"/>
        <v>Nivel de riesgo alto</v>
      </c>
      <c r="EA58" s="5" t="s">
        <v>254</v>
      </c>
      <c r="EB58" s="5">
        <f t="shared" si="67"/>
        <v>4</v>
      </c>
      <c r="EC58" s="5" t="s">
        <v>254</v>
      </c>
      <c r="ED58" s="5">
        <f t="shared" si="68"/>
        <v>4</v>
      </c>
      <c r="EE58" s="5" t="s">
        <v>253</v>
      </c>
      <c r="EF58" s="5">
        <f t="shared" si="69"/>
        <v>0</v>
      </c>
      <c r="EG58" s="5">
        <f t="shared" si="70"/>
        <v>8</v>
      </c>
      <c r="EH58" s="5" t="str">
        <f t="shared" si="71"/>
        <v>Nivel de riesgo alto</v>
      </c>
      <c r="EI58" s="5" t="s">
        <v>232</v>
      </c>
      <c r="EJ58" s="5">
        <f t="shared" si="72"/>
        <v>3</v>
      </c>
      <c r="EK58" s="5" t="s">
        <v>247</v>
      </c>
      <c r="EL58" s="5">
        <f t="shared" si="73"/>
        <v>2</v>
      </c>
      <c r="EM58" s="5" t="s">
        <v>247</v>
      </c>
      <c r="EN58" s="5">
        <f t="shared" si="74"/>
        <v>2</v>
      </c>
      <c r="EO58" s="5">
        <f t="shared" si="75"/>
        <v>7</v>
      </c>
      <c r="EP58" s="5" t="str">
        <f t="shared" si="76"/>
        <v>Nivel de riesgo alto</v>
      </c>
      <c r="EQ58" s="5" t="s">
        <v>247</v>
      </c>
      <c r="ER58" s="5">
        <f t="shared" si="77"/>
        <v>2</v>
      </c>
      <c r="ES58" s="5" t="s">
        <v>247</v>
      </c>
      <c r="ET58" s="5">
        <f t="shared" si="78"/>
        <v>2</v>
      </c>
      <c r="EU58" s="5" t="s">
        <v>247</v>
      </c>
      <c r="EV58" s="5">
        <f t="shared" si="79"/>
        <v>2</v>
      </c>
      <c r="EW58" s="5" t="s">
        <v>247</v>
      </c>
      <c r="EX58" s="5">
        <f t="shared" si="80"/>
        <v>2</v>
      </c>
      <c r="EY58" s="5">
        <f t="shared" si="81"/>
        <v>8</v>
      </c>
      <c r="EZ58" s="5" t="str">
        <f t="shared" si="82"/>
        <v>Nivel de riesgo alto</v>
      </c>
      <c r="FA58" s="5" t="s">
        <v>254</v>
      </c>
      <c r="FB58" s="5">
        <f t="shared" si="83"/>
        <v>4</v>
      </c>
      <c r="FC58" s="5" t="s">
        <v>247</v>
      </c>
      <c r="FD58" s="5">
        <f t="shared" si="84"/>
        <v>2</v>
      </c>
      <c r="FE58" s="5" t="s">
        <v>247</v>
      </c>
      <c r="FF58" s="5">
        <f t="shared" si="85"/>
        <v>2</v>
      </c>
      <c r="FG58" s="5">
        <f t="shared" si="86"/>
        <v>8</v>
      </c>
      <c r="FH58" s="5" t="str">
        <f t="shared" si="87"/>
        <v>Nivel de riesgo alto</v>
      </c>
      <c r="FI58" s="5" t="s">
        <v>247</v>
      </c>
      <c r="FJ58" s="5">
        <f t="shared" si="88"/>
        <v>2</v>
      </c>
      <c r="FK58" s="5" t="s">
        <v>248</v>
      </c>
      <c r="FL58" s="5">
        <f t="shared" si="89"/>
        <v>1</v>
      </c>
      <c r="FM58" s="5" t="s">
        <v>248</v>
      </c>
      <c r="FN58" s="5">
        <f t="shared" si="90"/>
        <v>1</v>
      </c>
      <c r="FO58" s="5">
        <f t="shared" si="91"/>
        <v>4</v>
      </c>
      <c r="FP58" s="5" t="str">
        <f t="shared" si="92"/>
        <v>Nivel de riesgo medio</v>
      </c>
      <c r="FQ58" s="5" t="s">
        <v>206</v>
      </c>
      <c r="FR58" s="5">
        <f t="shared" si="93"/>
        <v>0</v>
      </c>
      <c r="FS58" s="5" t="s">
        <v>206</v>
      </c>
      <c r="FT58" s="5">
        <f t="shared" si="94"/>
        <v>0</v>
      </c>
      <c r="FU58" s="5" t="s">
        <v>206</v>
      </c>
      <c r="FV58" s="5">
        <f t="shared" si="95"/>
        <v>0</v>
      </c>
      <c r="FW58" s="5" t="s">
        <v>206</v>
      </c>
      <c r="FX58" s="5">
        <f t="shared" si="96"/>
        <v>0</v>
      </c>
      <c r="FY58" s="5" t="s">
        <v>206</v>
      </c>
      <c r="FZ58" s="5">
        <f t="shared" si="97"/>
        <v>0</v>
      </c>
      <c r="GA58" s="5" t="s">
        <v>206</v>
      </c>
      <c r="GB58" s="5">
        <f t="shared" si="98"/>
        <v>0</v>
      </c>
      <c r="GC58" s="5" t="s">
        <v>206</v>
      </c>
      <c r="GD58" s="5">
        <f t="shared" si="99"/>
        <v>0</v>
      </c>
      <c r="GE58" s="5">
        <f t="shared" si="100"/>
        <v>0</v>
      </c>
      <c r="GF58" s="5" t="str">
        <f t="shared" si="101"/>
        <v>Nivel de riesgo bajo</v>
      </c>
      <c r="GG58" s="5" t="s">
        <v>255</v>
      </c>
      <c r="GH58" s="5" t="s">
        <v>273</v>
      </c>
      <c r="GI58" s="5" t="s">
        <v>266</v>
      </c>
      <c r="GJ58" s="5" t="s">
        <v>273</v>
      </c>
      <c r="GK58" s="5" t="s">
        <v>233</v>
      </c>
      <c r="GL58" s="5" t="s">
        <v>266</v>
      </c>
      <c r="GM58" s="5" t="s">
        <v>255</v>
      </c>
      <c r="GN58" s="5" t="s">
        <v>256</v>
      </c>
      <c r="GO58" s="5" t="s">
        <v>234</v>
      </c>
      <c r="GP58" s="5" t="s">
        <v>244</v>
      </c>
      <c r="GQ58" s="5" t="s">
        <v>256</v>
      </c>
      <c r="GR58" s="5" t="s">
        <v>256</v>
      </c>
      <c r="GS58" s="5" t="s">
        <v>256</v>
      </c>
      <c r="GT58" s="5" t="s">
        <v>257</v>
      </c>
      <c r="GU58" s="5" t="s">
        <v>388</v>
      </c>
      <c r="GV58" s="5" t="str">
        <f>TEXT("6278787312714262730","0")</f>
        <v>6278787312714260000</v>
      </c>
    </row>
    <row r="59" spans="1:204" ht="15.75" customHeight="1" x14ac:dyDescent="0.15">
      <c r="A59" s="1">
        <f t="shared" si="51"/>
        <v>59</v>
      </c>
      <c r="B59" s="4">
        <v>45847.416238425925</v>
      </c>
      <c r="C59" s="5" t="s">
        <v>204</v>
      </c>
      <c r="D59" s="5" t="s">
        <v>206</v>
      </c>
      <c r="F59" s="5" t="s">
        <v>206</v>
      </c>
      <c r="G59" s="5" t="s">
        <v>206</v>
      </c>
      <c r="H59" s="5" t="s">
        <v>206</v>
      </c>
      <c r="K59" s="5" t="s">
        <v>237</v>
      </c>
      <c r="P59" s="5" t="s">
        <v>237</v>
      </c>
      <c r="T59" s="5" t="s">
        <v>209</v>
      </c>
      <c r="Y59" s="5" t="s">
        <v>209</v>
      </c>
      <c r="AE59" s="5" t="s">
        <v>237</v>
      </c>
      <c r="AH59" s="5" t="s">
        <v>268</v>
      </c>
      <c r="AI59" s="5">
        <v>2016</v>
      </c>
      <c r="AJ59" s="5" t="s">
        <v>330</v>
      </c>
      <c r="AK59" s="5" t="str">
        <f t="shared" si="52"/>
        <v>Asalariada</v>
      </c>
      <c r="AQ59" s="5" t="s">
        <v>204</v>
      </c>
      <c r="AR59" s="5" t="s">
        <v>241</v>
      </c>
      <c r="AS59" s="5" t="s">
        <v>241</v>
      </c>
      <c r="AT59" s="5" t="s">
        <v>241</v>
      </c>
      <c r="AU59" s="5" t="s">
        <v>241</v>
      </c>
      <c r="AV59" s="5" t="s">
        <v>285</v>
      </c>
      <c r="AW59" s="5" t="s">
        <v>204</v>
      </c>
      <c r="AX59" s="5" t="s">
        <v>204</v>
      </c>
      <c r="AY59" s="5" t="s">
        <v>214</v>
      </c>
      <c r="AZ59" s="5" t="s">
        <v>204</v>
      </c>
      <c r="BA59" s="5" t="s">
        <v>295</v>
      </c>
      <c r="BB59" s="5" t="s">
        <v>206</v>
      </c>
      <c r="BC59" s="5" t="s">
        <v>204</v>
      </c>
      <c r="BD59" s="5" t="s">
        <v>306</v>
      </c>
      <c r="BE59" s="5" t="s">
        <v>204</v>
      </c>
      <c r="BF59" s="5" t="s">
        <v>204</v>
      </c>
      <c r="BG59" s="5" t="s">
        <v>215</v>
      </c>
      <c r="BH59" s="5" t="s">
        <v>215</v>
      </c>
      <c r="BI59" s="5" t="s">
        <v>242</v>
      </c>
      <c r="BJ59" s="5" t="s">
        <v>242</v>
      </c>
      <c r="BK59" s="5" t="s">
        <v>246</v>
      </c>
      <c r="BL59" s="5" t="s">
        <v>246</v>
      </c>
      <c r="BM59" s="5" t="s">
        <v>246</v>
      </c>
      <c r="BN59" s="5" t="s">
        <v>246</v>
      </c>
      <c r="BO59" s="5" t="s">
        <v>246</v>
      </c>
      <c r="BP59" s="5" t="s">
        <v>246</v>
      </c>
      <c r="BQ59" s="5" t="s">
        <v>246</v>
      </c>
      <c r="BR59" s="5" t="s">
        <v>246</v>
      </c>
      <c r="BS59" s="5" t="s">
        <v>247</v>
      </c>
      <c r="BT59" s="5" t="s">
        <v>232</v>
      </c>
      <c r="BU59" s="5" t="s">
        <v>247</v>
      </c>
      <c r="BV59" s="5" t="s">
        <v>247</v>
      </c>
      <c r="BW59" s="5" t="s">
        <v>248</v>
      </c>
      <c r="BX59" s="5" t="s">
        <v>247</v>
      </c>
      <c r="BY59" s="5" t="s">
        <v>247</v>
      </c>
      <c r="BZ59" s="5" t="s">
        <v>246</v>
      </c>
      <c r="CA59" s="5" t="s">
        <v>246</v>
      </c>
      <c r="CB59" s="5" t="s">
        <v>246</v>
      </c>
      <c r="CC59" s="5" t="s">
        <v>246</v>
      </c>
      <c r="CD59" s="5" t="s">
        <v>204</v>
      </c>
      <c r="CE59" s="5" t="s">
        <v>218</v>
      </c>
      <c r="CF59" s="5" t="s">
        <v>219</v>
      </c>
      <c r="CG59" s="5" t="s">
        <v>206</v>
      </c>
      <c r="CH59" s="5" t="s">
        <v>221</v>
      </c>
      <c r="CI59" s="5" t="s">
        <v>206</v>
      </c>
      <c r="CJ59" s="5">
        <v>2</v>
      </c>
      <c r="CK59" s="5" t="s">
        <v>223</v>
      </c>
      <c r="CU59" s="5" t="s">
        <v>206</v>
      </c>
      <c r="DA59" s="5" t="s">
        <v>252</v>
      </c>
      <c r="DB59" s="5">
        <f t="shared" si="53"/>
        <v>3</v>
      </c>
      <c r="DC59" s="5" t="s">
        <v>280</v>
      </c>
      <c r="DD59" s="5">
        <f t="shared" si="54"/>
        <v>4</v>
      </c>
      <c r="DE59" s="5" t="s">
        <v>280</v>
      </c>
      <c r="DF59" s="5">
        <f t="shared" si="55"/>
        <v>4</v>
      </c>
      <c r="DG59" s="5" t="s">
        <v>250</v>
      </c>
      <c r="DH59" s="5">
        <f t="shared" si="56"/>
        <v>3</v>
      </c>
      <c r="DI59" s="5" t="s">
        <v>250</v>
      </c>
      <c r="DJ59" s="5">
        <f t="shared" si="57"/>
        <v>3</v>
      </c>
      <c r="DK59" s="5" t="s">
        <v>230</v>
      </c>
      <c r="DL59" s="5">
        <f t="shared" si="58"/>
        <v>2</v>
      </c>
      <c r="DM59" s="5" t="s">
        <v>230</v>
      </c>
      <c r="DN59" s="5">
        <f t="shared" si="59"/>
        <v>2</v>
      </c>
      <c r="DO59" s="5" t="s">
        <v>231</v>
      </c>
      <c r="DP59" s="5">
        <f t="shared" si="60"/>
        <v>2</v>
      </c>
      <c r="DQ59" s="5" t="s">
        <v>252</v>
      </c>
      <c r="DR59" s="5">
        <f t="shared" si="61"/>
        <v>3</v>
      </c>
      <c r="DS59" s="5" t="s">
        <v>252</v>
      </c>
      <c r="DT59" s="5">
        <f t="shared" si="62"/>
        <v>3</v>
      </c>
      <c r="DU59" s="5" t="s">
        <v>252</v>
      </c>
      <c r="DV59" s="5">
        <f t="shared" si="63"/>
        <v>3</v>
      </c>
      <c r="DW59" s="5" t="s">
        <v>231</v>
      </c>
      <c r="DX59" s="5">
        <f t="shared" si="64"/>
        <v>2</v>
      </c>
      <c r="DY59" s="5">
        <f t="shared" si="65"/>
        <v>34</v>
      </c>
      <c r="DZ59" s="5" t="str">
        <f t="shared" si="66"/>
        <v>Nivel de riesgo alto</v>
      </c>
      <c r="EA59" s="5" t="s">
        <v>232</v>
      </c>
      <c r="EB59" s="5">
        <f t="shared" si="67"/>
        <v>3</v>
      </c>
      <c r="EC59" s="5" t="s">
        <v>247</v>
      </c>
      <c r="ED59" s="5">
        <f t="shared" si="68"/>
        <v>2</v>
      </c>
      <c r="EE59" s="5" t="s">
        <v>247</v>
      </c>
      <c r="EF59" s="5">
        <f t="shared" si="69"/>
        <v>2</v>
      </c>
      <c r="EG59" s="5">
        <f t="shared" si="70"/>
        <v>7</v>
      </c>
      <c r="EH59" s="5" t="str">
        <f t="shared" si="71"/>
        <v>Nivel de riesgo alto</v>
      </c>
      <c r="EI59" s="5" t="s">
        <v>254</v>
      </c>
      <c r="EJ59" s="5">
        <f t="shared" si="72"/>
        <v>4</v>
      </c>
      <c r="EK59" s="5" t="s">
        <v>254</v>
      </c>
      <c r="EL59" s="5">
        <f t="shared" si="73"/>
        <v>4</v>
      </c>
      <c r="EM59" s="5" t="s">
        <v>254</v>
      </c>
      <c r="EN59" s="5">
        <f t="shared" si="74"/>
        <v>4</v>
      </c>
      <c r="EO59" s="5">
        <f t="shared" si="75"/>
        <v>12</v>
      </c>
      <c r="EP59" s="5" t="str">
        <f t="shared" si="76"/>
        <v>Nivel de riesgo alto</v>
      </c>
      <c r="EQ59" s="5" t="s">
        <v>247</v>
      </c>
      <c r="ER59" s="5">
        <f t="shared" si="77"/>
        <v>2</v>
      </c>
      <c r="ES59" s="5" t="s">
        <v>232</v>
      </c>
      <c r="ET59" s="5">
        <f t="shared" si="78"/>
        <v>1</v>
      </c>
      <c r="EU59" s="5" t="s">
        <v>247</v>
      </c>
      <c r="EV59" s="5">
        <f t="shared" si="79"/>
        <v>2</v>
      </c>
      <c r="EW59" s="5" t="s">
        <v>232</v>
      </c>
      <c r="EX59" s="5">
        <f t="shared" si="80"/>
        <v>1</v>
      </c>
      <c r="EY59" s="5">
        <f t="shared" si="81"/>
        <v>6</v>
      </c>
      <c r="EZ59" s="5" t="str">
        <f t="shared" si="82"/>
        <v>Nivel de riesgo alto</v>
      </c>
      <c r="FA59" s="5" t="s">
        <v>232</v>
      </c>
      <c r="FB59" s="5">
        <f t="shared" si="83"/>
        <v>3</v>
      </c>
      <c r="FC59" s="5" t="s">
        <v>232</v>
      </c>
      <c r="FD59" s="5">
        <f t="shared" si="84"/>
        <v>3</v>
      </c>
      <c r="FE59" s="5" t="s">
        <v>232</v>
      </c>
      <c r="FF59" s="5">
        <f t="shared" si="85"/>
        <v>3</v>
      </c>
      <c r="FG59" s="5">
        <f t="shared" si="86"/>
        <v>9</v>
      </c>
      <c r="FH59" s="5" t="str">
        <f t="shared" si="87"/>
        <v>Nivel de riesgo alto</v>
      </c>
      <c r="FI59" s="5" t="s">
        <v>247</v>
      </c>
      <c r="FJ59" s="5">
        <f t="shared" si="88"/>
        <v>2</v>
      </c>
      <c r="FK59" s="5" t="s">
        <v>232</v>
      </c>
      <c r="FL59" s="5">
        <f t="shared" si="89"/>
        <v>3</v>
      </c>
      <c r="FM59" s="5" t="s">
        <v>247</v>
      </c>
      <c r="FN59" s="5">
        <f t="shared" si="90"/>
        <v>2</v>
      </c>
      <c r="FO59" s="5">
        <f t="shared" si="91"/>
        <v>7</v>
      </c>
      <c r="FP59" s="5" t="str">
        <f t="shared" si="92"/>
        <v>Nivel de riesgo alto</v>
      </c>
      <c r="FQ59" s="5" t="s">
        <v>325</v>
      </c>
      <c r="FR59" s="5">
        <f t="shared" si="93"/>
        <v>2</v>
      </c>
      <c r="FS59" s="5" t="s">
        <v>325</v>
      </c>
      <c r="FT59" s="5">
        <f t="shared" si="94"/>
        <v>2</v>
      </c>
      <c r="FU59" s="5" t="s">
        <v>265</v>
      </c>
      <c r="FV59" s="5">
        <f t="shared" si="95"/>
        <v>1</v>
      </c>
      <c r="FW59" s="5" t="s">
        <v>206</v>
      </c>
      <c r="FX59" s="5">
        <f t="shared" si="96"/>
        <v>0</v>
      </c>
      <c r="FY59" s="5" t="s">
        <v>206</v>
      </c>
      <c r="FZ59" s="5">
        <f t="shared" si="97"/>
        <v>0</v>
      </c>
      <c r="GA59" s="5" t="s">
        <v>325</v>
      </c>
      <c r="GB59" s="5">
        <f t="shared" si="98"/>
        <v>2</v>
      </c>
      <c r="GC59" s="5" t="s">
        <v>325</v>
      </c>
      <c r="GD59" s="5">
        <f t="shared" si="99"/>
        <v>2</v>
      </c>
      <c r="GE59" s="5">
        <f t="shared" si="100"/>
        <v>9</v>
      </c>
      <c r="GF59" s="5" t="str">
        <f t="shared" si="101"/>
        <v>Nivel de riesgo medio</v>
      </c>
      <c r="GG59" s="5" t="s">
        <v>273</v>
      </c>
      <c r="GH59" s="5" t="s">
        <v>273</v>
      </c>
      <c r="GI59" s="5" t="s">
        <v>273</v>
      </c>
      <c r="GJ59" s="5" t="s">
        <v>273</v>
      </c>
      <c r="GK59" s="5" t="s">
        <v>273</v>
      </c>
      <c r="GL59" s="5" t="s">
        <v>273</v>
      </c>
      <c r="GM59" s="5" t="s">
        <v>273</v>
      </c>
      <c r="GN59" s="5" t="s">
        <v>243</v>
      </c>
      <c r="GO59" s="5" t="s">
        <v>243</v>
      </c>
      <c r="GP59" s="5" t="s">
        <v>243</v>
      </c>
      <c r="GQ59" s="5" t="s">
        <v>243</v>
      </c>
      <c r="GR59" s="5" t="s">
        <v>243</v>
      </c>
      <c r="GS59" s="5" t="s">
        <v>243</v>
      </c>
      <c r="GT59" s="5" t="s">
        <v>243</v>
      </c>
      <c r="GU59" s="5" t="s">
        <v>308</v>
      </c>
      <c r="GV59" s="5" t="str">
        <f>TEXT("6278787637018658509","0")</f>
        <v>6278787637018650000</v>
      </c>
    </row>
    <row r="60" spans="1:204" ht="15.75" customHeight="1" x14ac:dyDescent="0.15">
      <c r="A60" s="1">
        <f t="shared" si="51"/>
        <v>60</v>
      </c>
      <c r="B60" s="4">
        <v>45847.416863425926</v>
      </c>
      <c r="C60" s="5" t="s">
        <v>204</v>
      </c>
      <c r="D60" s="5" t="s">
        <v>206</v>
      </c>
      <c r="F60" s="5" t="s">
        <v>206</v>
      </c>
      <c r="G60" s="5" t="s">
        <v>206</v>
      </c>
      <c r="H60" s="5" t="s">
        <v>206</v>
      </c>
      <c r="J60" s="5" t="s">
        <v>209</v>
      </c>
      <c r="O60" s="5" t="s">
        <v>209</v>
      </c>
      <c r="S60" s="5" t="s">
        <v>208</v>
      </c>
      <c r="X60" s="5" t="s">
        <v>208</v>
      </c>
      <c r="AC60" s="5" t="s">
        <v>208</v>
      </c>
      <c r="AH60" s="5" t="s">
        <v>210</v>
      </c>
      <c r="AI60" s="5">
        <v>2022</v>
      </c>
      <c r="AJ60" s="5" t="s">
        <v>238</v>
      </c>
      <c r="AK60" s="5" t="str">
        <f t="shared" si="52"/>
        <v>Trabajadora por cuenta propia</v>
      </c>
      <c r="AM60" s="5" t="s">
        <v>309</v>
      </c>
      <c r="AP60" s="5" t="s">
        <v>240</v>
      </c>
      <c r="AR60" s="5" t="s">
        <v>261</v>
      </c>
      <c r="AS60" s="5" t="s">
        <v>241</v>
      </c>
      <c r="AT60" s="5" t="s">
        <v>241</v>
      </c>
      <c r="AU60" s="5" t="s">
        <v>276</v>
      </c>
      <c r="AV60" s="5" t="s">
        <v>302</v>
      </c>
      <c r="AW60" s="5" t="s">
        <v>206</v>
      </c>
      <c r="BF60" s="5" t="s">
        <v>204</v>
      </c>
      <c r="BG60" s="5" t="s">
        <v>264</v>
      </c>
      <c r="BH60" s="5" t="s">
        <v>242</v>
      </c>
      <c r="BI60" s="5" t="s">
        <v>264</v>
      </c>
      <c r="BJ60" s="5" t="s">
        <v>242</v>
      </c>
      <c r="BK60" s="5" t="s">
        <v>246</v>
      </c>
      <c r="BL60" s="5" t="s">
        <v>244</v>
      </c>
      <c r="BM60" s="5" t="s">
        <v>243</v>
      </c>
      <c r="BN60" s="5" t="s">
        <v>246</v>
      </c>
      <c r="BO60" s="5" t="s">
        <v>246</v>
      </c>
      <c r="BP60" s="5" t="s">
        <v>216</v>
      </c>
      <c r="BQ60" s="5" t="s">
        <v>246</v>
      </c>
      <c r="BR60" s="5" t="s">
        <v>216</v>
      </c>
      <c r="BS60" s="5" t="s">
        <v>247</v>
      </c>
      <c r="BT60" s="5" t="s">
        <v>248</v>
      </c>
      <c r="BU60" s="5" t="s">
        <v>217</v>
      </c>
      <c r="BV60" s="5" t="s">
        <v>217</v>
      </c>
      <c r="BW60" s="5" t="s">
        <v>248</v>
      </c>
      <c r="BX60" s="5" t="s">
        <v>248</v>
      </c>
      <c r="BY60" s="5" t="s">
        <v>217</v>
      </c>
      <c r="CD60" s="5" t="s">
        <v>206</v>
      </c>
      <c r="CH60" s="5" t="s">
        <v>206</v>
      </c>
      <c r="CI60" s="5" t="s">
        <v>206</v>
      </c>
      <c r="CJ60" s="5">
        <v>0</v>
      </c>
      <c r="CK60" s="5" t="s">
        <v>223</v>
      </c>
      <c r="CU60" s="5" t="s">
        <v>206</v>
      </c>
      <c r="DA60" s="5" t="s">
        <v>231</v>
      </c>
      <c r="DB60" s="5">
        <f t="shared" si="53"/>
        <v>2</v>
      </c>
      <c r="DC60" s="5" t="s">
        <v>250</v>
      </c>
      <c r="DD60" s="5">
        <f t="shared" si="54"/>
        <v>3</v>
      </c>
      <c r="DE60" s="5" t="s">
        <v>250</v>
      </c>
      <c r="DF60" s="5">
        <f t="shared" si="55"/>
        <v>3</v>
      </c>
      <c r="DG60" s="5" t="s">
        <v>250</v>
      </c>
      <c r="DH60" s="5">
        <f t="shared" si="56"/>
        <v>3</v>
      </c>
      <c r="DI60" s="5" t="s">
        <v>250</v>
      </c>
      <c r="DJ60" s="5">
        <f t="shared" si="57"/>
        <v>3</v>
      </c>
      <c r="DK60" s="5" t="s">
        <v>250</v>
      </c>
      <c r="DL60" s="5">
        <f t="shared" si="58"/>
        <v>3</v>
      </c>
      <c r="DM60" s="5" t="s">
        <v>230</v>
      </c>
      <c r="DN60" s="5">
        <f t="shared" si="59"/>
        <v>2</v>
      </c>
      <c r="DO60" s="5" t="s">
        <v>231</v>
      </c>
      <c r="DP60" s="5">
        <f t="shared" si="60"/>
        <v>2</v>
      </c>
      <c r="DQ60" s="5" t="s">
        <v>231</v>
      </c>
      <c r="DR60" s="5">
        <f t="shared" si="61"/>
        <v>2</v>
      </c>
      <c r="DS60" s="5" t="s">
        <v>231</v>
      </c>
      <c r="DT60" s="5">
        <f t="shared" si="62"/>
        <v>2</v>
      </c>
      <c r="DU60" s="5" t="s">
        <v>231</v>
      </c>
      <c r="DV60" s="5">
        <f t="shared" si="63"/>
        <v>2</v>
      </c>
      <c r="DW60" s="5" t="s">
        <v>231</v>
      </c>
      <c r="DX60" s="5">
        <f t="shared" si="64"/>
        <v>2</v>
      </c>
      <c r="DY60" s="5">
        <f t="shared" si="65"/>
        <v>29</v>
      </c>
      <c r="DZ60" s="5" t="str">
        <f t="shared" si="66"/>
        <v>Nivel de riesgo alto</v>
      </c>
      <c r="EA60" s="5" t="s">
        <v>247</v>
      </c>
      <c r="EB60" s="5">
        <f t="shared" si="67"/>
        <v>2</v>
      </c>
      <c r="EC60" s="5" t="s">
        <v>248</v>
      </c>
      <c r="ED60" s="5">
        <f t="shared" si="68"/>
        <v>1</v>
      </c>
      <c r="EE60" s="5" t="s">
        <v>253</v>
      </c>
      <c r="EF60" s="5">
        <f t="shared" si="69"/>
        <v>0</v>
      </c>
      <c r="EG60" s="5">
        <f t="shared" si="70"/>
        <v>3</v>
      </c>
      <c r="EH60" s="5" t="str">
        <f t="shared" si="71"/>
        <v>Nivel de riesgo medio</v>
      </c>
      <c r="EI60" s="5" t="s">
        <v>253</v>
      </c>
      <c r="EJ60" s="5">
        <f t="shared" si="72"/>
        <v>0</v>
      </c>
      <c r="EK60" s="5" t="s">
        <v>253</v>
      </c>
      <c r="EL60" s="5">
        <f t="shared" si="73"/>
        <v>0</v>
      </c>
      <c r="EM60" s="5" t="s">
        <v>253</v>
      </c>
      <c r="EN60" s="5">
        <f t="shared" si="74"/>
        <v>0</v>
      </c>
      <c r="EO60" s="5">
        <f t="shared" si="75"/>
        <v>0</v>
      </c>
      <c r="EP60" s="5" t="str">
        <f t="shared" si="76"/>
        <v>Nivel de riesgo bajo</v>
      </c>
      <c r="EQ60" s="5" t="s">
        <v>253</v>
      </c>
      <c r="ER60" s="5">
        <f t="shared" si="77"/>
        <v>4</v>
      </c>
      <c r="ES60" s="5" t="s">
        <v>253</v>
      </c>
      <c r="ET60" s="5">
        <f t="shared" si="78"/>
        <v>4</v>
      </c>
      <c r="EU60" s="5" t="s">
        <v>253</v>
      </c>
      <c r="EV60" s="5">
        <f t="shared" si="79"/>
        <v>4</v>
      </c>
      <c r="EW60" s="5" t="s">
        <v>253</v>
      </c>
      <c r="EX60" s="5">
        <f t="shared" si="80"/>
        <v>4</v>
      </c>
      <c r="EY60" s="5">
        <f t="shared" si="81"/>
        <v>16</v>
      </c>
      <c r="EZ60" s="5" t="str">
        <f t="shared" si="82"/>
        <v>Nivel de riesgo alto</v>
      </c>
      <c r="FA60" s="5" t="s">
        <v>253</v>
      </c>
      <c r="FB60" s="5">
        <f t="shared" si="83"/>
        <v>0</v>
      </c>
      <c r="FC60" s="5" t="s">
        <v>253</v>
      </c>
      <c r="FD60" s="5">
        <f t="shared" si="84"/>
        <v>0</v>
      </c>
      <c r="FE60" s="5" t="s">
        <v>253</v>
      </c>
      <c r="FF60" s="5">
        <f t="shared" si="85"/>
        <v>0</v>
      </c>
      <c r="FG60" s="5">
        <f t="shared" si="86"/>
        <v>0</v>
      </c>
      <c r="FH60" s="5" t="str">
        <f t="shared" si="87"/>
        <v>Nivel de riesgo bajo</v>
      </c>
      <c r="FI60" s="5" t="s">
        <v>253</v>
      </c>
      <c r="FJ60" s="5">
        <f t="shared" si="88"/>
        <v>0</v>
      </c>
      <c r="FK60" s="5" t="s">
        <v>253</v>
      </c>
      <c r="FL60" s="5">
        <f t="shared" si="89"/>
        <v>0</v>
      </c>
      <c r="FM60" s="5" t="s">
        <v>253</v>
      </c>
      <c r="FN60" s="5">
        <f t="shared" si="90"/>
        <v>0</v>
      </c>
      <c r="FO60" s="5">
        <f t="shared" si="91"/>
        <v>0</v>
      </c>
      <c r="FP60" s="5" t="str">
        <f t="shared" si="92"/>
        <v>Nivel de riesgo bajo</v>
      </c>
      <c r="FQ60" s="5" t="s">
        <v>206</v>
      </c>
      <c r="FR60" s="5">
        <f t="shared" si="93"/>
        <v>0</v>
      </c>
      <c r="FS60" s="5" t="s">
        <v>206</v>
      </c>
      <c r="FT60" s="5">
        <f t="shared" si="94"/>
        <v>0</v>
      </c>
      <c r="FU60" s="5" t="s">
        <v>206</v>
      </c>
      <c r="FV60" s="5">
        <f t="shared" si="95"/>
        <v>0</v>
      </c>
      <c r="FW60" s="5" t="s">
        <v>206</v>
      </c>
      <c r="FX60" s="5">
        <f t="shared" si="96"/>
        <v>0</v>
      </c>
      <c r="FY60" s="5" t="s">
        <v>206</v>
      </c>
      <c r="FZ60" s="5">
        <f t="shared" si="97"/>
        <v>0</v>
      </c>
      <c r="GA60" s="5" t="s">
        <v>206</v>
      </c>
      <c r="GB60" s="5">
        <f t="shared" si="98"/>
        <v>0</v>
      </c>
      <c r="GC60" s="5" t="s">
        <v>206</v>
      </c>
      <c r="GD60" s="5">
        <f t="shared" si="99"/>
        <v>0</v>
      </c>
      <c r="GE60" s="5">
        <f t="shared" si="100"/>
        <v>0</v>
      </c>
      <c r="GF60" s="5" t="str">
        <f t="shared" si="101"/>
        <v>Nivel de riesgo bajo</v>
      </c>
      <c r="GG60" s="5" t="s">
        <v>255</v>
      </c>
      <c r="GH60" s="5" t="s">
        <v>255</v>
      </c>
      <c r="GI60" s="5" t="s">
        <v>255</v>
      </c>
      <c r="GJ60" s="5" t="s">
        <v>298</v>
      </c>
      <c r="GK60" s="5" t="s">
        <v>233</v>
      </c>
      <c r="GL60" s="5" t="s">
        <v>233</v>
      </c>
      <c r="GM60" s="5" t="s">
        <v>298</v>
      </c>
      <c r="GN60" s="5" t="s">
        <v>257</v>
      </c>
      <c r="GO60" s="5" t="s">
        <v>257</v>
      </c>
      <c r="GP60" s="5" t="s">
        <v>257</v>
      </c>
      <c r="GQ60" s="5" t="s">
        <v>257</v>
      </c>
      <c r="GR60" s="5" t="s">
        <v>257</v>
      </c>
      <c r="GS60" s="5" t="s">
        <v>257</v>
      </c>
      <c r="GT60" s="5" t="s">
        <v>257</v>
      </c>
      <c r="GU60" s="5" t="s">
        <v>389</v>
      </c>
      <c r="GV60" s="5" t="str">
        <f>TEXT("6278788170762329166","0")</f>
        <v>6278788170762320000</v>
      </c>
    </row>
    <row r="61" spans="1:204" ht="15.75" customHeight="1" x14ac:dyDescent="0.15">
      <c r="A61" s="1">
        <f t="shared" si="51"/>
        <v>61</v>
      </c>
      <c r="B61" s="4">
        <v>45847.418379629627</v>
      </c>
      <c r="C61" s="5" t="s">
        <v>204</v>
      </c>
      <c r="D61" s="5" t="s">
        <v>206</v>
      </c>
      <c r="F61" s="5" t="s">
        <v>206</v>
      </c>
      <c r="G61" s="5" t="s">
        <v>206</v>
      </c>
      <c r="H61" s="5" t="s">
        <v>206</v>
      </c>
      <c r="K61" s="5" t="s">
        <v>237</v>
      </c>
      <c r="O61" s="5" t="s">
        <v>209</v>
      </c>
      <c r="S61" s="5" t="s">
        <v>208</v>
      </c>
      <c r="X61" s="5" t="s">
        <v>208</v>
      </c>
      <c r="AD61" s="5" t="s">
        <v>209</v>
      </c>
      <c r="AH61" s="5" t="s">
        <v>275</v>
      </c>
      <c r="AI61" s="5">
        <v>2018</v>
      </c>
      <c r="AJ61" s="5" t="s">
        <v>238</v>
      </c>
      <c r="AK61" s="5" t="str">
        <f t="shared" si="52"/>
        <v>Trabajadora por cuenta propia</v>
      </c>
      <c r="AO61" s="5" t="s">
        <v>390</v>
      </c>
      <c r="AP61" s="5" t="s">
        <v>240</v>
      </c>
      <c r="AR61" s="5" t="s">
        <v>241</v>
      </c>
      <c r="AS61" s="5" t="s">
        <v>294</v>
      </c>
      <c r="AT61" s="5" t="s">
        <v>276</v>
      </c>
      <c r="AU61" s="5" t="s">
        <v>261</v>
      </c>
      <c r="AV61" s="5" t="s">
        <v>213</v>
      </c>
      <c r="AW61" s="5" t="s">
        <v>206</v>
      </c>
      <c r="BF61" s="5" t="s">
        <v>204</v>
      </c>
      <c r="BG61" s="5" t="s">
        <v>271</v>
      </c>
      <c r="BH61" s="5" t="s">
        <v>215</v>
      </c>
      <c r="BI61" s="5" t="s">
        <v>271</v>
      </c>
      <c r="BJ61" s="5" t="s">
        <v>242</v>
      </c>
      <c r="BK61" s="5" t="s">
        <v>243</v>
      </c>
      <c r="BL61" s="5" t="s">
        <v>245</v>
      </c>
      <c r="BM61" s="5" t="s">
        <v>245</v>
      </c>
      <c r="BN61" s="5" t="s">
        <v>243</v>
      </c>
      <c r="BO61" s="5" t="s">
        <v>243</v>
      </c>
      <c r="BP61" s="5" t="s">
        <v>243</v>
      </c>
      <c r="BQ61" s="5" t="s">
        <v>246</v>
      </c>
      <c r="BR61" s="5" t="s">
        <v>244</v>
      </c>
      <c r="BS61" s="5" t="s">
        <v>232</v>
      </c>
      <c r="BT61" s="5" t="s">
        <v>254</v>
      </c>
      <c r="BU61" s="5" t="s">
        <v>254</v>
      </c>
      <c r="BV61" s="5" t="s">
        <v>232</v>
      </c>
      <c r="BW61" s="5" t="s">
        <v>254</v>
      </c>
      <c r="BX61" s="5" t="s">
        <v>254</v>
      </c>
      <c r="BY61" s="5" t="s">
        <v>254</v>
      </c>
      <c r="CD61" s="5" t="s">
        <v>204</v>
      </c>
      <c r="CE61" s="5" t="s">
        <v>218</v>
      </c>
      <c r="CF61" s="5" t="s">
        <v>219</v>
      </c>
      <c r="CG61" s="5" t="s">
        <v>373</v>
      </c>
      <c r="CH61" s="5" t="s">
        <v>310</v>
      </c>
      <c r="CI61" s="5" t="s">
        <v>307</v>
      </c>
      <c r="CJ61" s="5">
        <v>4</v>
      </c>
      <c r="CK61" s="5" t="s">
        <v>223</v>
      </c>
      <c r="CU61" s="5" t="s">
        <v>206</v>
      </c>
      <c r="DA61" s="5" t="s">
        <v>252</v>
      </c>
      <c r="DB61" s="5">
        <f t="shared" si="53"/>
        <v>3</v>
      </c>
      <c r="DC61" s="5" t="s">
        <v>280</v>
      </c>
      <c r="DD61" s="5">
        <f t="shared" si="54"/>
        <v>4</v>
      </c>
      <c r="DE61" s="5" t="s">
        <v>280</v>
      </c>
      <c r="DF61" s="5">
        <f t="shared" si="55"/>
        <v>4</v>
      </c>
      <c r="DG61" s="5" t="s">
        <v>280</v>
      </c>
      <c r="DH61" s="5">
        <f t="shared" si="56"/>
        <v>4</v>
      </c>
      <c r="DI61" s="5" t="s">
        <v>250</v>
      </c>
      <c r="DJ61" s="5">
        <f t="shared" si="57"/>
        <v>3</v>
      </c>
      <c r="DK61" s="5" t="s">
        <v>250</v>
      </c>
      <c r="DL61" s="5">
        <f t="shared" si="58"/>
        <v>3</v>
      </c>
      <c r="DM61" s="5" t="s">
        <v>250</v>
      </c>
      <c r="DN61" s="5">
        <f t="shared" si="59"/>
        <v>3</v>
      </c>
      <c r="DO61" s="5" t="s">
        <v>281</v>
      </c>
      <c r="DP61" s="5">
        <f t="shared" si="60"/>
        <v>1</v>
      </c>
      <c r="DQ61" s="5" t="s">
        <v>231</v>
      </c>
      <c r="DR61" s="5">
        <f t="shared" si="61"/>
        <v>2</v>
      </c>
      <c r="DS61" s="5" t="s">
        <v>281</v>
      </c>
      <c r="DT61" s="5">
        <f t="shared" si="62"/>
        <v>1</v>
      </c>
      <c r="DU61" s="5" t="s">
        <v>252</v>
      </c>
      <c r="DV61" s="5">
        <f t="shared" si="63"/>
        <v>3</v>
      </c>
      <c r="DW61" s="5" t="s">
        <v>252</v>
      </c>
      <c r="DX61" s="5">
        <f t="shared" si="64"/>
        <v>3</v>
      </c>
      <c r="DY61" s="5">
        <f t="shared" si="65"/>
        <v>34</v>
      </c>
      <c r="DZ61" s="5" t="str">
        <f t="shared" si="66"/>
        <v>Nivel de riesgo alto</v>
      </c>
      <c r="EA61" s="5" t="s">
        <v>254</v>
      </c>
      <c r="EB61" s="5">
        <f t="shared" si="67"/>
        <v>4</v>
      </c>
      <c r="EC61" s="5" t="s">
        <v>232</v>
      </c>
      <c r="ED61" s="5">
        <f t="shared" si="68"/>
        <v>3</v>
      </c>
      <c r="EE61" s="5" t="s">
        <v>247</v>
      </c>
      <c r="EF61" s="5">
        <f t="shared" si="69"/>
        <v>2</v>
      </c>
      <c r="EG61" s="5">
        <f t="shared" si="70"/>
        <v>9</v>
      </c>
      <c r="EH61" s="5" t="str">
        <f t="shared" si="71"/>
        <v>Nivel de riesgo alto</v>
      </c>
      <c r="EI61" s="5" t="s">
        <v>254</v>
      </c>
      <c r="EJ61" s="5">
        <f t="shared" si="72"/>
        <v>4</v>
      </c>
      <c r="EK61" s="5" t="s">
        <v>254</v>
      </c>
      <c r="EL61" s="5">
        <f t="shared" si="73"/>
        <v>4</v>
      </c>
      <c r="EM61" s="5" t="s">
        <v>254</v>
      </c>
      <c r="EN61" s="5">
        <f t="shared" si="74"/>
        <v>4</v>
      </c>
      <c r="EO61" s="5">
        <f t="shared" si="75"/>
        <v>12</v>
      </c>
      <c r="EP61" s="5" t="str">
        <f t="shared" si="76"/>
        <v>Nivel de riesgo alto</v>
      </c>
      <c r="EQ61" s="5" t="s">
        <v>253</v>
      </c>
      <c r="ER61" s="5">
        <f t="shared" si="77"/>
        <v>4</v>
      </c>
      <c r="ES61" s="5" t="s">
        <v>253</v>
      </c>
      <c r="ET61" s="5">
        <f t="shared" si="78"/>
        <v>4</v>
      </c>
      <c r="EU61" s="5" t="s">
        <v>253</v>
      </c>
      <c r="EV61" s="5">
        <f t="shared" si="79"/>
        <v>4</v>
      </c>
      <c r="EW61" s="5" t="s">
        <v>253</v>
      </c>
      <c r="EX61" s="5">
        <f t="shared" si="80"/>
        <v>4</v>
      </c>
      <c r="EY61" s="5">
        <f t="shared" si="81"/>
        <v>16</v>
      </c>
      <c r="EZ61" s="5" t="str">
        <f t="shared" si="82"/>
        <v>Nivel de riesgo alto</v>
      </c>
      <c r="FA61" s="5" t="s">
        <v>247</v>
      </c>
      <c r="FB61" s="5">
        <f t="shared" si="83"/>
        <v>2</v>
      </c>
      <c r="FC61" s="5" t="s">
        <v>254</v>
      </c>
      <c r="FD61" s="5">
        <f t="shared" si="84"/>
        <v>4</v>
      </c>
      <c r="FE61" s="5" t="s">
        <v>254</v>
      </c>
      <c r="FF61" s="5">
        <f t="shared" si="85"/>
        <v>4</v>
      </c>
      <c r="FG61" s="5">
        <f t="shared" si="86"/>
        <v>10</v>
      </c>
      <c r="FH61" s="5" t="str">
        <f t="shared" si="87"/>
        <v>Nivel de riesgo alto</v>
      </c>
      <c r="FI61" s="5" t="s">
        <v>254</v>
      </c>
      <c r="FJ61" s="5">
        <f t="shared" si="88"/>
        <v>4</v>
      </c>
      <c r="FK61" s="5" t="s">
        <v>254</v>
      </c>
      <c r="FL61" s="5">
        <f t="shared" si="89"/>
        <v>4</v>
      </c>
      <c r="FM61" s="5" t="s">
        <v>254</v>
      </c>
      <c r="FN61" s="5">
        <f t="shared" si="90"/>
        <v>4</v>
      </c>
      <c r="FO61" s="5">
        <f t="shared" si="91"/>
        <v>12</v>
      </c>
      <c r="FP61" s="5" t="str">
        <f t="shared" si="92"/>
        <v>Nivel de riesgo alto</v>
      </c>
      <c r="FQ61" s="5" t="s">
        <v>265</v>
      </c>
      <c r="FR61" s="5">
        <f t="shared" si="93"/>
        <v>1</v>
      </c>
      <c r="FS61" s="5" t="s">
        <v>391</v>
      </c>
      <c r="FT61" s="5">
        <f t="shared" si="94"/>
        <v>4</v>
      </c>
      <c r="FU61" s="5" t="s">
        <v>361</v>
      </c>
      <c r="FV61" s="5">
        <f t="shared" si="95"/>
        <v>3</v>
      </c>
      <c r="FW61" s="5" t="s">
        <v>325</v>
      </c>
      <c r="FX61" s="5">
        <f t="shared" si="96"/>
        <v>2</v>
      </c>
      <c r="FY61" s="5" t="s">
        <v>206</v>
      </c>
      <c r="FZ61" s="5">
        <f t="shared" si="97"/>
        <v>0</v>
      </c>
      <c r="GA61" s="5" t="s">
        <v>206</v>
      </c>
      <c r="GB61" s="5">
        <f t="shared" si="98"/>
        <v>0</v>
      </c>
      <c r="GC61" s="5" t="s">
        <v>206</v>
      </c>
      <c r="GD61" s="5">
        <f t="shared" si="99"/>
        <v>0</v>
      </c>
      <c r="GE61" s="5">
        <f t="shared" si="100"/>
        <v>10</v>
      </c>
      <c r="GF61" s="5" t="str">
        <f t="shared" si="101"/>
        <v>Nivel de riesgo medio</v>
      </c>
      <c r="GG61" s="5" t="s">
        <v>255</v>
      </c>
      <c r="GH61" s="5" t="s">
        <v>255</v>
      </c>
      <c r="GI61" s="5" t="s">
        <v>255</v>
      </c>
      <c r="GJ61" s="5" t="s">
        <v>266</v>
      </c>
      <c r="GK61" s="5" t="s">
        <v>233</v>
      </c>
      <c r="GL61" s="5" t="s">
        <v>233</v>
      </c>
      <c r="GM61" s="5" t="s">
        <v>255</v>
      </c>
      <c r="GN61" s="5" t="s">
        <v>256</v>
      </c>
      <c r="GO61" s="5" t="s">
        <v>256</v>
      </c>
      <c r="GP61" s="5" t="s">
        <v>256</v>
      </c>
      <c r="GQ61" s="5" t="s">
        <v>256</v>
      </c>
      <c r="GR61" s="5" t="s">
        <v>256</v>
      </c>
      <c r="GS61" s="5" t="s">
        <v>256</v>
      </c>
      <c r="GT61" s="5" t="s">
        <v>256</v>
      </c>
      <c r="GU61" s="5" t="s">
        <v>392</v>
      </c>
      <c r="GV61" s="5" t="str">
        <f>TEXT("6278789483882740790","0")</f>
        <v>6278789483882740000</v>
      </c>
    </row>
    <row r="62" spans="1:204" ht="15.75" customHeight="1" x14ac:dyDescent="0.15">
      <c r="A62" s="1">
        <f t="shared" si="51"/>
        <v>62</v>
      </c>
      <c r="B62" s="4">
        <v>45847.419722222221</v>
      </c>
      <c r="C62" s="5" t="s">
        <v>204</v>
      </c>
      <c r="D62" s="5" t="s">
        <v>206</v>
      </c>
      <c r="F62" s="5" t="s">
        <v>206</v>
      </c>
      <c r="G62" s="5" t="s">
        <v>204</v>
      </c>
      <c r="H62" s="5" t="s">
        <v>206</v>
      </c>
      <c r="K62" s="5" t="s">
        <v>237</v>
      </c>
      <c r="O62" s="5" t="s">
        <v>209</v>
      </c>
      <c r="S62" s="5" t="s">
        <v>208</v>
      </c>
      <c r="X62" s="5" t="s">
        <v>208</v>
      </c>
      <c r="AD62" s="5" t="s">
        <v>209</v>
      </c>
      <c r="AH62" s="5" t="s">
        <v>259</v>
      </c>
      <c r="AI62" s="5">
        <v>2025</v>
      </c>
      <c r="AJ62" s="5" t="s">
        <v>238</v>
      </c>
      <c r="AK62" s="5" t="str">
        <f t="shared" si="52"/>
        <v>Trabajadora por cuenta propia</v>
      </c>
      <c r="AO62" s="5" t="s">
        <v>323</v>
      </c>
      <c r="AP62" s="5" t="s">
        <v>240</v>
      </c>
      <c r="AR62" s="5" t="s">
        <v>276</v>
      </c>
      <c r="AS62" s="5" t="s">
        <v>276</v>
      </c>
      <c r="AT62" s="5" t="s">
        <v>276</v>
      </c>
      <c r="AU62" s="5" t="s">
        <v>276</v>
      </c>
      <c r="AV62" s="5" t="s">
        <v>269</v>
      </c>
      <c r="AW62" s="5" t="s">
        <v>204</v>
      </c>
      <c r="AX62" s="5" t="s">
        <v>204</v>
      </c>
      <c r="AY62" s="5" t="s">
        <v>214</v>
      </c>
      <c r="AZ62" s="5" t="s">
        <v>204</v>
      </c>
      <c r="BA62" s="5" t="s">
        <v>263</v>
      </c>
      <c r="BF62" s="5" t="s">
        <v>204</v>
      </c>
      <c r="BG62" s="5" t="s">
        <v>278</v>
      </c>
      <c r="BH62" s="5" t="s">
        <v>278</v>
      </c>
      <c r="BI62" s="5" t="s">
        <v>278</v>
      </c>
      <c r="BJ62" s="5" t="s">
        <v>278</v>
      </c>
      <c r="BK62" s="5" t="s">
        <v>246</v>
      </c>
      <c r="BL62" s="5" t="s">
        <v>244</v>
      </c>
      <c r="BM62" s="5" t="s">
        <v>245</v>
      </c>
      <c r="BN62" s="5" t="s">
        <v>246</v>
      </c>
      <c r="BO62" s="5" t="s">
        <v>246</v>
      </c>
      <c r="BP62" s="5" t="s">
        <v>245</v>
      </c>
      <c r="BQ62" s="5" t="s">
        <v>245</v>
      </c>
      <c r="BR62" s="5" t="s">
        <v>245</v>
      </c>
      <c r="BS62" s="5" t="s">
        <v>232</v>
      </c>
      <c r="BT62" s="5" t="s">
        <v>232</v>
      </c>
      <c r="BU62" s="5" t="s">
        <v>217</v>
      </c>
      <c r="BV62" s="5" t="s">
        <v>217</v>
      </c>
      <c r="BW62" s="5" t="s">
        <v>217</v>
      </c>
      <c r="BX62" s="5" t="s">
        <v>217</v>
      </c>
      <c r="BY62" s="5" t="s">
        <v>217</v>
      </c>
      <c r="BZ62" s="5" t="s">
        <v>246</v>
      </c>
      <c r="CA62" s="5" t="s">
        <v>243</v>
      </c>
      <c r="CB62" s="5" t="s">
        <v>245</v>
      </c>
      <c r="CC62" s="5" t="s">
        <v>245</v>
      </c>
      <c r="CD62" s="5" t="s">
        <v>206</v>
      </c>
      <c r="CH62" s="5" t="s">
        <v>206</v>
      </c>
      <c r="CI62" s="5" t="s">
        <v>206</v>
      </c>
      <c r="CJ62" s="5">
        <v>0</v>
      </c>
      <c r="CK62" s="5" t="s">
        <v>223</v>
      </c>
      <c r="CU62" s="5" t="s">
        <v>206</v>
      </c>
      <c r="DA62" s="5" t="s">
        <v>231</v>
      </c>
      <c r="DB62" s="5">
        <f t="shared" si="53"/>
        <v>2</v>
      </c>
      <c r="DC62" s="5" t="s">
        <v>280</v>
      </c>
      <c r="DD62" s="5">
        <f t="shared" si="54"/>
        <v>4</v>
      </c>
      <c r="DE62" s="5" t="s">
        <v>280</v>
      </c>
      <c r="DF62" s="5">
        <f t="shared" si="55"/>
        <v>4</v>
      </c>
      <c r="DG62" s="5" t="s">
        <v>230</v>
      </c>
      <c r="DH62" s="5">
        <f t="shared" si="56"/>
        <v>2</v>
      </c>
      <c r="DI62" s="5" t="s">
        <v>250</v>
      </c>
      <c r="DJ62" s="5">
        <f t="shared" si="57"/>
        <v>3</v>
      </c>
      <c r="DK62" s="5" t="s">
        <v>230</v>
      </c>
      <c r="DL62" s="5">
        <f t="shared" si="58"/>
        <v>2</v>
      </c>
      <c r="DM62" s="5" t="s">
        <v>230</v>
      </c>
      <c r="DN62" s="5">
        <f t="shared" si="59"/>
        <v>2</v>
      </c>
      <c r="DO62" s="5" t="s">
        <v>231</v>
      </c>
      <c r="DP62" s="5">
        <f t="shared" si="60"/>
        <v>2</v>
      </c>
      <c r="DQ62" s="5" t="s">
        <v>281</v>
      </c>
      <c r="DR62" s="5">
        <f t="shared" si="61"/>
        <v>1</v>
      </c>
      <c r="DS62" s="5" t="s">
        <v>231</v>
      </c>
      <c r="DT62" s="5">
        <f t="shared" si="62"/>
        <v>2</v>
      </c>
      <c r="DU62" s="5" t="s">
        <v>231</v>
      </c>
      <c r="DV62" s="5">
        <f t="shared" si="63"/>
        <v>2</v>
      </c>
      <c r="DW62" s="5" t="s">
        <v>231</v>
      </c>
      <c r="DX62" s="5">
        <f t="shared" si="64"/>
        <v>2</v>
      </c>
      <c r="DY62" s="5">
        <f t="shared" si="65"/>
        <v>28</v>
      </c>
      <c r="DZ62" s="5" t="str">
        <f t="shared" si="66"/>
        <v>Nivel de riesgo alto</v>
      </c>
      <c r="EA62" s="5" t="s">
        <v>232</v>
      </c>
      <c r="EB62" s="5">
        <f t="shared" si="67"/>
        <v>3</v>
      </c>
      <c r="EC62" s="5" t="s">
        <v>253</v>
      </c>
      <c r="ED62" s="5">
        <f t="shared" si="68"/>
        <v>0</v>
      </c>
      <c r="EE62" s="5" t="s">
        <v>253</v>
      </c>
      <c r="EF62" s="5">
        <f t="shared" si="69"/>
        <v>0</v>
      </c>
      <c r="EG62" s="5">
        <f t="shared" si="70"/>
        <v>3</v>
      </c>
      <c r="EH62" s="5" t="str">
        <f t="shared" si="71"/>
        <v>Nivel de riesgo medio</v>
      </c>
      <c r="EI62" s="5" t="s">
        <v>253</v>
      </c>
      <c r="EJ62" s="5">
        <f t="shared" si="72"/>
        <v>0</v>
      </c>
      <c r="EK62" s="5" t="s">
        <v>253</v>
      </c>
      <c r="EL62" s="5">
        <f t="shared" si="73"/>
        <v>0</v>
      </c>
      <c r="EM62" s="5" t="s">
        <v>254</v>
      </c>
      <c r="EN62" s="5">
        <f t="shared" si="74"/>
        <v>4</v>
      </c>
      <c r="EO62" s="5">
        <f t="shared" si="75"/>
        <v>4</v>
      </c>
      <c r="EP62" s="5" t="str">
        <f t="shared" si="76"/>
        <v>Nivel de riesgo medio</v>
      </c>
      <c r="EQ62" s="5" t="s">
        <v>253</v>
      </c>
      <c r="ER62" s="5">
        <f t="shared" si="77"/>
        <v>4</v>
      </c>
      <c r="ES62" s="5" t="s">
        <v>253</v>
      </c>
      <c r="ET62" s="5">
        <f t="shared" si="78"/>
        <v>4</v>
      </c>
      <c r="EU62" s="5" t="s">
        <v>253</v>
      </c>
      <c r="EV62" s="5">
        <f t="shared" si="79"/>
        <v>4</v>
      </c>
      <c r="EW62" s="5" t="s">
        <v>253</v>
      </c>
      <c r="EX62" s="5">
        <f t="shared" si="80"/>
        <v>4</v>
      </c>
      <c r="EY62" s="5">
        <f t="shared" si="81"/>
        <v>16</v>
      </c>
      <c r="EZ62" s="5" t="str">
        <f t="shared" si="82"/>
        <v>Nivel de riesgo alto</v>
      </c>
      <c r="FA62" s="5" t="s">
        <v>247</v>
      </c>
      <c r="FB62" s="5">
        <f t="shared" si="83"/>
        <v>2</v>
      </c>
      <c r="FC62" s="5" t="s">
        <v>247</v>
      </c>
      <c r="FD62" s="5">
        <f t="shared" si="84"/>
        <v>2</v>
      </c>
      <c r="FE62" s="5" t="s">
        <v>253</v>
      </c>
      <c r="FF62" s="5">
        <f t="shared" si="85"/>
        <v>0</v>
      </c>
      <c r="FG62" s="5">
        <f t="shared" si="86"/>
        <v>4</v>
      </c>
      <c r="FH62" s="5" t="str">
        <f t="shared" si="87"/>
        <v>Nivel de riesgo medio</v>
      </c>
      <c r="FI62" s="5" t="s">
        <v>253</v>
      </c>
      <c r="FJ62" s="5">
        <f t="shared" si="88"/>
        <v>0</v>
      </c>
      <c r="FK62" s="5" t="s">
        <v>248</v>
      </c>
      <c r="FL62" s="5">
        <f t="shared" si="89"/>
        <v>1</v>
      </c>
      <c r="FM62" s="5" t="s">
        <v>253</v>
      </c>
      <c r="FN62" s="5">
        <f t="shared" si="90"/>
        <v>0</v>
      </c>
      <c r="FO62" s="5">
        <f t="shared" si="91"/>
        <v>1</v>
      </c>
      <c r="FP62" s="5" t="str">
        <f t="shared" si="92"/>
        <v>Nivel de riesgo bajo</v>
      </c>
      <c r="FQ62" s="5" t="s">
        <v>206</v>
      </c>
      <c r="FR62" s="5">
        <f t="shared" si="93"/>
        <v>0</v>
      </c>
      <c r="FS62" s="5" t="s">
        <v>206</v>
      </c>
      <c r="FT62" s="5">
        <f t="shared" si="94"/>
        <v>0</v>
      </c>
      <c r="FU62" s="5" t="s">
        <v>206</v>
      </c>
      <c r="FV62" s="5">
        <f t="shared" si="95"/>
        <v>0</v>
      </c>
      <c r="FW62" s="5" t="s">
        <v>206</v>
      </c>
      <c r="FX62" s="5">
        <f t="shared" si="96"/>
        <v>0</v>
      </c>
      <c r="FY62" s="5" t="s">
        <v>206</v>
      </c>
      <c r="FZ62" s="5">
        <f t="shared" si="97"/>
        <v>0</v>
      </c>
      <c r="GA62" s="5" t="s">
        <v>206</v>
      </c>
      <c r="GB62" s="5">
        <f t="shared" si="98"/>
        <v>0</v>
      </c>
      <c r="GC62" s="5" t="s">
        <v>206</v>
      </c>
      <c r="GD62" s="5">
        <f t="shared" si="99"/>
        <v>0</v>
      </c>
      <c r="GE62" s="5">
        <f t="shared" si="100"/>
        <v>0</v>
      </c>
      <c r="GF62" s="5" t="str">
        <f t="shared" si="101"/>
        <v>Nivel de riesgo bajo</v>
      </c>
      <c r="GG62" s="5" t="s">
        <v>273</v>
      </c>
      <c r="GH62" s="5" t="s">
        <v>266</v>
      </c>
      <c r="GI62" s="5" t="s">
        <v>273</v>
      </c>
      <c r="GJ62" s="5" t="s">
        <v>266</v>
      </c>
      <c r="GK62" s="5" t="s">
        <v>233</v>
      </c>
      <c r="GL62" s="5" t="s">
        <v>233</v>
      </c>
      <c r="GM62" s="5" t="s">
        <v>233</v>
      </c>
      <c r="GN62" s="5" t="s">
        <v>257</v>
      </c>
      <c r="GO62" s="5" t="s">
        <v>257</v>
      </c>
      <c r="GP62" s="5" t="s">
        <v>257</v>
      </c>
      <c r="GQ62" s="5" t="s">
        <v>257</v>
      </c>
      <c r="GR62" s="5" t="s">
        <v>257</v>
      </c>
      <c r="GS62" s="5" t="s">
        <v>257</v>
      </c>
      <c r="GT62" s="5" t="s">
        <v>257</v>
      </c>
      <c r="GU62" s="5" t="s">
        <v>393</v>
      </c>
      <c r="GV62" s="5" t="str">
        <f>TEXT("6278790648218794751","0")</f>
        <v>6278790648218790000</v>
      </c>
    </row>
    <row r="63" spans="1:204" ht="15.75" customHeight="1" x14ac:dyDescent="0.15">
      <c r="A63" s="1">
        <f t="shared" si="51"/>
        <v>63</v>
      </c>
      <c r="B63" s="4">
        <v>45847.41983796296</v>
      </c>
      <c r="C63" s="5" t="s">
        <v>204</v>
      </c>
      <c r="D63" s="5" t="s">
        <v>204</v>
      </c>
      <c r="E63" s="5" t="s">
        <v>335</v>
      </c>
      <c r="F63" s="5" t="s">
        <v>204</v>
      </c>
      <c r="G63" s="5" t="s">
        <v>206</v>
      </c>
      <c r="H63" s="5" t="s">
        <v>204</v>
      </c>
      <c r="J63" s="5" t="s">
        <v>209</v>
      </c>
      <c r="N63" s="5" t="s">
        <v>208</v>
      </c>
      <c r="T63" s="5" t="s">
        <v>209</v>
      </c>
      <c r="X63" s="5" t="s">
        <v>208</v>
      </c>
      <c r="AC63" s="5" t="s">
        <v>208</v>
      </c>
      <c r="AH63" s="5" t="s">
        <v>210</v>
      </c>
      <c r="AI63" s="5">
        <v>2023</v>
      </c>
      <c r="AJ63" s="5" t="s">
        <v>238</v>
      </c>
      <c r="AK63" s="5" t="str">
        <f t="shared" si="52"/>
        <v>Trabajadora por cuenta propia</v>
      </c>
      <c r="AO63" s="5" t="s">
        <v>323</v>
      </c>
      <c r="AP63" s="5" t="s">
        <v>297</v>
      </c>
      <c r="AR63" s="5" t="s">
        <v>276</v>
      </c>
      <c r="AS63" s="5" t="s">
        <v>294</v>
      </c>
      <c r="AT63" s="5" t="s">
        <v>301</v>
      </c>
      <c r="AU63" s="5" t="s">
        <v>241</v>
      </c>
      <c r="AV63" s="5" t="s">
        <v>213</v>
      </c>
      <c r="AW63" s="5" t="s">
        <v>206</v>
      </c>
      <c r="BF63" s="5" t="s">
        <v>204</v>
      </c>
      <c r="BG63" s="5" t="s">
        <v>207</v>
      </c>
      <c r="BH63" s="5" t="s">
        <v>215</v>
      </c>
      <c r="BI63" s="5" t="s">
        <v>207</v>
      </c>
      <c r="BJ63" s="5" t="s">
        <v>215</v>
      </c>
      <c r="BK63" s="5" t="s">
        <v>246</v>
      </c>
      <c r="BL63" s="5" t="s">
        <v>244</v>
      </c>
      <c r="BM63" s="5" t="s">
        <v>246</v>
      </c>
      <c r="BN63" s="5" t="s">
        <v>243</v>
      </c>
      <c r="BO63" s="5" t="s">
        <v>246</v>
      </c>
      <c r="BP63" s="5" t="s">
        <v>246</v>
      </c>
      <c r="BQ63" s="5" t="s">
        <v>246</v>
      </c>
      <c r="BR63" s="5" t="s">
        <v>246</v>
      </c>
      <c r="BS63" s="5" t="s">
        <v>232</v>
      </c>
      <c r="BT63" s="5" t="s">
        <v>232</v>
      </c>
      <c r="BU63" s="5" t="s">
        <v>232</v>
      </c>
      <c r="BV63" s="5" t="s">
        <v>232</v>
      </c>
      <c r="BW63" s="5" t="s">
        <v>232</v>
      </c>
      <c r="BX63" s="5" t="s">
        <v>232</v>
      </c>
      <c r="BY63" s="5" t="s">
        <v>232</v>
      </c>
      <c r="CD63" s="5" t="s">
        <v>206</v>
      </c>
      <c r="CH63" s="5" t="s">
        <v>206</v>
      </c>
      <c r="CI63" s="5" t="s">
        <v>318</v>
      </c>
      <c r="CJ63" s="5">
        <v>2</v>
      </c>
      <c r="CK63" s="5" t="s">
        <v>223</v>
      </c>
      <c r="CU63" s="5" t="s">
        <v>206</v>
      </c>
      <c r="DA63" s="5" t="s">
        <v>252</v>
      </c>
      <c r="DB63" s="5">
        <f t="shared" si="53"/>
        <v>3</v>
      </c>
      <c r="DC63" s="5" t="s">
        <v>230</v>
      </c>
      <c r="DD63" s="5">
        <f t="shared" si="54"/>
        <v>2</v>
      </c>
      <c r="DE63" s="5" t="s">
        <v>230</v>
      </c>
      <c r="DF63" s="5">
        <f t="shared" si="55"/>
        <v>2</v>
      </c>
      <c r="DG63" s="5" t="s">
        <v>250</v>
      </c>
      <c r="DH63" s="5">
        <f t="shared" si="56"/>
        <v>3</v>
      </c>
      <c r="DI63" s="5" t="s">
        <v>250</v>
      </c>
      <c r="DJ63" s="5">
        <f t="shared" si="57"/>
        <v>3</v>
      </c>
      <c r="DK63" s="5" t="s">
        <v>250</v>
      </c>
      <c r="DL63" s="5">
        <f t="shared" si="58"/>
        <v>3</v>
      </c>
      <c r="DM63" s="5" t="s">
        <v>230</v>
      </c>
      <c r="DN63" s="5">
        <f t="shared" si="59"/>
        <v>2</v>
      </c>
      <c r="DO63" s="5" t="s">
        <v>252</v>
      </c>
      <c r="DP63" s="5">
        <f t="shared" si="60"/>
        <v>3</v>
      </c>
      <c r="DQ63" s="5" t="s">
        <v>231</v>
      </c>
      <c r="DR63" s="5">
        <f t="shared" si="61"/>
        <v>2</v>
      </c>
      <c r="DS63" s="5" t="s">
        <v>231</v>
      </c>
      <c r="DT63" s="5">
        <f t="shared" si="62"/>
        <v>2</v>
      </c>
      <c r="DU63" s="5" t="s">
        <v>231</v>
      </c>
      <c r="DV63" s="5">
        <f t="shared" si="63"/>
        <v>2</v>
      </c>
      <c r="DW63" s="5" t="s">
        <v>231</v>
      </c>
      <c r="DX63" s="5">
        <f t="shared" si="64"/>
        <v>2</v>
      </c>
      <c r="DY63" s="5">
        <f t="shared" si="65"/>
        <v>29</v>
      </c>
      <c r="DZ63" s="5" t="str">
        <f t="shared" si="66"/>
        <v>Nivel de riesgo alto</v>
      </c>
      <c r="EA63" s="5" t="s">
        <v>247</v>
      </c>
      <c r="EB63" s="5">
        <f t="shared" si="67"/>
        <v>2</v>
      </c>
      <c r="EC63" s="5" t="s">
        <v>247</v>
      </c>
      <c r="ED63" s="5">
        <f t="shared" si="68"/>
        <v>2</v>
      </c>
      <c r="EE63" s="5" t="s">
        <v>247</v>
      </c>
      <c r="EF63" s="5">
        <f t="shared" si="69"/>
        <v>2</v>
      </c>
      <c r="EG63" s="5">
        <f t="shared" si="70"/>
        <v>6</v>
      </c>
      <c r="EH63" s="5" t="str">
        <f t="shared" si="71"/>
        <v>Nivel de riesgo alto</v>
      </c>
      <c r="EI63" s="5" t="s">
        <v>247</v>
      </c>
      <c r="EJ63" s="5">
        <f t="shared" si="72"/>
        <v>2</v>
      </c>
      <c r="EK63" s="5" t="s">
        <v>247</v>
      </c>
      <c r="EL63" s="5">
        <f t="shared" si="73"/>
        <v>2</v>
      </c>
      <c r="EM63" s="5" t="s">
        <v>254</v>
      </c>
      <c r="EN63" s="5">
        <f t="shared" si="74"/>
        <v>4</v>
      </c>
      <c r="EO63" s="5">
        <f t="shared" si="75"/>
        <v>8</v>
      </c>
      <c r="EP63" s="5" t="str">
        <f t="shared" si="76"/>
        <v>Nivel de riesgo alto</v>
      </c>
      <c r="EQ63" s="5" t="s">
        <v>247</v>
      </c>
      <c r="ER63" s="5">
        <f t="shared" si="77"/>
        <v>2</v>
      </c>
      <c r="ES63" s="5" t="s">
        <v>247</v>
      </c>
      <c r="ET63" s="5">
        <f t="shared" si="78"/>
        <v>2</v>
      </c>
      <c r="EU63" s="5" t="s">
        <v>247</v>
      </c>
      <c r="EV63" s="5">
        <f t="shared" si="79"/>
        <v>2</v>
      </c>
      <c r="EW63" s="5" t="s">
        <v>247</v>
      </c>
      <c r="EX63" s="5">
        <f t="shared" si="80"/>
        <v>2</v>
      </c>
      <c r="EY63" s="5">
        <f t="shared" si="81"/>
        <v>8</v>
      </c>
      <c r="EZ63" s="5" t="str">
        <f t="shared" si="82"/>
        <v>Nivel de riesgo alto</v>
      </c>
      <c r="FA63" s="5" t="s">
        <v>247</v>
      </c>
      <c r="FB63" s="5">
        <f t="shared" si="83"/>
        <v>2</v>
      </c>
      <c r="FC63" s="5" t="s">
        <v>247</v>
      </c>
      <c r="FD63" s="5">
        <f t="shared" si="84"/>
        <v>2</v>
      </c>
      <c r="FE63" s="5" t="s">
        <v>247</v>
      </c>
      <c r="FF63" s="5">
        <f t="shared" si="85"/>
        <v>2</v>
      </c>
      <c r="FG63" s="5">
        <f t="shared" si="86"/>
        <v>6</v>
      </c>
      <c r="FH63" s="5" t="str">
        <f t="shared" si="87"/>
        <v>Nivel de riesgo alto</v>
      </c>
      <c r="FI63" s="5" t="s">
        <v>247</v>
      </c>
      <c r="FJ63" s="5">
        <f t="shared" si="88"/>
        <v>2</v>
      </c>
      <c r="FK63" s="5" t="s">
        <v>247</v>
      </c>
      <c r="FL63" s="5">
        <f t="shared" si="89"/>
        <v>2</v>
      </c>
      <c r="FM63" s="5" t="s">
        <v>247</v>
      </c>
      <c r="FN63" s="5">
        <f t="shared" si="90"/>
        <v>2</v>
      </c>
      <c r="FO63" s="5">
        <f t="shared" si="91"/>
        <v>6</v>
      </c>
      <c r="FP63" s="5" t="str">
        <f t="shared" si="92"/>
        <v>Nivel de riesgo alto</v>
      </c>
      <c r="FQ63" s="5" t="s">
        <v>265</v>
      </c>
      <c r="FR63" s="5">
        <f t="shared" si="93"/>
        <v>1</v>
      </c>
      <c r="FS63" s="5" t="s">
        <v>265</v>
      </c>
      <c r="FT63" s="5">
        <f t="shared" si="94"/>
        <v>1</v>
      </c>
      <c r="FU63" s="5" t="s">
        <v>206</v>
      </c>
      <c r="FV63" s="5">
        <f t="shared" si="95"/>
        <v>0</v>
      </c>
      <c r="FW63" s="5" t="s">
        <v>206</v>
      </c>
      <c r="FX63" s="5">
        <f t="shared" si="96"/>
        <v>0</v>
      </c>
      <c r="FY63" s="5" t="s">
        <v>206</v>
      </c>
      <c r="FZ63" s="5">
        <f t="shared" si="97"/>
        <v>0</v>
      </c>
      <c r="GA63" s="5" t="s">
        <v>206</v>
      </c>
      <c r="GB63" s="5">
        <f t="shared" si="98"/>
        <v>0</v>
      </c>
      <c r="GC63" s="5" t="s">
        <v>206</v>
      </c>
      <c r="GD63" s="5">
        <f t="shared" si="99"/>
        <v>0</v>
      </c>
      <c r="GE63" s="5">
        <f t="shared" si="100"/>
        <v>2</v>
      </c>
      <c r="GF63" s="5" t="str">
        <f t="shared" si="101"/>
        <v>Nivel de riesgo medio</v>
      </c>
      <c r="GG63" s="5" t="s">
        <v>273</v>
      </c>
      <c r="GH63" s="5" t="s">
        <v>255</v>
      </c>
      <c r="GI63" s="5" t="s">
        <v>273</v>
      </c>
      <c r="GJ63" s="5" t="s">
        <v>266</v>
      </c>
      <c r="GK63" s="5" t="s">
        <v>233</v>
      </c>
      <c r="GL63" s="5" t="s">
        <v>266</v>
      </c>
      <c r="GM63" s="5" t="s">
        <v>255</v>
      </c>
      <c r="GN63" s="5" t="s">
        <v>256</v>
      </c>
      <c r="GO63" s="5" t="s">
        <v>257</v>
      </c>
      <c r="GP63" s="5" t="s">
        <v>244</v>
      </c>
      <c r="GQ63" s="5" t="s">
        <v>256</v>
      </c>
      <c r="GR63" s="5" t="s">
        <v>256</v>
      </c>
      <c r="GS63" s="5" t="s">
        <v>256</v>
      </c>
      <c r="GT63" s="5" t="s">
        <v>256</v>
      </c>
      <c r="GU63" s="5" t="s">
        <v>394</v>
      </c>
      <c r="GV63" s="5" t="str">
        <f>TEXT("6278790740058917896","0")</f>
        <v>6278790740058910000</v>
      </c>
    </row>
    <row r="64" spans="1:204" ht="15.75" customHeight="1" x14ac:dyDescent="0.15">
      <c r="A64" s="1">
        <f t="shared" si="51"/>
        <v>64</v>
      </c>
      <c r="B64" s="4">
        <v>45847.420740740738</v>
      </c>
      <c r="C64" s="5" t="s">
        <v>204</v>
      </c>
      <c r="D64" s="5" t="s">
        <v>206</v>
      </c>
      <c r="F64" s="5" t="s">
        <v>206</v>
      </c>
      <c r="G64" s="5" t="s">
        <v>204</v>
      </c>
      <c r="H64" s="5" t="s">
        <v>204</v>
      </c>
      <c r="K64" s="5" t="s">
        <v>237</v>
      </c>
      <c r="O64" s="5" t="s">
        <v>209</v>
      </c>
      <c r="T64" s="5" t="s">
        <v>209</v>
      </c>
      <c r="Z64" s="5" t="s">
        <v>237</v>
      </c>
      <c r="AE64" s="5" t="s">
        <v>237</v>
      </c>
      <c r="AH64" s="5" t="s">
        <v>210</v>
      </c>
      <c r="AI64" s="5">
        <v>2020</v>
      </c>
      <c r="AJ64" s="5" t="s">
        <v>238</v>
      </c>
      <c r="AK64" s="5" t="str">
        <f t="shared" si="52"/>
        <v>Trabajadora por cuenta propia</v>
      </c>
      <c r="AN64" s="5" t="s">
        <v>288</v>
      </c>
      <c r="AP64" s="5" t="s">
        <v>297</v>
      </c>
      <c r="AR64" s="5" t="s">
        <v>241</v>
      </c>
      <c r="AS64" s="5" t="s">
        <v>301</v>
      </c>
      <c r="AT64" s="5" t="s">
        <v>241</v>
      </c>
      <c r="AU64" s="5" t="s">
        <v>301</v>
      </c>
      <c r="AV64" s="5" t="s">
        <v>213</v>
      </c>
      <c r="AW64" s="5" t="s">
        <v>206</v>
      </c>
      <c r="BF64" s="5" t="s">
        <v>204</v>
      </c>
      <c r="BG64" s="5" t="s">
        <v>207</v>
      </c>
      <c r="BH64" s="5" t="s">
        <v>271</v>
      </c>
      <c r="BI64" s="5" t="s">
        <v>264</v>
      </c>
      <c r="BJ64" s="5" t="s">
        <v>271</v>
      </c>
      <c r="BK64" s="5" t="s">
        <v>243</v>
      </c>
      <c r="BL64" s="5" t="s">
        <v>243</v>
      </c>
      <c r="BM64" s="5" t="s">
        <v>245</v>
      </c>
      <c r="BN64" s="5" t="s">
        <v>243</v>
      </c>
      <c r="BO64" s="5" t="s">
        <v>243</v>
      </c>
      <c r="BP64" s="5" t="s">
        <v>243</v>
      </c>
      <c r="BQ64" s="5" t="s">
        <v>245</v>
      </c>
      <c r="BR64" s="5" t="s">
        <v>245</v>
      </c>
      <c r="BS64" s="5" t="s">
        <v>247</v>
      </c>
      <c r="BT64" s="5" t="s">
        <v>247</v>
      </c>
      <c r="BU64" s="5" t="s">
        <v>247</v>
      </c>
      <c r="BV64" s="5" t="s">
        <v>217</v>
      </c>
      <c r="BW64" s="5" t="s">
        <v>232</v>
      </c>
      <c r="BX64" s="5" t="s">
        <v>248</v>
      </c>
      <c r="BY64" s="5" t="s">
        <v>248</v>
      </c>
      <c r="CD64" s="5" t="s">
        <v>204</v>
      </c>
      <c r="CE64" s="5" t="s">
        <v>286</v>
      </c>
      <c r="CF64" s="5" t="s">
        <v>219</v>
      </c>
      <c r="CG64" s="5" t="s">
        <v>220</v>
      </c>
      <c r="CH64" s="5" t="s">
        <v>310</v>
      </c>
      <c r="CI64" s="5" t="s">
        <v>307</v>
      </c>
      <c r="CJ64" s="5">
        <v>4</v>
      </c>
      <c r="CK64" s="5" t="s">
        <v>223</v>
      </c>
      <c r="CU64" s="5" t="s">
        <v>206</v>
      </c>
      <c r="DA64" s="5" t="s">
        <v>272</v>
      </c>
      <c r="DB64" s="5">
        <f t="shared" si="53"/>
        <v>1</v>
      </c>
      <c r="DC64" s="5" t="s">
        <v>230</v>
      </c>
      <c r="DD64" s="5">
        <f t="shared" si="54"/>
        <v>2</v>
      </c>
      <c r="DE64" s="5" t="s">
        <v>230</v>
      </c>
      <c r="DF64" s="5">
        <f t="shared" si="55"/>
        <v>2</v>
      </c>
      <c r="DG64" s="5" t="s">
        <v>230</v>
      </c>
      <c r="DH64" s="5">
        <f t="shared" si="56"/>
        <v>2</v>
      </c>
      <c r="DI64" s="5" t="s">
        <v>230</v>
      </c>
      <c r="DJ64" s="5">
        <f t="shared" si="57"/>
        <v>2</v>
      </c>
      <c r="DK64" s="5" t="s">
        <v>230</v>
      </c>
      <c r="DL64" s="5">
        <f t="shared" si="58"/>
        <v>2</v>
      </c>
      <c r="DM64" s="5" t="s">
        <v>251</v>
      </c>
      <c r="DN64" s="5">
        <f t="shared" si="59"/>
        <v>1</v>
      </c>
      <c r="DO64" s="5" t="s">
        <v>231</v>
      </c>
      <c r="DP64" s="5">
        <f t="shared" si="60"/>
        <v>2</v>
      </c>
      <c r="DQ64" s="5" t="s">
        <v>281</v>
      </c>
      <c r="DR64" s="5">
        <f t="shared" si="61"/>
        <v>1</v>
      </c>
      <c r="DS64" s="5" t="s">
        <v>231</v>
      </c>
      <c r="DT64" s="5">
        <f t="shared" si="62"/>
        <v>2</v>
      </c>
      <c r="DU64" s="5" t="s">
        <v>281</v>
      </c>
      <c r="DV64" s="5">
        <f t="shared" si="63"/>
        <v>1</v>
      </c>
      <c r="DW64" s="5" t="s">
        <v>281</v>
      </c>
      <c r="DX64" s="5">
        <f t="shared" si="64"/>
        <v>1</v>
      </c>
      <c r="DY64" s="5">
        <f t="shared" si="65"/>
        <v>19</v>
      </c>
      <c r="DZ64" s="5" t="str">
        <f t="shared" si="66"/>
        <v>Nivel de riesgo medio</v>
      </c>
      <c r="EA64" s="5" t="s">
        <v>248</v>
      </c>
      <c r="EB64" s="5">
        <f t="shared" si="67"/>
        <v>1</v>
      </c>
      <c r="EC64" s="5" t="s">
        <v>253</v>
      </c>
      <c r="ED64" s="5">
        <f t="shared" si="68"/>
        <v>0</v>
      </c>
      <c r="EE64" s="5" t="s">
        <v>253</v>
      </c>
      <c r="EF64" s="5">
        <f t="shared" si="69"/>
        <v>0</v>
      </c>
      <c r="EG64" s="5">
        <f t="shared" si="70"/>
        <v>1</v>
      </c>
      <c r="EH64" s="5" t="str">
        <f t="shared" si="71"/>
        <v>Nivel de riesgo bajo</v>
      </c>
      <c r="EI64" s="5" t="s">
        <v>248</v>
      </c>
      <c r="EJ64" s="5">
        <f t="shared" si="72"/>
        <v>1</v>
      </c>
      <c r="EK64" s="5" t="s">
        <v>247</v>
      </c>
      <c r="EL64" s="5">
        <f t="shared" si="73"/>
        <v>2</v>
      </c>
      <c r="EM64" s="5" t="s">
        <v>247</v>
      </c>
      <c r="EN64" s="5">
        <f t="shared" si="74"/>
        <v>2</v>
      </c>
      <c r="EO64" s="5">
        <f t="shared" si="75"/>
        <v>5</v>
      </c>
      <c r="EP64" s="5" t="str">
        <f t="shared" si="76"/>
        <v>Nivel de riesgo medio</v>
      </c>
      <c r="EQ64" s="5" t="s">
        <v>254</v>
      </c>
      <c r="ER64" s="5">
        <f t="shared" si="77"/>
        <v>0</v>
      </c>
      <c r="ES64" s="5" t="s">
        <v>254</v>
      </c>
      <c r="ET64" s="5">
        <f t="shared" si="78"/>
        <v>0</v>
      </c>
      <c r="EU64" s="5" t="s">
        <v>254</v>
      </c>
      <c r="EV64" s="5">
        <f t="shared" si="79"/>
        <v>0</v>
      </c>
      <c r="EW64" s="5" t="s">
        <v>254</v>
      </c>
      <c r="EX64" s="5">
        <f t="shared" si="80"/>
        <v>0</v>
      </c>
      <c r="EY64" s="5">
        <f t="shared" si="81"/>
        <v>0</v>
      </c>
      <c r="EZ64" s="5" t="str">
        <f t="shared" si="82"/>
        <v>Nivel de riesgo bajo</v>
      </c>
      <c r="FA64" s="5" t="s">
        <v>253</v>
      </c>
      <c r="FB64" s="5">
        <f t="shared" si="83"/>
        <v>0</v>
      </c>
      <c r="FC64" s="5" t="s">
        <v>253</v>
      </c>
      <c r="FD64" s="5">
        <f t="shared" si="84"/>
        <v>0</v>
      </c>
      <c r="FE64" s="5" t="s">
        <v>253</v>
      </c>
      <c r="FF64" s="5">
        <f t="shared" si="85"/>
        <v>0</v>
      </c>
      <c r="FG64" s="5">
        <f t="shared" si="86"/>
        <v>0</v>
      </c>
      <c r="FH64" s="5" t="str">
        <f t="shared" si="87"/>
        <v>Nivel de riesgo bajo</v>
      </c>
      <c r="FI64" s="5" t="s">
        <v>253</v>
      </c>
      <c r="FJ64" s="5">
        <f t="shared" si="88"/>
        <v>0</v>
      </c>
      <c r="FK64" s="5" t="s">
        <v>253</v>
      </c>
      <c r="FL64" s="5">
        <f t="shared" si="89"/>
        <v>0</v>
      </c>
      <c r="FM64" s="5" t="s">
        <v>253</v>
      </c>
      <c r="FN64" s="5">
        <f t="shared" si="90"/>
        <v>0</v>
      </c>
      <c r="FO64" s="5">
        <f t="shared" si="91"/>
        <v>0</v>
      </c>
      <c r="FP64" s="5" t="str">
        <f t="shared" si="92"/>
        <v>Nivel de riesgo bajo</v>
      </c>
      <c r="FQ64" s="5" t="s">
        <v>206</v>
      </c>
      <c r="FR64" s="5">
        <f t="shared" si="93"/>
        <v>0</v>
      </c>
      <c r="FS64" s="5" t="s">
        <v>206</v>
      </c>
      <c r="FT64" s="5">
        <f t="shared" si="94"/>
        <v>0</v>
      </c>
      <c r="FU64" s="5" t="s">
        <v>206</v>
      </c>
      <c r="FV64" s="5">
        <f t="shared" si="95"/>
        <v>0</v>
      </c>
      <c r="FW64" s="5" t="s">
        <v>206</v>
      </c>
      <c r="FX64" s="5">
        <f t="shared" si="96"/>
        <v>0</v>
      </c>
      <c r="FY64" s="5" t="s">
        <v>206</v>
      </c>
      <c r="FZ64" s="5">
        <f t="shared" si="97"/>
        <v>0</v>
      </c>
      <c r="GA64" s="5" t="s">
        <v>206</v>
      </c>
      <c r="GB64" s="5">
        <f t="shared" si="98"/>
        <v>0</v>
      </c>
      <c r="GC64" s="5" t="s">
        <v>206</v>
      </c>
      <c r="GD64" s="5">
        <f t="shared" si="99"/>
        <v>0</v>
      </c>
      <c r="GE64" s="5">
        <f t="shared" si="100"/>
        <v>0</v>
      </c>
      <c r="GF64" s="5" t="str">
        <f t="shared" si="101"/>
        <v>Nivel de riesgo bajo</v>
      </c>
      <c r="GG64" s="5" t="s">
        <v>266</v>
      </c>
      <c r="GH64" s="5" t="s">
        <v>266</v>
      </c>
      <c r="GI64" s="5" t="s">
        <v>266</v>
      </c>
      <c r="GJ64" s="5" t="s">
        <v>298</v>
      </c>
      <c r="GK64" s="5" t="s">
        <v>233</v>
      </c>
      <c r="GL64" s="5" t="s">
        <v>266</v>
      </c>
      <c r="GM64" s="5" t="s">
        <v>266</v>
      </c>
      <c r="GN64" s="5" t="s">
        <v>243</v>
      </c>
      <c r="GO64" s="5" t="s">
        <v>257</v>
      </c>
      <c r="GP64" s="5" t="s">
        <v>243</v>
      </c>
      <c r="GQ64" s="5" t="s">
        <v>234</v>
      </c>
      <c r="GR64" s="5" t="s">
        <v>234</v>
      </c>
      <c r="GS64" s="5" t="s">
        <v>234</v>
      </c>
      <c r="GT64" s="5" t="s">
        <v>243</v>
      </c>
      <c r="GU64" s="5" t="s">
        <v>395</v>
      </c>
      <c r="GV64" s="5" t="str">
        <f>TEXT("6278791523119081313","0")</f>
        <v>6278791523119080000</v>
      </c>
    </row>
    <row r="65" spans="1:204" ht="15.75" customHeight="1" x14ac:dyDescent="0.15">
      <c r="A65" s="1">
        <f t="shared" si="51"/>
        <v>65</v>
      </c>
      <c r="B65" s="4">
        <v>45847.421388888892</v>
      </c>
      <c r="C65" s="5" t="s">
        <v>204</v>
      </c>
      <c r="D65" s="5" t="s">
        <v>206</v>
      </c>
      <c r="F65" s="5" t="s">
        <v>206</v>
      </c>
      <c r="G65" s="5" t="s">
        <v>206</v>
      </c>
      <c r="H65" s="5" t="s">
        <v>206</v>
      </c>
      <c r="K65" s="5" t="s">
        <v>237</v>
      </c>
      <c r="P65" s="5" t="s">
        <v>237</v>
      </c>
      <c r="U65" s="5" t="s">
        <v>237</v>
      </c>
      <c r="Z65" s="5" t="s">
        <v>237</v>
      </c>
      <c r="AD65" s="5" t="s">
        <v>209</v>
      </c>
      <c r="AH65" s="5" t="s">
        <v>210</v>
      </c>
      <c r="AI65" s="5">
        <v>2020</v>
      </c>
      <c r="AJ65" s="5" t="s">
        <v>238</v>
      </c>
      <c r="AK65" s="5" t="str">
        <f t="shared" si="52"/>
        <v>Trabajadora por cuenta propia</v>
      </c>
      <c r="AN65" s="5" t="s">
        <v>288</v>
      </c>
      <c r="AP65" s="5" t="s">
        <v>396</v>
      </c>
      <c r="AR65" s="5" t="s">
        <v>294</v>
      </c>
      <c r="AS65" s="5" t="s">
        <v>241</v>
      </c>
      <c r="AT65" s="5" t="s">
        <v>241</v>
      </c>
      <c r="AU65" s="5" t="s">
        <v>241</v>
      </c>
      <c r="AV65" s="5" t="s">
        <v>269</v>
      </c>
      <c r="AW65" s="5" t="s">
        <v>204</v>
      </c>
      <c r="AX65" s="5" t="s">
        <v>204</v>
      </c>
      <c r="AY65" s="5" t="s">
        <v>214</v>
      </c>
      <c r="AZ65" s="5" t="s">
        <v>204</v>
      </c>
      <c r="BA65" s="5" t="s">
        <v>263</v>
      </c>
      <c r="BF65" s="5" t="s">
        <v>204</v>
      </c>
      <c r="BG65" s="5" t="s">
        <v>278</v>
      </c>
      <c r="BH65" s="5" t="s">
        <v>278</v>
      </c>
      <c r="BI65" s="5" t="s">
        <v>278</v>
      </c>
      <c r="BJ65" s="5" t="s">
        <v>242</v>
      </c>
      <c r="BK65" s="5" t="s">
        <v>216</v>
      </c>
      <c r="BL65" s="5" t="s">
        <v>216</v>
      </c>
      <c r="BM65" s="5" t="s">
        <v>216</v>
      </c>
      <c r="BN65" s="5" t="s">
        <v>244</v>
      </c>
      <c r="BO65" s="5" t="s">
        <v>216</v>
      </c>
      <c r="BP65" s="5" t="s">
        <v>216</v>
      </c>
      <c r="BQ65" s="5" t="s">
        <v>216</v>
      </c>
      <c r="BR65" s="5" t="s">
        <v>244</v>
      </c>
      <c r="BS65" s="5" t="s">
        <v>254</v>
      </c>
      <c r="BT65" s="5" t="s">
        <v>254</v>
      </c>
      <c r="BU65" s="5" t="s">
        <v>247</v>
      </c>
      <c r="BV65" s="5" t="s">
        <v>247</v>
      </c>
      <c r="BW65" s="5" t="s">
        <v>248</v>
      </c>
      <c r="BX65" s="5" t="s">
        <v>247</v>
      </c>
      <c r="BY65" s="5" t="s">
        <v>248</v>
      </c>
      <c r="BZ65" s="5" t="s">
        <v>246</v>
      </c>
      <c r="CA65" s="5" t="s">
        <v>246</v>
      </c>
      <c r="CB65" s="5" t="s">
        <v>244</v>
      </c>
      <c r="CC65" s="5" t="s">
        <v>245</v>
      </c>
      <c r="CD65" s="5" t="s">
        <v>206</v>
      </c>
      <c r="CH65" s="5" t="s">
        <v>206</v>
      </c>
      <c r="CI65" s="5" t="s">
        <v>347</v>
      </c>
      <c r="CJ65" s="5">
        <v>4</v>
      </c>
      <c r="CK65" s="5" t="s">
        <v>223</v>
      </c>
      <c r="CU65" s="5" t="s">
        <v>206</v>
      </c>
      <c r="DA65" s="5" t="s">
        <v>229</v>
      </c>
      <c r="DB65" s="5">
        <f t="shared" si="53"/>
        <v>4</v>
      </c>
      <c r="DC65" s="5" t="s">
        <v>280</v>
      </c>
      <c r="DD65" s="5">
        <f t="shared" si="54"/>
        <v>4</v>
      </c>
      <c r="DE65" s="5" t="s">
        <v>280</v>
      </c>
      <c r="DF65" s="5">
        <f t="shared" si="55"/>
        <v>4</v>
      </c>
      <c r="DG65" s="5" t="s">
        <v>250</v>
      </c>
      <c r="DH65" s="5">
        <f t="shared" si="56"/>
        <v>3</v>
      </c>
      <c r="DI65" s="5" t="s">
        <v>280</v>
      </c>
      <c r="DJ65" s="5">
        <f t="shared" si="57"/>
        <v>4</v>
      </c>
      <c r="DK65" s="5" t="s">
        <v>250</v>
      </c>
      <c r="DL65" s="5">
        <f t="shared" si="58"/>
        <v>3</v>
      </c>
      <c r="DM65" s="5" t="s">
        <v>251</v>
      </c>
      <c r="DN65" s="5">
        <f t="shared" si="59"/>
        <v>1</v>
      </c>
      <c r="DO65" s="5" t="s">
        <v>229</v>
      </c>
      <c r="DP65" s="5">
        <f t="shared" si="60"/>
        <v>4</v>
      </c>
      <c r="DQ65" s="5" t="s">
        <v>229</v>
      </c>
      <c r="DR65" s="5">
        <f t="shared" si="61"/>
        <v>4</v>
      </c>
      <c r="DS65" s="5" t="s">
        <v>252</v>
      </c>
      <c r="DT65" s="5">
        <f t="shared" si="62"/>
        <v>3</v>
      </c>
      <c r="DU65" s="5" t="s">
        <v>231</v>
      </c>
      <c r="DV65" s="5">
        <f t="shared" si="63"/>
        <v>2</v>
      </c>
      <c r="DW65" s="5" t="s">
        <v>252</v>
      </c>
      <c r="DX65" s="5">
        <f t="shared" si="64"/>
        <v>3</v>
      </c>
      <c r="DY65" s="5">
        <f t="shared" si="65"/>
        <v>39</v>
      </c>
      <c r="DZ65" s="5" t="str">
        <f t="shared" si="66"/>
        <v>Nivel de riesgo alto</v>
      </c>
      <c r="EA65" s="5" t="s">
        <v>247</v>
      </c>
      <c r="EB65" s="5">
        <f t="shared" si="67"/>
        <v>2</v>
      </c>
      <c r="EC65" s="5" t="s">
        <v>232</v>
      </c>
      <c r="ED65" s="5">
        <f t="shared" si="68"/>
        <v>3</v>
      </c>
      <c r="EE65" s="5" t="s">
        <v>253</v>
      </c>
      <c r="EF65" s="5">
        <f t="shared" si="69"/>
        <v>0</v>
      </c>
      <c r="EG65" s="5">
        <f t="shared" si="70"/>
        <v>5</v>
      </c>
      <c r="EH65" s="5" t="str">
        <f t="shared" si="71"/>
        <v>Nivel de riesgo alto</v>
      </c>
      <c r="EI65" s="5" t="s">
        <v>247</v>
      </c>
      <c r="EJ65" s="5">
        <f t="shared" si="72"/>
        <v>2</v>
      </c>
      <c r="EK65" s="5" t="s">
        <v>232</v>
      </c>
      <c r="EL65" s="5">
        <f t="shared" si="73"/>
        <v>3</v>
      </c>
      <c r="EM65" s="5" t="s">
        <v>254</v>
      </c>
      <c r="EN65" s="5">
        <f t="shared" si="74"/>
        <v>4</v>
      </c>
      <c r="EO65" s="5">
        <f t="shared" si="75"/>
        <v>9</v>
      </c>
      <c r="EP65" s="5" t="str">
        <f t="shared" si="76"/>
        <v>Nivel de riesgo alto</v>
      </c>
      <c r="EQ65" s="5" t="s">
        <v>254</v>
      </c>
      <c r="ER65" s="5">
        <f t="shared" si="77"/>
        <v>0</v>
      </c>
      <c r="ES65" s="5" t="s">
        <v>247</v>
      </c>
      <c r="ET65" s="5">
        <f t="shared" si="78"/>
        <v>2</v>
      </c>
      <c r="EU65" s="5" t="s">
        <v>254</v>
      </c>
      <c r="EV65" s="5">
        <f t="shared" si="79"/>
        <v>0</v>
      </c>
      <c r="EW65" s="5" t="s">
        <v>254</v>
      </c>
      <c r="EX65" s="5">
        <f t="shared" si="80"/>
        <v>0</v>
      </c>
      <c r="EY65" s="5">
        <f t="shared" si="81"/>
        <v>2</v>
      </c>
      <c r="EZ65" s="5" t="str">
        <f t="shared" si="82"/>
        <v>Nivel de riesgo medio</v>
      </c>
      <c r="FA65" s="5" t="s">
        <v>247</v>
      </c>
      <c r="FB65" s="5">
        <f t="shared" si="83"/>
        <v>2</v>
      </c>
      <c r="FC65" s="5" t="s">
        <v>253</v>
      </c>
      <c r="FD65" s="5">
        <f t="shared" si="84"/>
        <v>0</v>
      </c>
      <c r="FE65" s="5" t="s">
        <v>253</v>
      </c>
      <c r="FF65" s="5">
        <f t="shared" si="85"/>
        <v>0</v>
      </c>
      <c r="FG65" s="5">
        <f t="shared" si="86"/>
        <v>2</v>
      </c>
      <c r="FH65" s="5" t="str">
        <f t="shared" si="87"/>
        <v>Nivel de riesgo bajo</v>
      </c>
      <c r="FI65" s="5" t="s">
        <v>232</v>
      </c>
      <c r="FJ65" s="5">
        <f t="shared" si="88"/>
        <v>3</v>
      </c>
      <c r="FK65" s="5" t="s">
        <v>247</v>
      </c>
      <c r="FL65" s="5">
        <f t="shared" si="89"/>
        <v>2</v>
      </c>
      <c r="FM65" s="5" t="s">
        <v>253</v>
      </c>
      <c r="FN65" s="5">
        <f t="shared" si="90"/>
        <v>0</v>
      </c>
      <c r="FO65" s="5">
        <f t="shared" si="91"/>
        <v>5</v>
      </c>
      <c r="FP65" s="5" t="str">
        <f t="shared" si="92"/>
        <v>Nivel de riesgo medio</v>
      </c>
      <c r="FQ65" s="5" t="s">
        <v>206</v>
      </c>
      <c r="FR65" s="5">
        <f t="shared" si="93"/>
        <v>0</v>
      </c>
      <c r="FS65" s="5" t="s">
        <v>206</v>
      </c>
      <c r="FT65" s="5">
        <f t="shared" si="94"/>
        <v>0</v>
      </c>
      <c r="FU65" s="5" t="s">
        <v>206</v>
      </c>
      <c r="FV65" s="5">
        <f t="shared" si="95"/>
        <v>0</v>
      </c>
      <c r="FW65" s="5" t="s">
        <v>206</v>
      </c>
      <c r="FX65" s="5">
        <f t="shared" si="96"/>
        <v>0</v>
      </c>
      <c r="FY65" s="5" t="s">
        <v>206</v>
      </c>
      <c r="FZ65" s="5">
        <f t="shared" si="97"/>
        <v>0</v>
      </c>
      <c r="GA65" s="5" t="s">
        <v>206</v>
      </c>
      <c r="GB65" s="5">
        <f t="shared" si="98"/>
        <v>0</v>
      </c>
      <c r="GC65" s="5" t="s">
        <v>206</v>
      </c>
      <c r="GD65" s="5">
        <f t="shared" si="99"/>
        <v>0</v>
      </c>
      <c r="GE65" s="5">
        <f t="shared" si="100"/>
        <v>0</v>
      </c>
      <c r="GF65" s="5" t="str">
        <f t="shared" si="101"/>
        <v>Nivel de riesgo bajo</v>
      </c>
      <c r="GG65" s="5" t="s">
        <v>255</v>
      </c>
      <c r="GH65" s="5" t="s">
        <v>273</v>
      </c>
      <c r="GI65" s="5" t="s">
        <v>255</v>
      </c>
      <c r="GJ65" s="5" t="s">
        <v>255</v>
      </c>
      <c r="GK65" s="5" t="s">
        <v>233</v>
      </c>
      <c r="GL65" s="5" t="s">
        <v>255</v>
      </c>
      <c r="GM65" s="5" t="s">
        <v>233</v>
      </c>
      <c r="GN65" s="5" t="s">
        <v>256</v>
      </c>
      <c r="GO65" s="5" t="s">
        <v>257</v>
      </c>
      <c r="GP65" s="5" t="s">
        <v>244</v>
      </c>
      <c r="GQ65" s="5" t="s">
        <v>244</v>
      </c>
      <c r="GR65" s="5" t="s">
        <v>244</v>
      </c>
      <c r="GS65" s="5" t="s">
        <v>244</v>
      </c>
      <c r="GT65" s="5" t="s">
        <v>243</v>
      </c>
      <c r="GU65" s="5" t="s">
        <v>397</v>
      </c>
      <c r="GV65" s="5" t="str">
        <f>TEXT("6278792089204204304","0")</f>
        <v>6278792089204200000</v>
      </c>
    </row>
    <row r="66" spans="1:204" ht="15.75" hidden="1" customHeight="1" x14ac:dyDescent="0.15">
      <c r="B66" s="4">
        <v>45847.421585648146</v>
      </c>
      <c r="C66" s="5" t="s">
        <v>206</v>
      </c>
      <c r="GV66" s="5" t="str">
        <f>TEXT("6278792258189833233","0")</f>
        <v>6278792258189830000</v>
      </c>
    </row>
    <row r="67" spans="1:204" ht="15.75" customHeight="1" x14ac:dyDescent="0.15">
      <c r="A67" s="1">
        <f>ROW(A67)</f>
        <v>67</v>
      </c>
      <c r="B67" s="4">
        <v>45847.423020833332</v>
      </c>
      <c r="C67" s="5" t="s">
        <v>204</v>
      </c>
      <c r="D67" s="5" t="s">
        <v>206</v>
      </c>
      <c r="F67" s="5" t="s">
        <v>206</v>
      </c>
      <c r="G67" s="5" t="s">
        <v>204</v>
      </c>
      <c r="H67" s="5" t="s">
        <v>206</v>
      </c>
      <c r="J67" s="5" t="s">
        <v>209</v>
      </c>
      <c r="O67" s="5" t="s">
        <v>209</v>
      </c>
      <c r="T67" s="5" t="s">
        <v>209</v>
      </c>
      <c r="Y67" s="5" t="s">
        <v>209</v>
      </c>
      <c r="AD67" s="5" t="s">
        <v>209</v>
      </c>
      <c r="AH67" s="5" t="s">
        <v>275</v>
      </c>
      <c r="AI67" s="5">
        <v>2025</v>
      </c>
      <c r="AJ67" s="5" t="s">
        <v>330</v>
      </c>
      <c r="AK67" s="5" t="str">
        <f>IF(OR(AJ67="Empleada del sector privado",AJ67="Empleada del sector público"),"Asalariada",
IF(AJ67="Trabajadora por cuenta propia","Trabajadora por cuenta propia",""))</f>
        <v>Asalariada</v>
      </c>
      <c r="AQ67" s="5" t="s">
        <v>204</v>
      </c>
      <c r="AR67" s="5" t="s">
        <v>261</v>
      </c>
      <c r="AS67" s="5" t="s">
        <v>301</v>
      </c>
      <c r="AT67" s="5" t="s">
        <v>301</v>
      </c>
      <c r="AU67" s="5" t="s">
        <v>294</v>
      </c>
      <c r="AV67" s="5" t="s">
        <v>213</v>
      </c>
      <c r="AW67" s="5" t="s">
        <v>204</v>
      </c>
      <c r="AX67" s="5" t="s">
        <v>204</v>
      </c>
      <c r="AY67" s="5" t="s">
        <v>270</v>
      </c>
      <c r="AZ67" s="5" t="s">
        <v>206</v>
      </c>
      <c r="BA67" s="5" t="s">
        <v>263</v>
      </c>
      <c r="BF67" s="5" t="s">
        <v>204</v>
      </c>
      <c r="BG67" s="5" t="s">
        <v>278</v>
      </c>
      <c r="BH67" s="5" t="s">
        <v>242</v>
      </c>
      <c r="BI67" s="5" t="s">
        <v>278</v>
      </c>
      <c r="BJ67" s="5" t="s">
        <v>242</v>
      </c>
      <c r="BK67" s="5" t="s">
        <v>246</v>
      </c>
      <c r="BL67" s="5" t="s">
        <v>244</v>
      </c>
      <c r="BM67" s="5" t="s">
        <v>244</v>
      </c>
      <c r="BN67" s="5" t="s">
        <v>246</v>
      </c>
      <c r="BO67" s="5" t="s">
        <v>246</v>
      </c>
      <c r="BP67" s="5" t="s">
        <v>244</v>
      </c>
      <c r="BQ67" s="5" t="s">
        <v>246</v>
      </c>
      <c r="BR67" s="5" t="s">
        <v>246</v>
      </c>
      <c r="BS67" s="5" t="s">
        <v>232</v>
      </c>
      <c r="BT67" s="5" t="s">
        <v>248</v>
      </c>
      <c r="BU67" s="5" t="s">
        <v>247</v>
      </c>
      <c r="BV67" s="5" t="s">
        <v>248</v>
      </c>
      <c r="BW67" s="5" t="s">
        <v>217</v>
      </c>
      <c r="BX67" s="5" t="s">
        <v>217</v>
      </c>
      <c r="BY67" s="5" t="s">
        <v>217</v>
      </c>
      <c r="BZ67" s="5" t="s">
        <v>216</v>
      </c>
      <c r="CA67" s="5" t="s">
        <v>244</v>
      </c>
      <c r="CB67" s="5" t="s">
        <v>216</v>
      </c>
      <c r="CC67" s="5" t="s">
        <v>246</v>
      </c>
      <c r="CD67" s="5" t="s">
        <v>204</v>
      </c>
      <c r="CE67" s="5" t="s">
        <v>218</v>
      </c>
      <c r="CF67" s="5" t="s">
        <v>219</v>
      </c>
      <c r="CG67" s="5" t="s">
        <v>206</v>
      </c>
      <c r="CH67" s="5" t="s">
        <v>206</v>
      </c>
      <c r="CI67" s="5" t="s">
        <v>307</v>
      </c>
      <c r="CJ67" s="5">
        <v>2</v>
      </c>
      <c r="CK67" s="5" t="s">
        <v>223</v>
      </c>
      <c r="CU67" s="5" t="s">
        <v>206</v>
      </c>
      <c r="DA67" s="5" t="s">
        <v>231</v>
      </c>
      <c r="DB67" s="5">
        <f>IF(DA67="Mejor que lo habitual",1,
IF(DA67="Igual que lo habitual",2,
IF(DA67="Menos que lo habitual",3,
IF(DA67="Mucho menos que lo habitual",4,""))))</f>
        <v>2</v>
      </c>
      <c r="DC67" s="5" t="s">
        <v>251</v>
      </c>
      <c r="DD67" s="5">
        <f>IF(DC67="No, en absoluto",1,
IF(DC67="No más que lo habitual",2,
IF(DC67="Bastante más que lo habitual",3,
IF(DC67="Mucho más que lo habitual",4,""))))</f>
        <v>1</v>
      </c>
      <c r="DE67" s="5" t="s">
        <v>251</v>
      </c>
      <c r="DF67" s="5">
        <f>IF(DE67="No, en absoluto",1,
IF(DE67="No más que lo habitual",2,
IF(DE67="Bastante más que lo habitual",3,
IF(DE67="Mucho más que lo habitual",4,""))))</f>
        <v>1</v>
      </c>
      <c r="DG67" s="5" t="s">
        <v>251</v>
      </c>
      <c r="DH67" s="5">
        <f>IF(DG67="No, en absoluto",1,
IF(DG67="No más que lo habitual",2,
IF(DG67="Bastante más que lo habitual",3,
IF(DG67="Mucho más que lo habitual",4,""))))</f>
        <v>1</v>
      </c>
      <c r="DI67" s="5" t="s">
        <v>230</v>
      </c>
      <c r="DJ67" s="5">
        <f>IF(DI67="No, en absoluto",1,
IF(DI67="No más que lo habitual",2,
IF(DI67="Bastante más que lo habitual",3,
IF(DI67="Mucho más que lo habitual",4,""))))</f>
        <v>2</v>
      </c>
      <c r="DK67" s="5" t="s">
        <v>230</v>
      </c>
      <c r="DL67" s="5">
        <f>IF(DK67="No, en absoluto",1,
IF(DK67="No más que lo habitual",2,
IF(DK67="Bastante más que lo habitual",3,
IF(DK67="Mucho más que lo habitual",4,""))))</f>
        <v>2</v>
      </c>
      <c r="DM67" s="5" t="s">
        <v>251</v>
      </c>
      <c r="DN67" s="5">
        <f>IF(DM67="No, en absoluto",1,
IF(DM67="No más que lo habitual",2,
IF(DM67="Bastante más que lo habitual",3,
IF(DM67="Mucho más que lo habitual",4,""))))</f>
        <v>1</v>
      </c>
      <c r="DO67" s="5" t="s">
        <v>231</v>
      </c>
      <c r="DP67" s="5">
        <f>IF(DO67="Más que lo habitual",1,
IF(DO67="Igual que lo habitual",2,
IF(DO67="Menos que lo habitual",3,
IF(DO67="Mucho menos que lo habitual",4,""))))</f>
        <v>2</v>
      </c>
      <c r="DQ67" s="5" t="s">
        <v>281</v>
      </c>
      <c r="DR67" s="5">
        <f>IF(DQ67="Más que lo habitual",1,
IF(DQ67="Igual que lo habitual",2,
IF(DQ67="Menos que lo habitual",3,
IF(DQ67="Mucho menos que lo habitual",4,""))))</f>
        <v>1</v>
      </c>
      <c r="DS67" s="5" t="s">
        <v>231</v>
      </c>
      <c r="DT67" s="5">
        <f>IF(DS67="Más que lo habitual",1,
IF(DS67="Igual que lo habitual",2,
IF(DS67="Menos que lo habitual",3,
IF(DS67="Mucho menos que lo habitual",4,""))))</f>
        <v>2</v>
      </c>
      <c r="DU67" s="5" t="s">
        <v>281</v>
      </c>
      <c r="DV67" s="5">
        <f>IF(DU67="Más que lo habitual",1,
IF(DU67="Igual que lo habitual",2,
IF(DU67="Menos que lo habitual",3,
IF(DU67="Mucho menos que lo habitual",4,""))))</f>
        <v>1</v>
      </c>
      <c r="DW67" s="5" t="s">
        <v>281</v>
      </c>
      <c r="DX67" s="5">
        <f>IF(DW67="Más que lo habitual",1,
IF(DW67="Igual que lo habitual",2,
IF(DW67="Menos que lo habitual",3,
IF(DW67="Mucho menos que lo habitual",4,""))))</f>
        <v>1</v>
      </c>
      <c r="DY67" s="5">
        <f>SUM(DB67,DD67,DF67,DH67,DJ67,DL67,DN67,DP67,DR67,DT67,DV67,DX67)</f>
        <v>17</v>
      </c>
      <c r="DZ67" s="5" t="str">
        <f>IF(DY67&lt;=18,"Nivel de riesgo bajo",
IF(DY67&lt;=23,"Nivel de riesgo medio",
"Nivel de riesgo alto"))</f>
        <v>Nivel de riesgo bajo</v>
      </c>
      <c r="EA67" s="5" t="s">
        <v>253</v>
      </c>
      <c r="EB67" s="5">
        <f>IF(EA67="Nunca/ casi nunca",0,
IF(EA67="Rara vez",1,
IF(EA67="A veces",2,
IF(EA67="A menudo",3,
IF(EA67="Siempre",4,"")))))</f>
        <v>0</v>
      </c>
      <c r="EC67" s="5" t="s">
        <v>253</v>
      </c>
      <c r="ED67" s="5">
        <f>IF(EC67="Nunca/ casi nunca",0,
IF(EC67="Rara vez",1,
IF(EC67="A veces",2,
IF(EC67="A menudo",3,
IF(EC67="Siempre",4,"")))))</f>
        <v>0</v>
      </c>
      <c r="EE67" s="5" t="s">
        <v>253</v>
      </c>
      <c r="EF67" s="5">
        <f>IF(EE67="Nunca/ casi nunca",0,
IF(EE67="Rara vez",1,
IF(EE67="A veces",2,
IF(EE67="A menudo",3,
IF(EE67="Siempre",4,"")))))</f>
        <v>0</v>
      </c>
      <c r="EG67" s="5">
        <f>SUM(EB67,ED67,EF67)</f>
        <v>0</v>
      </c>
      <c r="EH67" s="5" t="str">
        <f>IF(EG67&lt;=1,"Nivel de riesgo bajo",
IF(EG67&lt;=4,"Nivel de riesgo medio",
"Nivel de riesgo alto"))</f>
        <v>Nivel de riesgo bajo</v>
      </c>
      <c r="EI67" s="5" t="s">
        <v>253</v>
      </c>
      <c r="EJ67" s="5">
        <f>IF(EI67="Nunca/ casi nunca",0,
IF(EI67="Rara vez",1,
IF(EI67="A veces",2,
IF(EI67="A menudo",3,
IF(EI67="Siempre",4,"")))))</f>
        <v>0</v>
      </c>
      <c r="EK67" s="5" t="s">
        <v>253</v>
      </c>
      <c r="EL67" s="5">
        <f>IF(EK67="Nunca/ casi nunca",0,
IF(EK67="Rara vez",1,
IF(EK67="A veces",2,
IF(EK67="A menudo",3,
IF(EK67="Siempre",4,"")))))</f>
        <v>0</v>
      </c>
      <c r="EM67" s="5" t="s">
        <v>253</v>
      </c>
      <c r="EN67" s="5">
        <f>IF(EM67="Nunca/ casi nunca",0,
IF(EM67="Rara vez",1,
IF(EM67="A veces",2,
IF(EM67="A menudo",3,
IF(EM67="Siempre",4,"")))))</f>
        <v>0</v>
      </c>
      <c r="EO67" s="5">
        <f>SUM(EJ67,EL67,EN67)</f>
        <v>0</v>
      </c>
      <c r="EP67" s="5" t="str">
        <f>IF(EO67&lt;=1,"Nivel de riesgo bajo",
IF(EO67&lt;=5,"Nivel de riesgo medio",
"Nivel de riesgo alto"))</f>
        <v>Nivel de riesgo bajo</v>
      </c>
      <c r="EQ67" s="5" t="s">
        <v>247</v>
      </c>
      <c r="ER67" s="5">
        <f>IF(EQ67="Nunca/ casi nunca",4,
IF(EQ67="Rara vez",3,
IF(EQ67="A veces",2,
IF(EQ67="A menudo",1,
IF(EQ67="Siempre",0,"")))))</f>
        <v>2</v>
      </c>
      <c r="ES67" s="5" t="s">
        <v>247</v>
      </c>
      <c r="ET67" s="5">
        <f>IF(ES67="Nunca/ casi nunca",4,
IF(ES67="Rara vez",3,
IF(ES67="A veces",2,
IF(ES67="A menudo",1,
IF(ES67="Siempre",0,"")))))</f>
        <v>2</v>
      </c>
      <c r="EU67" s="5" t="s">
        <v>232</v>
      </c>
      <c r="EV67" s="5">
        <f>IF(EU67="Nunca/ casi nunca",4,
IF(EU67="Rara vez",3,
IF(EU67="A veces",2,
IF(EU67="A menudo",1,
IF(EU67="Siempre",0,"")))))</f>
        <v>1</v>
      </c>
      <c r="EW67" s="5" t="s">
        <v>232</v>
      </c>
      <c r="EX67" s="5">
        <f>IF(EW67="Nunca/ casi nunca",4,
IF(EW67="Rara vez",3,
IF(EW67="A veces",2,
IF(EW67="A menudo",1,
IF(EW67="Siempre",0,"")))))</f>
        <v>1</v>
      </c>
      <c r="EY67" s="5">
        <f>SUM(ER67,ET67,EV67,EX67)</f>
        <v>6</v>
      </c>
      <c r="EZ67" s="5" t="str">
        <f>IF(EY67&lt;=0,"Nivel de riesgo bajo",
IF(EY67&lt;=4,"Nivel de riesgo medio",
"Nivel de riesgo alto"))</f>
        <v>Nivel de riesgo alto</v>
      </c>
      <c r="FA67" s="5" t="s">
        <v>253</v>
      </c>
      <c r="FB67" s="5">
        <f>IF(FA67="Nunca/ casi nunca",0,
IF(FA67="Rara vez",1,
IF(FA67="A veces",2,
IF(FA67="A menudo",3,
IF(FA67="Siempre",4,"")))))</f>
        <v>0</v>
      </c>
      <c r="FC67" s="5" t="s">
        <v>247</v>
      </c>
      <c r="FD67" s="5">
        <f>IF(FC67="Nunca/ casi nunca",0,
IF(FC67="Rara vez",1,
IF(FC67="A veces",2,
IF(FC67="A menudo",3,
IF(FC67="Siempre",4,"")))))</f>
        <v>2</v>
      </c>
      <c r="FE67" s="5" t="s">
        <v>232</v>
      </c>
      <c r="FF67" s="5">
        <f>IF(FE67="Nunca/ casi nunca",0,
IF(FE67="Rara vez",1,
IF(FE67="A veces",2,
IF(FE67="A menudo",3,
IF(FE67="Siempre",4,"")))))</f>
        <v>3</v>
      </c>
      <c r="FG67" s="5">
        <f>SUM(FB67,FD67,FF67)</f>
        <v>5</v>
      </c>
      <c r="FH67" s="5" t="str">
        <f>IF(FG67&lt;=2,"Nivel de riesgo bajo",
IF(FG67&lt;=5,"Nivel de riesgo medio",
"Nivel de riesgo alto"))</f>
        <v>Nivel de riesgo medio</v>
      </c>
      <c r="FI67" s="5" t="s">
        <v>248</v>
      </c>
      <c r="FJ67" s="5">
        <f>IF(FI67="Nunca/ casi nunca",0,
IF(FI67="Rara vez",1,
IF(FI67="A veces",2,
IF(FI67="A menudo",3,
IF(FI67="Siempre",4,"")))))</f>
        <v>1</v>
      </c>
      <c r="FK67" s="5" t="s">
        <v>253</v>
      </c>
      <c r="FL67" s="5">
        <f>IF(FK67="Nunca/ casi nunca",0,
IF(FK67="Rara vez",1,
IF(FK67="A veces",2,
IF(FK67="A menudo",3,
IF(FK67="Siempre",4,"")))))</f>
        <v>0</v>
      </c>
      <c r="FM67" s="5" t="s">
        <v>253</v>
      </c>
      <c r="FN67" s="5">
        <f>IF(FM67="Nunca/ casi nunca",0,
IF(FM67="Rara vez",1,
IF(FM67="A veces",2,
IF(FM67="A menudo",3,
IF(FM67="Siempre",4,"")))))</f>
        <v>0</v>
      </c>
      <c r="FO67" s="5">
        <f>SUM(FJ67,FL67,FN67)</f>
        <v>1</v>
      </c>
      <c r="FP67" s="5" t="str">
        <f>IF(FO67&lt;=2,"Nivel de riesgo bajo",
IF(FO67&lt;=5,"Nivel de riesgo medio",
"Nivel de riesgo alto"))</f>
        <v>Nivel de riesgo bajo</v>
      </c>
      <c r="FQ67" s="5" t="s">
        <v>206</v>
      </c>
      <c r="FR67" s="5">
        <f>IF(FQ67="No",0,
IF(FQ67="Sí, unas pocas veces",1,
IF(FQ67="Sí, mensualmente",2,
IF(FQ67="Sí, semanalmente",3,
IF(FQ67="Sí, diariamente",4,"")))))</f>
        <v>0</v>
      </c>
      <c r="FS67" s="5" t="s">
        <v>206</v>
      </c>
      <c r="FT67" s="5">
        <f>IF(FS67="No",0,
IF(FS67="Sí, unas pocas veces",1,
IF(FS67="Sí, mensualmente",2,
IF(FS67="Sí, semanalmente",3,
IF(FS67="Sí, diariamente",4,"")))))</f>
        <v>0</v>
      </c>
      <c r="FU67" s="5" t="s">
        <v>206</v>
      </c>
      <c r="FV67" s="5">
        <f>IF(FU67="No",0,
IF(FU67="Sí, unas pocas veces",1,
IF(FU67="Sí, mensualmente",2,
IF(FU67="Sí, semanalmente",3,
IF(FU67="Sí, diariamente",4,"")))))</f>
        <v>0</v>
      </c>
      <c r="FW67" s="5" t="s">
        <v>206</v>
      </c>
      <c r="FX67" s="5">
        <f>IF(FW67="No",0,
IF(FW67="Sí, unas pocas veces",1,
IF(FW67="Sí, mensualmente",2,
IF(FW67="Sí, semanalmente",3,
IF(FW67="Sí, diariamente",4,"")))))</f>
        <v>0</v>
      </c>
      <c r="FY67" s="5" t="s">
        <v>206</v>
      </c>
      <c r="FZ67" s="5">
        <f>IF(FY67="No",0,
IF(FY67="Sí, unas pocas veces",1,
IF(FY67="Sí, mensualmente",2,
IF(FY67="Sí, semanalmente",3,
IF(FY67="Sí, diariamente",4,"")))))</f>
        <v>0</v>
      </c>
      <c r="GA67" s="5" t="s">
        <v>206</v>
      </c>
      <c r="GB67" s="5">
        <f>IF(GA67="No",0,
IF(GA67="Sí, unas pocas veces",1,
IF(GA67="Sí, mensualmente",2,
IF(GA67="Sí, semanalmente",3,
IF(GA67="Sí, diariamente",4,"")))))</f>
        <v>0</v>
      </c>
      <c r="GC67" s="5" t="s">
        <v>206</v>
      </c>
      <c r="GD67" s="5">
        <f>IF(GC67="No",0,
IF(GC67="Sí, unas pocas veces",1,
IF(GC67="Sí, mensualmente",2,
IF(GC67="Sí, semanalmente",3,
IF(GC67="Sí, diariamente",4,"")))))</f>
        <v>0</v>
      </c>
      <c r="GE67" s="5">
        <f>SUM(FR67,FT67,FV67,FX67,FZ67,GB67,GD67)</f>
        <v>0</v>
      </c>
      <c r="GF67" s="5" t="str">
        <f>IF(GE67&lt;=0,"Nivel de riesgo bajo",
IF(GE67&lt;=14,"Nivel de riesgo medio",
"Nivel de riesgo alto"))</f>
        <v>Nivel de riesgo bajo</v>
      </c>
      <c r="GG67" s="5" t="s">
        <v>255</v>
      </c>
      <c r="GH67" s="5" t="s">
        <v>298</v>
      </c>
      <c r="GI67" s="5" t="s">
        <v>273</v>
      </c>
      <c r="GJ67" s="5" t="s">
        <v>233</v>
      </c>
      <c r="GK67" s="5" t="s">
        <v>233</v>
      </c>
      <c r="GL67" s="5" t="s">
        <v>266</v>
      </c>
      <c r="GM67" s="5" t="s">
        <v>273</v>
      </c>
      <c r="GN67" s="5" t="s">
        <v>257</v>
      </c>
      <c r="GO67" s="5" t="s">
        <v>244</v>
      </c>
      <c r="GP67" s="5" t="s">
        <v>257</v>
      </c>
      <c r="GQ67" s="5" t="s">
        <v>234</v>
      </c>
      <c r="GR67" s="5" t="s">
        <v>234</v>
      </c>
      <c r="GS67" s="5" t="s">
        <v>234</v>
      </c>
      <c r="GT67" s="5" t="s">
        <v>234</v>
      </c>
      <c r="GU67" s="5" t="s">
        <v>398</v>
      </c>
      <c r="GV67" s="5" t="str">
        <f>TEXT("6278793494321485750","0")</f>
        <v>6278793494321480000</v>
      </c>
    </row>
    <row r="68" spans="1:204" ht="15.75" hidden="1" customHeight="1" x14ac:dyDescent="0.15">
      <c r="B68" s="4">
        <v>45847.423796296294</v>
      </c>
      <c r="C68" s="5" t="s">
        <v>204</v>
      </c>
      <c r="D68" s="5" t="s">
        <v>206</v>
      </c>
      <c r="F68" s="5" t="s">
        <v>206</v>
      </c>
      <c r="G68" s="5" t="s">
        <v>206</v>
      </c>
      <c r="H68" s="5" t="s">
        <v>206</v>
      </c>
      <c r="J68" s="5" t="s">
        <v>209</v>
      </c>
      <c r="O68" s="5" t="s">
        <v>209</v>
      </c>
      <c r="T68" s="5" t="s">
        <v>209</v>
      </c>
      <c r="Y68" s="5" t="s">
        <v>209</v>
      </c>
      <c r="AC68" s="5" t="s">
        <v>208</v>
      </c>
      <c r="AH68" s="5" t="s">
        <v>268</v>
      </c>
      <c r="AI68" s="5">
        <v>2008</v>
      </c>
      <c r="AJ68" s="5" t="s">
        <v>293</v>
      </c>
      <c r="AK68" s="5"/>
      <c r="AR68" s="5" t="s">
        <v>301</v>
      </c>
      <c r="AS68" s="5" t="s">
        <v>301</v>
      </c>
      <c r="AT68" s="5" t="s">
        <v>301</v>
      </c>
      <c r="AU68" s="5" t="s">
        <v>301</v>
      </c>
      <c r="AV68" s="5" t="s">
        <v>285</v>
      </c>
      <c r="AW68" s="5" t="s">
        <v>204</v>
      </c>
      <c r="AX68" s="5" t="s">
        <v>204</v>
      </c>
      <c r="AY68" s="5" t="s">
        <v>214</v>
      </c>
      <c r="AZ68" s="5" t="s">
        <v>204</v>
      </c>
      <c r="BA68" s="5" t="s">
        <v>289</v>
      </c>
      <c r="BB68" s="5" t="s">
        <v>204</v>
      </c>
      <c r="BC68" s="5" t="s">
        <v>204</v>
      </c>
      <c r="BD68" s="5" t="s">
        <v>290</v>
      </c>
      <c r="BE68" s="5" t="s">
        <v>204</v>
      </c>
      <c r="BF68" s="5" t="s">
        <v>204</v>
      </c>
      <c r="BG68" s="5" t="s">
        <v>207</v>
      </c>
      <c r="BH68" s="5" t="s">
        <v>207</v>
      </c>
      <c r="BI68" s="5" t="s">
        <v>207</v>
      </c>
      <c r="BJ68" s="5" t="s">
        <v>278</v>
      </c>
      <c r="BK68" s="5" t="s">
        <v>244</v>
      </c>
      <c r="BL68" s="5" t="s">
        <v>244</v>
      </c>
      <c r="BM68" s="5" t="s">
        <v>244</v>
      </c>
      <c r="BN68" s="5" t="s">
        <v>244</v>
      </c>
      <c r="BO68" s="5" t="s">
        <v>244</v>
      </c>
      <c r="BP68" s="5" t="s">
        <v>244</v>
      </c>
      <c r="BQ68" s="5" t="s">
        <v>244</v>
      </c>
      <c r="BR68" s="5" t="s">
        <v>244</v>
      </c>
      <c r="BS68" s="5" t="s">
        <v>247</v>
      </c>
      <c r="BT68" s="5" t="s">
        <v>247</v>
      </c>
      <c r="BU68" s="5" t="s">
        <v>248</v>
      </c>
      <c r="BV68" s="5" t="s">
        <v>248</v>
      </c>
      <c r="BW68" s="5" t="s">
        <v>217</v>
      </c>
      <c r="BX68" s="5" t="s">
        <v>217</v>
      </c>
      <c r="BY68" s="5" t="s">
        <v>217</v>
      </c>
      <c r="BZ68" s="5" t="s">
        <v>244</v>
      </c>
      <c r="CA68" s="5" t="s">
        <v>244</v>
      </c>
      <c r="CB68" s="5" t="s">
        <v>244</v>
      </c>
      <c r="CC68" s="5" t="s">
        <v>244</v>
      </c>
      <c r="CD68" s="5" t="s">
        <v>204</v>
      </c>
      <c r="CE68" s="5" t="s">
        <v>286</v>
      </c>
      <c r="CF68" s="5" t="s">
        <v>219</v>
      </c>
      <c r="CG68" s="5" t="s">
        <v>220</v>
      </c>
      <c r="CH68" s="5" t="s">
        <v>221</v>
      </c>
      <c r="CI68" s="5" t="s">
        <v>206</v>
      </c>
      <c r="CJ68" s="5">
        <v>0</v>
      </c>
      <c r="CK68" s="5" t="s">
        <v>223</v>
      </c>
      <c r="CU68" s="5" t="s">
        <v>206</v>
      </c>
      <c r="DA68" s="5" t="s">
        <v>272</v>
      </c>
      <c r="DB68" s="5"/>
      <c r="DC68" s="5" t="s">
        <v>230</v>
      </c>
      <c r="DD68" s="5"/>
      <c r="DE68" s="5" t="s">
        <v>251</v>
      </c>
      <c r="DF68" s="5"/>
      <c r="DG68" s="5" t="s">
        <v>230</v>
      </c>
      <c r="DH68" s="5"/>
      <c r="DI68" s="5" t="s">
        <v>251</v>
      </c>
      <c r="DJ68" s="5"/>
      <c r="DK68" s="5" t="s">
        <v>280</v>
      </c>
      <c r="DL68" s="5"/>
      <c r="DM68" s="5" t="s">
        <v>251</v>
      </c>
      <c r="DN68" s="5"/>
      <c r="DO68" s="5" t="s">
        <v>281</v>
      </c>
      <c r="DP68" s="5"/>
      <c r="DQ68" s="5" t="s">
        <v>281</v>
      </c>
      <c r="DR68" s="5"/>
      <c r="DS68" s="5" t="s">
        <v>281</v>
      </c>
      <c r="DT68" s="5"/>
      <c r="DU68" s="5" t="s">
        <v>281</v>
      </c>
      <c r="DV68" s="5"/>
      <c r="DW68" s="5" t="s">
        <v>281</v>
      </c>
      <c r="DX68" s="5"/>
      <c r="DY68" s="5"/>
      <c r="DZ68" s="5"/>
      <c r="EA68" s="5" t="s">
        <v>254</v>
      </c>
      <c r="EB68" s="5"/>
      <c r="EC68" s="5" t="s">
        <v>248</v>
      </c>
      <c r="ED68" s="5"/>
      <c r="EE68" s="5" t="s">
        <v>248</v>
      </c>
      <c r="EF68" s="5"/>
      <c r="EG68" s="5"/>
      <c r="EH68" s="5"/>
      <c r="EI68" s="5" t="s">
        <v>248</v>
      </c>
      <c r="EJ68" s="5"/>
      <c r="EK68" s="5" t="s">
        <v>248</v>
      </c>
      <c r="EL68" s="5"/>
      <c r="EM68" s="5" t="s">
        <v>248</v>
      </c>
      <c r="EN68" s="5"/>
      <c r="EO68" s="5"/>
      <c r="EP68" s="5"/>
      <c r="EQ68" s="5" t="s">
        <v>254</v>
      </c>
      <c r="ER68" s="5"/>
      <c r="ES68" s="5" t="s">
        <v>254</v>
      </c>
      <c r="ET68" s="5"/>
      <c r="EU68" s="5" t="s">
        <v>254</v>
      </c>
      <c r="EV68" s="5"/>
      <c r="EW68" s="5" t="s">
        <v>254</v>
      </c>
      <c r="EX68" s="5"/>
      <c r="EY68" s="5"/>
      <c r="EZ68" s="5"/>
      <c r="FA68" s="5" t="s">
        <v>248</v>
      </c>
      <c r="FB68" s="5"/>
      <c r="FC68" s="5" t="s">
        <v>248</v>
      </c>
      <c r="FD68" s="5"/>
      <c r="FE68" s="5" t="s">
        <v>248</v>
      </c>
      <c r="FF68" s="5"/>
      <c r="FG68" s="5"/>
      <c r="FH68" s="5"/>
      <c r="FI68" s="5" t="s">
        <v>253</v>
      </c>
      <c r="FJ68" s="5"/>
      <c r="FK68" s="5" t="s">
        <v>253</v>
      </c>
      <c r="FL68" s="5"/>
      <c r="FM68" s="5" t="s">
        <v>253</v>
      </c>
      <c r="FN68" s="5"/>
      <c r="FO68" s="5"/>
      <c r="FP68" s="5"/>
      <c r="FQ68" s="5" t="s">
        <v>206</v>
      </c>
      <c r="FR68" s="5"/>
      <c r="FS68" s="5" t="s">
        <v>206</v>
      </c>
      <c r="FT68" s="5"/>
      <c r="FU68" s="5" t="s">
        <v>206</v>
      </c>
      <c r="FV68" s="5"/>
      <c r="FW68" s="5" t="s">
        <v>206</v>
      </c>
      <c r="FX68" s="5"/>
      <c r="FY68" s="5" t="s">
        <v>206</v>
      </c>
      <c r="FZ68" s="5"/>
      <c r="GA68" s="5" t="s">
        <v>206</v>
      </c>
      <c r="GB68" s="5"/>
      <c r="GC68" s="5" t="s">
        <v>206</v>
      </c>
      <c r="GD68" s="5"/>
      <c r="GE68" s="5"/>
      <c r="GF68" s="5"/>
      <c r="GG68" s="5" t="s">
        <v>255</v>
      </c>
      <c r="GH68" s="5" t="s">
        <v>255</v>
      </c>
      <c r="GI68" s="5" t="s">
        <v>255</v>
      </c>
      <c r="GJ68" s="5" t="s">
        <v>298</v>
      </c>
      <c r="GK68" s="5" t="s">
        <v>233</v>
      </c>
      <c r="GL68" s="5" t="s">
        <v>273</v>
      </c>
      <c r="GM68" s="5" t="s">
        <v>298</v>
      </c>
      <c r="GN68" s="5" t="s">
        <v>256</v>
      </c>
      <c r="GO68" s="5" t="s">
        <v>256</v>
      </c>
      <c r="GP68" s="5" t="s">
        <v>256</v>
      </c>
      <c r="GQ68" s="5" t="s">
        <v>256</v>
      </c>
      <c r="GR68" s="5" t="s">
        <v>256</v>
      </c>
      <c r="GS68" s="5" t="s">
        <v>256</v>
      </c>
      <c r="GT68" s="5" t="s">
        <v>256</v>
      </c>
      <c r="GU68" s="5" t="s">
        <v>399</v>
      </c>
      <c r="GV68" s="5" t="str">
        <f>TEXT("6278794166019970234","0")</f>
        <v>6278794166019970000</v>
      </c>
    </row>
    <row r="69" spans="1:204" ht="15.75" customHeight="1" x14ac:dyDescent="0.15">
      <c r="A69" s="1">
        <f>ROW(A69)</f>
        <v>69</v>
      </c>
      <c r="B69" s="4">
        <v>45847.425659722219</v>
      </c>
      <c r="C69" s="5" t="s">
        <v>204</v>
      </c>
      <c r="D69" s="5" t="s">
        <v>206</v>
      </c>
      <c r="F69" s="5" t="s">
        <v>206</v>
      </c>
      <c r="G69" s="5" t="s">
        <v>206</v>
      </c>
      <c r="H69" s="5" t="s">
        <v>206</v>
      </c>
      <c r="L69" s="5" t="s">
        <v>236</v>
      </c>
      <c r="O69" s="5" t="s">
        <v>209</v>
      </c>
      <c r="T69" s="5" t="s">
        <v>209</v>
      </c>
      <c r="Z69" s="5" t="s">
        <v>237</v>
      </c>
      <c r="AG69" s="5" t="s">
        <v>207</v>
      </c>
      <c r="AH69" s="5" t="s">
        <v>268</v>
      </c>
      <c r="AI69" s="5">
        <v>1991</v>
      </c>
      <c r="AJ69" s="5" t="s">
        <v>330</v>
      </c>
      <c r="AK69" s="5" t="str">
        <f>IF(OR(AJ69="Empleada del sector privado",AJ69="Empleada del sector público"),"Asalariada",
IF(AJ69="Trabajadora por cuenta propia","Trabajadora por cuenta propia",""))</f>
        <v>Asalariada</v>
      </c>
      <c r="AQ69" s="5" t="s">
        <v>204</v>
      </c>
      <c r="AR69" s="5" t="s">
        <v>301</v>
      </c>
      <c r="AS69" s="5" t="s">
        <v>301</v>
      </c>
      <c r="AT69" s="5" t="s">
        <v>301</v>
      </c>
      <c r="AU69" s="5" t="s">
        <v>301</v>
      </c>
      <c r="AV69" s="5" t="s">
        <v>285</v>
      </c>
      <c r="AW69" s="5" t="s">
        <v>204</v>
      </c>
      <c r="AX69" s="5" t="s">
        <v>204</v>
      </c>
      <c r="AY69" s="5" t="s">
        <v>214</v>
      </c>
      <c r="AZ69" s="5" t="s">
        <v>204</v>
      </c>
      <c r="BA69" s="5" t="s">
        <v>263</v>
      </c>
      <c r="BF69" s="5" t="s">
        <v>204</v>
      </c>
      <c r="BG69" s="5" t="s">
        <v>207</v>
      </c>
      <c r="BH69" s="5" t="s">
        <v>215</v>
      </c>
      <c r="BI69" s="5" t="s">
        <v>207</v>
      </c>
      <c r="BJ69" s="5" t="s">
        <v>271</v>
      </c>
      <c r="BK69" s="5" t="s">
        <v>243</v>
      </c>
      <c r="BL69" s="5" t="s">
        <v>246</v>
      </c>
      <c r="BM69" s="5" t="s">
        <v>245</v>
      </c>
      <c r="BN69" s="5" t="s">
        <v>245</v>
      </c>
      <c r="BO69" s="5" t="s">
        <v>245</v>
      </c>
      <c r="BP69" s="5" t="s">
        <v>245</v>
      </c>
      <c r="BQ69" s="5" t="s">
        <v>245</v>
      </c>
      <c r="BR69" s="5" t="s">
        <v>243</v>
      </c>
      <c r="BS69" s="5" t="s">
        <v>254</v>
      </c>
      <c r="BT69" s="5" t="s">
        <v>232</v>
      </c>
      <c r="BU69" s="5" t="s">
        <v>232</v>
      </c>
      <c r="BV69" s="5" t="s">
        <v>254</v>
      </c>
      <c r="BW69" s="5" t="s">
        <v>254</v>
      </c>
      <c r="BX69" s="5" t="s">
        <v>254</v>
      </c>
      <c r="BY69" s="5" t="s">
        <v>254</v>
      </c>
      <c r="BZ69" s="5" t="s">
        <v>243</v>
      </c>
      <c r="CA69" s="5" t="s">
        <v>245</v>
      </c>
      <c r="CB69" s="5" t="s">
        <v>245</v>
      </c>
      <c r="CC69" s="5" t="s">
        <v>245</v>
      </c>
      <c r="CD69" s="5" t="s">
        <v>206</v>
      </c>
      <c r="CH69" s="5" t="s">
        <v>206</v>
      </c>
      <c r="CI69" s="5" t="s">
        <v>318</v>
      </c>
      <c r="CJ69" s="5">
        <v>3</v>
      </c>
      <c r="CK69" s="5" t="s">
        <v>223</v>
      </c>
      <c r="CU69" s="5" t="s">
        <v>206</v>
      </c>
      <c r="DA69" s="5" t="s">
        <v>252</v>
      </c>
      <c r="DB69" s="5">
        <f>IF(DA69="Mejor que lo habitual",1,
IF(DA69="Igual que lo habitual",2,
IF(DA69="Menos que lo habitual",3,
IF(DA69="Mucho menos que lo habitual",4,""))))</f>
        <v>3</v>
      </c>
      <c r="DC69" s="5" t="s">
        <v>280</v>
      </c>
      <c r="DD69" s="5">
        <f>IF(DC69="No, en absoluto",1,
IF(DC69="No más que lo habitual",2,
IF(DC69="Bastante más que lo habitual",3,
IF(DC69="Mucho más que lo habitual",4,""))))</f>
        <v>4</v>
      </c>
      <c r="DE69" s="5" t="s">
        <v>280</v>
      </c>
      <c r="DF69" s="5">
        <f>IF(DE69="No, en absoluto",1,
IF(DE69="No más que lo habitual",2,
IF(DE69="Bastante más que lo habitual",3,
IF(DE69="Mucho más que lo habitual",4,""))))</f>
        <v>4</v>
      </c>
      <c r="DG69" s="5" t="s">
        <v>250</v>
      </c>
      <c r="DH69" s="5">
        <f>IF(DG69="No, en absoluto",1,
IF(DG69="No más que lo habitual",2,
IF(DG69="Bastante más que lo habitual",3,
IF(DG69="Mucho más que lo habitual",4,""))))</f>
        <v>3</v>
      </c>
      <c r="DI69" s="5" t="s">
        <v>280</v>
      </c>
      <c r="DJ69" s="5">
        <f>IF(DI69="No, en absoluto",1,
IF(DI69="No más que lo habitual",2,
IF(DI69="Bastante más que lo habitual",3,
IF(DI69="Mucho más que lo habitual",4,""))))</f>
        <v>4</v>
      </c>
      <c r="DK69" s="5" t="s">
        <v>280</v>
      </c>
      <c r="DL69" s="5">
        <f>IF(DK69="No, en absoluto",1,
IF(DK69="No más que lo habitual",2,
IF(DK69="Bastante más que lo habitual",3,
IF(DK69="Mucho más que lo habitual",4,""))))</f>
        <v>4</v>
      </c>
      <c r="DM69" s="5" t="s">
        <v>250</v>
      </c>
      <c r="DN69" s="5">
        <f>IF(DM69="No, en absoluto",1,
IF(DM69="No más que lo habitual",2,
IF(DM69="Bastante más que lo habitual",3,
IF(DM69="Mucho más que lo habitual",4,""))))</f>
        <v>3</v>
      </c>
      <c r="DO69" s="5" t="s">
        <v>252</v>
      </c>
      <c r="DP69" s="5">
        <f>IF(DO69="Más que lo habitual",1,
IF(DO69="Igual que lo habitual",2,
IF(DO69="Menos que lo habitual",3,
IF(DO69="Mucho menos que lo habitual",4,""))))</f>
        <v>3</v>
      </c>
      <c r="DQ69" s="5" t="s">
        <v>252</v>
      </c>
      <c r="DR69" s="5">
        <f>IF(DQ69="Más que lo habitual",1,
IF(DQ69="Igual que lo habitual",2,
IF(DQ69="Menos que lo habitual",3,
IF(DQ69="Mucho menos que lo habitual",4,""))))</f>
        <v>3</v>
      </c>
      <c r="DS69" s="5" t="s">
        <v>252</v>
      </c>
      <c r="DT69" s="5">
        <f>IF(DS69="Más que lo habitual",1,
IF(DS69="Igual que lo habitual",2,
IF(DS69="Menos que lo habitual",3,
IF(DS69="Mucho menos que lo habitual",4,""))))</f>
        <v>3</v>
      </c>
      <c r="DU69" s="5" t="s">
        <v>252</v>
      </c>
      <c r="DV69" s="5">
        <f>IF(DU69="Más que lo habitual",1,
IF(DU69="Igual que lo habitual",2,
IF(DU69="Menos que lo habitual",3,
IF(DU69="Mucho menos que lo habitual",4,""))))</f>
        <v>3</v>
      </c>
      <c r="DW69" s="5" t="s">
        <v>252</v>
      </c>
      <c r="DX69" s="5">
        <f>IF(DW69="Más que lo habitual",1,
IF(DW69="Igual que lo habitual",2,
IF(DW69="Menos que lo habitual",3,
IF(DW69="Mucho menos que lo habitual",4,""))))</f>
        <v>3</v>
      </c>
      <c r="DY69" s="5">
        <f>SUM(DB69,DD69,DF69,DH69,DJ69,DL69,DN69,DP69,DR69,DT69,DV69,DX69)</f>
        <v>40</v>
      </c>
      <c r="DZ69" s="5" t="str">
        <f>IF(DY69&lt;=18,"Nivel de riesgo bajo",
IF(DY69&lt;=23,"Nivel de riesgo medio",
"Nivel de riesgo alto"))</f>
        <v>Nivel de riesgo alto</v>
      </c>
      <c r="EA69" s="5" t="s">
        <v>232</v>
      </c>
      <c r="EB69" s="5">
        <f>IF(EA69="Nunca/ casi nunca",0,
IF(EA69="Rara vez",1,
IF(EA69="A veces",2,
IF(EA69="A menudo",3,
IF(EA69="Siempre",4,"")))))</f>
        <v>3</v>
      </c>
      <c r="EC69" s="5" t="s">
        <v>247</v>
      </c>
      <c r="ED69" s="5">
        <f>IF(EC69="Nunca/ casi nunca",0,
IF(EC69="Rara vez",1,
IF(EC69="A veces",2,
IF(EC69="A menudo",3,
IF(EC69="Siempre",4,"")))))</f>
        <v>2</v>
      </c>
      <c r="EE69" s="5" t="s">
        <v>253</v>
      </c>
      <c r="EF69" s="5">
        <f>IF(EE69="Nunca/ casi nunca",0,
IF(EE69="Rara vez",1,
IF(EE69="A veces",2,
IF(EE69="A menudo",3,
IF(EE69="Siempre",4,"")))))</f>
        <v>0</v>
      </c>
      <c r="EG69" s="5">
        <f>SUM(EB69,ED69,EF69)</f>
        <v>5</v>
      </c>
      <c r="EH69" s="5" t="str">
        <f>IF(EG69&lt;=1,"Nivel de riesgo bajo",
IF(EG69&lt;=4,"Nivel de riesgo medio",
"Nivel de riesgo alto"))</f>
        <v>Nivel de riesgo alto</v>
      </c>
      <c r="EI69" s="5" t="s">
        <v>248</v>
      </c>
      <c r="EJ69" s="5">
        <f>IF(EI69="Nunca/ casi nunca",0,
IF(EI69="Rara vez",1,
IF(EI69="A veces",2,
IF(EI69="A menudo",3,
IF(EI69="Siempre",4,"")))))</f>
        <v>1</v>
      </c>
      <c r="EK69" s="5" t="s">
        <v>253</v>
      </c>
      <c r="EL69" s="5">
        <f>IF(EK69="Nunca/ casi nunca",0,
IF(EK69="Rara vez",1,
IF(EK69="A veces",2,
IF(EK69="A menudo",3,
IF(EK69="Siempre",4,"")))))</f>
        <v>0</v>
      </c>
      <c r="EM69" s="5" t="s">
        <v>232</v>
      </c>
      <c r="EN69" s="5">
        <f>IF(EM69="Nunca/ casi nunca",0,
IF(EM69="Rara vez",1,
IF(EM69="A veces",2,
IF(EM69="A menudo",3,
IF(EM69="Siempre",4,"")))))</f>
        <v>3</v>
      </c>
      <c r="EO69" s="5">
        <f>SUM(EJ69,EL69,EN69)</f>
        <v>4</v>
      </c>
      <c r="EP69" s="5" t="str">
        <f>IF(EO69&lt;=1,"Nivel de riesgo bajo",
IF(EO69&lt;=5,"Nivel de riesgo medio",
"Nivel de riesgo alto"))</f>
        <v>Nivel de riesgo medio</v>
      </c>
      <c r="EQ69" s="5" t="s">
        <v>248</v>
      </c>
      <c r="ER69" s="5">
        <f>IF(EQ69="Nunca/ casi nunca",4,
IF(EQ69="Rara vez",3,
IF(EQ69="A veces",2,
IF(EQ69="A menudo",1,
IF(EQ69="Siempre",0,"")))))</f>
        <v>3</v>
      </c>
      <c r="ES69" s="5" t="s">
        <v>254</v>
      </c>
      <c r="ET69" s="5">
        <f>IF(ES69="Nunca/ casi nunca",4,
IF(ES69="Rara vez",3,
IF(ES69="A veces",2,
IF(ES69="A menudo",1,
IF(ES69="Siempre",0,"")))))</f>
        <v>0</v>
      </c>
      <c r="EU69" s="5" t="s">
        <v>232</v>
      </c>
      <c r="EV69" s="5">
        <f>IF(EU69="Nunca/ casi nunca",4,
IF(EU69="Rara vez",3,
IF(EU69="A veces",2,
IF(EU69="A menudo",1,
IF(EU69="Siempre",0,"")))))</f>
        <v>1</v>
      </c>
      <c r="EW69" s="5" t="s">
        <v>254</v>
      </c>
      <c r="EX69" s="5">
        <f>IF(EW69="Nunca/ casi nunca",4,
IF(EW69="Rara vez",3,
IF(EW69="A veces",2,
IF(EW69="A menudo",1,
IF(EW69="Siempre",0,"")))))</f>
        <v>0</v>
      </c>
      <c r="EY69" s="5">
        <f>SUM(ER69,ET69,EV69,EX69)</f>
        <v>4</v>
      </c>
      <c r="EZ69" s="5" t="str">
        <f>IF(EY69&lt;=0,"Nivel de riesgo bajo",
IF(EY69&lt;=4,"Nivel de riesgo medio",
"Nivel de riesgo alto"))</f>
        <v>Nivel de riesgo medio</v>
      </c>
      <c r="FA69" s="5" t="s">
        <v>248</v>
      </c>
      <c r="FB69" s="5">
        <f>IF(FA69="Nunca/ casi nunca",0,
IF(FA69="Rara vez",1,
IF(FA69="A veces",2,
IF(FA69="A menudo",3,
IF(FA69="Siempre",4,"")))))</f>
        <v>1</v>
      </c>
      <c r="FC69" s="5" t="s">
        <v>253</v>
      </c>
      <c r="FD69" s="5">
        <f>IF(FC69="Nunca/ casi nunca",0,
IF(FC69="Rara vez",1,
IF(FC69="A veces",2,
IF(FC69="A menudo",3,
IF(FC69="Siempre",4,"")))))</f>
        <v>0</v>
      </c>
      <c r="FE69" s="5" t="s">
        <v>253</v>
      </c>
      <c r="FF69" s="5">
        <f>IF(FE69="Nunca/ casi nunca",0,
IF(FE69="Rara vez",1,
IF(FE69="A veces",2,
IF(FE69="A menudo",3,
IF(FE69="Siempre",4,"")))))</f>
        <v>0</v>
      </c>
      <c r="FG69" s="5">
        <f>SUM(FB69,FD69,FF69)</f>
        <v>1</v>
      </c>
      <c r="FH69" s="5" t="str">
        <f>IF(FG69&lt;=2,"Nivel de riesgo bajo",
IF(FG69&lt;=5,"Nivel de riesgo medio",
"Nivel de riesgo alto"))</f>
        <v>Nivel de riesgo bajo</v>
      </c>
      <c r="FI69" s="5" t="s">
        <v>247</v>
      </c>
      <c r="FJ69" s="5">
        <f>IF(FI69="Nunca/ casi nunca",0,
IF(FI69="Rara vez",1,
IF(FI69="A veces",2,
IF(FI69="A menudo",3,
IF(FI69="Siempre",4,"")))))</f>
        <v>2</v>
      </c>
      <c r="FK69" s="5" t="s">
        <v>247</v>
      </c>
      <c r="FL69" s="5">
        <f>IF(FK69="Nunca/ casi nunca",0,
IF(FK69="Rara vez",1,
IF(FK69="A veces",2,
IF(FK69="A menudo",3,
IF(FK69="Siempre",4,"")))))</f>
        <v>2</v>
      </c>
      <c r="FM69" s="5" t="s">
        <v>248</v>
      </c>
      <c r="FN69" s="5">
        <f>IF(FM69="Nunca/ casi nunca",0,
IF(FM69="Rara vez",1,
IF(FM69="A veces",2,
IF(FM69="A menudo",3,
IF(FM69="Siempre",4,"")))))</f>
        <v>1</v>
      </c>
      <c r="FO69" s="5">
        <f>SUM(FJ69,FL69,FN69)</f>
        <v>5</v>
      </c>
      <c r="FP69" s="5" t="str">
        <f>IF(FO69&lt;=2,"Nivel de riesgo bajo",
IF(FO69&lt;=5,"Nivel de riesgo medio",
"Nivel de riesgo alto"))</f>
        <v>Nivel de riesgo medio</v>
      </c>
      <c r="FQ69" s="5" t="s">
        <v>206</v>
      </c>
      <c r="FR69" s="5">
        <f>IF(FQ69="No",0,
IF(FQ69="Sí, unas pocas veces",1,
IF(FQ69="Sí, mensualmente",2,
IF(FQ69="Sí, semanalmente",3,
IF(FQ69="Sí, diariamente",4,"")))))</f>
        <v>0</v>
      </c>
      <c r="FS69" s="5" t="s">
        <v>265</v>
      </c>
      <c r="FT69" s="5">
        <f>IF(FS69="No",0,
IF(FS69="Sí, unas pocas veces",1,
IF(FS69="Sí, mensualmente",2,
IF(FS69="Sí, semanalmente",3,
IF(FS69="Sí, diariamente",4,"")))))</f>
        <v>1</v>
      </c>
      <c r="FU69" s="5" t="s">
        <v>206</v>
      </c>
      <c r="FV69" s="5">
        <f>IF(FU69="No",0,
IF(FU69="Sí, unas pocas veces",1,
IF(FU69="Sí, mensualmente",2,
IF(FU69="Sí, semanalmente",3,
IF(FU69="Sí, diariamente",4,"")))))</f>
        <v>0</v>
      </c>
      <c r="FW69" s="5" t="s">
        <v>206</v>
      </c>
      <c r="FX69" s="5">
        <f>IF(FW69="No",0,
IF(FW69="Sí, unas pocas veces",1,
IF(FW69="Sí, mensualmente",2,
IF(FW69="Sí, semanalmente",3,
IF(FW69="Sí, diariamente",4,"")))))</f>
        <v>0</v>
      </c>
      <c r="FY69" s="5" t="s">
        <v>206</v>
      </c>
      <c r="FZ69" s="5">
        <f>IF(FY69="No",0,
IF(FY69="Sí, unas pocas veces",1,
IF(FY69="Sí, mensualmente",2,
IF(FY69="Sí, semanalmente",3,
IF(FY69="Sí, diariamente",4,"")))))</f>
        <v>0</v>
      </c>
      <c r="GA69" s="5" t="s">
        <v>206</v>
      </c>
      <c r="GB69" s="5">
        <f>IF(GA69="No",0,
IF(GA69="Sí, unas pocas veces",1,
IF(GA69="Sí, mensualmente",2,
IF(GA69="Sí, semanalmente",3,
IF(GA69="Sí, diariamente",4,"")))))</f>
        <v>0</v>
      </c>
      <c r="GC69" s="5" t="s">
        <v>265</v>
      </c>
      <c r="GD69" s="5">
        <f>IF(GC69="No",0,
IF(GC69="Sí, unas pocas veces",1,
IF(GC69="Sí, mensualmente",2,
IF(GC69="Sí, semanalmente",3,
IF(GC69="Sí, diariamente",4,"")))))</f>
        <v>1</v>
      </c>
      <c r="GE69" s="5">
        <f>SUM(FR69,FT69,FV69,FX69,FZ69,GB69,GD69)</f>
        <v>2</v>
      </c>
      <c r="GF69" s="5" t="str">
        <f>IF(GE69&lt;=0,"Nivel de riesgo bajo",
IF(GE69&lt;=14,"Nivel de riesgo medio",
"Nivel de riesgo alto"))</f>
        <v>Nivel de riesgo medio</v>
      </c>
      <c r="GG69" s="5" t="s">
        <v>255</v>
      </c>
      <c r="GH69" s="5" t="s">
        <v>233</v>
      </c>
      <c r="GI69" s="5" t="s">
        <v>266</v>
      </c>
      <c r="GJ69" s="5" t="s">
        <v>255</v>
      </c>
      <c r="GK69" s="5" t="s">
        <v>233</v>
      </c>
      <c r="GL69" s="5" t="s">
        <v>255</v>
      </c>
      <c r="GM69" s="5" t="s">
        <v>233</v>
      </c>
      <c r="GN69" s="5" t="s">
        <v>243</v>
      </c>
      <c r="GO69" s="5" t="s">
        <v>257</v>
      </c>
      <c r="GP69" s="5" t="s">
        <v>243</v>
      </c>
      <c r="GQ69" s="5" t="s">
        <v>257</v>
      </c>
      <c r="GR69" s="5" t="s">
        <v>257</v>
      </c>
      <c r="GS69" s="5" t="s">
        <v>257</v>
      </c>
      <c r="GT69" s="5" t="s">
        <v>257</v>
      </c>
      <c r="GU69" s="5" t="s">
        <v>400</v>
      </c>
      <c r="GV69" s="5" t="str">
        <f>TEXT("6278795777111727032","0")</f>
        <v>6278795777111720000</v>
      </c>
    </row>
    <row r="70" spans="1:204" ht="15.75" customHeight="1" x14ac:dyDescent="0.15">
      <c r="A70" s="1">
        <f>ROW(A70)</f>
        <v>70</v>
      </c>
      <c r="B70" s="4">
        <v>45847.429247685184</v>
      </c>
      <c r="C70" s="5" t="s">
        <v>204</v>
      </c>
      <c r="D70" s="5" t="s">
        <v>206</v>
      </c>
      <c r="F70" s="5" t="s">
        <v>206</v>
      </c>
      <c r="G70" s="5" t="s">
        <v>206</v>
      </c>
      <c r="H70" s="5" t="s">
        <v>206</v>
      </c>
      <c r="K70" s="5" t="s">
        <v>237</v>
      </c>
      <c r="O70" s="5" t="s">
        <v>209</v>
      </c>
      <c r="U70" s="5" t="s">
        <v>237</v>
      </c>
      <c r="Y70" s="5" t="s">
        <v>209</v>
      </c>
      <c r="AD70" s="5" t="s">
        <v>209</v>
      </c>
      <c r="AH70" s="5" t="s">
        <v>268</v>
      </c>
      <c r="AI70" s="5">
        <v>2024</v>
      </c>
      <c r="AJ70" s="5" t="s">
        <v>330</v>
      </c>
      <c r="AK70" s="5" t="str">
        <f>IF(OR(AJ70="Empleada del sector privado",AJ70="Empleada del sector público"),"Asalariada",
IF(AJ70="Trabajadora por cuenta propia","Trabajadora por cuenta propia",""))</f>
        <v>Asalariada</v>
      </c>
      <c r="AQ70" s="5" t="s">
        <v>206</v>
      </c>
      <c r="AR70" s="5" t="s">
        <v>261</v>
      </c>
      <c r="AS70" s="5" t="s">
        <v>241</v>
      </c>
      <c r="AT70" s="5" t="s">
        <v>241</v>
      </c>
      <c r="AU70" s="5" t="s">
        <v>261</v>
      </c>
      <c r="AV70" s="5" t="s">
        <v>269</v>
      </c>
      <c r="AW70" s="5" t="s">
        <v>204</v>
      </c>
      <c r="AX70" s="5" t="s">
        <v>204</v>
      </c>
      <c r="AY70" s="5" t="s">
        <v>270</v>
      </c>
      <c r="AZ70" s="5" t="s">
        <v>204</v>
      </c>
      <c r="BA70" s="5" t="s">
        <v>263</v>
      </c>
      <c r="BF70" s="5" t="s">
        <v>204</v>
      </c>
      <c r="BG70" s="5" t="s">
        <v>242</v>
      </c>
      <c r="BH70" s="5" t="s">
        <v>242</v>
      </c>
      <c r="BI70" s="5" t="s">
        <v>242</v>
      </c>
      <c r="BJ70" s="5" t="s">
        <v>242</v>
      </c>
      <c r="BK70" s="5" t="s">
        <v>246</v>
      </c>
      <c r="BL70" s="5" t="s">
        <v>246</v>
      </c>
      <c r="BM70" s="5" t="s">
        <v>246</v>
      </c>
      <c r="BN70" s="5" t="s">
        <v>246</v>
      </c>
      <c r="BO70" s="5" t="s">
        <v>246</v>
      </c>
      <c r="BP70" s="5" t="s">
        <v>246</v>
      </c>
      <c r="BQ70" s="5" t="s">
        <v>246</v>
      </c>
      <c r="BR70" s="5" t="s">
        <v>246</v>
      </c>
      <c r="BS70" s="5" t="s">
        <v>247</v>
      </c>
      <c r="BT70" s="5" t="s">
        <v>247</v>
      </c>
      <c r="BU70" s="5" t="s">
        <v>247</v>
      </c>
      <c r="BV70" s="5" t="s">
        <v>247</v>
      </c>
      <c r="BW70" s="5" t="s">
        <v>247</v>
      </c>
      <c r="BX70" s="5" t="s">
        <v>247</v>
      </c>
      <c r="BY70" s="5" t="s">
        <v>247</v>
      </c>
      <c r="BZ70" s="5" t="s">
        <v>246</v>
      </c>
      <c r="CA70" s="5" t="s">
        <v>246</v>
      </c>
      <c r="CB70" s="5" t="s">
        <v>246</v>
      </c>
      <c r="CC70" s="5" t="s">
        <v>246</v>
      </c>
      <c r="CD70" s="5" t="s">
        <v>206</v>
      </c>
      <c r="CH70" s="5" t="s">
        <v>206</v>
      </c>
      <c r="CI70" s="5" t="s">
        <v>206</v>
      </c>
      <c r="CJ70" s="5">
        <v>0</v>
      </c>
      <c r="CK70" s="5" t="s">
        <v>223</v>
      </c>
      <c r="CU70" s="5" t="s">
        <v>206</v>
      </c>
      <c r="DA70" s="5" t="s">
        <v>231</v>
      </c>
      <c r="DB70" s="5">
        <f>IF(DA70="Mejor que lo habitual",1,
IF(DA70="Igual que lo habitual",2,
IF(DA70="Menos que lo habitual",3,
IF(DA70="Mucho menos que lo habitual",4,""))))</f>
        <v>2</v>
      </c>
      <c r="DC70" s="5" t="s">
        <v>230</v>
      </c>
      <c r="DD70" s="5">
        <f>IF(DC70="No, en absoluto",1,
IF(DC70="No más que lo habitual",2,
IF(DC70="Bastante más que lo habitual",3,
IF(DC70="Mucho más que lo habitual",4,""))))</f>
        <v>2</v>
      </c>
      <c r="DE70" s="5" t="s">
        <v>230</v>
      </c>
      <c r="DF70" s="5">
        <f>IF(DE70="No, en absoluto",1,
IF(DE70="No más que lo habitual",2,
IF(DE70="Bastante más que lo habitual",3,
IF(DE70="Mucho más que lo habitual",4,""))))</f>
        <v>2</v>
      </c>
      <c r="DG70" s="5" t="s">
        <v>230</v>
      </c>
      <c r="DH70" s="5">
        <f>IF(DG70="No, en absoluto",1,
IF(DG70="No más que lo habitual",2,
IF(DG70="Bastante más que lo habitual",3,
IF(DG70="Mucho más que lo habitual",4,""))))</f>
        <v>2</v>
      </c>
      <c r="DI70" s="5" t="s">
        <v>230</v>
      </c>
      <c r="DJ70" s="5">
        <f>IF(DI70="No, en absoluto",1,
IF(DI70="No más que lo habitual",2,
IF(DI70="Bastante más que lo habitual",3,
IF(DI70="Mucho más que lo habitual",4,""))))</f>
        <v>2</v>
      </c>
      <c r="DK70" s="5" t="s">
        <v>230</v>
      </c>
      <c r="DL70" s="5">
        <f>IF(DK70="No, en absoluto",1,
IF(DK70="No más que lo habitual",2,
IF(DK70="Bastante más que lo habitual",3,
IF(DK70="Mucho más que lo habitual",4,""))))</f>
        <v>2</v>
      </c>
      <c r="DM70" s="5" t="s">
        <v>230</v>
      </c>
      <c r="DN70" s="5">
        <f>IF(DM70="No, en absoluto",1,
IF(DM70="No más que lo habitual",2,
IF(DM70="Bastante más que lo habitual",3,
IF(DM70="Mucho más que lo habitual",4,""))))</f>
        <v>2</v>
      </c>
      <c r="DO70" s="5" t="s">
        <v>231</v>
      </c>
      <c r="DP70" s="5">
        <f>IF(DO70="Más que lo habitual",1,
IF(DO70="Igual que lo habitual",2,
IF(DO70="Menos que lo habitual",3,
IF(DO70="Mucho menos que lo habitual",4,""))))</f>
        <v>2</v>
      </c>
      <c r="DQ70" s="5" t="s">
        <v>231</v>
      </c>
      <c r="DR70" s="5">
        <f>IF(DQ70="Más que lo habitual",1,
IF(DQ70="Igual que lo habitual",2,
IF(DQ70="Menos que lo habitual",3,
IF(DQ70="Mucho menos que lo habitual",4,""))))</f>
        <v>2</v>
      </c>
      <c r="DS70" s="5" t="s">
        <v>231</v>
      </c>
      <c r="DT70" s="5">
        <f>IF(DS70="Más que lo habitual",1,
IF(DS70="Igual que lo habitual",2,
IF(DS70="Menos que lo habitual",3,
IF(DS70="Mucho menos que lo habitual",4,""))))</f>
        <v>2</v>
      </c>
      <c r="DU70" s="5" t="s">
        <v>231</v>
      </c>
      <c r="DV70" s="5">
        <f>IF(DU70="Más que lo habitual",1,
IF(DU70="Igual que lo habitual",2,
IF(DU70="Menos que lo habitual",3,
IF(DU70="Mucho menos que lo habitual",4,""))))</f>
        <v>2</v>
      </c>
      <c r="DW70" s="5" t="s">
        <v>231</v>
      </c>
      <c r="DX70" s="5">
        <f>IF(DW70="Más que lo habitual",1,
IF(DW70="Igual que lo habitual",2,
IF(DW70="Menos que lo habitual",3,
IF(DW70="Mucho menos que lo habitual",4,""))))</f>
        <v>2</v>
      </c>
      <c r="DY70" s="5">
        <f>SUM(DB70,DD70,DF70,DH70,DJ70,DL70,DN70,DP70,DR70,DT70,DV70,DX70)</f>
        <v>24</v>
      </c>
      <c r="DZ70" s="5" t="str">
        <f>IF(DY70&lt;=18,"Nivel de riesgo bajo",
IF(DY70&lt;=23,"Nivel de riesgo medio",
"Nivel de riesgo alto"))</f>
        <v>Nivel de riesgo alto</v>
      </c>
      <c r="EA70" s="5" t="s">
        <v>247</v>
      </c>
      <c r="EB70" s="5">
        <f>IF(EA70="Nunca/ casi nunca",0,
IF(EA70="Rara vez",1,
IF(EA70="A veces",2,
IF(EA70="A menudo",3,
IF(EA70="Siempre",4,"")))))</f>
        <v>2</v>
      </c>
      <c r="EC70" s="5" t="s">
        <v>247</v>
      </c>
      <c r="ED70" s="5">
        <f>IF(EC70="Nunca/ casi nunca",0,
IF(EC70="Rara vez",1,
IF(EC70="A veces",2,
IF(EC70="A menudo",3,
IF(EC70="Siempre",4,"")))))</f>
        <v>2</v>
      </c>
      <c r="EE70" s="5" t="s">
        <v>248</v>
      </c>
      <c r="EF70" s="5">
        <f>IF(EE70="Nunca/ casi nunca",0,
IF(EE70="Rara vez",1,
IF(EE70="A veces",2,
IF(EE70="A menudo",3,
IF(EE70="Siempre",4,"")))))</f>
        <v>1</v>
      </c>
      <c r="EG70" s="5">
        <f>SUM(EB70,ED70,EF70)</f>
        <v>5</v>
      </c>
      <c r="EH70" s="5" t="str">
        <f>IF(EG70&lt;=1,"Nivel de riesgo bajo",
IF(EG70&lt;=4,"Nivel de riesgo medio",
"Nivel de riesgo alto"))</f>
        <v>Nivel de riesgo alto</v>
      </c>
      <c r="EI70" s="5" t="s">
        <v>247</v>
      </c>
      <c r="EJ70" s="5">
        <f>IF(EI70="Nunca/ casi nunca",0,
IF(EI70="Rara vez",1,
IF(EI70="A veces",2,
IF(EI70="A menudo",3,
IF(EI70="Siempre",4,"")))))</f>
        <v>2</v>
      </c>
      <c r="EK70" s="5" t="s">
        <v>247</v>
      </c>
      <c r="EL70" s="5">
        <f>IF(EK70="Nunca/ casi nunca",0,
IF(EK70="Rara vez",1,
IF(EK70="A veces",2,
IF(EK70="A menudo",3,
IF(EK70="Siempre",4,"")))))</f>
        <v>2</v>
      </c>
      <c r="EM70" s="5" t="s">
        <v>247</v>
      </c>
      <c r="EN70" s="5">
        <f>IF(EM70="Nunca/ casi nunca",0,
IF(EM70="Rara vez",1,
IF(EM70="A veces",2,
IF(EM70="A menudo",3,
IF(EM70="Siempre",4,"")))))</f>
        <v>2</v>
      </c>
      <c r="EO70" s="5">
        <f>SUM(EJ70,EL70,EN70)</f>
        <v>6</v>
      </c>
      <c r="EP70" s="5" t="str">
        <f>IF(EO70&lt;=1,"Nivel de riesgo bajo",
IF(EO70&lt;=5,"Nivel de riesgo medio",
"Nivel de riesgo alto"))</f>
        <v>Nivel de riesgo alto</v>
      </c>
      <c r="EQ70" s="5" t="s">
        <v>247</v>
      </c>
      <c r="ER70" s="5">
        <f>IF(EQ70="Nunca/ casi nunca",4,
IF(EQ70="Rara vez",3,
IF(EQ70="A veces",2,
IF(EQ70="A menudo",1,
IF(EQ70="Siempre",0,"")))))</f>
        <v>2</v>
      </c>
      <c r="ES70" s="5" t="s">
        <v>247</v>
      </c>
      <c r="ET70" s="5">
        <f>IF(ES70="Nunca/ casi nunca",4,
IF(ES70="Rara vez",3,
IF(ES70="A veces",2,
IF(ES70="A menudo",1,
IF(ES70="Siempre",0,"")))))</f>
        <v>2</v>
      </c>
      <c r="EU70" s="5" t="s">
        <v>247</v>
      </c>
      <c r="EV70" s="5">
        <f>IF(EU70="Nunca/ casi nunca",4,
IF(EU70="Rara vez",3,
IF(EU70="A veces",2,
IF(EU70="A menudo",1,
IF(EU70="Siempre",0,"")))))</f>
        <v>2</v>
      </c>
      <c r="EW70" s="5" t="s">
        <v>247</v>
      </c>
      <c r="EX70" s="5">
        <f>IF(EW70="Nunca/ casi nunca",4,
IF(EW70="Rara vez",3,
IF(EW70="A veces",2,
IF(EW70="A menudo",1,
IF(EW70="Siempre",0,"")))))</f>
        <v>2</v>
      </c>
      <c r="EY70" s="5">
        <f>SUM(ER70,ET70,EV70,EX70)</f>
        <v>8</v>
      </c>
      <c r="EZ70" s="5" t="str">
        <f>IF(EY70&lt;=0,"Nivel de riesgo bajo",
IF(EY70&lt;=4,"Nivel de riesgo medio",
"Nivel de riesgo alto"))</f>
        <v>Nivel de riesgo alto</v>
      </c>
      <c r="FA70" s="5" t="s">
        <v>247</v>
      </c>
      <c r="FB70" s="5">
        <f>IF(FA70="Nunca/ casi nunca",0,
IF(FA70="Rara vez",1,
IF(FA70="A veces",2,
IF(FA70="A menudo",3,
IF(FA70="Siempre",4,"")))))</f>
        <v>2</v>
      </c>
      <c r="FC70" s="5" t="s">
        <v>247</v>
      </c>
      <c r="FD70" s="5">
        <f>IF(FC70="Nunca/ casi nunca",0,
IF(FC70="Rara vez",1,
IF(FC70="A veces",2,
IF(FC70="A menudo",3,
IF(FC70="Siempre",4,"")))))</f>
        <v>2</v>
      </c>
      <c r="FE70" s="5" t="s">
        <v>247</v>
      </c>
      <c r="FF70" s="5">
        <f>IF(FE70="Nunca/ casi nunca",0,
IF(FE70="Rara vez",1,
IF(FE70="A veces",2,
IF(FE70="A menudo",3,
IF(FE70="Siempre",4,"")))))</f>
        <v>2</v>
      </c>
      <c r="FG70" s="5">
        <f>SUM(FB70,FD70,FF70)</f>
        <v>6</v>
      </c>
      <c r="FH70" s="5" t="str">
        <f>IF(FG70&lt;=2,"Nivel de riesgo bajo",
IF(FG70&lt;=5,"Nivel de riesgo medio",
"Nivel de riesgo alto"))</f>
        <v>Nivel de riesgo alto</v>
      </c>
      <c r="FI70" s="5" t="s">
        <v>247</v>
      </c>
      <c r="FJ70" s="5">
        <f>IF(FI70="Nunca/ casi nunca",0,
IF(FI70="Rara vez",1,
IF(FI70="A veces",2,
IF(FI70="A menudo",3,
IF(FI70="Siempre",4,"")))))</f>
        <v>2</v>
      </c>
      <c r="FK70" s="5" t="s">
        <v>247</v>
      </c>
      <c r="FL70" s="5">
        <f>IF(FK70="Nunca/ casi nunca",0,
IF(FK70="Rara vez",1,
IF(FK70="A veces",2,
IF(FK70="A menudo",3,
IF(FK70="Siempre",4,"")))))</f>
        <v>2</v>
      </c>
      <c r="FM70" s="5" t="s">
        <v>247</v>
      </c>
      <c r="FN70" s="5">
        <f>IF(FM70="Nunca/ casi nunca",0,
IF(FM70="Rara vez",1,
IF(FM70="A veces",2,
IF(FM70="A menudo",3,
IF(FM70="Siempre",4,"")))))</f>
        <v>2</v>
      </c>
      <c r="FO70" s="5">
        <f>SUM(FJ70,FL70,FN70)</f>
        <v>6</v>
      </c>
      <c r="FP70" s="5" t="str">
        <f>IF(FO70&lt;=2,"Nivel de riesgo bajo",
IF(FO70&lt;=5,"Nivel de riesgo medio",
"Nivel de riesgo alto"))</f>
        <v>Nivel de riesgo alto</v>
      </c>
      <c r="FQ70" s="5" t="s">
        <v>206</v>
      </c>
      <c r="FR70" s="5">
        <f>IF(FQ70="No",0,
IF(FQ70="Sí, unas pocas veces",1,
IF(FQ70="Sí, mensualmente",2,
IF(FQ70="Sí, semanalmente",3,
IF(FQ70="Sí, diariamente",4,"")))))</f>
        <v>0</v>
      </c>
      <c r="FS70" s="5" t="s">
        <v>265</v>
      </c>
      <c r="FT70" s="5">
        <f>IF(FS70="No",0,
IF(FS70="Sí, unas pocas veces",1,
IF(FS70="Sí, mensualmente",2,
IF(FS70="Sí, semanalmente",3,
IF(FS70="Sí, diariamente",4,"")))))</f>
        <v>1</v>
      </c>
      <c r="FU70" s="5" t="s">
        <v>206</v>
      </c>
      <c r="FV70" s="5">
        <f>IF(FU70="No",0,
IF(FU70="Sí, unas pocas veces",1,
IF(FU70="Sí, mensualmente",2,
IF(FU70="Sí, semanalmente",3,
IF(FU70="Sí, diariamente",4,"")))))</f>
        <v>0</v>
      </c>
      <c r="FW70" s="5" t="s">
        <v>206</v>
      </c>
      <c r="FX70" s="5">
        <f>IF(FW70="No",0,
IF(FW70="Sí, unas pocas veces",1,
IF(FW70="Sí, mensualmente",2,
IF(FW70="Sí, semanalmente",3,
IF(FW70="Sí, diariamente",4,"")))))</f>
        <v>0</v>
      </c>
      <c r="FY70" s="5" t="s">
        <v>206</v>
      </c>
      <c r="FZ70" s="5">
        <f>IF(FY70="No",0,
IF(FY70="Sí, unas pocas veces",1,
IF(FY70="Sí, mensualmente",2,
IF(FY70="Sí, semanalmente",3,
IF(FY70="Sí, diariamente",4,"")))))</f>
        <v>0</v>
      </c>
      <c r="GA70" s="5" t="s">
        <v>206</v>
      </c>
      <c r="GB70" s="5">
        <f>IF(GA70="No",0,
IF(GA70="Sí, unas pocas veces",1,
IF(GA70="Sí, mensualmente",2,
IF(GA70="Sí, semanalmente",3,
IF(GA70="Sí, diariamente",4,"")))))</f>
        <v>0</v>
      </c>
      <c r="GC70" s="5" t="s">
        <v>206</v>
      </c>
      <c r="GD70" s="5">
        <f>IF(GC70="No",0,
IF(GC70="Sí, unas pocas veces",1,
IF(GC70="Sí, mensualmente",2,
IF(GC70="Sí, semanalmente",3,
IF(GC70="Sí, diariamente",4,"")))))</f>
        <v>0</v>
      </c>
      <c r="GE70" s="5">
        <f>SUM(FR70,FT70,FV70,FX70,FZ70,GB70,GD70)</f>
        <v>1</v>
      </c>
      <c r="GF70" s="5" t="str">
        <f>IF(GE70&lt;=0,"Nivel de riesgo bajo",
IF(GE70&lt;=14,"Nivel de riesgo medio",
"Nivel de riesgo alto"))</f>
        <v>Nivel de riesgo medio</v>
      </c>
      <c r="GG70" s="5" t="s">
        <v>273</v>
      </c>
      <c r="GH70" s="5" t="s">
        <v>266</v>
      </c>
      <c r="GI70" s="5" t="s">
        <v>273</v>
      </c>
      <c r="GJ70" s="5" t="s">
        <v>273</v>
      </c>
      <c r="GK70" s="5" t="s">
        <v>233</v>
      </c>
      <c r="GL70" s="5" t="s">
        <v>273</v>
      </c>
      <c r="GM70" s="5" t="s">
        <v>273</v>
      </c>
      <c r="GN70" s="5" t="s">
        <v>234</v>
      </c>
      <c r="GO70" s="5" t="s">
        <v>234</v>
      </c>
      <c r="GP70" s="5" t="s">
        <v>234</v>
      </c>
      <c r="GQ70" s="5" t="s">
        <v>234</v>
      </c>
      <c r="GR70" s="5" t="s">
        <v>234</v>
      </c>
      <c r="GS70" s="5" t="s">
        <v>234</v>
      </c>
      <c r="GT70" s="5" t="s">
        <v>234</v>
      </c>
      <c r="GU70" s="5" t="s">
        <v>401</v>
      </c>
      <c r="GV70" s="5" t="str">
        <f>TEXT("6278798879566431008","0")</f>
        <v>6278798879566430000</v>
      </c>
    </row>
    <row r="71" spans="1:204" ht="15.75" hidden="1" customHeight="1" x14ac:dyDescent="0.15">
      <c r="B71" s="4">
        <v>45847.430763888886</v>
      </c>
      <c r="C71" s="5" t="s">
        <v>204</v>
      </c>
      <c r="D71" s="5" t="s">
        <v>206</v>
      </c>
      <c r="F71" s="5" t="s">
        <v>206</v>
      </c>
      <c r="G71" s="5" t="s">
        <v>204</v>
      </c>
      <c r="H71" s="5" t="s">
        <v>206</v>
      </c>
      <c r="K71" s="5" t="s">
        <v>237</v>
      </c>
      <c r="O71" s="5" t="s">
        <v>209</v>
      </c>
      <c r="T71" s="5" t="s">
        <v>209</v>
      </c>
      <c r="X71" s="5" t="s">
        <v>208</v>
      </c>
      <c r="AF71" s="5" t="s">
        <v>236</v>
      </c>
      <c r="AH71" s="5" t="s">
        <v>268</v>
      </c>
      <c r="AI71" s="5">
        <v>2006</v>
      </c>
      <c r="AJ71" s="5" t="s">
        <v>211</v>
      </c>
      <c r="AK71" s="5"/>
      <c r="AQ71" s="5" t="s">
        <v>206</v>
      </c>
      <c r="AR71" s="5" t="s">
        <v>261</v>
      </c>
      <c r="AS71" s="5" t="s">
        <v>294</v>
      </c>
      <c r="AT71" s="5" t="s">
        <v>294</v>
      </c>
      <c r="AU71" s="5" t="s">
        <v>241</v>
      </c>
      <c r="AV71" s="5" t="s">
        <v>302</v>
      </c>
      <c r="AW71" s="5" t="s">
        <v>206</v>
      </c>
      <c r="BF71" s="5" t="s">
        <v>204</v>
      </c>
      <c r="BG71" s="5" t="s">
        <v>207</v>
      </c>
      <c r="BH71" s="5" t="s">
        <v>215</v>
      </c>
      <c r="BI71" s="5" t="s">
        <v>207</v>
      </c>
      <c r="BJ71" s="5" t="s">
        <v>271</v>
      </c>
      <c r="BK71" s="5" t="s">
        <v>243</v>
      </c>
      <c r="BL71" s="5" t="s">
        <v>244</v>
      </c>
      <c r="BM71" s="5" t="s">
        <v>243</v>
      </c>
      <c r="BN71" s="5" t="s">
        <v>244</v>
      </c>
      <c r="BO71" s="5" t="s">
        <v>244</v>
      </c>
      <c r="BP71" s="5" t="s">
        <v>243</v>
      </c>
      <c r="BQ71" s="5" t="s">
        <v>246</v>
      </c>
      <c r="BR71" s="5" t="s">
        <v>244</v>
      </c>
      <c r="BS71" s="5" t="s">
        <v>247</v>
      </c>
      <c r="BT71" s="5" t="s">
        <v>247</v>
      </c>
      <c r="BU71" s="5" t="s">
        <v>248</v>
      </c>
      <c r="BV71" s="5" t="s">
        <v>248</v>
      </c>
      <c r="BW71" s="5" t="s">
        <v>247</v>
      </c>
      <c r="BX71" s="5" t="s">
        <v>247</v>
      </c>
      <c r="BY71" s="5" t="s">
        <v>248</v>
      </c>
      <c r="CD71" s="5" t="s">
        <v>206</v>
      </c>
      <c r="CH71" s="5" t="s">
        <v>402</v>
      </c>
      <c r="CI71" s="5" t="s">
        <v>332</v>
      </c>
      <c r="CJ71" s="5">
        <v>8</v>
      </c>
      <c r="CK71" s="5" t="s">
        <v>223</v>
      </c>
      <c r="CU71" s="5" t="s">
        <v>206</v>
      </c>
      <c r="DA71" s="5" t="s">
        <v>231</v>
      </c>
      <c r="DB71" s="5"/>
      <c r="DC71" s="5" t="s">
        <v>251</v>
      </c>
      <c r="DD71" s="5"/>
      <c r="DE71" s="5" t="s">
        <v>230</v>
      </c>
      <c r="DF71" s="5"/>
      <c r="DG71" s="5" t="s">
        <v>230</v>
      </c>
      <c r="DH71" s="5"/>
      <c r="DI71" s="5" t="s">
        <v>251</v>
      </c>
      <c r="DJ71" s="5"/>
      <c r="DK71" s="5" t="s">
        <v>251</v>
      </c>
      <c r="DL71" s="5"/>
      <c r="DM71" s="5" t="s">
        <v>251</v>
      </c>
      <c r="DN71" s="5"/>
      <c r="DO71" s="5" t="s">
        <v>281</v>
      </c>
      <c r="DP71" s="5"/>
      <c r="DQ71" s="5" t="s">
        <v>231</v>
      </c>
      <c r="DR71" s="5"/>
      <c r="DS71" s="5" t="s">
        <v>231</v>
      </c>
      <c r="DT71" s="5"/>
      <c r="DU71" s="5" t="s">
        <v>231</v>
      </c>
      <c r="DV71" s="5"/>
      <c r="DW71" s="5" t="s">
        <v>231</v>
      </c>
      <c r="DX71" s="5"/>
      <c r="DY71" s="5"/>
      <c r="DZ71" s="5"/>
      <c r="EA71" s="5" t="s">
        <v>248</v>
      </c>
      <c r="EB71" s="5"/>
      <c r="EC71" s="5" t="s">
        <v>248</v>
      </c>
      <c r="ED71" s="5"/>
      <c r="EE71" s="5" t="s">
        <v>248</v>
      </c>
      <c r="EF71" s="5"/>
      <c r="EG71" s="5"/>
      <c r="EH71" s="5"/>
      <c r="EI71" s="5" t="s">
        <v>248</v>
      </c>
      <c r="EJ71" s="5"/>
      <c r="EK71" s="5" t="s">
        <v>232</v>
      </c>
      <c r="EL71" s="5"/>
      <c r="EM71" s="5" t="s">
        <v>248</v>
      </c>
      <c r="EN71" s="5"/>
      <c r="EO71" s="5"/>
      <c r="EP71" s="5"/>
      <c r="EQ71" s="5" t="s">
        <v>248</v>
      </c>
      <c r="ER71" s="5"/>
      <c r="ES71" s="5" t="s">
        <v>248</v>
      </c>
      <c r="ET71" s="5"/>
      <c r="EU71" s="5" t="s">
        <v>232</v>
      </c>
      <c r="EV71" s="5"/>
      <c r="EW71" s="5" t="s">
        <v>248</v>
      </c>
      <c r="EX71" s="5"/>
      <c r="EY71" s="5"/>
      <c r="EZ71" s="5"/>
      <c r="FA71" s="5" t="s">
        <v>248</v>
      </c>
      <c r="FB71" s="5"/>
      <c r="FC71" s="5" t="s">
        <v>248</v>
      </c>
      <c r="FD71" s="5"/>
      <c r="FE71" s="5" t="s">
        <v>248</v>
      </c>
      <c r="FF71" s="5"/>
      <c r="FG71" s="5"/>
      <c r="FH71" s="5"/>
      <c r="FI71" s="5" t="s">
        <v>248</v>
      </c>
      <c r="FJ71" s="5"/>
      <c r="FK71" s="5" t="s">
        <v>248</v>
      </c>
      <c r="FL71" s="5"/>
      <c r="FM71" s="5" t="s">
        <v>248</v>
      </c>
      <c r="FN71" s="5"/>
      <c r="FO71" s="5"/>
      <c r="FP71" s="5"/>
      <c r="FQ71" s="5" t="s">
        <v>206</v>
      </c>
      <c r="FR71" s="5"/>
      <c r="FS71" s="5" t="s">
        <v>206</v>
      </c>
      <c r="FT71" s="5"/>
      <c r="FU71" s="5" t="s">
        <v>206</v>
      </c>
      <c r="FV71" s="5"/>
      <c r="FW71" s="5" t="s">
        <v>206</v>
      </c>
      <c r="FX71" s="5"/>
      <c r="FY71" s="5" t="s">
        <v>206</v>
      </c>
      <c r="FZ71" s="5"/>
      <c r="GA71" s="5" t="s">
        <v>206</v>
      </c>
      <c r="GB71" s="5"/>
      <c r="GC71" s="5" t="s">
        <v>206</v>
      </c>
      <c r="GD71" s="5"/>
      <c r="GE71" s="5"/>
      <c r="GF71" s="5"/>
      <c r="GG71" s="5" t="s">
        <v>273</v>
      </c>
      <c r="GH71" s="5" t="s">
        <v>273</v>
      </c>
      <c r="GI71" s="5" t="s">
        <v>273</v>
      </c>
      <c r="GJ71" s="5" t="s">
        <v>233</v>
      </c>
      <c r="GK71" s="5" t="s">
        <v>233</v>
      </c>
      <c r="GL71" s="5" t="s">
        <v>233</v>
      </c>
      <c r="GM71" s="5" t="s">
        <v>273</v>
      </c>
      <c r="GN71" s="5" t="s">
        <v>243</v>
      </c>
      <c r="GO71" s="5" t="s">
        <v>244</v>
      </c>
      <c r="GP71" s="5" t="s">
        <v>243</v>
      </c>
      <c r="GQ71" s="5" t="s">
        <v>244</v>
      </c>
      <c r="GR71" s="5" t="s">
        <v>244</v>
      </c>
      <c r="GS71" s="5" t="s">
        <v>244</v>
      </c>
      <c r="GT71" s="5" t="s">
        <v>243</v>
      </c>
      <c r="GU71" s="5" t="s">
        <v>403</v>
      </c>
      <c r="GV71" s="5" t="str">
        <f>TEXT("6278800186731719979","0")</f>
        <v>6278800186731710000</v>
      </c>
    </row>
    <row r="72" spans="1:204" ht="15.75" customHeight="1" x14ac:dyDescent="0.15">
      <c r="A72" s="1">
        <f t="shared" ref="A72:A80" si="102">ROW(A72)</f>
        <v>72</v>
      </c>
      <c r="B72" s="4">
        <v>45847.430821759262</v>
      </c>
      <c r="C72" s="5" t="s">
        <v>204</v>
      </c>
      <c r="D72" s="5" t="s">
        <v>206</v>
      </c>
      <c r="F72" s="5" t="s">
        <v>204</v>
      </c>
      <c r="G72" s="5" t="s">
        <v>206</v>
      </c>
      <c r="H72" s="5" t="s">
        <v>206</v>
      </c>
      <c r="K72" s="5" t="s">
        <v>237</v>
      </c>
      <c r="P72" s="5" t="s">
        <v>237</v>
      </c>
      <c r="T72" s="5" t="s">
        <v>209</v>
      </c>
      <c r="Y72" s="5" t="s">
        <v>209</v>
      </c>
      <c r="AD72" s="5" t="s">
        <v>209</v>
      </c>
      <c r="AH72" s="5" t="s">
        <v>210</v>
      </c>
      <c r="AI72" s="5">
        <v>2007</v>
      </c>
      <c r="AJ72" s="5" t="s">
        <v>238</v>
      </c>
      <c r="AK72" s="5" t="str">
        <f t="shared" ref="AK72:AK80" si="103">IF(OR(AJ72="Empleada del sector privado",AJ72="Empleada del sector público"),"Asalariada",
IF(AJ72="Trabajadora por cuenta propia","Trabajadora por cuenta propia",""))</f>
        <v>Trabajadora por cuenta propia</v>
      </c>
      <c r="AM72" s="5" t="s">
        <v>309</v>
      </c>
      <c r="AP72" s="5" t="s">
        <v>284</v>
      </c>
      <c r="AR72" s="5" t="s">
        <v>276</v>
      </c>
      <c r="AS72" s="5" t="s">
        <v>276</v>
      </c>
      <c r="AT72" s="5" t="s">
        <v>276</v>
      </c>
      <c r="AU72" s="5" t="s">
        <v>276</v>
      </c>
      <c r="AV72" s="5" t="s">
        <v>285</v>
      </c>
      <c r="AW72" s="5" t="s">
        <v>204</v>
      </c>
      <c r="AX72" s="5" t="s">
        <v>204</v>
      </c>
      <c r="AY72" s="5" t="s">
        <v>214</v>
      </c>
      <c r="AZ72" s="5" t="s">
        <v>204</v>
      </c>
      <c r="BA72" s="5" t="s">
        <v>263</v>
      </c>
      <c r="BF72" s="5" t="s">
        <v>204</v>
      </c>
      <c r="BG72" s="5" t="s">
        <v>207</v>
      </c>
      <c r="BH72" s="5" t="s">
        <v>215</v>
      </c>
      <c r="BI72" s="5" t="s">
        <v>207</v>
      </c>
      <c r="BJ72" s="5" t="s">
        <v>215</v>
      </c>
      <c r="BK72" s="5" t="s">
        <v>244</v>
      </c>
      <c r="BL72" s="5" t="s">
        <v>244</v>
      </c>
      <c r="BM72" s="5" t="s">
        <v>244</v>
      </c>
      <c r="BN72" s="5" t="s">
        <v>244</v>
      </c>
      <c r="BO72" s="5" t="s">
        <v>244</v>
      </c>
      <c r="BP72" s="5" t="s">
        <v>244</v>
      </c>
      <c r="BQ72" s="5" t="s">
        <v>244</v>
      </c>
      <c r="BR72" s="5" t="s">
        <v>244</v>
      </c>
      <c r="BS72" s="5" t="s">
        <v>248</v>
      </c>
      <c r="BT72" s="5" t="s">
        <v>248</v>
      </c>
      <c r="BU72" s="5" t="s">
        <v>217</v>
      </c>
      <c r="BV72" s="5" t="s">
        <v>217</v>
      </c>
      <c r="BW72" s="5" t="s">
        <v>217</v>
      </c>
      <c r="BX72" s="5" t="s">
        <v>217</v>
      </c>
      <c r="BY72" s="5" t="s">
        <v>217</v>
      </c>
      <c r="BZ72" s="5" t="s">
        <v>216</v>
      </c>
      <c r="CA72" s="5" t="s">
        <v>216</v>
      </c>
      <c r="CB72" s="5" t="s">
        <v>216</v>
      </c>
      <c r="CC72" s="5" t="s">
        <v>216</v>
      </c>
      <c r="CD72" s="5" t="s">
        <v>206</v>
      </c>
      <c r="CH72" s="5" t="s">
        <v>206</v>
      </c>
      <c r="CI72" s="5" t="s">
        <v>291</v>
      </c>
      <c r="CJ72" s="5">
        <v>1</v>
      </c>
      <c r="CK72" s="5" t="s">
        <v>223</v>
      </c>
      <c r="CU72" s="5" t="s">
        <v>206</v>
      </c>
      <c r="DA72" s="5" t="s">
        <v>272</v>
      </c>
      <c r="DB72" s="5">
        <f t="shared" ref="DB72:DB80" si="104">IF(DA72="Mejor que lo habitual",1,
IF(DA72="Igual que lo habitual",2,
IF(DA72="Menos que lo habitual",3,
IF(DA72="Mucho menos que lo habitual",4,""))))</f>
        <v>1</v>
      </c>
      <c r="DC72" s="5" t="s">
        <v>230</v>
      </c>
      <c r="DD72" s="5">
        <f t="shared" ref="DD72:DD80" si="105">IF(DC72="No, en absoluto",1,
IF(DC72="No más que lo habitual",2,
IF(DC72="Bastante más que lo habitual",3,
IF(DC72="Mucho más que lo habitual",4,""))))</f>
        <v>2</v>
      </c>
      <c r="DE72" s="5" t="s">
        <v>230</v>
      </c>
      <c r="DF72" s="5">
        <f t="shared" ref="DF72:DF80" si="106">IF(DE72="No, en absoluto",1,
IF(DE72="No más que lo habitual",2,
IF(DE72="Bastante más que lo habitual",3,
IF(DE72="Mucho más que lo habitual",4,""))))</f>
        <v>2</v>
      </c>
      <c r="DG72" s="5" t="s">
        <v>251</v>
      </c>
      <c r="DH72" s="5">
        <f t="shared" ref="DH72:DH80" si="107">IF(DG72="No, en absoluto",1,
IF(DG72="No más que lo habitual",2,
IF(DG72="Bastante más que lo habitual",3,
IF(DG72="Mucho más que lo habitual",4,""))))</f>
        <v>1</v>
      </c>
      <c r="DI72" s="5" t="s">
        <v>230</v>
      </c>
      <c r="DJ72" s="5">
        <f t="shared" ref="DJ72:DJ80" si="108">IF(DI72="No, en absoluto",1,
IF(DI72="No más que lo habitual",2,
IF(DI72="Bastante más que lo habitual",3,
IF(DI72="Mucho más que lo habitual",4,""))))</f>
        <v>2</v>
      </c>
      <c r="DK72" s="5" t="s">
        <v>251</v>
      </c>
      <c r="DL72" s="5">
        <f t="shared" ref="DL72:DL80" si="109">IF(DK72="No, en absoluto",1,
IF(DK72="No más que lo habitual",2,
IF(DK72="Bastante más que lo habitual",3,
IF(DK72="Mucho más que lo habitual",4,""))))</f>
        <v>1</v>
      </c>
      <c r="DM72" s="5" t="s">
        <v>251</v>
      </c>
      <c r="DN72" s="5">
        <f t="shared" ref="DN72:DN80" si="110">IF(DM72="No, en absoluto",1,
IF(DM72="No más que lo habitual",2,
IF(DM72="Bastante más que lo habitual",3,
IF(DM72="Mucho más que lo habitual",4,""))))</f>
        <v>1</v>
      </c>
      <c r="DO72" s="5" t="s">
        <v>281</v>
      </c>
      <c r="DP72" s="5">
        <f t="shared" ref="DP72:DP80" si="111">IF(DO72="Más que lo habitual",1,
IF(DO72="Igual que lo habitual",2,
IF(DO72="Menos que lo habitual",3,
IF(DO72="Mucho menos que lo habitual",4,""))))</f>
        <v>1</v>
      </c>
      <c r="DQ72" s="5" t="s">
        <v>281</v>
      </c>
      <c r="DR72" s="5">
        <f t="shared" ref="DR72:DR80" si="112">IF(DQ72="Más que lo habitual",1,
IF(DQ72="Igual que lo habitual",2,
IF(DQ72="Menos que lo habitual",3,
IF(DQ72="Mucho menos que lo habitual",4,""))))</f>
        <v>1</v>
      </c>
      <c r="DS72" s="5" t="s">
        <v>281</v>
      </c>
      <c r="DT72" s="5">
        <f t="shared" ref="DT72:DT80" si="113">IF(DS72="Más que lo habitual",1,
IF(DS72="Igual que lo habitual",2,
IF(DS72="Menos que lo habitual",3,
IF(DS72="Mucho menos que lo habitual",4,""))))</f>
        <v>1</v>
      </c>
      <c r="DU72" s="5" t="s">
        <v>281</v>
      </c>
      <c r="DV72" s="5">
        <f t="shared" ref="DV72:DV80" si="114">IF(DU72="Más que lo habitual",1,
IF(DU72="Igual que lo habitual",2,
IF(DU72="Menos que lo habitual",3,
IF(DU72="Mucho menos que lo habitual",4,""))))</f>
        <v>1</v>
      </c>
      <c r="DW72" s="5" t="s">
        <v>281</v>
      </c>
      <c r="DX72" s="5">
        <f t="shared" ref="DX72:DX80" si="115">IF(DW72="Más que lo habitual",1,
IF(DW72="Igual que lo habitual",2,
IF(DW72="Menos que lo habitual",3,
IF(DW72="Mucho menos que lo habitual",4,""))))</f>
        <v>1</v>
      </c>
      <c r="DY72" s="5">
        <f t="shared" ref="DY72:DY80" si="116">SUM(DB72,DD72,DF72,DH72,DJ72,DL72,DN72,DP72,DR72,DT72,DV72,DX72)</f>
        <v>15</v>
      </c>
      <c r="DZ72" s="5" t="str">
        <f t="shared" ref="DZ72:DZ80" si="117">IF(DY72&lt;=18,"Nivel de riesgo bajo",
IF(DY72&lt;=23,"Nivel de riesgo medio",
"Nivel de riesgo alto"))</f>
        <v>Nivel de riesgo bajo</v>
      </c>
      <c r="EA72" s="5" t="s">
        <v>248</v>
      </c>
      <c r="EB72" s="5">
        <f t="shared" ref="EB72:EB80" si="118">IF(EA72="Nunca/ casi nunca",0,
IF(EA72="Rara vez",1,
IF(EA72="A veces",2,
IF(EA72="A menudo",3,
IF(EA72="Siempre",4,"")))))</f>
        <v>1</v>
      </c>
      <c r="EC72" s="5" t="s">
        <v>248</v>
      </c>
      <c r="ED72" s="5">
        <f t="shared" ref="ED72:ED80" si="119">IF(EC72="Nunca/ casi nunca",0,
IF(EC72="Rara vez",1,
IF(EC72="A veces",2,
IF(EC72="A menudo",3,
IF(EC72="Siempre",4,"")))))</f>
        <v>1</v>
      </c>
      <c r="EE72" s="5" t="s">
        <v>248</v>
      </c>
      <c r="EF72" s="5">
        <f t="shared" ref="EF72:EF80" si="120">IF(EE72="Nunca/ casi nunca",0,
IF(EE72="Rara vez",1,
IF(EE72="A veces",2,
IF(EE72="A menudo",3,
IF(EE72="Siempre",4,"")))))</f>
        <v>1</v>
      </c>
      <c r="EG72" s="5">
        <f t="shared" ref="EG72:EG80" si="121">SUM(EB72,ED72,EF72)</f>
        <v>3</v>
      </c>
      <c r="EH72" s="5" t="str">
        <f t="shared" ref="EH72:EH80" si="122">IF(EG72&lt;=1,"Nivel de riesgo bajo",
IF(EG72&lt;=4,"Nivel de riesgo medio",
"Nivel de riesgo alto"))</f>
        <v>Nivel de riesgo medio</v>
      </c>
      <c r="EI72" s="5" t="s">
        <v>248</v>
      </c>
      <c r="EJ72" s="5">
        <f t="shared" ref="EJ72:EJ80" si="123">IF(EI72="Nunca/ casi nunca",0,
IF(EI72="Rara vez",1,
IF(EI72="A veces",2,
IF(EI72="A menudo",3,
IF(EI72="Siempre",4,"")))))</f>
        <v>1</v>
      </c>
      <c r="EK72" s="5" t="s">
        <v>248</v>
      </c>
      <c r="EL72" s="5">
        <f t="shared" ref="EL72:EL80" si="124">IF(EK72="Nunca/ casi nunca",0,
IF(EK72="Rara vez",1,
IF(EK72="A veces",2,
IF(EK72="A menudo",3,
IF(EK72="Siempre",4,"")))))</f>
        <v>1</v>
      </c>
      <c r="EM72" s="5" t="s">
        <v>248</v>
      </c>
      <c r="EN72" s="5">
        <f t="shared" ref="EN72:EN80" si="125">IF(EM72="Nunca/ casi nunca",0,
IF(EM72="Rara vez",1,
IF(EM72="A veces",2,
IF(EM72="A menudo",3,
IF(EM72="Siempre",4,"")))))</f>
        <v>1</v>
      </c>
      <c r="EO72" s="5">
        <f t="shared" ref="EO72:EO80" si="126">SUM(EJ72,EL72,EN72)</f>
        <v>3</v>
      </c>
      <c r="EP72" s="5" t="str">
        <f t="shared" ref="EP72:EP80" si="127">IF(EO72&lt;=1,"Nivel de riesgo bajo",
IF(EO72&lt;=5,"Nivel de riesgo medio",
"Nivel de riesgo alto"))</f>
        <v>Nivel de riesgo medio</v>
      </c>
      <c r="EQ72" s="5" t="s">
        <v>254</v>
      </c>
      <c r="ER72" s="5">
        <f t="shared" ref="ER72:ER80" si="128">IF(EQ72="Nunca/ casi nunca",4,
IF(EQ72="Rara vez",3,
IF(EQ72="A veces",2,
IF(EQ72="A menudo",1,
IF(EQ72="Siempre",0,"")))))</f>
        <v>0</v>
      </c>
      <c r="ES72" s="5" t="s">
        <v>254</v>
      </c>
      <c r="ET72" s="5">
        <f t="shared" ref="ET72:ET80" si="129">IF(ES72="Nunca/ casi nunca",4,
IF(ES72="Rara vez",3,
IF(ES72="A veces",2,
IF(ES72="A menudo",1,
IF(ES72="Siempre",0,"")))))</f>
        <v>0</v>
      </c>
      <c r="EU72" s="5" t="s">
        <v>254</v>
      </c>
      <c r="EV72" s="5">
        <f t="shared" ref="EV72:EV80" si="130">IF(EU72="Nunca/ casi nunca",4,
IF(EU72="Rara vez",3,
IF(EU72="A veces",2,
IF(EU72="A menudo",1,
IF(EU72="Siempre",0,"")))))</f>
        <v>0</v>
      </c>
      <c r="EW72" s="5" t="s">
        <v>254</v>
      </c>
      <c r="EX72" s="5">
        <f t="shared" ref="EX72:EX80" si="131">IF(EW72="Nunca/ casi nunca",4,
IF(EW72="Rara vez",3,
IF(EW72="A veces",2,
IF(EW72="A menudo",1,
IF(EW72="Siempre",0,"")))))</f>
        <v>0</v>
      </c>
      <c r="EY72" s="5">
        <f t="shared" ref="EY72:EY80" si="132">SUM(ER72,ET72,EV72,EX72)</f>
        <v>0</v>
      </c>
      <c r="EZ72" s="5" t="str">
        <f t="shared" ref="EZ72:EZ80" si="133">IF(EY72&lt;=0,"Nivel de riesgo bajo",
IF(EY72&lt;=4,"Nivel de riesgo medio",
"Nivel de riesgo alto"))</f>
        <v>Nivel de riesgo bajo</v>
      </c>
      <c r="FA72" s="5" t="s">
        <v>253</v>
      </c>
      <c r="FB72" s="5">
        <f t="shared" ref="FB72:FB80" si="134">IF(FA72="Nunca/ casi nunca",0,
IF(FA72="Rara vez",1,
IF(FA72="A veces",2,
IF(FA72="A menudo",3,
IF(FA72="Siempre",4,"")))))</f>
        <v>0</v>
      </c>
      <c r="FC72" s="5" t="s">
        <v>253</v>
      </c>
      <c r="FD72" s="5">
        <f t="shared" ref="FD72:FD80" si="135">IF(FC72="Nunca/ casi nunca",0,
IF(FC72="Rara vez",1,
IF(FC72="A veces",2,
IF(FC72="A menudo",3,
IF(FC72="Siempre",4,"")))))</f>
        <v>0</v>
      </c>
      <c r="FE72" s="5" t="s">
        <v>253</v>
      </c>
      <c r="FF72" s="5">
        <f t="shared" ref="FF72:FF80" si="136">IF(FE72="Nunca/ casi nunca",0,
IF(FE72="Rara vez",1,
IF(FE72="A veces",2,
IF(FE72="A menudo",3,
IF(FE72="Siempre",4,"")))))</f>
        <v>0</v>
      </c>
      <c r="FG72" s="5">
        <f t="shared" ref="FG72:FG80" si="137">SUM(FB72,FD72,FF72)</f>
        <v>0</v>
      </c>
      <c r="FH72" s="5" t="str">
        <f t="shared" ref="FH72:FH80" si="138">IF(FG72&lt;=2,"Nivel de riesgo bajo",
IF(FG72&lt;=5,"Nivel de riesgo medio",
"Nivel de riesgo alto"))</f>
        <v>Nivel de riesgo bajo</v>
      </c>
      <c r="FI72" s="5" t="s">
        <v>253</v>
      </c>
      <c r="FJ72" s="5">
        <f t="shared" ref="FJ72:FJ80" si="139">IF(FI72="Nunca/ casi nunca",0,
IF(FI72="Rara vez",1,
IF(FI72="A veces",2,
IF(FI72="A menudo",3,
IF(FI72="Siempre",4,"")))))</f>
        <v>0</v>
      </c>
      <c r="FK72" s="5" t="s">
        <v>253</v>
      </c>
      <c r="FL72" s="5">
        <f t="shared" ref="FL72:FL80" si="140">IF(FK72="Nunca/ casi nunca",0,
IF(FK72="Rara vez",1,
IF(FK72="A veces",2,
IF(FK72="A menudo",3,
IF(FK72="Siempre",4,"")))))</f>
        <v>0</v>
      </c>
      <c r="FM72" s="5" t="s">
        <v>253</v>
      </c>
      <c r="FN72" s="5">
        <f t="shared" ref="FN72:FN80" si="141">IF(FM72="Nunca/ casi nunca",0,
IF(FM72="Rara vez",1,
IF(FM72="A veces",2,
IF(FM72="A menudo",3,
IF(FM72="Siempre",4,"")))))</f>
        <v>0</v>
      </c>
      <c r="FO72" s="5">
        <f t="shared" ref="FO72:FO80" si="142">SUM(FJ72,FL72,FN72)</f>
        <v>0</v>
      </c>
      <c r="FP72" s="5" t="str">
        <f t="shared" ref="FP72:FP80" si="143">IF(FO72&lt;=2,"Nivel de riesgo bajo",
IF(FO72&lt;=5,"Nivel de riesgo medio",
"Nivel de riesgo alto"))</f>
        <v>Nivel de riesgo bajo</v>
      </c>
      <c r="FQ72" s="5" t="s">
        <v>206</v>
      </c>
      <c r="FR72" s="5">
        <f t="shared" ref="FR72:FR80" si="144">IF(FQ72="No",0,
IF(FQ72="Sí, unas pocas veces",1,
IF(FQ72="Sí, mensualmente",2,
IF(FQ72="Sí, semanalmente",3,
IF(FQ72="Sí, diariamente",4,"")))))</f>
        <v>0</v>
      </c>
      <c r="FS72" s="5" t="s">
        <v>206</v>
      </c>
      <c r="FT72" s="5">
        <f t="shared" ref="FT72:FT80" si="145">IF(FS72="No",0,
IF(FS72="Sí, unas pocas veces",1,
IF(FS72="Sí, mensualmente",2,
IF(FS72="Sí, semanalmente",3,
IF(FS72="Sí, diariamente",4,"")))))</f>
        <v>0</v>
      </c>
      <c r="FU72" s="5" t="s">
        <v>206</v>
      </c>
      <c r="FV72" s="5">
        <f t="shared" ref="FV72:FV80" si="146">IF(FU72="No",0,
IF(FU72="Sí, unas pocas veces",1,
IF(FU72="Sí, mensualmente",2,
IF(FU72="Sí, semanalmente",3,
IF(FU72="Sí, diariamente",4,"")))))</f>
        <v>0</v>
      </c>
      <c r="FW72" s="5" t="s">
        <v>206</v>
      </c>
      <c r="FX72" s="5">
        <f t="shared" ref="FX72:FX80" si="147">IF(FW72="No",0,
IF(FW72="Sí, unas pocas veces",1,
IF(FW72="Sí, mensualmente",2,
IF(FW72="Sí, semanalmente",3,
IF(FW72="Sí, diariamente",4,"")))))</f>
        <v>0</v>
      </c>
      <c r="FY72" s="5" t="s">
        <v>206</v>
      </c>
      <c r="FZ72" s="5">
        <f t="shared" ref="FZ72:FZ80" si="148">IF(FY72="No",0,
IF(FY72="Sí, unas pocas veces",1,
IF(FY72="Sí, mensualmente",2,
IF(FY72="Sí, semanalmente",3,
IF(FY72="Sí, diariamente",4,"")))))</f>
        <v>0</v>
      </c>
      <c r="GA72" s="5" t="s">
        <v>206</v>
      </c>
      <c r="GB72" s="5">
        <f t="shared" ref="GB72:GB80" si="149">IF(GA72="No",0,
IF(GA72="Sí, unas pocas veces",1,
IF(GA72="Sí, mensualmente",2,
IF(GA72="Sí, semanalmente",3,
IF(GA72="Sí, diariamente",4,"")))))</f>
        <v>0</v>
      </c>
      <c r="GC72" s="5" t="s">
        <v>206</v>
      </c>
      <c r="GD72" s="5">
        <f t="shared" ref="GD72:GD80" si="150">IF(GC72="No",0,
IF(GC72="Sí, unas pocas veces",1,
IF(GC72="Sí, mensualmente",2,
IF(GC72="Sí, semanalmente",3,
IF(GC72="Sí, diariamente",4,"")))))</f>
        <v>0</v>
      </c>
      <c r="GE72" s="5">
        <f t="shared" ref="GE72:GE80" si="151">SUM(FR72,FT72,FV72,FX72,FZ72,GB72,GD72)</f>
        <v>0</v>
      </c>
      <c r="GF72" s="5" t="str">
        <f t="shared" ref="GF72:GF80" si="152">IF(GE72&lt;=0,"Nivel de riesgo bajo",
IF(GE72&lt;=14,"Nivel de riesgo medio",
"Nivel de riesgo alto"))</f>
        <v>Nivel de riesgo bajo</v>
      </c>
      <c r="GG72" s="5" t="s">
        <v>273</v>
      </c>
      <c r="GH72" s="5" t="s">
        <v>273</v>
      </c>
      <c r="GI72" s="5" t="s">
        <v>273</v>
      </c>
      <c r="GJ72" s="5" t="s">
        <v>273</v>
      </c>
      <c r="GK72" s="5" t="s">
        <v>233</v>
      </c>
      <c r="GL72" s="5" t="s">
        <v>298</v>
      </c>
      <c r="GM72" s="5" t="s">
        <v>298</v>
      </c>
      <c r="GN72" s="5" t="s">
        <v>234</v>
      </c>
      <c r="GO72" s="5" t="s">
        <v>234</v>
      </c>
      <c r="GP72" s="5" t="s">
        <v>234</v>
      </c>
      <c r="GQ72" s="5" t="s">
        <v>234</v>
      </c>
      <c r="GR72" s="5" t="s">
        <v>234</v>
      </c>
      <c r="GS72" s="5" t="s">
        <v>234</v>
      </c>
      <c r="GT72" s="5" t="s">
        <v>234</v>
      </c>
      <c r="GU72" s="5" t="s">
        <v>404</v>
      </c>
      <c r="GV72" s="5" t="str">
        <f>TEXT("6278800235329880320","0")</f>
        <v>6278800235329880000</v>
      </c>
    </row>
    <row r="73" spans="1:204" ht="15.75" customHeight="1" x14ac:dyDescent="0.15">
      <c r="A73" s="1">
        <f t="shared" si="102"/>
        <v>73</v>
      </c>
      <c r="B73" s="4">
        <v>45847.431134259263</v>
      </c>
      <c r="C73" s="5" t="s">
        <v>204</v>
      </c>
      <c r="D73" s="5" t="s">
        <v>206</v>
      </c>
      <c r="F73" s="5" t="s">
        <v>206</v>
      </c>
      <c r="G73" s="5" t="s">
        <v>204</v>
      </c>
      <c r="H73" s="5" t="s">
        <v>206</v>
      </c>
      <c r="K73" s="5" t="s">
        <v>237</v>
      </c>
      <c r="O73" s="5" t="s">
        <v>209</v>
      </c>
      <c r="T73" s="5" t="s">
        <v>209</v>
      </c>
      <c r="X73" s="5" t="s">
        <v>208</v>
      </c>
      <c r="AD73" s="5" t="s">
        <v>209</v>
      </c>
      <c r="AH73" s="5" t="s">
        <v>275</v>
      </c>
      <c r="AI73" s="5">
        <v>2020</v>
      </c>
      <c r="AJ73" s="5" t="s">
        <v>238</v>
      </c>
      <c r="AK73" s="5" t="str">
        <f t="shared" si="103"/>
        <v>Trabajadora por cuenta propia</v>
      </c>
      <c r="AM73" s="5" t="s">
        <v>309</v>
      </c>
      <c r="AP73" s="5" t="s">
        <v>297</v>
      </c>
      <c r="AR73" s="5" t="s">
        <v>241</v>
      </c>
      <c r="AS73" s="5" t="s">
        <v>241</v>
      </c>
      <c r="AT73" s="5" t="s">
        <v>241</v>
      </c>
      <c r="AU73" s="5" t="s">
        <v>241</v>
      </c>
      <c r="AV73" s="5" t="s">
        <v>269</v>
      </c>
      <c r="AW73" s="5" t="s">
        <v>204</v>
      </c>
      <c r="AX73" s="5" t="s">
        <v>204</v>
      </c>
      <c r="AY73" s="5" t="s">
        <v>366</v>
      </c>
      <c r="AZ73" s="5" t="s">
        <v>204</v>
      </c>
      <c r="BA73" s="5" t="s">
        <v>295</v>
      </c>
      <c r="BB73" s="5" t="s">
        <v>206</v>
      </c>
      <c r="BC73" s="5" t="s">
        <v>206</v>
      </c>
      <c r="BD73" s="5" t="s">
        <v>306</v>
      </c>
      <c r="BE73" s="5" t="s">
        <v>206</v>
      </c>
      <c r="BF73" s="5" t="s">
        <v>204</v>
      </c>
      <c r="BG73" s="5" t="s">
        <v>278</v>
      </c>
      <c r="BH73" s="5" t="s">
        <v>278</v>
      </c>
      <c r="BI73" s="5" t="s">
        <v>278</v>
      </c>
      <c r="BJ73" s="5" t="s">
        <v>278</v>
      </c>
      <c r="BK73" s="5" t="s">
        <v>243</v>
      </c>
      <c r="BL73" s="5" t="s">
        <v>246</v>
      </c>
      <c r="BM73" s="5" t="s">
        <v>243</v>
      </c>
      <c r="BN73" s="5" t="s">
        <v>245</v>
      </c>
      <c r="BO73" s="5" t="s">
        <v>243</v>
      </c>
      <c r="BP73" s="5" t="s">
        <v>243</v>
      </c>
      <c r="BQ73" s="5" t="s">
        <v>243</v>
      </c>
      <c r="BR73" s="5" t="s">
        <v>243</v>
      </c>
      <c r="BS73" s="5" t="s">
        <v>247</v>
      </c>
      <c r="BT73" s="5" t="s">
        <v>248</v>
      </c>
      <c r="BU73" s="5" t="s">
        <v>248</v>
      </c>
      <c r="BV73" s="5" t="s">
        <v>248</v>
      </c>
      <c r="BW73" s="5" t="s">
        <v>247</v>
      </c>
      <c r="BX73" s="5" t="s">
        <v>247</v>
      </c>
      <c r="BY73" s="5" t="s">
        <v>247</v>
      </c>
      <c r="BZ73" s="5" t="s">
        <v>244</v>
      </c>
      <c r="CA73" s="5" t="s">
        <v>246</v>
      </c>
      <c r="CB73" s="5" t="s">
        <v>246</v>
      </c>
      <c r="CC73" s="5" t="s">
        <v>243</v>
      </c>
      <c r="CD73" s="5" t="s">
        <v>206</v>
      </c>
      <c r="CH73" s="5" t="s">
        <v>206</v>
      </c>
      <c r="CI73" s="5" t="s">
        <v>206</v>
      </c>
      <c r="CJ73" s="5">
        <v>0</v>
      </c>
      <c r="CK73" s="5" t="s">
        <v>223</v>
      </c>
      <c r="CU73" s="5" t="s">
        <v>206</v>
      </c>
      <c r="DA73" s="5" t="s">
        <v>272</v>
      </c>
      <c r="DB73" s="5">
        <f t="shared" si="104"/>
        <v>1</v>
      </c>
      <c r="DC73" s="5" t="s">
        <v>230</v>
      </c>
      <c r="DD73" s="5">
        <f t="shared" si="105"/>
        <v>2</v>
      </c>
      <c r="DE73" s="5" t="s">
        <v>230</v>
      </c>
      <c r="DF73" s="5">
        <f t="shared" si="106"/>
        <v>2</v>
      </c>
      <c r="DG73" s="5" t="s">
        <v>230</v>
      </c>
      <c r="DH73" s="5">
        <f t="shared" si="107"/>
        <v>2</v>
      </c>
      <c r="DI73" s="5" t="s">
        <v>230</v>
      </c>
      <c r="DJ73" s="5">
        <f t="shared" si="108"/>
        <v>2</v>
      </c>
      <c r="DK73" s="5" t="s">
        <v>230</v>
      </c>
      <c r="DL73" s="5">
        <f t="shared" si="109"/>
        <v>2</v>
      </c>
      <c r="DM73" s="5" t="s">
        <v>251</v>
      </c>
      <c r="DN73" s="5">
        <f t="shared" si="110"/>
        <v>1</v>
      </c>
      <c r="DO73" s="5" t="s">
        <v>231</v>
      </c>
      <c r="DP73" s="5">
        <f t="shared" si="111"/>
        <v>2</v>
      </c>
      <c r="DQ73" s="5" t="s">
        <v>231</v>
      </c>
      <c r="DR73" s="5">
        <f t="shared" si="112"/>
        <v>2</v>
      </c>
      <c r="DS73" s="5" t="s">
        <v>231</v>
      </c>
      <c r="DT73" s="5">
        <f t="shared" si="113"/>
        <v>2</v>
      </c>
      <c r="DU73" s="5" t="s">
        <v>231</v>
      </c>
      <c r="DV73" s="5">
        <f t="shared" si="114"/>
        <v>2</v>
      </c>
      <c r="DW73" s="5" t="s">
        <v>231</v>
      </c>
      <c r="DX73" s="5">
        <f t="shared" si="115"/>
        <v>2</v>
      </c>
      <c r="DY73" s="5">
        <f t="shared" si="116"/>
        <v>22</v>
      </c>
      <c r="DZ73" s="5" t="str">
        <f t="shared" si="117"/>
        <v>Nivel de riesgo medio</v>
      </c>
      <c r="EA73" s="5" t="s">
        <v>247</v>
      </c>
      <c r="EB73" s="5">
        <f t="shared" si="118"/>
        <v>2</v>
      </c>
      <c r="EC73" s="5" t="s">
        <v>247</v>
      </c>
      <c r="ED73" s="5">
        <f t="shared" si="119"/>
        <v>2</v>
      </c>
      <c r="EE73" s="5" t="s">
        <v>248</v>
      </c>
      <c r="EF73" s="5">
        <f t="shared" si="120"/>
        <v>1</v>
      </c>
      <c r="EG73" s="5">
        <f t="shared" si="121"/>
        <v>5</v>
      </c>
      <c r="EH73" s="5" t="str">
        <f t="shared" si="122"/>
        <v>Nivel de riesgo alto</v>
      </c>
      <c r="EI73" s="5" t="s">
        <v>248</v>
      </c>
      <c r="EJ73" s="5">
        <f t="shared" si="123"/>
        <v>1</v>
      </c>
      <c r="EK73" s="5" t="s">
        <v>247</v>
      </c>
      <c r="EL73" s="5">
        <f t="shared" si="124"/>
        <v>2</v>
      </c>
      <c r="EM73" s="5" t="s">
        <v>247</v>
      </c>
      <c r="EN73" s="5">
        <f t="shared" si="125"/>
        <v>2</v>
      </c>
      <c r="EO73" s="5">
        <f t="shared" si="126"/>
        <v>5</v>
      </c>
      <c r="EP73" s="5" t="str">
        <f t="shared" si="127"/>
        <v>Nivel de riesgo medio</v>
      </c>
      <c r="EQ73" s="5" t="s">
        <v>247</v>
      </c>
      <c r="ER73" s="5">
        <f t="shared" si="128"/>
        <v>2</v>
      </c>
      <c r="ES73" s="5" t="s">
        <v>247</v>
      </c>
      <c r="ET73" s="5">
        <f t="shared" si="129"/>
        <v>2</v>
      </c>
      <c r="EU73" s="5" t="s">
        <v>247</v>
      </c>
      <c r="EV73" s="5">
        <f t="shared" si="130"/>
        <v>2</v>
      </c>
      <c r="EW73" s="5" t="s">
        <v>247</v>
      </c>
      <c r="EX73" s="5">
        <f t="shared" si="131"/>
        <v>2</v>
      </c>
      <c r="EY73" s="5">
        <f t="shared" si="132"/>
        <v>8</v>
      </c>
      <c r="EZ73" s="5" t="str">
        <f t="shared" si="133"/>
        <v>Nivel de riesgo alto</v>
      </c>
      <c r="FA73" s="5" t="s">
        <v>247</v>
      </c>
      <c r="FB73" s="5">
        <f t="shared" si="134"/>
        <v>2</v>
      </c>
      <c r="FC73" s="5" t="s">
        <v>247</v>
      </c>
      <c r="FD73" s="5">
        <f t="shared" si="135"/>
        <v>2</v>
      </c>
      <c r="FE73" s="5" t="s">
        <v>248</v>
      </c>
      <c r="FF73" s="5">
        <f t="shared" si="136"/>
        <v>1</v>
      </c>
      <c r="FG73" s="5">
        <f t="shared" si="137"/>
        <v>5</v>
      </c>
      <c r="FH73" s="5" t="str">
        <f t="shared" si="138"/>
        <v>Nivel de riesgo medio</v>
      </c>
      <c r="FI73" s="5" t="s">
        <v>248</v>
      </c>
      <c r="FJ73" s="5">
        <f t="shared" si="139"/>
        <v>1</v>
      </c>
      <c r="FK73" s="5" t="s">
        <v>248</v>
      </c>
      <c r="FL73" s="5">
        <f t="shared" si="140"/>
        <v>1</v>
      </c>
      <c r="FM73" s="5" t="s">
        <v>248</v>
      </c>
      <c r="FN73" s="5">
        <f t="shared" si="141"/>
        <v>1</v>
      </c>
      <c r="FO73" s="5">
        <f t="shared" si="142"/>
        <v>3</v>
      </c>
      <c r="FP73" s="5" t="str">
        <f t="shared" si="143"/>
        <v>Nivel de riesgo medio</v>
      </c>
      <c r="FQ73" s="5" t="s">
        <v>206</v>
      </c>
      <c r="FR73" s="5">
        <f t="shared" si="144"/>
        <v>0</v>
      </c>
      <c r="FS73" s="5" t="s">
        <v>206</v>
      </c>
      <c r="FT73" s="5">
        <f t="shared" si="145"/>
        <v>0</v>
      </c>
      <c r="FU73" s="5" t="s">
        <v>206</v>
      </c>
      <c r="FV73" s="5">
        <f t="shared" si="146"/>
        <v>0</v>
      </c>
      <c r="FW73" s="5" t="s">
        <v>206</v>
      </c>
      <c r="FX73" s="5">
        <f t="shared" si="147"/>
        <v>0</v>
      </c>
      <c r="FY73" s="5" t="s">
        <v>206</v>
      </c>
      <c r="FZ73" s="5">
        <f t="shared" si="148"/>
        <v>0</v>
      </c>
      <c r="GA73" s="5" t="s">
        <v>206</v>
      </c>
      <c r="GB73" s="5">
        <f t="shared" si="149"/>
        <v>0</v>
      </c>
      <c r="GC73" s="5" t="s">
        <v>206</v>
      </c>
      <c r="GD73" s="5">
        <f t="shared" si="150"/>
        <v>0</v>
      </c>
      <c r="GE73" s="5">
        <f t="shared" si="151"/>
        <v>0</v>
      </c>
      <c r="GF73" s="5" t="str">
        <f t="shared" si="152"/>
        <v>Nivel de riesgo bajo</v>
      </c>
      <c r="GG73" s="5" t="s">
        <v>255</v>
      </c>
      <c r="GH73" s="5" t="s">
        <v>255</v>
      </c>
      <c r="GI73" s="5" t="s">
        <v>255</v>
      </c>
      <c r="GJ73" s="5" t="s">
        <v>266</v>
      </c>
      <c r="GK73" s="5" t="s">
        <v>233</v>
      </c>
      <c r="GL73" s="5" t="s">
        <v>266</v>
      </c>
      <c r="GM73" s="5" t="s">
        <v>266</v>
      </c>
      <c r="GN73" s="5" t="s">
        <v>243</v>
      </c>
      <c r="GO73" s="5" t="s">
        <v>243</v>
      </c>
      <c r="GP73" s="5" t="s">
        <v>243</v>
      </c>
      <c r="GQ73" s="5" t="s">
        <v>243</v>
      </c>
      <c r="GR73" s="5" t="s">
        <v>243</v>
      </c>
      <c r="GS73" s="5" t="s">
        <v>243</v>
      </c>
      <c r="GT73" s="5" t="s">
        <v>243</v>
      </c>
      <c r="GU73" s="5" t="s">
        <v>405</v>
      </c>
      <c r="GV73" s="5" t="str">
        <f>TEXT("6278800508018688851","0")</f>
        <v>6278800508018680000</v>
      </c>
    </row>
    <row r="74" spans="1:204" ht="15.75" customHeight="1" x14ac:dyDescent="0.15">
      <c r="A74" s="1">
        <f t="shared" si="102"/>
        <v>74</v>
      </c>
      <c r="B74" s="4">
        <v>45847.432164351849</v>
      </c>
      <c r="C74" s="5" t="s">
        <v>204</v>
      </c>
      <c r="D74" s="5" t="s">
        <v>206</v>
      </c>
      <c r="F74" s="5" t="s">
        <v>206</v>
      </c>
      <c r="G74" s="5" t="s">
        <v>206</v>
      </c>
      <c r="H74" s="5" t="s">
        <v>206</v>
      </c>
      <c r="J74" s="5" t="s">
        <v>209</v>
      </c>
      <c r="O74" s="5" t="s">
        <v>209</v>
      </c>
      <c r="S74" s="5" t="s">
        <v>208</v>
      </c>
      <c r="Y74" s="5" t="s">
        <v>209</v>
      </c>
      <c r="AE74" s="5" t="s">
        <v>237</v>
      </c>
      <c r="AH74" s="5" t="s">
        <v>275</v>
      </c>
      <c r="AI74" s="5">
        <v>2019</v>
      </c>
      <c r="AJ74" s="5" t="s">
        <v>238</v>
      </c>
      <c r="AK74" s="5" t="str">
        <f t="shared" si="103"/>
        <v>Trabajadora por cuenta propia</v>
      </c>
      <c r="AL74" s="5" t="s">
        <v>239</v>
      </c>
      <c r="AP74" s="5" t="s">
        <v>297</v>
      </c>
      <c r="AR74" s="5" t="s">
        <v>276</v>
      </c>
      <c r="AS74" s="5" t="s">
        <v>276</v>
      </c>
      <c r="AT74" s="5" t="s">
        <v>276</v>
      </c>
      <c r="AU74" s="5" t="s">
        <v>276</v>
      </c>
      <c r="AV74" s="5" t="s">
        <v>285</v>
      </c>
      <c r="AW74" s="5" t="s">
        <v>204</v>
      </c>
      <c r="AX74" s="5" t="s">
        <v>204</v>
      </c>
      <c r="AY74" s="5" t="s">
        <v>406</v>
      </c>
      <c r="AZ74" s="5" t="s">
        <v>204</v>
      </c>
      <c r="BA74" s="5" t="s">
        <v>263</v>
      </c>
      <c r="BF74" s="5" t="s">
        <v>204</v>
      </c>
      <c r="BG74" s="5" t="s">
        <v>207</v>
      </c>
      <c r="BH74" s="5" t="s">
        <v>264</v>
      </c>
      <c r="BI74" s="5" t="s">
        <v>207</v>
      </c>
      <c r="BJ74" s="5" t="s">
        <v>264</v>
      </c>
      <c r="BK74" s="5" t="s">
        <v>243</v>
      </c>
      <c r="BL74" s="5" t="s">
        <v>245</v>
      </c>
      <c r="BM74" s="5" t="s">
        <v>216</v>
      </c>
      <c r="BN74" s="5" t="s">
        <v>244</v>
      </c>
      <c r="BO74" s="5" t="s">
        <v>243</v>
      </c>
      <c r="BP74" s="5" t="s">
        <v>245</v>
      </c>
      <c r="BQ74" s="5" t="s">
        <v>245</v>
      </c>
      <c r="BR74" s="5" t="s">
        <v>216</v>
      </c>
      <c r="BS74" s="5" t="s">
        <v>254</v>
      </c>
      <c r="BT74" s="5" t="s">
        <v>254</v>
      </c>
      <c r="BU74" s="5" t="s">
        <v>232</v>
      </c>
      <c r="BV74" s="5" t="s">
        <v>254</v>
      </c>
      <c r="BW74" s="5" t="s">
        <v>232</v>
      </c>
      <c r="BX74" s="5" t="s">
        <v>232</v>
      </c>
      <c r="BY74" s="5" t="s">
        <v>254</v>
      </c>
      <c r="BZ74" s="5" t="s">
        <v>243</v>
      </c>
      <c r="CA74" s="5" t="s">
        <v>243</v>
      </c>
      <c r="CB74" s="5" t="s">
        <v>243</v>
      </c>
      <c r="CC74" s="5" t="s">
        <v>243</v>
      </c>
      <c r="CD74" s="5" t="s">
        <v>206</v>
      </c>
      <c r="CH74" s="5" t="s">
        <v>206</v>
      </c>
      <c r="CI74" s="5" t="s">
        <v>206</v>
      </c>
      <c r="CJ74" s="5">
        <v>0</v>
      </c>
      <c r="CK74" s="5" t="s">
        <v>223</v>
      </c>
      <c r="CU74" s="5" t="s">
        <v>206</v>
      </c>
      <c r="DA74" s="5" t="s">
        <v>229</v>
      </c>
      <c r="DB74" s="5">
        <f t="shared" si="104"/>
        <v>4</v>
      </c>
      <c r="DC74" s="5" t="s">
        <v>250</v>
      </c>
      <c r="DD74" s="5">
        <f t="shared" si="105"/>
        <v>3</v>
      </c>
      <c r="DE74" s="5" t="s">
        <v>250</v>
      </c>
      <c r="DF74" s="5">
        <f t="shared" si="106"/>
        <v>3</v>
      </c>
      <c r="DG74" s="5" t="s">
        <v>230</v>
      </c>
      <c r="DH74" s="5">
        <f t="shared" si="107"/>
        <v>2</v>
      </c>
      <c r="DI74" s="5" t="s">
        <v>250</v>
      </c>
      <c r="DJ74" s="5">
        <f t="shared" si="108"/>
        <v>3</v>
      </c>
      <c r="DK74" s="5" t="s">
        <v>251</v>
      </c>
      <c r="DL74" s="5">
        <f t="shared" si="109"/>
        <v>1</v>
      </c>
      <c r="DM74" s="5" t="s">
        <v>251</v>
      </c>
      <c r="DN74" s="5">
        <f t="shared" si="110"/>
        <v>1</v>
      </c>
      <c r="DO74" s="5" t="s">
        <v>281</v>
      </c>
      <c r="DP74" s="5">
        <f t="shared" si="111"/>
        <v>1</v>
      </c>
      <c r="DQ74" s="5" t="s">
        <v>281</v>
      </c>
      <c r="DR74" s="5">
        <f t="shared" si="112"/>
        <v>1</v>
      </c>
      <c r="DS74" s="5" t="s">
        <v>252</v>
      </c>
      <c r="DT74" s="5">
        <f t="shared" si="113"/>
        <v>3</v>
      </c>
      <c r="DU74" s="5" t="s">
        <v>281</v>
      </c>
      <c r="DV74" s="5">
        <f t="shared" si="114"/>
        <v>1</v>
      </c>
      <c r="DW74" s="5" t="s">
        <v>252</v>
      </c>
      <c r="DX74" s="5">
        <f t="shared" si="115"/>
        <v>3</v>
      </c>
      <c r="DY74" s="5">
        <f t="shared" si="116"/>
        <v>26</v>
      </c>
      <c r="DZ74" s="5" t="str">
        <f t="shared" si="117"/>
        <v>Nivel de riesgo alto</v>
      </c>
      <c r="EA74" s="5" t="s">
        <v>232</v>
      </c>
      <c r="EB74" s="5">
        <f t="shared" si="118"/>
        <v>3</v>
      </c>
      <c r="EC74" s="5" t="s">
        <v>232</v>
      </c>
      <c r="ED74" s="5">
        <f t="shared" si="119"/>
        <v>3</v>
      </c>
      <c r="EE74" s="5" t="s">
        <v>232</v>
      </c>
      <c r="EF74" s="5">
        <f t="shared" si="120"/>
        <v>3</v>
      </c>
      <c r="EG74" s="5">
        <f t="shared" si="121"/>
        <v>9</v>
      </c>
      <c r="EH74" s="5" t="str">
        <f t="shared" si="122"/>
        <v>Nivel de riesgo alto</v>
      </c>
      <c r="EI74" s="5" t="s">
        <v>232</v>
      </c>
      <c r="EJ74" s="5">
        <f t="shared" si="123"/>
        <v>3</v>
      </c>
      <c r="EK74" s="5" t="s">
        <v>232</v>
      </c>
      <c r="EL74" s="5">
        <f t="shared" si="124"/>
        <v>3</v>
      </c>
      <c r="EM74" s="5" t="s">
        <v>232</v>
      </c>
      <c r="EN74" s="5">
        <f t="shared" si="125"/>
        <v>3</v>
      </c>
      <c r="EO74" s="5">
        <f t="shared" si="126"/>
        <v>9</v>
      </c>
      <c r="EP74" s="5" t="str">
        <f t="shared" si="127"/>
        <v>Nivel de riesgo alto</v>
      </c>
      <c r="EQ74" s="5" t="s">
        <v>254</v>
      </c>
      <c r="ER74" s="5">
        <f t="shared" si="128"/>
        <v>0</v>
      </c>
      <c r="ES74" s="5" t="s">
        <v>254</v>
      </c>
      <c r="ET74" s="5">
        <f t="shared" si="129"/>
        <v>0</v>
      </c>
      <c r="EU74" s="5" t="s">
        <v>254</v>
      </c>
      <c r="EV74" s="5">
        <f t="shared" si="130"/>
        <v>0</v>
      </c>
      <c r="EW74" s="5" t="s">
        <v>254</v>
      </c>
      <c r="EX74" s="5">
        <f t="shared" si="131"/>
        <v>0</v>
      </c>
      <c r="EY74" s="5">
        <f t="shared" si="132"/>
        <v>0</v>
      </c>
      <c r="EZ74" s="5" t="str">
        <f t="shared" si="133"/>
        <v>Nivel de riesgo bajo</v>
      </c>
      <c r="FA74" s="5" t="s">
        <v>253</v>
      </c>
      <c r="FB74" s="5">
        <f t="shared" si="134"/>
        <v>0</v>
      </c>
      <c r="FC74" s="5" t="s">
        <v>253</v>
      </c>
      <c r="FD74" s="5">
        <f t="shared" si="135"/>
        <v>0</v>
      </c>
      <c r="FE74" s="5" t="s">
        <v>253</v>
      </c>
      <c r="FF74" s="5">
        <f t="shared" si="136"/>
        <v>0</v>
      </c>
      <c r="FG74" s="5">
        <f t="shared" si="137"/>
        <v>0</v>
      </c>
      <c r="FH74" s="5" t="str">
        <f t="shared" si="138"/>
        <v>Nivel de riesgo bajo</v>
      </c>
      <c r="FI74" s="5" t="s">
        <v>253</v>
      </c>
      <c r="FJ74" s="5">
        <f t="shared" si="139"/>
        <v>0</v>
      </c>
      <c r="FK74" s="5" t="s">
        <v>253</v>
      </c>
      <c r="FL74" s="5">
        <f t="shared" si="140"/>
        <v>0</v>
      </c>
      <c r="FM74" s="5" t="s">
        <v>232</v>
      </c>
      <c r="FN74" s="5">
        <f t="shared" si="141"/>
        <v>3</v>
      </c>
      <c r="FO74" s="5">
        <f t="shared" si="142"/>
        <v>3</v>
      </c>
      <c r="FP74" s="5" t="str">
        <f t="shared" si="143"/>
        <v>Nivel de riesgo medio</v>
      </c>
      <c r="FQ74" s="5" t="s">
        <v>206</v>
      </c>
      <c r="FR74" s="5">
        <f t="shared" si="144"/>
        <v>0</v>
      </c>
      <c r="FS74" s="5" t="s">
        <v>206</v>
      </c>
      <c r="FT74" s="5">
        <f t="shared" si="145"/>
        <v>0</v>
      </c>
      <c r="FU74" s="5" t="s">
        <v>206</v>
      </c>
      <c r="FV74" s="5">
        <f t="shared" si="146"/>
        <v>0</v>
      </c>
      <c r="FW74" s="5" t="s">
        <v>206</v>
      </c>
      <c r="FX74" s="5">
        <f t="shared" si="147"/>
        <v>0</v>
      </c>
      <c r="FY74" s="5" t="s">
        <v>206</v>
      </c>
      <c r="FZ74" s="5">
        <f t="shared" si="148"/>
        <v>0</v>
      </c>
      <c r="GA74" s="5" t="s">
        <v>206</v>
      </c>
      <c r="GB74" s="5">
        <f t="shared" si="149"/>
        <v>0</v>
      </c>
      <c r="GC74" s="5" t="s">
        <v>206</v>
      </c>
      <c r="GD74" s="5">
        <f t="shared" si="150"/>
        <v>0</v>
      </c>
      <c r="GE74" s="5">
        <f t="shared" si="151"/>
        <v>0</v>
      </c>
      <c r="GF74" s="5" t="str">
        <f t="shared" si="152"/>
        <v>Nivel de riesgo bajo</v>
      </c>
      <c r="GG74" s="5" t="s">
        <v>255</v>
      </c>
      <c r="GH74" s="5" t="s">
        <v>255</v>
      </c>
      <c r="GI74" s="5" t="s">
        <v>255</v>
      </c>
      <c r="GJ74" s="5" t="s">
        <v>255</v>
      </c>
      <c r="GK74" s="5" t="s">
        <v>233</v>
      </c>
      <c r="GL74" s="5" t="s">
        <v>255</v>
      </c>
      <c r="GM74" s="5" t="s">
        <v>255</v>
      </c>
      <c r="GN74" s="5" t="s">
        <v>256</v>
      </c>
      <c r="GO74" s="5" t="s">
        <v>256</v>
      </c>
      <c r="GP74" s="5" t="s">
        <v>244</v>
      </c>
      <c r="GQ74" s="5" t="s">
        <v>244</v>
      </c>
      <c r="GR74" s="5" t="s">
        <v>244</v>
      </c>
      <c r="GS74" s="5" t="s">
        <v>244</v>
      </c>
      <c r="GT74" s="5" t="s">
        <v>256</v>
      </c>
      <c r="GU74" s="5" t="s">
        <v>407</v>
      </c>
      <c r="GV74" s="5" t="str">
        <f>TEXT("6278801392787649272","0")</f>
        <v>6278801392787640000</v>
      </c>
    </row>
    <row r="75" spans="1:204" ht="15.75" customHeight="1" x14ac:dyDescent="0.15">
      <c r="A75" s="1">
        <f t="shared" si="102"/>
        <v>75</v>
      </c>
      <c r="B75" s="4">
        <v>45847.433425925927</v>
      </c>
      <c r="C75" s="5" t="s">
        <v>204</v>
      </c>
      <c r="D75" s="5" t="s">
        <v>206</v>
      </c>
      <c r="F75" s="5" t="s">
        <v>206</v>
      </c>
      <c r="G75" s="5" t="s">
        <v>206</v>
      </c>
      <c r="H75" s="5" t="s">
        <v>206</v>
      </c>
      <c r="K75" s="5" t="s">
        <v>237</v>
      </c>
      <c r="N75" s="5" t="s">
        <v>208</v>
      </c>
      <c r="S75" s="5" t="s">
        <v>208</v>
      </c>
      <c r="X75" s="5" t="s">
        <v>208</v>
      </c>
      <c r="AC75" s="5" t="s">
        <v>208</v>
      </c>
      <c r="AH75" s="5" t="s">
        <v>268</v>
      </c>
      <c r="AI75" s="5">
        <v>2020</v>
      </c>
      <c r="AJ75" s="5" t="s">
        <v>238</v>
      </c>
      <c r="AK75" s="5" t="str">
        <f t="shared" si="103"/>
        <v>Trabajadora por cuenta propia</v>
      </c>
      <c r="AM75" s="5" t="s">
        <v>309</v>
      </c>
      <c r="AP75" s="5" t="s">
        <v>284</v>
      </c>
      <c r="AR75" s="5" t="s">
        <v>241</v>
      </c>
      <c r="AS75" s="5" t="s">
        <v>241</v>
      </c>
      <c r="AT75" s="5" t="s">
        <v>241</v>
      </c>
      <c r="AU75" s="5" t="s">
        <v>241</v>
      </c>
      <c r="AV75" s="5" t="s">
        <v>285</v>
      </c>
      <c r="AW75" s="5" t="s">
        <v>204</v>
      </c>
      <c r="AX75" s="5" t="s">
        <v>206</v>
      </c>
      <c r="BF75" s="5" t="s">
        <v>204</v>
      </c>
      <c r="BG75" s="5" t="s">
        <v>278</v>
      </c>
      <c r="BH75" s="5" t="s">
        <v>215</v>
      </c>
      <c r="BI75" s="5" t="s">
        <v>271</v>
      </c>
      <c r="BJ75" s="5" t="s">
        <v>215</v>
      </c>
      <c r="BK75" s="5" t="s">
        <v>216</v>
      </c>
      <c r="BL75" s="5" t="s">
        <v>216</v>
      </c>
      <c r="BM75" s="5" t="s">
        <v>244</v>
      </c>
      <c r="BN75" s="5" t="s">
        <v>216</v>
      </c>
      <c r="BO75" s="5" t="s">
        <v>216</v>
      </c>
      <c r="BP75" s="5" t="s">
        <v>216</v>
      </c>
      <c r="BQ75" s="5" t="s">
        <v>216</v>
      </c>
      <c r="BR75" s="5" t="s">
        <v>244</v>
      </c>
      <c r="BS75" s="5" t="s">
        <v>248</v>
      </c>
      <c r="BT75" s="5" t="s">
        <v>248</v>
      </c>
      <c r="BU75" s="5" t="s">
        <v>248</v>
      </c>
      <c r="BV75" s="5" t="s">
        <v>248</v>
      </c>
      <c r="BW75" s="5" t="s">
        <v>248</v>
      </c>
      <c r="BX75" s="5" t="s">
        <v>248</v>
      </c>
      <c r="BY75" s="5" t="s">
        <v>248</v>
      </c>
      <c r="BZ75" s="5" t="s">
        <v>216</v>
      </c>
      <c r="CA75" s="5" t="s">
        <v>216</v>
      </c>
      <c r="CB75" s="5" t="s">
        <v>216</v>
      </c>
      <c r="CC75" s="5" t="s">
        <v>216</v>
      </c>
      <c r="CD75" s="5" t="s">
        <v>206</v>
      </c>
      <c r="CH75" s="5" t="s">
        <v>206</v>
      </c>
      <c r="CI75" s="5" t="s">
        <v>206</v>
      </c>
      <c r="CJ75" s="5">
        <v>0</v>
      </c>
      <c r="CK75" s="5" t="s">
        <v>223</v>
      </c>
      <c r="CU75" s="5" t="s">
        <v>206</v>
      </c>
      <c r="DA75" s="5" t="s">
        <v>231</v>
      </c>
      <c r="DB75" s="5">
        <f t="shared" si="104"/>
        <v>2</v>
      </c>
      <c r="DC75" s="5" t="s">
        <v>230</v>
      </c>
      <c r="DD75" s="5">
        <f t="shared" si="105"/>
        <v>2</v>
      </c>
      <c r="DE75" s="5" t="s">
        <v>230</v>
      </c>
      <c r="DF75" s="5">
        <f t="shared" si="106"/>
        <v>2</v>
      </c>
      <c r="DG75" s="5" t="s">
        <v>251</v>
      </c>
      <c r="DH75" s="5">
        <f t="shared" si="107"/>
        <v>1</v>
      </c>
      <c r="DI75" s="5" t="s">
        <v>230</v>
      </c>
      <c r="DJ75" s="5">
        <f t="shared" si="108"/>
        <v>2</v>
      </c>
      <c r="DK75" s="5" t="s">
        <v>230</v>
      </c>
      <c r="DL75" s="5">
        <f t="shared" si="109"/>
        <v>2</v>
      </c>
      <c r="DM75" s="5" t="s">
        <v>251</v>
      </c>
      <c r="DN75" s="5">
        <f t="shared" si="110"/>
        <v>1</v>
      </c>
      <c r="DO75" s="5" t="s">
        <v>281</v>
      </c>
      <c r="DP75" s="5">
        <f t="shared" si="111"/>
        <v>1</v>
      </c>
      <c r="DQ75" s="5" t="s">
        <v>231</v>
      </c>
      <c r="DR75" s="5">
        <f t="shared" si="112"/>
        <v>2</v>
      </c>
      <c r="DS75" s="5" t="s">
        <v>231</v>
      </c>
      <c r="DT75" s="5">
        <f t="shared" si="113"/>
        <v>2</v>
      </c>
      <c r="DU75" s="5" t="s">
        <v>231</v>
      </c>
      <c r="DV75" s="5">
        <f t="shared" si="114"/>
        <v>2</v>
      </c>
      <c r="DW75" s="5" t="s">
        <v>231</v>
      </c>
      <c r="DX75" s="5">
        <f t="shared" si="115"/>
        <v>2</v>
      </c>
      <c r="DY75" s="5">
        <f t="shared" si="116"/>
        <v>21</v>
      </c>
      <c r="DZ75" s="5" t="str">
        <f t="shared" si="117"/>
        <v>Nivel de riesgo medio</v>
      </c>
      <c r="EA75" s="5" t="s">
        <v>254</v>
      </c>
      <c r="EB75" s="5">
        <f t="shared" si="118"/>
        <v>4</v>
      </c>
      <c r="EC75" s="5" t="s">
        <v>232</v>
      </c>
      <c r="ED75" s="5">
        <f t="shared" si="119"/>
        <v>3</v>
      </c>
      <c r="EE75" s="5" t="s">
        <v>253</v>
      </c>
      <c r="EF75" s="5">
        <f t="shared" si="120"/>
        <v>0</v>
      </c>
      <c r="EG75" s="5">
        <f t="shared" si="121"/>
        <v>7</v>
      </c>
      <c r="EH75" s="5" t="str">
        <f t="shared" si="122"/>
        <v>Nivel de riesgo alto</v>
      </c>
      <c r="EI75" s="5" t="s">
        <v>253</v>
      </c>
      <c r="EJ75" s="5">
        <f t="shared" si="123"/>
        <v>0</v>
      </c>
      <c r="EK75" s="5" t="s">
        <v>247</v>
      </c>
      <c r="EL75" s="5">
        <f t="shared" si="124"/>
        <v>2</v>
      </c>
      <c r="EM75" s="5" t="s">
        <v>247</v>
      </c>
      <c r="EN75" s="5">
        <f t="shared" si="125"/>
        <v>2</v>
      </c>
      <c r="EO75" s="5">
        <f t="shared" si="126"/>
        <v>4</v>
      </c>
      <c r="EP75" s="5" t="str">
        <f t="shared" si="127"/>
        <v>Nivel de riesgo medio</v>
      </c>
      <c r="EQ75" s="5" t="s">
        <v>247</v>
      </c>
      <c r="ER75" s="5">
        <f t="shared" si="128"/>
        <v>2</v>
      </c>
      <c r="ES75" s="5" t="s">
        <v>247</v>
      </c>
      <c r="ET75" s="5">
        <f t="shared" si="129"/>
        <v>2</v>
      </c>
      <c r="EU75" s="5" t="s">
        <v>247</v>
      </c>
      <c r="EV75" s="5">
        <f t="shared" si="130"/>
        <v>2</v>
      </c>
      <c r="EW75" s="5" t="s">
        <v>247</v>
      </c>
      <c r="EX75" s="5">
        <f t="shared" si="131"/>
        <v>2</v>
      </c>
      <c r="EY75" s="5">
        <f t="shared" si="132"/>
        <v>8</v>
      </c>
      <c r="EZ75" s="5" t="str">
        <f t="shared" si="133"/>
        <v>Nivel de riesgo alto</v>
      </c>
      <c r="FA75" s="5" t="s">
        <v>247</v>
      </c>
      <c r="FB75" s="5">
        <f t="shared" si="134"/>
        <v>2</v>
      </c>
      <c r="FC75" s="5" t="s">
        <v>247</v>
      </c>
      <c r="FD75" s="5">
        <f t="shared" si="135"/>
        <v>2</v>
      </c>
      <c r="FE75" s="5" t="s">
        <v>247</v>
      </c>
      <c r="FF75" s="5">
        <f t="shared" si="136"/>
        <v>2</v>
      </c>
      <c r="FG75" s="5">
        <f t="shared" si="137"/>
        <v>6</v>
      </c>
      <c r="FH75" s="5" t="str">
        <f t="shared" si="138"/>
        <v>Nivel de riesgo alto</v>
      </c>
      <c r="FI75" s="5" t="s">
        <v>247</v>
      </c>
      <c r="FJ75" s="5">
        <f t="shared" si="139"/>
        <v>2</v>
      </c>
      <c r="FK75" s="5" t="s">
        <v>247</v>
      </c>
      <c r="FL75" s="5">
        <f t="shared" si="140"/>
        <v>2</v>
      </c>
      <c r="FM75" s="5" t="s">
        <v>247</v>
      </c>
      <c r="FN75" s="5">
        <f t="shared" si="141"/>
        <v>2</v>
      </c>
      <c r="FO75" s="5">
        <f t="shared" si="142"/>
        <v>6</v>
      </c>
      <c r="FP75" s="5" t="str">
        <f t="shared" si="143"/>
        <v>Nivel de riesgo alto</v>
      </c>
      <c r="FQ75" s="5" t="s">
        <v>206</v>
      </c>
      <c r="FR75" s="5">
        <f t="shared" si="144"/>
        <v>0</v>
      </c>
      <c r="FS75" s="5" t="s">
        <v>265</v>
      </c>
      <c r="FT75" s="5">
        <f t="shared" si="145"/>
        <v>1</v>
      </c>
      <c r="FU75" s="5" t="s">
        <v>265</v>
      </c>
      <c r="FV75" s="5">
        <f t="shared" si="146"/>
        <v>1</v>
      </c>
      <c r="FW75" s="5" t="s">
        <v>265</v>
      </c>
      <c r="FX75" s="5">
        <f t="shared" si="147"/>
        <v>1</v>
      </c>
      <c r="FY75" s="5" t="s">
        <v>265</v>
      </c>
      <c r="FZ75" s="5">
        <f t="shared" si="148"/>
        <v>1</v>
      </c>
      <c r="GA75" s="5" t="s">
        <v>265</v>
      </c>
      <c r="GB75" s="5">
        <f t="shared" si="149"/>
        <v>1</v>
      </c>
      <c r="GC75" s="5" t="s">
        <v>265</v>
      </c>
      <c r="GD75" s="5">
        <f t="shared" si="150"/>
        <v>1</v>
      </c>
      <c r="GE75" s="5">
        <f t="shared" si="151"/>
        <v>6</v>
      </c>
      <c r="GF75" s="5" t="str">
        <f t="shared" si="152"/>
        <v>Nivel de riesgo medio</v>
      </c>
      <c r="GG75" s="5" t="s">
        <v>255</v>
      </c>
      <c r="GH75" s="5" t="s">
        <v>255</v>
      </c>
      <c r="GI75" s="5" t="s">
        <v>255</v>
      </c>
      <c r="GJ75" s="5" t="s">
        <v>255</v>
      </c>
      <c r="GK75" s="5" t="s">
        <v>255</v>
      </c>
      <c r="GL75" s="5" t="s">
        <v>255</v>
      </c>
      <c r="GM75" s="5" t="s">
        <v>255</v>
      </c>
      <c r="GN75" s="5" t="s">
        <v>234</v>
      </c>
      <c r="GO75" s="5" t="s">
        <v>234</v>
      </c>
      <c r="GP75" s="5" t="s">
        <v>234</v>
      </c>
      <c r="GQ75" s="5" t="s">
        <v>234</v>
      </c>
      <c r="GR75" s="5" t="s">
        <v>234</v>
      </c>
      <c r="GS75" s="5" t="s">
        <v>234</v>
      </c>
      <c r="GT75" s="5" t="s">
        <v>234</v>
      </c>
      <c r="GU75" s="5" t="s">
        <v>408</v>
      </c>
      <c r="GV75" s="5" t="str">
        <f>TEXT("6278802486215670393","0")</f>
        <v>6278802486215670000</v>
      </c>
    </row>
    <row r="76" spans="1:204" ht="15.75" customHeight="1" x14ac:dyDescent="0.15">
      <c r="A76" s="1">
        <f t="shared" si="102"/>
        <v>76</v>
      </c>
      <c r="B76" s="4">
        <v>45847.433796296296</v>
      </c>
      <c r="C76" s="5" t="s">
        <v>204</v>
      </c>
      <c r="D76" s="5" t="s">
        <v>206</v>
      </c>
      <c r="F76" s="5" t="s">
        <v>206</v>
      </c>
      <c r="G76" s="5" t="s">
        <v>204</v>
      </c>
      <c r="H76" s="5" t="s">
        <v>206</v>
      </c>
      <c r="K76" s="5" t="s">
        <v>237</v>
      </c>
      <c r="O76" s="5" t="s">
        <v>209</v>
      </c>
      <c r="S76" s="5" t="s">
        <v>208</v>
      </c>
      <c r="X76" s="5" t="s">
        <v>208</v>
      </c>
      <c r="AD76" s="5" t="s">
        <v>209</v>
      </c>
      <c r="AH76" s="5" t="s">
        <v>275</v>
      </c>
      <c r="AI76" s="5">
        <v>2017</v>
      </c>
      <c r="AJ76" s="5" t="s">
        <v>238</v>
      </c>
      <c r="AK76" s="5" t="str">
        <f t="shared" si="103"/>
        <v>Trabajadora por cuenta propia</v>
      </c>
      <c r="AO76" s="5" t="s">
        <v>323</v>
      </c>
      <c r="AP76" s="5" t="s">
        <v>297</v>
      </c>
      <c r="AR76" s="5" t="s">
        <v>276</v>
      </c>
      <c r="AS76" s="5" t="s">
        <v>241</v>
      </c>
      <c r="AT76" s="5" t="s">
        <v>241</v>
      </c>
      <c r="AU76" s="5" t="s">
        <v>261</v>
      </c>
      <c r="AV76" s="5" t="s">
        <v>277</v>
      </c>
      <c r="AW76" s="5" t="s">
        <v>206</v>
      </c>
      <c r="BF76" s="5" t="s">
        <v>204</v>
      </c>
      <c r="BG76" s="5" t="s">
        <v>271</v>
      </c>
      <c r="BH76" s="5" t="s">
        <v>242</v>
      </c>
      <c r="BI76" s="5" t="s">
        <v>278</v>
      </c>
      <c r="BJ76" s="5" t="s">
        <v>278</v>
      </c>
      <c r="BK76" s="5" t="s">
        <v>246</v>
      </c>
      <c r="BL76" s="5" t="s">
        <v>243</v>
      </c>
      <c r="BM76" s="5" t="s">
        <v>243</v>
      </c>
      <c r="BN76" s="5" t="s">
        <v>244</v>
      </c>
      <c r="BO76" s="5" t="s">
        <v>243</v>
      </c>
      <c r="BP76" s="5" t="s">
        <v>244</v>
      </c>
      <c r="BQ76" s="5" t="s">
        <v>246</v>
      </c>
      <c r="BR76" s="5" t="s">
        <v>246</v>
      </c>
      <c r="BS76" s="5" t="s">
        <v>232</v>
      </c>
      <c r="BT76" s="5" t="s">
        <v>254</v>
      </c>
      <c r="BU76" s="5" t="s">
        <v>247</v>
      </c>
      <c r="BV76" s="5" t="s">
        <v>247</v>
      </c>
      <c r="BW76" s="5" t="s">
        <v>247</v>
      </c>
      <c r="BX76" s="5" t="s">
        <v>248</v>
      </c>
      <c r="BY76" s="5" t="s">
        <v>247</v>
      </c>
      <c r="CD76" s="5" t="s">
        <v>206</v>
      </c>
      <c r="CH76" s="5" t="s">
        <v>206</v>
      </c>
      <c r="CI76" s="5" t="s">
        <v>307</v>
      </c>
      <c r="CJ76" s="5">
        <v>2</v>
      </c>
      <c r="CK76" s="5" t="s">
        <v>223</v>
      </c>
      <c r="CU76" s="5" t="s">
        <v>206</v>
      </c>
      <c r="DA76" s="5" t="s">
        <v>252</v>
      </c>
      <c r="DB76" s="5">
        <f t="shared" si="104"/>
        <v>3</v>
      </c>
      <c r="DC76" s="5" t="s">
        <v>250</v>
      </c>
      <c r="DD76" s="5">
        <f t="shared" si="105"/>
        <v>3</v>
      </c>
      <c r="DE76" s="5" t="s">
        <v>250</v>
      </c>
      <c r="DF76" s="5">
        <f t="shared" si="106"/>
        <v>3</v>
      </c>
      <c r="DG76" s="5" t="s">
        <v>230</v>
      </c>
      <c r="DH76" s="5">
        <f t="shared" si="107"/>
        <v>2</v>
      </c>
      <c r="DI76" s="5" t="s">
        <v>230</v>
      </c>
      <c r="DJ76" s="5">
        <f t="shared" si="108"/>
        <v>2</v>
      </c>
      <c r="DK76" s="5" t="s">
        <v>230</v>
      </c>
      <c r="DL76" s="5">
        <f t="shared" si="109"/>
        <v>2</v>
      </c>
      <c r="DM76" s="5" t="s">
        <v>251</v>
      </c>
      <c r="DN76" s="5">
        <f t="shared" si="110"/>
        <v>1</v>
      </c>
      <c r="DO76" s="5" t="s">
        <v>281</v>
      </c>
      <c r="DP76" s="5">
        <f t="shared" si="111"/>
        <v>1</v>
      </c>
      <c r="DQ76" s="5" t="s">
        <v>281</v>
      </c>
      <c r="DR76" s="5">
        <f t="shared" si="112"/>
        <v>1</v>
      </c>
      <c r="DS76" s="5" t="s">
        <v>281</v>
      </c>
      <c r="DT76" s="5">
        <f t="shared" si="113"/>
        <v>1</v>
      </c>
      <c r="DU76" s="5" t="s">
        <v>231</v>
      </c>
      <c r="DV76" s="5">
        <f t="shared" si="114"/>
        <v>2</v>
      </c>
      <c r="DW76" s="5" t="s">
        <v>231</v>
      </c>
      <c r="DX76" s="5">
        <f t="shared" si="115"/>
        <v>2</v>
      </c>
      <c r="DY76" s="5">
        <f t="shared" si="116"/>
        <v>23</v>
      </c>
      <c r="DZ76" s="5" t="str">
        <f t="shared" si="117"/>
        <v>Nivel de riesgo medio</v>
      </c>
      <c r="EA76" s="5" t="s">
        <v>232</v>
      </c>
      <c r="EB76" s="5">
        <f t="shared" si="118"/>
        <v>3</v>
      </c>
      <c r="EC76" s="5" t="s">
        <v>247</v>
      </c>
      <c r="ED76" s="5">
        <f t="shared" si="119"/>
        <v>2</v>
      </c>
      <c r="EE76" s="5" t="s">
        <v>253</v>
      </c>
      <c r="EF76" s="5">
        <f t="shared" si="120"/>
        <v>0</v>
      </c>
      <c r="EG76" s="5">
        <f t="shared" si="121"/>
        <v>5</v>
      </c>
      <c r="EH76" s="5" t="str">
        <f t="shared" si="122"/>
        <v>Nivel de riesgo alto</v>
      </c>
      <c r="EI76" s="5" t="s">
        <v>247</v>
      </c>
      <c r="EJ76" s="5">
        <f t="shared" si="123"/>
        <v>2</v>
      </c>
      <c r="EK76" s="5" t="s">
        <v>247</v>
      </c>
      <c r="EL76" s="5">
        <f t="shared" si="124"/>
        <v>2</v>
      </c>
      <c r="EM76" s="5" t="s">
        <v>247</v>
      </c>
      <c r="EN76" s="5">
        <f t="shared" si="125"/>
        <v>2</v>
      </c>
      <c r="EO76" s="5">
        <f t="shared" si="126"/>
        <v>6</v>
      </c>
      <c r="EP76" s="5" t="str">
        <f t="shared" si="127"/>
        <v>Nivel de riesgo alto</v>
      </c>
      <c r="EQ76" s="5" t="s">
        <v>253</v>
      </c>
      <c r="ER76" s="5">
        <f t="shared" si="128"/>
        <v>4</v>
      </c>
      <c r="ES76" s="5" t="s">
        <v>253</v>
      </c>
      <c r="ET76" s="5">
        <f t="shared" si="129"/>
        <v>4</v>
      </c>
      <c r="EU76" s="5" t="s">
        <v>253</v>
      </c>
      <c r="EV76" s="5">
        <f t="shared" si="130"/>
        <v>4</v>
      </c>
      <c r="EW76" s="5" t="s">
        <v>253</v>
      </c>
      <c r="EX76" s="5">
        <f t="shared" si="131"/>
        <v>4</v>
      </c>
      <c r="EY76" s="5">
        <f t="shared" si="132"/>
        <v>16</v>
      </c>
      <c r="EZ76" s="5" t="str">
        <f t="shared" si="133"/>
        <v>Nivel de riesgo alto</v>
      </c>
      <c r="FA76" s="5" t="s">
        <v>253</v>
      </c>
      <c r="FB76" s="5">
        <f t="shared" si="134"/>
        <v>0</v>
      </c>
      <c r="FC76" s="5" t="s">
        <v>253</v>
      </c>
      <c r="FD76" s="5">
        <f t="shared" si="135"/>
        <v>0</v>
      </c>
      <c r="FE76" s="5" t="s">
        <v>253</v>
      </c>
      <c r="FF76" s="5">
        <f t="shared" si="136"/>
        <v>0</v>
      </c>
      <c r="FG76" s="5">
        <f t="shared" si="137"/>
        <v>0</v>
      </c>
      <c r="FH76" s="5" t="str">
        <f t="shared" si="138"/>
        <v>Nivel de riesgo bajo</v>
      </c>
      <c r="FI76" s="5" t="s">
        <v>253</v>
      </c>
      <c r="FJ76" s="5">
        <f t="shared" si="139"/>
        <v>0</v>
      </c>
      <c r="FK76" s="5" t="s">
        <v>253</v>
      </c>
      <c r="FL76" s="5">
        <f t="shared" si="140"/>
        <v>0</v>
      </c>
      <c r="FM76" s="5" t="s">
        <v>247</v>
      </c>
      <c r="FN76" s="5">
        <f t="shared" si="141"/>
        <v>2</v>
      </c>
      <c r="FO76" s="5">
        <f t="shared" si="142"/>
        <v>2</v>
      </c>
      <c r="FP76" s="5" t="str">
        <f t="shared" si="143"/>
        <v>Nivel de riesgo bajo</v>
      </c>
      <c r="FQ76" s="5" t="s">
        <v>206</v>
      </c>
      <c r="FR76" s="5">
        <f t="shared" si="144"/>
        <v>0</v>
      </c>
      <c r="FS76" s="5" t="s">
        <v>206</v>
      </c>
      <c r="FT76" s="5">
        <f t="shared" si="145"/>
        <v>0</v>
      </c>
      <c r="FU76" s="5" t="s">
        <v>206</v>
      </c>
      <c r="FV76" s="5">
        <f t="shared" si="146"/>
        <v>0</v>
      </c>
      <c r="FW76" s="5" t="s">
        <v>206</v>
      </c>
      <c r="FX76" s="5">
        <f t="shared" si="147"/>
        <v>0</v>
      </c>
      <c r="FY76" s="5" t="s">
        <v>206</v>
      </c>
      <c r="FZ76" s="5">
        <f t="shared" si="148"/>
        <v>0</v>
      </c>
      <c r="GA76" s="5" t="s">
        <v>206</v>
      </c>
      <c r="GB76" s="5">
        <f t="shared" si="149"/>
        <v>0</v>
      </c>
      <c r="GC76" s="5" t="s">
        <v>206</v>
      </c>
      <c r="GD76" s="5">
        <f t="shared" si="150"/>
        <v>0</v>
      </c>
      <c r="GE76" s="5">
        <f t="shared" si="151"/>
        <v>0</v>
      </c>
      <c r="GF76" s="5" t="str">
        <f t="shared" si="152"/>
        <v>Nivel de riesgo bajo</v>
      </c>
      <c r="GG76" s="5" t="s">
        <v>273</v>
      </c>
      <c r="GH76" s="5" t="s">
        <v>273</v>
      </c>
      <c r="GI76" s="5" t="s">
        <v>273</v>
      </c>
      <c r="GJ76" s="5" t="s">
        <v>233</v>
      </c>
      <c r="GK76" s="5" t="s">
        <v>233</v>
      </c>
      <c r="GL76" s="5" t="s">
        <v>233</v>
      </c>
      <c r="GM76" s="5" t="s">
        <v>266</v>
      </c>
      <c r="GN76" s="5" t="s">
        <v>244</v>
      </c>
      <c r="GO76" s="5" t="s">
        <v>234</v>
      </c>
      <c r="GP76" s="5" t="s">
        <v>244</v>
      </c>
      <c r="GQ76" s="5" t="s">
        <v>234</v>
      </c>
      <c r="GR76" s="5" t="s">
        <v>234</v>
      </c>
      <c r="GS76" s="5" t="s">
        <v>234</v>
      </c>
      <c r="GT76" s="5" t="s">
        <v>244</v>
      </c>
      <c r="GU76" s="5" t="s">
        <v>409</v>
      </c>
      <c r="GV76" s="5" t="str">
        <f>TEXT("6278802809413088547","0")</f>
        <v>6278802809413080000</v>
      </c>
    </row>
    <row r="77" spans="1:204" ht="15.75" customHeight="1" x14ac:dyDescent="0.15">
      <c r="A77" s="1">
        <f t="shared" si="102"/>
        <v>77</v>
      </c>
      <c r="B77" s="4">
        <v>45847.435069444444</v>
      </c>
      <c r="C77" s="5" t="s">
        <v>204</v>
      </c>
      <c r="D77" s="5" t="s">
        <v>206</v>
      </c>
      <c r="F77" s="5" t="s">
        <v>206</v>
      </c>
      <c r="G77" s="5" t="s">
        <v>206</v>
      </c>
      <c r="H77" s="5" t="s">
        <v>206</v>
      </c>
      <c r="J77" s="5" t="s">
        <v>209</v>
      </c>
      <c r="O77" s="5" t="s">
        <v>209</v>
      </c>
      <c r="T77" s="5" t="s">
        <v>209</v>
      </c>
      <c r="Z77" s="5" t="s">
        <v>237</v>
      </c>
      <c r="AG77" s="5" t="s">
        <v>207</v>
      </c>
      <c r="AH77" s="5" t="s">
        <v>210</v>
      </c>
      <c r="AI77" s="5">
        <v>2009</v>
      </c>
      <c r="AJ77" s="5" t="s">
        <v>238</v>
      </c>
      <c r="AK77" s="5" t="str">
        <f t="shared" si="103"/>
        <v>Trabajadora por cuenta propia</v>
      </c>
      <c r="AM77" s="5" t="s">
        <v>309</v>
      </c>
      <c r="AP77" s="5" t="s">
        <v>297</v>
      </c>
      <c r="AR77" s="5" t="s">
        <v>241</v>
      </c>
      <c r="AS77" s="5" t="s">
        <v>276</v>
      </c>
      <c r="AT77" s="5" t="s">
        <v>294</v>
      </c>
      <c r="AU77" s="5" t="s">
        <v>276</v>
      </c>
      <c r="AV77" s="5" t="s">
        <v>213</v>
      </c>
      <c r="AW77" s="5" t="s">
        <v>206</v>
      </c>
      <c r="BF77" s="5" t="s">
        <v>204</v>
      </c>
      <c r="BG77" s="5" t="s">
        <v>207</v>
      </c>
      <c r="BH77" s="5" t="s">
        <v>207</v>
      </c>
      <c r="BI77" s="5" t="s">
        <v>207</v>
      </c>
      <c r="BJ77" s="5" t="s">
        <v>207</v>
      </c>
      <c r="BK77" s="5" t="s">
        <v>244</v>
      </c>
      <c r="BL77" s="5" t="s">
        <v>216</v>
      </c>
      <c r="BM77" s="5" t="s">
        <v>216</v>
      </c>
      <c r="BN77" s="5" t="s">
        <v>216</v>
      </c>
      <c r="BO77" s="5" t="s">
        <v>246</v>
      </c>
      <c r="BP77" s="5" t="s">
        <v>216</v>
      </c>
      <c r="BQ77" s="5" t="s">
        <v>216</v>
      </c>
      <c r="BR77" s="5" t="s">
        <v>216</v>
      </c>
      <c r="BS77" s="5" t="s">
        <v>248</v>
      </c>
      <c r="BT77" s="5" t="s">
        <v>232</v>
      </c>
      <c r="BU77" s="5" t="s">
        <v>247</v>
      </c>
      <c r="BV77" s="5" t="s">
        <v>254</v>
      </c>
      <c r="BW77" s="5" t="s">
        <v>232</v>
      </c>
      <c r="BX77" s="5" t="s">
        <v>247</v>
      </c>
      <c r="BY77" s="5" t="s">
        <v>254</v>
      </c>
      <c r="CD77" s="5" t="s">
        <v>206</v>
      </c>
      <c r="CH77" s="5" t="s">
        <v>206</v>
      </c>
      <c r="CI77" s="5" t="s">
        <v>206</v>
      </c>
      <c r="CJ77" s="5">
        <v>0</v>
      </c>
      <c r="CK77" s="5" t="s">
        <v>223</v>
      </c>
      <c r="CU77" s="5" t="s">
        <v>206</v>
      </c>
      <c r="DA77" s="5" t="s">
        <v>252</v>
      </c>
      <c r="DB77" s="5">
        <f t="shared" si="104"/>
        <v>3</v>
      </c>
      <c r="DC77" s="5" t="s">
        <v>280</v>
      </c>
      <c r="DD77" s="5">
        <f t="shared" si="105"/>
        <v>4</v>
      </c>
      <c r="DE77" s="5" t="s">
        <v>280</v>
      </c>
      <c r="DF77" s="5">
        <f t="shared" si="106"/>
        <v>4</v>
      </c>
      <c r="DG77" s="5" t="s">
        <v>250</v>
      </c>
      <c r="DH77" s="5">
        <f t="shared" si="107"/>
        <v>3</v>
      </c>
      <c r="DI77" s="5" t="s">
        <v>280</v>
      </c>
      <c r="DJ77" s="5">
        <f t="shared" si="108"/>
        <v>4</v>
      </c>
      <c r="DK77" s="5" t="s">
        <v>251</v>
      </c>
      <c r="DL77" s="5">
        <f t="shared" si="109"/>
        <v>1</v>
      </c>
      <c r="DM77" s="5" t="s">
        <v>251</v>
      </c>
      <c r="DN77" s="5">
        <f t="shared" si="110"/>
        <v>1</v>
      </c>
      <c r="DO77" s="5" t="s">
        <v>229</v>
      </c>
      <c r="DP77" s="5">
        <f t="shared" si="111"/>
        <v>4</v>
      </c>
      <c r="DQ77" s="5" t="s">
        <v>229</v>
      </c>
      <c r="DR77" s="5">
        <f t="shared" si="112"/>
        <v>4</v>
      </c>
      <c r="DS77" s="5" t="s">
        <v>252</v>
      </c>
      <c r="DT77" s="5">
        <f t="shared" si="113"/>
        <v>3</v>
      </c>
      <c r="DU77" s="5" t="s">
        <v>229</v>
      </c>
      <c r="DV77" s="5">
        <f t="shared" si="114"/>
        <v>4</v>
      </c>
      <c r="DW77" s="5" t="s">
        <v>229</v>
      </c>
      <c r="DX77" s="5">
        <f t="shared" si="115"/>
        <v>4</v>
      </c>
      <c r="DY77" s="5">
        <f t="shared" si="116"/>
        <v>39</v>
      </c>
      <c r="DZ77" s="5" t="str">
        <f t="shared" si="117"/>
        <v>Nivel de riesgo alto</v>
      </c>
      <c r="EA77" s="5" t="s">
        <v>248</v>
      </c>
      <c r="EB77" s="5">
        <f t="shared" si="118"/>
        <v>1</v>
      </c>
      <c r="EC77" s="5" t="s">
        <v>253</v>
      </c>
      <c r="ED77" s="5">
        <f t="shared" si="119"/>
        <v>0</v>
      </c>
      <c r="EE77" s="5" t="s">
        <v>253</v>
      </c>
      <c r="EF77" s="5">
        <f t="shared" si="120"/>
        <v>0</v>
      </c>
      <c r="EG77" s="5">
        <f t="shared" si="121"/>
        <v>1</v>
      </c>
      <c r="EH77" s="5" t="str">
        <f t="shared" si="122"/>
        <v>Nivel de riesgo bajo</v>
      </c>
      <c r="EI77" s="5" t="s">
        <v>247</v>
      </c>
      <c r="EJ77" s="5">
        <f t="shared" si="123"/>
        <v>2</v>
      </c>
      <c r="EK77" s="5" t="s">
        <v>247</v>
      </c>
      <c r="EL77" s="5">
        <f t="shared" si="124"/>
        <v>2</v>
      </c>
      <c r="EM77" s="5" t="s">
        <v>253</v>
      </c>
      <c r="EN77" s="5">
        <f t="shared" si="125"/>
        <v>0</v>
      </c>
      <c r="EO77" s="5">
        <f t="shared" si="126"/>
        <v>4</v>
      </c>
      <c r="EP77" s="5" t="str">
        <f t="shared" si="127"/>
        <v>Nivel de riesgo medio</v>
      </c>
      <c r="EQ77" s="5" t="s">
        <v>253</v>
      </c>
      <c r="ER77" s="5">
        <f t="shared" si="128"/>
        <v>4</v>
      </c>
      <c r="ES77" s="5" t="s">
        <v>253</v>
      </c>
      <c r="ET77" s="5">
        <f t="shared" si="129"/>
        <v>4</v>
      </c>
      <c r="EU77" s="5" t="s">
        <v>253</v>
      </c>
      <c r="EV77" s="5">
        <f t="shared" si="130"/>
        <v>4</v>
      </c>
      <c r="EW77" s="5" t="s">
        <v>253</v>
      </c>
      <c r="EX77" s="5">
        <f t="shared" si="131"/>
        <v>4</v>
      </c>
      <c r="EY77" s="5">
        <f t="shared" si="132"/>
        <v>16</v>
      </c>
      <c r="EZ77" s="5" t="str">
        <f t="shared" si="133"/>
        <v>Nivel de riesgo alto</v>
      </c>
      <c r="FA77" s="5" t="s">
        <v>253</v>
      </c>
      <c r="FB77" s="5">
        <f t="shared" si="134"/>
        <v>0</v>
      </c>
      <c r="FC77" s="5" t="s">
        <v>253</v>
      </c>
      <c r="FD77" s="5">
        <f t="shared" si="135"/>
        <v>0</v>
      </c>
      <c r="FE77" s="5" t="s">
        <v>253</v>
      </c>
      <c r="FF77" s="5">
        <f t="shared" si="136"/>
        <v>0</v>
      </c>
      <c r="FG77" s="5">
        <f t="shared" si="137"/>
        <v>0</v>
      </c>
      <c r="FH77" s="5" t="str">
        <f t="shared" si="138"/>
        <v>Nivel de riesgo bajo</v>
      </c>
      <c r="FI77" s="5" t="s">
        <v>232</v>
      </c>
      <c r="FJ77" s="5">
        <f t="shared" si="139"/>
        <v>3</v>
      </c>
      <c r="FK77" s="5" t="s">
        <v>254</v>
      </c>
      <c r="FL77" s="5">
        <f t="shared" si="140"/>
        <v>4</v>
      </c>
      <c r="FM77" s="5" t="s">
        <v>232</v>
      </c>
      <c r="FN77" s="5">
        <f t="shared" si="141"/>
        <v>3</v>
      </c>
      <c r="FO77" s="5">
        <f t="shared" si="142"/>
        <v>10</v>
      </c>
      <c r="FP77" s="5" t="str">
        <f t="shared" si="143"/>
        <v>Nivel de riesgo alto</v>
      </c>
      <c r="FQ77" s="5" t="s">
        <v>206</v>
      </c>
      <c r="FR77" s="5">
        <f t="shared" si="144"/>
        <v>0</v>
      </c>
      <c r="FS77" s="5" t="s">
        <v>206</v>
      </c>
      <c r="FT77" s="5">
        <f t="shared" si="145"/>
        <v>0</v>
      </c>
      <c r="FU77" s="5" t="s">
        <v>206</v>
      </c>
      <c r="FV77" s="5">
        <f t="shared" si="146"/>
        <v>0</v>
      </c>
      <c r="FW77" s="5" t="s">
        <v>206</v>
      </c>
      <c r="FX77" s="5">
        <f t="shared" si="147"/>
        <v>0</v>
      </c>
      <c r="FY77" s="5" t="s">
        <v>206</v>
      </c>
      <c r="FZ77" s="5">
        <f t="shared" si="148"/>
        <v>0</v>
      </c>
      <c r="GA77" s="5" t="s">
        <v>206</v>
      </c>
      <c r="GB77" s="5">
        <f t="shared" si="149"/>
        <v>0</v>
      </c>
      <c r="GC77" s="5" t="s">
        <v>206</v>
      </c>
      <c r="GD77" s="5">
        <f t="shared" si="150"/>
        <v>0</v>
      </c>
      <c r="GE77" s="5">
        <f t="shared" si="151"/>
        <v>0</v>
      </c>
      <c r="GF77" s="5" t="str">
        <f t="shared" si="152"/>
        <v>Nivel de riesgo bajo</v>
      </c>
      <c r="GG77" s="5" t="s">
        <v>255</v>
      </c>
      <c r="GH77" s="5" t="s">
        <v>255</v>
      </c>
      <c r="GI77" s="5" t="s">
        <v>273</v>
      </c>
      <c r="GJ77" s="5" t="s">
        <v>233</v>
      </c>
      <c r="GK77" s="5" t="s">
        <v>233</v>
      </c>
      <c r="GL77" s="5" t="s">
        <v>233</v>
      </c>
      <c r="GM77" s="5" t="s">
        <v>233</v>
      </c>
      <c r="GN77" s="5" t="s">
        <v>243</v>
      </c>
      <c r="GO77" s="5" t="s">
        <v>257</v>
      </c>
      <c r="GP77" s="5" t="s">
        <v>243</v>
      </c>
      <c r="GQ77" s="5" t="s">
        <v>257</v>
      </c>
      <c r="GR77" s="5" t="s">
        <v>234</v>
      </c>
      <c r="GS77" s="5" t="s">
        <v>234</v>
      </c>
      <c r="GT77" s="5" t="s">
        <v>257</v>
      </c>
      <c r="GU77" s="5" t="s">
        <v>410</v>
      </c>
      <c r="GV77" s="5" t="str">
        <f>TEXT("6278803909879429148","0")</f>
        <v>6278803909879420000</v>
      </c>
    </row>
    <row r="78" spans="1:204" ht="15.75" customHeight="1" x14ac:dyDescent="0.15">
      <c r="A78" s="1">
        <f t="shared" si="102"/>
        <v>78</v>
      </c>
      <c r="B78" s="4">
        <v>45847.436469907407</v>
      </c>
      <c r="C78" s="5" t="s">
        <v>204</v>
      </c>
      <c r="D78" s="5" t="s">
        <v>206</v>
      </c>
      <c r="F78" s="5" t="s">
        <v>206</v>
      </c>
      <c r="G78" s="5" t="s">
        <v>204</v>
      </c>
      <c r="H78" s="5" t="s">
        <v>206</v>
      </c>
      <c r="K78" s="5" t="s">
        <v>237</v>
      </c>
      <c r="O78" s="5" t="s">
        <v>209</v>
      </c>
      <c r="T78" s="5" t="s">
        <v>209</v>
      </c>
      <c r="X78" s="5" t="s">
        <v>208</v>
      </c>
      <c r="AC78" s="5" t="s">
        <v>208</v>
      </c>
      <c r="AH78" s="5" t="s">
        <v>210</v>
      </c>
      <c r="AI78" s="5">
        <v>2022</v>
      </c>
      <c r="AJ78" s="5" t="s">
        <v>238</v>
      </c>
      <c r="AK78" s="5" t="str">
        <f t="shared" si="103"/>
        <v>Trabajadora por cuenta propia</v>
      </c>
      <c r="AL78" s="5" t="s">
        <v>239</v>
      </c>
      <c r="AP78" s="5" t="s">
        <v>284</v>
      </c>
      <c r="AR78" s="5" t="s">
        <v>301</v>
      </c>
      <c r="AS78" s="5" t="s">
        <v>301</v>
      </c>
      <c r="AT78" s="5" t="s">
        <v>301</v>
      </c>
      <c r="AU78" s="5" t="s">
        <v>301</v>
      </c>
      <c r="AV78" s="5" t="s">
        <v>269</v>
      </c>
      <c r="AW78" s="5" t="s">
        <v>204</v>
      </c>
      <c r="AX78" s="5" t="s">
        <v>204</v>
      </c>
      <c r="AY78" s="5" t="s">
        <v>270</v>
      </c>
      <c r="AZ78" s="5" t="s">
        <v>204</v>
      </c>
      <c r="BA78" s="5" t="s">
        <v>295</v>
      </c>
      <c r="BB78" s="5" t="s">
        <v>206</v>
      </c>
      <c r="BC78" s="5" t="s">
        <v>206</v>
      </c>
      <c r="BD78" s="5" t="s">
        <v>206</v>
      </c>
      <c r="BE78" s="5" t="s">
        <v>206</v>
      </c>
      <c r="BF78" s="5" t="s">
        <v>204</v>
      </c>
      <c r="BG78" s="5" t="s">
        <v>278</v>
      </c>
      <c r="BH78" s="5" t="s">
        <v>278</v>
      </c>
      <c r="BI78" s="5" t="s">
        <v>278</v>
      </c>
      <c r="BJ78" s="5" t="s">
        <v>278</v>
      </c>
      <c r="BK78" s="5" t="s">
        <v>246</v>
      </c>
      <c r="BL78" s="5" t="s">
        <v>243</v>
      </c>
      <c r="BM78" s="5" t="s">
        <v>246</v>
      </c>
      <c r="BN78" s="5" t="s">
        <v>243</v>
      </c>
      <c r="BO78" s="5" t="s">
        <v>246</v>
      </c>
      <c r="BP78" s="5" t="s">
        <v>245</v>
      </c>
      <c r="BQ78" s="5" t="s">
        <v>243</v>
      </c>
      <c r="BR78" s="5" t="s">
        <v>245</v>
      </c>
      <c r="BS78" s="5" t="s">
        <v>232</v>
      </c>
      <c r="BT78" s="5" t="s">
        <v>232</v>
      </c>
      <c r="BU78" s="5" t="s">
        <v>247</v>
      </c>
      <c r="BV78" s="5" t="s">
        <v>248</v>
      </c>
      <c r="BW78" s="5" t="s">
        <v>247</v>
      </c>
      <c r="BX78" s="5" t="s">
        <v>247</v>
      </c>
      <c r="BY78" s="5" t="s">
        <v>248</v>
      </c>
      <c r="BZ78" s="5" t="s">
        <v>244</v>
      </c>
      <c r="CA78" s="5" t="s">
        <v>243</v>
      </c>
      <c r="CB78" s="5" t="s">
        <v>246</v>
      </c>
      <c r="CC78" s="5" t="s">
        <v>243</v>
      </c>
      <c r="CD78" s="5" t="s">
        <v>206</v>
      </c>
      <c r="CH78" s="5" t="s">
        <v>367</v>
      </c>
      <c r="CI78" s="5" t="s">
        <v>206</v>
      </c>
      <c r="CJ78" s="5">
        <v>2</v>
      </c>
      <c r="CK78" s="5" t="s">
        <v>223</v>
      </c>
      <c r="CU78" s="5" t="s">
        <v>206</v>
      </c>
      <c r="DA78" s="5" t="s">
        <v>252</v>
      </c>
      <c r="DB78" s="5">
        <f t="shared" si="104"/>
        <v>3</v>
      </c>
      <c r="DC78" s="5" t="s">
        <v>250</v>
      </c>
      <c r="DD78" s="5">
        <f t="shared" si="105"/>
        <v>3</v>
      </c>
      <c r="DE78" s="5" t="s">
        <v>250</v>
      </c>
      <c r="DF78" s="5">
        <f t="shared" si="106"/>
        <v>3</v>
      </c>
      <c r="DG78" s="5" t="s">
        <v>250</v>
      </c>
      <c r="DH78" s="5">
        <f t="shared" si="107"/>
        <v>3</v>
      </c>
      <c r="DI78" s="5" t="s">
        <v>230</v>
      </c>
      <c r="DJ78" s="5">
        <f t="shared" si="108"/>
        <v>2</v>
      </c>
      <c r="DK78" s="5" t="s">
        <v>230</v>
      </c>
      <c r="DL78" s="5">
        <f t="shared" si="109"/>
        <v>2</v>
      </c>
      <c r="DM78" s="5" t="s">
        <v>251</v>
      </c>
      <c r="DN78" s="5">
        <f t="shared" si="110"/>
        <v>1</v>
      </c>
      <c r="DO78" s="5" t="s">
        <v>281</v>
      </c>
      <c r="DP78" s="5">
        <f t="shared" si="111"/>
        <v>1</v>
      </c>
      <c r="DQ78" s="5" t="s">
        <v>281</v>
      </c>
      <c r="DR78" s="5">
        <f t="shared" si="112"/>
        <v>1</v>
      </c>
      <c r="DS78" s="5" t="s">
        <v>231</v>
      </c>
      <c r="DT78" s="5">
        <f t="shared" si="113"/>
        <v>2</v>
      </c>
      <c r="DU78" s="5" t="s">
        <v>231</v>
      </c>
      <c r="DV78" s="5">
        <f t="shared" si="114"/>
        <v>2</v>
      </c>
      <c r="DW78" s="5" t="s">
        <v>281</v>
      </c>
      <c r="DX78" s="5">
        <f t="shared" si="115"/>
        <v>1</v>
      </c>
      <c r="DY78" s="5">
        <f t="shared" si="116"/>
        <v>24</v>
      </c>
      <c r="DZ78" s="5" t="str">
        <f t="shared" si="117"/>
        <v>Nivel de riesgo alto</v>
      </c>
      <c r="EA78" s="5" t="s">
        <v>247</v>
      </c>
      <c r="EB78" s="5">
        <f t="shared" si="118"/>
        <v>2</v>
      </c>
      <c r="EC78" s="5" t="s">
        <v>232</v>
      </c>
      <c r="ED78" s="5">
        <f t="shared" si="119"/>
        <v>3</v>
      </c>
      <c r="EE78" s="5" t="s">
        <v>248</v>
      </c>
      <c r="EF78" s="5">
        <f t="shared" si="120"/>
        <v>1</v>
      </c>
      <c r="EG78" s="5">
        <f t="shared" si="121"/>
        <v>6</v>
      </c>
      <c r="EH78" s="5" t="str">
        <f t="shared" si="122"/>
        <v>Nivel de riesgo alto</v>
      </c>
      <c r="EI78" s="5" t="s">
        <v>254</v>
      </c>
      <c r="EJ78" s="5">
        <f t="shared" si="123"/>
        <v>4</v>
      </c>
      <c r="EK78" s="5" t="s">
        <v>254</v>
      </c>
      <c r="EL78" s="5">
        <f t="shared" si="124"/>
        <v>4</v>
      </c>
      <c r="EM78" s="5" t="s">
        <v>232</v>
      </c>
      <c r="EN78" s="5">
        <f t="shared" si="125"/>
        <v>3</v>
      </c>
      <c r="EO78" s="5">
        <f t="shared" si="126"/>
        <v>11</v>
      </c>
      <c r="EP78" s="5" t="str">
        <f t="shared" si="127"/>
        <v>Nivel de riesgo alto</v>
      </c>
      <c r="EQ78" s="5" t="s">
        <v>232</v>
      </c>
      <c r="ER78" s="5">
        <f t="shared" si="128"/>
        <v>1</v>
      </c>
      <c r="ES78" s="5" t="s">
        <v>232</v>
      </c>
      <c r="ET78" s="5">
        <f t="shared" si="129"/>
        <v>1</v>
      </c>
      <c r="EU78" s="5" t="s">
        <v>232</v>
      </c>
      <c r="EV78" s="5">
        <f t="shared" si="130"/>
        <v>1</v>
      </c>
      <c r="EW78" s="5" t="s">
        <v>232</v>
      </c>
      <c r="EX78" s="5">
        <f t="shared" si="131"/>
        <v>1</v>
      </c>
      <c r="EY78" s="5">
        <f t="shared" si="132"/>
        <v>4</v>
      </c>
      <c r="EZ78" s="5" t="str">
        <f t="shared" si="133"/>
        <v>Nivel de riesgo medio</v>
      </c>
      <c r="FA78" s="5" t="s">
        <v>232</v>
      </c>
      <c r="FB78" s="5">
        <f t="shared" si="134"/>
        <v>3</v>
      </c>
      <c r="FC78" s="5" t="s">
        <v>254</v>
      </c>
      <c r="FD78" s="5">
        <f t="shared" si="135"/>
        <v>4</v>
      </c>
      <c r="FE78" s="5" t="s">
        <v>254</v>
      </c>
      <c r="FF78" s="5">
        <f t="shared" si="136"/>
        <v>4</v>
      </c>
      <c r="FG78" s="5">
        <f t="shared" si="137"/>
        <v>11</v>
      </c>
      <c r="FH78" s="5" t="str">
        <f t="shared" si="138"/>
        <v>Nivel de riesgo alto</v>
      </c>
      <c r="FI78" s="5" t="s">
        <v>247</v>
      </c>
      <c r="FJ78" s="5">
        <f t="shared" si="139"/>
        <v>2</v>
      </c>
      <c r="FK78" s="5" t="s">
        <v>247</v>
      </c>
      <c r="FL78" s="5">
        <f t="shared" si="140"/>
        <v>2</v>
      </c>
      <c r="FM78" s="5" t="s">
        <v>247</v>
      </c>
      <c r="FN78" s="5">
        <f t="shared" si="141"/>
        <v>2</v>
      </c>
      <c r="FO78" s="5">
        <f t="shared" si="142"/>
        <v>6</v>
      </c>
      <c r="FP78" s="5" t="str">
        <f t="shared" si="143"/>
        <v>Nivel de riesgo alto</v>
      </c>
      <c r="FQ78" s="5" t="s">
        <v>265</v>
      </c>
      <c r="FR78" s="5">
        <f t="shared" si="144"/>
        <v>1</v>
      </c>
      <c r="FS78" s="5" t="s">
        <v>265</v>
      </c>
      <c r="FT78" s="5">
        <f t="shared" si="145"/>
        <v>1</v>
      </c>
      <c r="FU78" s="5" t="s">
        <v>265</v>
      </c>
      <c r="FV78" s="5">
        <f t="shared" si="146"/>
        <v>1</v>
      </c>
      <c r="FW78" s="5" t="s">
        <v>265</v>
      </c>
      <c r="FX78" s="5">
        <f t="shared" si="147"/>
        <v>1</v>
      </c>
      <c r="FY78" s="5" t="s">
        <v>206</v>
      </c>
      <c r="FZ78" s="5">
        <f t="shared" si="148"/>
        <v>0</v>
      </c>
      <c r="GA78" s="5" t="s">
        <v>206</v>
      </c>
      <c r="GB78" s="5">
        <f t="shared" si="149"/>
        <v>0</v>
      </c>
      <c r="GC78" s="5" t="s">
        <v>206</v>
      </c>
      <c r="GD78" s="5">
        <f t="shared" si="150"/>
        <v>0</v>
      </c>
      <c r="GE78" s="5">
        <f t="shared" si="151"/>
        <v>4</v>
      </c>
      <c r="GF78" s="5" t="str">
        <f t="shared" si="152"/>
        <v>Nivel de riesgo medio</v>
      </c>
      <c r="GG78" s="5" t="s">
        <v>255</v>
      </c>
      <c r="GH78" s="5" t="s">
        <v>255</v>
      </c>
      <c r="GI78" s="5" t="s">
        <v>255</v>
      </c>
      <c r="GJ78" s="5" t="s">
        <v>255</v>
      </c>
      <c r="GK78" s="5" t="s">
        <v>255</v>
      </c>
      <c r="GL78" s="5" t="s">
        <v>255</v>
      </c>
      <c r="GM78" s="5" t="s">
        <v>255</v>
      </c>
      <c r="GN78" s="5" t="s">
        <v>256</v>
      </c>
      <c r="GO78" s="5" t="s">
        <v>256</v>
      </c>
      <c r="GP78" s="5" t="s">
        <v>256</v>
      </c>
      <c r="GQ78" s="5" t="s">
        <v>256</v>
      </c>
      <c r="GR78" s="5" t="s">
        <v>256</v>
      </c>
      <c r="GS78" s="5" t="s">
        <v>256</v>
      </c>
      <c r="GT78" s="5" t="s">
        <v>256</v>
      </c>
      <c r="GU78" s="5" t="s">
        <v>411</v>
      </c>
      <c r="GV78" s="5" t="str">
        <f>TEXT("6278805119349977263","0")</f>
        <v>6278805119349970000</v>
      </c>
    </row>
    <row r="79" spans="1:204" ht="15.75" customHeight="1" x14ac:dyDescent="0.15">
      <c r="A79" s="1">
        <f t="shared" si="102"/>
        <v>79</v>
      </c>
      <c r="B79" s="4">
        <v>45847.437303240738</v>
      </c>
      <c r="C79" s="5" t="s">
        <v>204</v>
      </c>
      <c r="D79" s="5" t="s">
        <v>206</v>
      </c>
      <c r="F79" s="5" t="s">
        <v>204</v>
      </c>
      <c r="G79" s="5" t="s">
        <v>204</v>
      </c>
      <c r="H79" s="5" t="s">
        <v>204</v>
      </c>
      <c r="J79" s="5" t="s">
        <v>209</v>
      </c>
      <c r="O79" s="5" t="s">
        <v>209</v>
      </c>
      <c r="S79" s="5" t="s">
        <v>208</v>
      </c>
      <c r="X79" s="5" t="s">
        <v>208</v>
      </c>
      <c r="AC79" s="5" t="s">
        <v>208</v>
      </c>
      <c r="AH79" s="5" t="s">
        <v>275</v>
      </c>
      <c r="AI79" s="5">
        <v>2019</v>
      </c>
      <c r="AJ79" s="5" t="s">
        <v>238</v>
      </c>
      <c r="AK79" s="5" t="str">
        <f t="shared" si="103"/>
        <v>Trabajadora por cuenta propia</v>
      </c>
      <c r="AM79" s="5" t="s">
        <v>309</v>
      </c>
      <c r="AP79" s="5" t="s">
        <v>240</v>
      </c>
      <c r="AR79" s="5" t="s">
        <v>301</v>
      </c>
      <c r="AS79" s="5" t="s">
        <v>301</v>
      </c>
      <c r="AT79" s="5" t="s">
        <v>301</v>
      </c>
      <c r="AU79" s="5" t="s">
        <v>301</v>
      </c>
      <c r="AV79" s="5" t="s">
        <v>285</v>
      </c>
      <c r="AW79" s="5" t="s">
        <v>204</v>
      </c>
      <c r="AX79" s="5" t="s">
        <v>204</v>
      </c>
      <c r="AY79" s="5" t="s">
        <v>406</v>
      </c>
      <c r="AZ79" s="5" t="s">
        <v>204</v>
      </c>
      <c r="BA79" s="5" t="s">
        <v>263</v>
      </c>
      <c r="BF79" s="5" t="s">
        <v>204</v>
      </c>
      <c r="BG79" s="5" t="s">
        <v>242</v>
      </c>
      <c r="BH79" s="5" t="s">
        <v>242</v>
      </c>
      <c r="BI79" s="5" t="s">
        <v>207</v>
      </c>
      <c r="BJ79" s="5" t="s">
        <v>215</v>
      </c>
      <c r="BK79" s="5" t="s">
        <v>216</v>
      </c>
      <c r="BL79" s="5" t="s">
        <v>216</v>
      </c>
      <c r="BM79" s="5" t="s">
        <v>243</v>
      </c>
      <c r="BN79" s="5" t="s">
        <v>216</v>
      </c>
      <c r="BO79" s="5" t="s">
        <v>244</v>
      </c>
      <c r="BP79" s="5" t="s">
        <v>246</v>
      </c>
      <c r="BQ79" s="5" t="s">
        <v>244</v>
      </c>
      <c r="BR79" s="5" t="s">
        <v>244</v>
      </c>
      <c r="BS79" s="5" t="s">
        <v>248</v>
      </c>
      <c r="BT79" s="5" t="s">
        <v>248</v>
      </c>
      <c r="BU79" s="5" t="s">
        <v>247</v>
      </c>
      <c r="BV79" s="5" t="s">
        <v>217</v>
      </c>
      <c r="BW79" s="5" t="s">
        <v>248</v>
      </c>
      <c r="BX79" s="5" t="s">
        <v>217</v>
      </c>
      <c r="BY79" s="5" t="s">
        <v>248</v>
      </c>
      <c r="BZ79" s="5" t="s">
        <v>244</v>
      </c>
      <c r="CA79" s="5" t="s">
        <v>244</v>
      </c>
      <c r="CB79" s="5" t="s">
        <v>216</v>
      </c>
      <c r="CC79" s="5" t="s">
        <v>216</v>
      </c>
      <c r="CD79" s="5" t="s">
        <v>204</v>
      </c>
      <c r="CE79" s="5" t="s">
        <v>218</v>
      </c>
      <c r="CF79" s="5" t="s">
        <v>219</v>
      </c>
      <c r="CG79" s="5" t="s">
        <v>206</v>
      </c>
      <c r="CH79" s="5" t="s">
        <v>221</v>
      </c>
      <c r="CI79" s="5" t="s">
        <v>291</v>
      </c>
      <c r="CJ79" s="5">
        <v>2</v>
      </c>
      <c r="CK79" s="5" t="s">
        <v>223</v>
      </c>
      <c r="CU79" s="5" t="s">
        <v>206</v>
      </c>
      <c r="DA79" s="5" t="s">
        <v>272</v>
      </c>
      <c r="DB79" s="5">
        <f t="shared" si="104"/>
        <v>1</v>
      </c>
      <c r="DC79" s="5" t="s">
        <v>230</v>
      </c>
      <c r="DD79" s="5">
        <f t="shared" si="105"/>
        <v>2</v>
      </c>
      <c r="DE79" s="5" t="s">
        <v>251</v>
      </c>
      <c r="DF79" s="5">
        <f t="shared" si="106"/>
        <v>1</v>
      </c>
      <c r="DG79" s="5" t="s">
        <v>251</v>
      </c>
      <c r="DH79" s="5">
        <f t="shared" si="107"/>
        <v>1</v>
      </c>
      <c r="DI79" s="5" t="s">
        <v>251</v>
      </c>
      <c r="DJ79" s="5">
        <f t="shared" si="108"/>
        <v>1</v>
      </c>
      <c r="DK79" s="5" t="s">
        <v>251</v>
      </c>
      <c r="DL79" s="5">
        <f t="shared" si="109"/>
        <v>1</v>
      </c>
      <c r="DM79" s="5" t="s">
        <v>251</v>
      </c>
      <c r="DN79" s="5">
        <f t="shared" si="110"/>
        <v>1</v>
      </c>
      <c r="DO79" s="5" t="s">
        <v>281</v>
      </c>
      <c r="DP79" s="5">
        <f t="shared" si="111"/>
        <v>1</v>
      </c>
      <c r="DQ79" s="5" t="s">
        <v>281</v>
      </c>
      <c r="DR79" s="5">
        <f t="shared" si="112"/>
        <v>1</v>
      </c>
      <c r="DS79" s="5" t="s">
        <v>281</v>
      </c>
      <c r="DT79" s="5">
        <f t="shared" si="113"/>
        <v>1</v>
      </c>
      <c r="DU79" s="5" t="s">
        <v>281</v>
      </c>
      <c r="DV79" s="5">
        <f t="shared" si="114"/>
        <v>1</v>
      </c>
      <c r="DW79" s="5" t="s">
        <v>281</v>
      </c>
      <c r="DX79" s="5">
        <f t="shared" si="115"/>
        <v>1</v>
      </c>
      <c r="DY79" s="5">
        <f t="shared" si="116"/>
        <v>13</v>
      </c>
      <c r="DZ79" s="5" t="str">
        <f t="shared" si="117"/>
        <v>Nivel de riesgo bajo</v>
      </c>
      <c r="EA79" s="5" t="s">
        <v>253</v>
      </c>
      <c r="EB79" s="5">
        <f t="shared" si="118"/>
        <v>0</v>
      </c>
      <c r="EC79" s="5" t="s">
        <v>253</v>
      </c>
      <c r="ED79" s="5">
        <f t="shared" si="119"/>
        <v>0</v>
      </c>
      <c r="EE79" s="5" t="s">
        <v>253</v>
      </c>
      <c r="EF79" s="5">
        <f t="shared" si="120"/>
        <v>0</v>
      </c>
      <c r="EG79" s="5">
        <f t="shared" si="121"/>
        <v>0</v>
      </c>
      <c r="EH79" s="5" t="str">
        <f t="shared" si="122"/>
        <v>Nivel de riesgo bajo</v>
      </c>
      <c r="EI79" s="5" t="s">
        <v>253</v>
      </c>
      <c r="EJ79" s="5">
        <f t="shared" si="123"/>
        <v>0</v>
      </c>
      <c r="EK79" s="5" t="s">
        <v>253</v>
      </c>
      <c r="EL79" s="5">
        <f t="shared" si="124"/>
        <v>0</v>
      </c>
      <c r="EM79" s="5" t="s">
        <v>253</v>
      </c>
      <c r="EN79" s="5">
        <f t="shared" si="125"/>
        <v>0</v>
      </c>
      <c r="EO79" s="5">
        <f t="shared" si="126"/>
        <v>0</v>
      </c>
      <c r="EP79" s="5" t="str">
        <f t="shared" si="127"/>
        <v>Nivel de riesgo bajo</v>
      </c>
      <c r="EQ79" s="5" t="s">
        <v>253</v>
      </c>
      <c r="ER79" s="5">
        <f t="shared" si="128"/>
        <v>4</v>
      </c>
      <c r="ES79" s="5" t="s">
        <v>254</v>
      </c>
      <c r="ET79" s="5">
        <f t="shared" si="129"/>
        <v>0</v>
      </c>
      <c r="EU79" s="5" t="s">
        <v>254</v>
      </c>
      <c r="EV79" s="5">
        <f t="shared" si="130"/>
        <v>0</v>
      </c>
      <c r="EW79" s="5" t="s">
        <v>254</v>
      </c>
      <c r="EX79" s="5">
        <f t="shared" si="131"/>
        <v>0</v>
      </c>
      <c r="EY79" s="5">
        <f t="shared" si="132"/>
        <v>4</v>
      </c>
      <c r="EZ79" s="5" t="str">
        <f t="shared" si="133"/>
        <v>Nivel de riesgo medio</v>
      </c>
      <c r="FA79" s="5" t="s">
        <v>253</v>
      </c>
      <c r="FB79" s="5">
        <f t="shared" si="134"/>
        <v>0</v>
      </c>
      <c r="FC79" s="5" t="s">
        <v>253</v>
      </c>
      <c r="FD79" s="5">
        <f t="shared" si="135"/>
        <v>0</v>
      </c>
      <c r="FE79" s="5" t="s">
        <v>253</v>
      </c>
      <c r="FF79" s="5">
        <f t="shared" si="136"/>
        <v>0</v>
      </c>
      <c r="FG79" s="5">
        <f t="shared" si="137"/>
        <v>0</v>
      </c>
      <c r="FH79" s="5" t="str">
        <f t="shared" si="138"/>
        <v>Nivel de riesgo bajo</v>
      </c>
      <c r="FI79" s="5" t="s">
        <v>253</v>
      </c>
      <c r="FJ79" s="5">
        <f t="shared" si="139"/>
        <v>0</v>
      </c>
      <c r="FK79" s="5" t="s">
        <v>253</v>
      </c>
      <c r="FL79" s="5">
        <f t="shared" si="140"/>
        <v>0</v>
      </c>
      <c r="FM79" s="5" t="s">
        <v>253</v>
      </c>
      <c r="FN79" s="5">
        <f t="shared" si="141"/>
        <v>0</v>
      </c>
      <c r="FO79" s="5">
        <f t="shared" si="142"/>
        <v>0</v>
      </c>
      <c r="FP79" s="5" t="str">
        <f t="shared" si="143"/>
        <v>Nivel de riesgo bajo</v>
      </c>
      <c r="FQ79" s="5" t="s">
        <v>206</v>
      </c>
      <c r="FR79" s="5">
        <f t="shared" si="144"/>
        <v>0</v>
      </c>
      <c r="FS79" s="5" t="s">
        <v>206</v>
      </c>
      <c r="FT79" s="5">
        <f t="shared" si="145"/>
        <v>0</v>
      </c>
      <c r="FU79" s="5" t="s">
        <v>206</v>
      </c>
      <c r="FV79" s="5">
        <f t="shared" si="146"/>
        <v>0</v>
      </c>
      <c r="FW79" s="5" t="s">
        <v>206</v>
      </c>
      <c r="FX79" s="5">
        <f t="shared" si="147"/>
        <v>0</v>
      </c>
      <c r="FY79" s="5" t="s">
        <v>206</v>
      </c>
      <c r="FZ79" s="5">
        <f t="shared" si="148"/>
        <v>0</v>
      </c>
      <c r="GA79" s="5" t="s">
        <v>206</v>
      </c>
      <c r="GB79" s="5">
        <f t="shared" si="149"/>
        <v>0</v>
      </c>
      <c r="GC79" s="5" t="s">
        <v>206</v>
      </c>
      <c r="GD79" s="5">
        <f t="shared" si="150"/>
        <v>0</v>
      </c>
      <c r="GE79" s="5">
        <f t="shared" si="151"/>
        <v>0</v>
      </c>
      <c r="GF79" s="5" t="str">
        <f t="shared" si="152"/>
        <v>Nivel de riesgo bajo</v>
      </c>
      <c r="GG79" s="5" t="s">
        <v>273</v>
      </c>
      <c r="GH79" s="5" t="s">
        <v>273</v>
      </c>
      <c r="GI79" s="5" t="s">
        <v>273</v>
      </c>
      <c r="GJ79" s="5" t="s">
        <v>273</v>
      </c>
      <c r="GK79" s="5" t="s">
        <v>233</v>
      </c>
      <c r="GL79" s="5" t="s">
        <v>273</v>
      </c>
      <c r="GM79" s="5" t="s">
        <v>273</v>
      </c>
      <c r="GN79" s="5" t="s">
        <v>257</v>
      </c>
      <c r="GO79" s="5" t="s">
        <v>257</v>
      </c>
      <c r="GP79" s="5" t="s">
        <v>257</v>
      </c>
      <c r="GQ79" s="5" t="s">
        <v>243</v>
      </c>
      <c r="GR79" s="5" t="s">
        <v>243</v>
      </c>
      <c r="GS79" s="5" t="s">
        <v>244</v>
      </c>
      <c r="GT79" s="5" t="s">
        <v>256</v>
      </c>
      <c r="GU79" s="5" t="s">
        <v>412</v>
      </c>
      <c r="GV79" s="5" t="str">
        <f>TEXT("6278805832913111368","0")</f>
        <v>6278805832913110000</v>
      </c>
    </row>
    <row r="80" spans="1:204" ht="15.75" customHeight="1" x14ac:dyDescent="0.15">
      <c r="A80" s="1">
        <f t="shared" si="102"/>
        <v>80</v>
      </c>
      <c r="B80" s="4">
        <v>45847.437638888892</v>
      </c>
      <c r="C80" s="5" t="s">
        <v>204</v>
      </c>
      <c r="D80" s="5" t="s">
        <v>206</v>
      </c>
      <c r="F80" s="5" t="s">
        <v>204</v>
      </c>
      <c r="G80" s="5" t="s">
        <v>206</v>
      </c>
      <c r="H80" s="5" t="s">
        <v>206</v>
      </c>
      <c r="L80" s="5" t="s">
        <v>236</v>
      </c>
      <c r="O80" s="5" t="s">
        <v>209</v>
      </c>
      <c r="T80" s="5" t="s">
        <v>209</v>
      </c>
      <c r="Y80" s="5" t="s">
        <v>209</v>
      </c>
      <c r="AF80" s="5" t="s">
        <v>236</v>
      </c>
      <c r="AH80" s="5" t="s">
        <v>210</v>
      </c>
      <c r="AI80" s="5">
        <v>2008</v>
      </c>
      <c r="AJ80" s="5" t="s">
        <v>337</v>
      </c>
      <c r="AK80" s="5" t="str">
        <f t="shared" si="103"/>
        <v>Asalariada</v>
      </c>
      <c r="AQ80" s="5" t="s">
        <v>204</v>
      </c>
      <c r="AR80" s="5" t="s">
        <v>301</v>
      </c>
      <c r="AS80" s="5" t="s">
        <v>301</v>
      </c>
      <c r="AT80" s="5" t="s">
        <v>301</v>
      </c>
      <c r="AU80" s="5" t="s">
        <v>301</v>
      </c>
      <c r="AV80" s="5" t="s">
        <v>269</v>
      </c>
      <c r="AW80" s="5" t="s">
        <v>204</v>
      </c>
      <c r="AX80" s="5" t="s">
        <v>204</v>
      </c>
      <c r="AY80" s="5" t="s">
        <v>406</v>
      </c>
      <c r="AZ80" s="5" t="s">
        <v>204</v>
      </c>
      <c r="BA80" s="5" t="s">
        <v>344</v>
      </c>
      <c r="BF80" s="5" t="s">
        <v>204</v>
      </c>
      <c r="BG80" s="5" t="s">
        <v>207</v>
      </c>
      <c r="BH80" s="5" t="s">
        <v>264</v>
      </c>
      <c r="BI80" s="5" t="s">
        <v>207</v>
      </c>
      <c r="BJ80" s="5" t="s">
        <v>264</v>
      </c>
      <c r="BK80" s="5" t="s">
        <v>216</v>
      </c>
      <c r="BL80" s="5" t="s">
        <v>216</v>
      </c>
      <c r="BM80" s="5" t="s">
        <v>216</v>
      </c>
      <c r="BN80" s="5" t="s">
        <v>216</v>
      </c>
      <c r="BO80" s="5" t="s">
        <v>216</v>
      </c>
      <c r="BP80" s="5" t="s">
        <v>216</v>
      </c>
      <c r="BQ80" s="5" t="s">
        <v>216</v>
      </c>
      <c r="BR80" s="5" t="s">
        <v>216</v>
      </c>
      <c r="BS80" s="5" t="s">
        <v>248</v>
      </c>
      <c r="BT80" s="5" t="s">
        <v>248</v>
      </c>
      <c r="BU80" s="5" t="s">
        <v>248</v>
      </c>
      <c r="BV80" s="5" t="s">
        <v>248</v>
      </c>
      <c r="BW80" s="5" t="s">
        <v>248</v>
      </c>
      <c r="BX80" s="5" t="s">
        <v>248</v>
      </c>
      <c r="BY80" s="5" t="s">
        <v>248</v>
      </c>
      <c r="BZ80" s="5" t="s">
        <v>216</v>
      </c>
      <c r="CA80" s="5" t="s">
        <v>216</v>
      </c>
      <c r="CB80" s="5" t="s">
        <v>216</v>
      </c>
      <c r="CC80" s="5" t="s">
        <v>216</v>
      </c>
      <c r="CD80" s="5" t="s">
        <v>206</v>
      </c>
      <c r="CH80" s="5" t="s">
        <v>206</v>
      </c>
      <c r="CI80" s="5" t="s">
        <v>206</v>
      </c>
      <c r="CJ80" s="5">
        <v>2</v>
      </c>
      <c r="CK80" s="5" t="s">
        <v>223</v>
      </c>
      <c r="CU80" s="5" t="s">
        <v>206</v>
      </c>
      <c r="DA80" s="5" t="s">
        <v>272</v>
      </c>
      <c r="DB80" s="5">
        <f t="shared" si="104"/>
        <v>1</v>
      </c>
      <c r="DC80" s="5" t="s">
        <v>230</v>
      </c>
      <c r="DD80" s="5">
        <f t="shared" si="105"/>
        <v>2</v>
      </c>
      <c r="DE80" s="5" t="s">
        <v>230</v>
      </c>
      <c r="DF80" s="5">
        <f t="shared" si="106"/>
        <v>2</v>
      </c>
      <c r="DG80" s="5" t="s">
        <v>230</v>
      </c>
      <c r="DH80" s="5">
        <f t="shared" si="107"/>
        <v>2</v>
      </c>
      <c r="DI80" s="5" t="s">
        <v>230</v>
      </c>
      <c r="DJ80" s="5">
        <f t="shared" si="108"/>
        <v>2</v>
      </c>
      <c r="DK80" s="5" t="s">
        <v>251</v>
      </c>
      <c r="DL80" s="5">
        <f t="shared" si="109"/>
        <v>1</v>
      </c>
      <c r="DM80" s="5" t="s">
        <v>251</v>
      </c>
      <c r="DN80" s="5">
        <f t="shared" si="110"/>
        <v>1</v>
      </c>
      <c r="DO80" s="5" t="s">
        <v>281</v>
      </c>
      <c r="DP80" s="5">
        <f t="shared" si="111"/>
        <v>1</v>
      </c>
      <c r="DQ80" s="5" t="s">
        <v>281</v>
      </c>
      <c r="DR80" s="5">
        <f t="shared" si="112"/>
        <v>1</v>
      </c>
      <c r="DS80" s="5" t="s">
        <v>281</v>
      </c>
      <c r="DT80" s="5">
        <f t="shared" si="113"/>
        <v>1</v>
      </c>
      <c r="DU80" s="5" t="s">
        <v>281</v>
      </c>
      <c r="DV80" s="5">
        <f t="shared" si="114"/>
        <v>1</v>
      </c>
      <c r="DW80" s="5" t="s">
        <v>281</v>
      </c>
      <c r="DX80" s="5">
        <f t="shared" si="115"/>
        <v>1</v>
      </c>
      <c r="DY80" s="5">
        <f t="shared" si="116"/>
        <v>16</v>
      </c>
      <c r="DZ80" s="5" t="str">
        <f t="shared" si="117"/>
        <v>Nivel de riesgo bajo</v>
      </c>
      <c r="EA80" s="5" t="s">
        <v>253</v>
      </c>
      <c r="EB80" s="5">
        <f t="shared" si="118"/>
        <v>0</v>
      </c>
      <c r="EC80" s="5" t="s">
        <v>253</v>
      </c>
      <c r="ED80" s="5">
        <f t="shared" si="119"/>
        <v>0</v>
      </c>
      <c r="EE80" s="5" t="s">
        <v>253</v>
      </c>
      <c r="EF80" s="5">
        <f t="shared" si="120"/>
        <v>0</v>
      </c>
      <c r="EG80" s="5">
        <f t="shared" si="121"/>
        <v>0</v>
      </c>
      <c r="EH80" s="5" t="str">
        <f t="shared" si="122"/>
        <v>Nivel de riesgo bajo</v>
      </c>
      <c r="EI80" s="5" t="s">
        <v>253</v>
      </c>
      <c r="EJ80" s="5">
        <f t="shared" si="123"/>
        <v>0</v>
      </c>
      <c r="EK80" s="5" t="s">
        <v>253</v>
      </c>
      <c r="EL80" s="5">
        <f t="shared" si="124"/>
        <v>0</v>
      </c>
      <c r="EM80" s="5" t="s">
        <v>253</v>
      </c>
      <c r="EN80" s="5">
        <f t="shared" si="125"/>
        <v>0</v>
      </c>
      <c r="EO80" s="5">
        <f t="shared" si="126"/>
        <v>0</v>
      </c>
      <c r="EP80" s="5" t="str">
        <f t="shared" si="127"/>
        <v>Nivel de riesgo bajo</v>
      </c>
      <c r="EQ80" s="5" t="s">
        <v>232</v>
      </c>
      <c r="ER80" s="5">
        <f t="shared" si="128"/>
        <v>1</v>
      </c>
      <c r="ES80" s="5" t="s">
        <v>232</v>
      </c>
      <c r="ET80" s="5">
        <f t="shared" si="129"/>
        <v>1</v>
      </c>
      <c r="EU80" s="5" t="s">
        <v>254</v>
      </c>
      <c r="EV80" s="5">
        <f t="shared" si="130"/>
        <v>0</v>
      </c>
      <c r="EW80" s="5" t="s">
        <v>254</v>
      </c>
      <c r="EX80" s="5">
        <f t="shared" si="131"/>
        <v>0</v>
      </c>
      <c r="EY80" s="5">
        <f t="shared" si="132"/>
        <v>2</v>
      </c>
      <c r="EZ80" s="5" t="str">
        <f t="shared" si="133"/>
        <v>Nivel de riesgo medio</v>
      </c>
      <c r="FA80" s="5" t="s">
        <v>253</v>
      </c>
      <c r="FB80" s="5">
        <f t="shared" si="134"/>
        <v>0</v>
      </c>
      <c r="FC80" s="5" t="s">
        <v>253</v>
      </c>
      <c r="FD80" s="5">
        <f t="shared" si="135"/>
        <v>0</v>
      </c>
      <c r="FE80" s="5" t="s">
        <v>253</v>
      </c>
      <c r="FF80" s="5">
        <f t="shared" si="136"/>
        <v>0</v>
      </c>
      <c r="FG80" s="5">
        <f t="shared" si="137"/>
        <v>0</v>
      </c>
      <c r="FH80" s="5" t="str">
        <f t="shared" si="138"/>
        <v>Nivel de riesgo bajo</v>
      </c>
      <c r="FI80" s="5" t="s">
        <v>253</v>
      </c>
      <c r="FJ80" s="5">
        <f t="shared" si="139"/>
        <v>0</v>
      </c>
      <c r="FK80" s="5" t="s">
        <v>253</v>
      </c>
      <c r="FL80" s="5">
        <f t="shared" si="140"/>
        <v>0</v>
      </c>
      <c r="FM80" s="5" t="s">
        <v>253</v>
      </c>
      <c r="FN80" s="5">
        <f t="shared" si="141"/>
        <v>0</v>
      </c>
      <c r="FO80" s="5">
        <f t="shared" si="142"/>
        <v>0</v>
      </c>
      <c r="FP80" s="5" t="str">
        <f t="shared" si="143"/>
        <v>Nivel de riesgo bajo</v>
      </c>
      <c r="FQ80" s="5" t="s">
        <v>206</v>
      </c>
      <c r="FR80" s="5">
        <f t="shared" si="144"/>
        <v>0</v>
      </c>
      <c r="FS80" s="5" t="s">
        <v>206</v>
      </c>
      <c r="FT80" s="5">
        <f t="shared" si="145"/>
        <v>0</v>
      </c>
      <c r="FU80" s="5" t="s">
        <v>206</v>
      </c>
      <c r="FV80" s="5">
        <f t="shared" si="146"/>
        <v>0</v>
      </c>
      <c r="FW80" s="5" t="s">
        <v>206</v>
      </c>
      <c r="FX80" s="5">
        <f t="shared" si="147"/>
        <v>0</v>
      </c>
      <c r="FY80" s="5" t="s">
        <v>206</v>
      </c>
      <c r="FZ80" s="5">
        <f t="shared" si="148"/>
        <v>0</v>
      </c>
      <c r="GA80" s="5" t="s">
        <v>206</v>
      </c>
      <c r="GB80" s="5">
        <f t="shared" si="149"/>
        <v>0</v>
      </c>
      <c r="GC80" s="5" t="s">
        <v>206</v>
      </c>
      <c r="GD80" s="5">
        <f t="shared" si="150"/>
        <v>0</v>
      </c>
      <c r="GE80" s="5">
        <f t="shared" si="151"/>
        <v>0</v>
      </c>
      <c r="GF80" s="5" t="str">
        <f t="shared" si="152"/>
        <v>Nivel de riesgo bajo</v>
      </c>
      <c r="GG80" s="5" t="s">
        <v>255</v>
      </c>
      <c r="GH80" s="5" t="s">
        <v>255</v>
      </c>
      <c r="GI80" s="5" t="s">
        <v>255</v>
      </c>
      <c r="GJ80" s="5" t="s">
        <v>255</v>
      </c>
      <c r="GK80" s="5" t="s">
        <v>233</v>
      </c>
      <c r="GL80" s="5" t="s">
        <v>255</v>
      </c>
      <c r="GM80" s="5" t="s">
        <v>255</v>
      </c>
      <c r="GN80" s="5" t="s">
        <v>234</v>
      </c>
      <c r="GO80" s="5" t="s">
        <v>234</v>
      </c>
      <c r="GP80" s="5" t="s">
        <v>234</v>
      </c>
      <c r="GQ80" s="5" t="s">
        <v>234</v>
      </c>
      <c r="GR80" s="5" t="s">
        <v>234</v>
      </c>
      <c r="GS80" s="5" t="s">
        <v>234</v>
      </c>
      <c r="GT80" s="5" t="s">
        <v>234</v>
      </c>
      <c r="GU80" s="5" t="s">
        <v>413</v>
      </c>
      <c r="GV80" s="5" t="str">
        <f>TEXT("6278806121415360608","0")</f>
        <v>6278806121415360000</v>
      </c>
    </row>
    <row r="81" spans="1:204" ht="15.75" hidden="1" customHeight="1" x14ac:dyDescent="0.15">
      <c r="B81" s="4">
        <v>45847.4377662037</v>
      </c>
      <c r="C81" s="5" t="s">
        <v>204</v>
      </c>
      <c r="D81" s="5" t="s">
        <v>206</v>
      </c>
      <c r="F81" s="5" t="s">
        <v>206</v>
      </c>
      <c r="G81" s="5" t="s">
        <v>204</v>
      </c>
      <c r="H81" s="5" t="s">
        <v>206</v>
      </c>
      <c r="K81" s="5" t="s">
        <v>237</v>
      </c>
      <c r="O81" s="5" t="s">
        <v>209</v>
      </c>
      <c r="S81" s="5" t="s">
        <v>208</v>
      </c>
      <c r="X81" s="5" t="s">
        <v>208</v>
      </c>
      <c r="AC81" s="5" t="s">
        <v>208</v>
      </c>
      <c r="AH81" s="5" t="s">
        <v>210</v>
      </c>
      <c r="AI81" s="5">
        <v>2017</v>
      </c>
      <c r="AJ81" s="5" t="s">
        <v>260</v>
      </c>
      <c r="AK81" s="5"/>
      <c r="AR81" s="5" t="s">
        <v>276</v>
      </c>
      <c r="AS81" s="5" t="s">
        <v>276</v>
      </c>
      <c r="AT81" s="5" t="s">
        <v>276</v>
      </c>
      <c r="AU81" s="5" t="s">
        <v>276</v>
      </c>
      <c r="AV81" s="5" t="s">
        <v>262</v>
      </c>
      <c r="AW81" s="5" t="s">
        <v>204</v>
      </c>
      <c r="AX81" s="5" t="s">
        <v>204</v>
      </c>
      <c r="AY81" s="5" t="s">
        <v>366</v>
      </c>
      <c r="AZ81" s="5" t="s">
        <v>204</v>
      </c>
      <c r="BA81" s="5" t="s">
        <v>263</v>
      </c>
      <c r="BF81" s="5" t="s">
        <v>204</v>
      </c>
      <c r="BG81" s="5" t="s">
        <v>215</v>
      </c>
      <c r="BH81" s="5" t="s">
        <v>264</v>
      </c>
      <c r="BI81" s="5" t="s">
        <v>242</v>
      </c>
      <c r="BJ81" s="5" t="s">
        <v>264</v>
      </c>
      <c r="BK81" s="5" t="s">
        <v>246</v>
      </c>
      <c r="BL81" s="5" t="s">
        <v>216</v>
      </c>
      <c r="BM81" s="5" t="s">
        <v>216</v>
      </c>
      <c r="BN81" s="5" t="s">
        <v>243</v>
      </c>
      <c r="BO81" s="5" t="s">
        <v>216</v>
      </c>
      <c r="BP81" s="5" t="s">
        <v>245</v>
      </c>
      <c r="BQ81" s="5" t="s">
        <v>244</v>
      </c>
      <c r="BR81" s="5" t="s">
        <v>243</v>
      </c>
      <c r="BS81" s="5" t="s">
        <v>248</v>
      </c>
      <c r="BT81" s="5" t="s">
        <v>248</v>
      </c>
      <c r="BU81" s="5" t="s">
        <v>254</v>
      </c>
      <c r="BV81" s="5" t="s">
        <v>248</v>
      </c>
      <c r="BW81" s="5" t="s">
        <v>247</v>
      </c>
      <c r="BX81" s="5" t="s">
        <v>247</v>
      </c>
      <c r="BY81" s="5" t="s">
        <v>232</v>
      </c>
      <c r="BZ81" s="5" t="s">
        <v>216</v>
      </c>
      <c r="CA81" s="5" t="s">
        <v>216</v>
      </c>
      <c r="CB81" s="5" t="s">
        <v>216</v>
      </c>
      <c r="CC81" s="5" t="s">
        <v>243</v>
      </c>
      <c r="CD81" s="5" t="s">
        <v>206</v>
      </c>
      <c r="CH81" s="5" t="s">
        <v>206</v>
      </c>
      <c r="CI81" s="5" t="s">
        <v>206</v>
      </c>
      <c r="CJ81" s="5">
        <v>0</v>
      </c>
      <c r="CK81" s="5" t="s">
        <v>223</v>
      </c>
      <c r="CL81" s="5" t="s">
        <v>414</v>
      </c>
      <c r="CU81" s="5" t="s">
        <v>206</v>
      </c>
      <c r="DA81" s="5" t="s">
        <v>272</v>
      </c>
      <c r="DB81" s="5"/>
      <c r="DC81" s="5" t="s">
        <v>230</v>
      </c>
      <c r="DD81" s="5"/>
      <c r="DE81" s="5" t="s">
        <v>230</v>
      </c>
      <c r="DF81" s="5"/>
      <c r="DG81" s="5" t="s">
        <v>251</v>
      </c>
      <c r="DH81" s="5"/>
      <c r="DI81" s="5" t="s">
        <v>251</v>
      </c>
      <c r="DJ81" s="5"/>
      <c r="DK81" s="5" t="s">
        <v>251</v>
      </c>
      <c r="DL81" s="5"/>
      <c r="DM81" s="5" t="s">
        <v>251</v>
      </c>
      <c r="DN81" s="5"/>
      <c r="DO81" s="5" t="s">
        <v>281</v>
      </c>
      <c r="DP81" s="5"/>
      <c r="DQ81" s="5" t="s">
        <v>281</v>
      </c>
      <c r="DR81" s="5"/>
      <c r="DS81" s="5" t="s">
        <v>231</v>
      </c>
      <c r="DT81" s="5"/>
      <c r="DU81" s="5" t="s">
        <v>281</v>
      </c>
      <c r="DV81" s="5"/>
      <c r="DW81" s="5" t="s">
        <v>281</v>
      </c>
      <c r="DX81" s="5"/>
      <c r="DY81" s="5"/>
      <c r="DZ81" s="5"/>
      <c r="EA81" s="5" t="s">
        <v>254</v>
      </c>
      <c r="EB81" s="5"/>
      <c r="EC81" s="5" t="s">
        <v>253</v>
      </c>
      <c r="ED81" s="5"/>
      <c r="EE81" s="5" t="s">
        <v>253</v>
      </c>
      <c r="EF81" s="5"/>
      <c r="EG81" s="5"/>
      <c r="EH81" s="5"/>
      <c r="EI81" s="5" t="s">
        <v>247</v>
      </c>
      <c r="EJ81" s="5"/>
      <c r="EK81" s="5" t="s">
        <v>254</v>
      </c>
      <c r="EL81" s="5"/>
      <c r="EM81" s="5" t="s">
        <v>248</v>
      </c>
      <c r="EN81" s="5"/>
      <c r="EO81" s="5"/>
      <c r="EP81" s="5"/>
      <c r="EQ81" s="5" t="s">
        <v>247</v>
      </c>
      <c r="ER81" s="5"/>
      <c r="ES81" s="5" t="s">
        <v>254</v>
      </c>
      <c r="ET81" s="5"/>
      <c r="EU81" s="5" t="s">
        <v>254</v>
      </c>
      <c r="EV81" s="5"/>
      <c r="EW81" s="5" t="s">
        <v>232</v>
      </c>
      <c r="EX81" s="5"/>
      <c r="EY81" s="5"/>
      <c r="EZ81" s="5"/>
      <c r="FA81" s="5" t="s">
        <v>253</v>
      </c>
      <c r="FB81" s="5"/>
      <c r="FC81" s="5" t="s">
        <v>253</v>
      </c>
      <c r="FD81" s="5"/>
      <c r="FE81" s="5" t="s">
        <v>253</v>
      </c>
      <c r="FF81" s="5"/>
      <c r="FG81" s="5"/>
      <c r="FH81" s="5"/>
      <c r="FI81" s="5" t="s">
        <v>253</v>
      </c>
      <c r="FJ81" s="5"/>
      <c r="FK81" s="5" t="s">
        <v>247</v>
      </c>
      <c r="FL81" s="5"/>
      <c r="FM81" s="5" t="s">
        <v>253</v>
      </c>
      <c r="FN81" s="5"/>
      <c r="FO81" s="5"/>
      <c r="FP81" s="5"/>
      <c r="FQ81" s="5" t="s">
        <v>206</v>
      </c>
      <c r="FR81" s="5"/>
      <c r="FS81" s="5" t="s">
        <v>206</v>
      </c>
      <c r="FT81" s="5"/>
      <c r="FU81" s="5" t="s">
        <v>206</v>
      </c>
      <c r="FV81" s="5"/>
      <c r="FW81" s="5" t="s">
        <v>206</v>
      </c>
      <c r="FX81" s="5"/>
      <c r="FY81" s="5" t="s">
        <v>206</v>
      </c>
      <c r="FZ81" s="5"/>
      <c r="GA81" s="5" t="s">
        <v>206</v>
      </c>
      <c r="GB81" s="5"/>
      <c r="GC81" s="5" t="s">
        <v>206</v>
      </c>
      <c r="GD81" s="5"/>
      <c r="GE81" s="5"/>
      <c r="GF81" s="5"/>
      <c r="GG81" s="5" t="s">
        <v>266</v>
      </c>
      <c r="GH81" s="5" t="s">
        <v>298</v>
      </c>
      <c r="GI81" s="5" t="s">
        <v>273</v>
      </c>
      <c r="GJ81" s="5" t="s">
        <v>233</v>
      </c>
      <c r="GK81" s="5" t="s">
        <v>233</v>
      </c>
      <c r="GL81" s="5" t="s">
        <v>298</v>
      </c>
      <c r="GM81" s="5" t="s">
        <v>273</v>
      </c>
      <c r="GN81" s="5" t="s">
        <v>256</v>
      </c>
      <c r="GO81" s="5" t="s">
        <v>256</v>
      </c>
      <c r="GP81" s="5" t="s">
        <v>256</v>
      </c>
      <c r="GQ81" s="5" t="s">
        <v>256</v>
      </c>
      <c r="GR81" s="5" t="s">
        <v>256</v>
      </c>
      <c r="GS81" s="5" t="s">
        <v>256</v>
      </c>
      <c r="GT81" s="5" t="s">
        <v>256</v>
      </c>
      <c r="GU81" s="5" t="s">
        <v>415</v>
      </c>
      <c r="GV81" s="5" t="str">
        <f>TEXT("6278806230133361904","0")</f>
        <v>6278806230133360000</v>
      </c>
    </row>
    <row r="82" spans="1:204" ht="15.75" customHeight="1" x14ac:dyDescent="0.15">
      <c r="A82" s="1">
        <f t="shared" ref="A82:A91" si="153">ROW(A82)</f>
        <v>82</v>
      </c>
      <c r="B82" s="4">
        <v>45847.439502314817</v>
      </c>
      <c r="C82" s="5" t="s">
        <v>204</v>
      </c>
      <c r="D82" s="5" t="s">
        <v>206</v>
      </c>
      <c r="F82" s="5" t="s">
        <v>206</v>
      </c>
      <c r="G82" s="5" t="s">
        <v>204</v>
      </c>
      <c r="H82" s="5" t="s">
        <v>206</v>
      </c>
      <c r="K82" s="5" t="s">
        <v>237</v>
      </c>
      <c r="P82" s="5" t="s">
        <v>237</v>
      </c>
      <c r="T82" s="5" t="s">
        <v>209</v>
      </c>
      <c r="X82" s="5" t="s">
        <v>208</v>
      </c>
      <c r="AD82" s="5" t="s">
        <v>209</v>
      </c>
      <c r="AH82" s="5" t="s">
        <v>275</v>
      </c>
      <c r="AI82" s="5">
        <v>2023</v>
      </c>
      <c r="AJ82" s="5" t="s">
        <v>238</v>
      </c>
      <c r="AK82" s="5" t="str">
        <f t="shared" ref="AK82:AK91" si="154">IF(OR(AJ82="Empleada del sector privado",AJ82="Empleada del sector público"),"Asalariada",
IF(AJ82="Trabajadora por cuenta propia","Trabajadora por cuenta propia",""))</f>
        <v>Trabajadora por cuenta propia</v>
      </c>
      <c r="AM82" s="5" t="s">
        <v>309</v>
      </c>
      <c r="AP82" s="5" t="s">
        <v>297</v>
      </c>
      <c r="AR82" s="5" t="s">
        <v>276</v>
      </c>
      <c r="AS82" s="5" t="s">
        <v>276</v>
      </c>
      <c r="AT82" s="5" t="s">
        <v>276</v>
      </c>
      <c r="AU82" s="5" t="s">
        <v>276</v>
      </c>
      <c r="AV82" s="5" t="s">
        <v>269</v>
      </c>
      <c r="AW82" s="5" t="s">
        <v>204</v>
      </c>
      <c r="AX82" s="5" t="s">
        <v>206</v>
      </c>
      <c r="BF82" s="5" t="s">
        <v>204</v>
      </c>
      <c r="BG82" s="5" t="s">
        <v>242</v>
      </c>
      <c r="BH82" s="5" t="s">
        <v>215</v>
      </c>
      <c r="BI82" s="5" t="s">
        <v>242</v>
      </c>
      <c r="BJ82" s="5" t="s">
        <v>264</v>
      </c>
      <c r="BK82" s="5" t="s">
        <v>246</v>
      </c>
      <c r="BL82" s="5" t="s">
        <v>246</v>
      </c>
      <c r="BM82" s="5" t="s">
        <v>244</v>
      </c>
      <c r="BN82" s="5" t="s">
        <v>244</v>
      </c>
      <c r="BO82" s="5" t="s">
        <v>244</v>
      </c>
      <c r="BP82" s="5" t="s">
        <v>244</v>
      </c>
      <c r="BQ82" s="5" t="s">
        <v>244</v>
      </c>
      <c r="BR82" s="5" t="s">
        <v>244</v>
      </c>
      <c r="BS82" s="5" t="s">
        <v>247</v>
      </c>
      <c r="BT82" s="5" t="s">
        <v>248</v>
      </c>
      <c r="BU82" s="5" t="s">
        <v>247</v>
      </c>
      <c r="BV82" s="5" t="s">
        <v>248</v>
      </c>
      <c r="BW82" s="5" t="s">
        <v>248</v>
      </c>
      <c r="BX82" s="5" t="s">
        <v>247</v>
      </c>
      <c r="BY82" s="5" t="s">
        <v>217</v>
      </c>
      <c r="BZ82" s="5" t="s">
        <v>244</v>
      </c>
      <c r="CA82" s="5" t="s">
        <v>244</v>
      </c>
      <c r="CB82" s="5" t="s">
        <v>244</v>
      </c>
      <c r="CC82" s="5" t="s">
        <v>244</v>
      </c>
      <c r="CD82" s="5" t="s">
        <v>204</v>
      </c>
      <c r="CE82" s="5" t="s">
        <v>218</v>
      </c>
      <c r="CF82" s="5" t="s">
        <v>219</v>
      </c>
      <c r="CG82" s="5" t="s">
        <v>206</v>
      </c>
      <c r="CH82" s="5" t="s">
        <v>206</v>
      </c>
      <c r="CI82" s="5" t="s">
        <v>249</v>
      </c>
      <c r="CJ82" s="5">
        <v>2</v>
      </c>
      <c r="CK82" s="5" t="s">
        <v>223</v>
      </c>
      <c r="CU82" s="5" t="s">
        <v>206</v>
      </c>
      <c r="DA82" s="5" t="s">
        <v>231</v>
      </c>
      <c r="DB82" s="5">
        <f t="shared" ref="DB82:DB91" si="155">IF(DA82="Mejor que lo habitual",1,
IF(DA82="Igual que lo habitual",2,
IF(DA82="Menos que lo habitual",3,
IF(DA82="Mucho menos que lo habitual",4,""))))</f>
        <v>2</v>
      </c>
      <c r="DC82" s="5" t="s">
        <v>230</v>
      </c>
      <c r="DD82" s="5">
        <f t="shared" ref="DD82:DD91" si="156">IF(DC82="No, en absoluto",1,
IF(DC82="No más que lo habitual",2,
IF(DC82="Bastante más que lo habitual",3,
IF(DC82="Mucho más que lo habitual",4,""))))</f>
        <v>2</v>
      </c>
      <c r="DE82" s="5" t="s">
        <v>251</v>
      </c>
      <c r="DF82" s="5">
        <f t="shared" ref="DF82:DF91" si="157">IF(DE82="No, en absoluto",1,
IF(DE82="No más que lo habitual",2,
IF(DE82="Bastante más que lo habitual",3,
IF(DE82="Mucho más que lo habitual",4,""))))</f>
        <v>1</v>
      </c>
      <c r="DG82" s="5" t="s">
        <v>230</v>
      </c>
      <c r="DH82" s="5">
        <f t="shared" ref="DH82:DH91" si="158">IF(DG82="No, en absoluto",1,
IF(DG82="No más que lo habitual",2,
IF(DG82="Bastante más que lo habitual",3,
IF(DG82="Mucho más que lo habitual",4,""))))</f>
        <v>2</v>
      </c>
      <c r="DI82" s="5" t="s">
        <v>230</v>
      </c>
      <c r="DJ82" s="5">
        <f t="shared" ref="DJ82:DJ91" si="159">IF(DI82="No, en absoluto",1,
IF(DI82="No más que lo habitual",2,
IF(DI82="Bastante más que lo habitual",3,
IF(DI82="Mucho más que lo habitual",4,""))))</f>
        <v>2</v>
      </c>
      <c r="DK82" s="5" t="s">
        <v>230</v>
      </c>
      <c r="DL82" s="5">
        <f t="shared" ref="DL82:DL91" si="160">IF(DK82="No, en absoluto",1,
IF(DK82="No más que lo habitual",2,
IF(DK82="Bastante más que lo habitual",3,
IF(DK82="Mucho más que lo habitual",4,""))))</f>
        <v>2</v>
      </c>
      <c r="DM82" s="5" t="s">
        <v>230</v>
      </c>
      <c r="DN82" s="5">
        <f t="shared" ref="DN82:DN91" si="161">IF(DM82="No, en absoluto",1,
IF(DM82="No más que lo habitual",2,
IF(DM82="Bastante más que lo habitual",3,
IF(DM82="Mucho más que lo habitual",4,""))))</f>
        <v>2</v>
      </c>
      <c r="DO82" s="5" t="s">
        <v>281</v>
      </c>
      <c r="DP82" s="5">
        <f t="shared" ref="DP82:DP91" si="162">IF(DO82="Más que lo habitual",1,
IF(DO82="Igual que lo habitual",2,
IF(DO82="Menos que lo habitual",3,
IF(DO82="Mucho menos que lo habitual",4,""))))</f>
        <v>1</v>
      </c>
      <c r="DQ82" s="5" t="s">
        <v>281</v>
      </c>
      <c r="DR82" s="5">
        <f t="shared" ref="DR82:DR91" si="163">IF(DQ82="Más que lo habitual",1,
IF(DQ82="Igual que lo habitual",2,
IF(DQ82="Menos que lo habitual",3,
IF(DQ82="Mucho menos que lo habitual",4,""))))</f>
        <v>1</v>
      </c>
      <c r="DS82" s="5" t="s">
        <v>231</v>
      </c>
      <c r="DT82" s="5">
        <f t="shared" ref="DT82:DT91" si="164">IF(DS82="Más que lo habitual",1,
IF(DS82="Igual que lo habitual",2,
IF(DS82="Menos que lo habitual",3,
IF(DS82="Mucho menos que lo habitual",4,""))))</f>
        <v>2</v>
      </c>
      <c r="DU82" s="5" t="s">
        <v>231</v>
      </c>
      <c r="DV82" s="5">
        <f t="shared" ref="DV82:DV91" si="165">IF(DU82="Más que lo habitual",1,
IF(DU82="Igual que lo habitual",2,
IF(DU82="Menos que lo habitual",3,
IF(DU82="Mucho menos que lo habitual",4,""))))</f>
        <v>2</v>
      </c>
      <c r="DW82" s="5" t="s">
        <v>281</v>
      </c>
      <c r="DX82" s="5">
        <f t="shared" ref="DX82:DX91" si="166">IF(DW82="Más que lo habitual",1,
IF(DW82="Igual que lo habitual",2,
IF(DW82="Menos que lo habitual",3,
IF(DW82="Mucho menos que lo habitual",4,""))))</f>
        <v>1</v>
      </c>
      <c r="DY82" s="5">
        <f t="shared" ref="DY82:DY91" si="167">SUM(DB82,DD82,DF82,DH82,DJ82,DL82,DN82,DP82,DR82,DT82,DV82,DX82)</f>
        <v>20</v>
      </c>
      <c r="DZ82" s="5" t="str">
        <f t="shared" ref="DZ82:DZ91" si="168">IF(DY82&lt;=18,"Nivel de riesgo bajo",
IF(DY82&lt;=23,"Nivel de riesgo medio",
"Nivel de riesgo alto"))</f>
        <v>Nivel de riesgo medio</v>
      </c>
      <c r="EA82" s="5" t="s">
        <v>247</v>
      </c>
      <c r="EB82" s="5">
        <f t="shared" ref="EB82:EB91" si="169">IF(EA82="Nunca/ casi nunca",0,
IF(EA82="Rara vez",1,
IF(EA82="A veces",2,
IF(EA82="A menudo",3,
IF(EA82="Siempre",4,"")))))</f>
        <v>2</v>
      </c>
      <c r="EC82" s="5" t="s">
        <v>248</v>
      </c>
      <c r="ED82" s="5">
        <f t="shared" ref="ED82:ED91" si="170">IF(EC82="Nunca/ casi nunca",0,
IF(EC82="Rara vez",1,
IF(EC82="A veces",2,
IF(EC82="A menudo",3,
IF(EC82="Siempre",4,"")))))</f>
        <v>1</v>
      </c>
      <c r="EE82" s="5" t="s">
        <v>248</v>
      </c>
      <c r="EF82" s="5">
        <f t="shared" ref="EF82:EF91" si="171">IF(EE82="Nunca/ casi nunca",0,
IF(EE82="Rara vez",1,
IF(EE82="A veces",2,
IF(EE82="A menudo",3,
IF(EE82="Siempre",4,"")))))</f>
        <v>1</v>
      </c>
      <c r="EG82" s="5">
        <f t="shared" ref="EG82:EG91" si="172">SUM(EB82,ED82,EF82)</f>
        <v>4</v>
      </c>
      <c r="EH82" s="5" t="str">
        <f t="shared" ref="EH82:EH91" si="173">IF(EG82&lt;=1,"Nivel de riesgo bajo",
IF(EG82&lt;=4,"Nivel de riesgo medio",
"Nivel de riesgo alto"))</f>
        <v>Nivel de riesgo medio</v>
      </c>
      <c r="EI82" s="5" t="s">
        <v>253</v>
      </c>
      <c r="EJ82" s="5">
        <f t="shared" ref="EJ82:EJ91" si="174">IF(EI82="Nunca/ casi nunca",0,
IF(EI82="Rara vez",1,
IF(EI82="A veces",2,
IF(EI82="A menudo",3,
IF(EI82="Siempre",4,"")))))</f>
        <v>0</v>
      </c>
      <c r="EK82" s="5" t="s">
        <v>247</v>
      </c>
      <c r="EL82" s="5">
        <f t="shared" ref="EL82:EL91" si="175">IF(EK82="Nunca/ casi nunca",0,
IF(EK82="Rara vez",1,
IF(EK82="A veces",2,
IF(EK82="A menudo",3,
IF(EK82="Siempre",4,"")))))</f>
        <v>2</v>
      </c>
      <c r="EM82" s="5" t="s">
        <v>232</v>
      </c>
      <c r="EN82" s="5">
        <f t="shared" ref="EN82:EN91" si="176">IF(EM82="Nunca/ casi nunca",0,
IF(EM82="Rara vez",1,
IF(EM82="A veces",2,
IF(EM82="A menudo",3,
IF(EM82="Siempre",4,"")))))</f>
        <v>3</v>
      </c>
      <c r="EO82" s="5">
        <f t="shared" ref="EO82:EO91" si="177">SUM(EJ82,EL82,EN82)</f>
        <v>5</v>
      </c>
      <c r="EP82" s="5" t="str">
        <f t="shared" ref="EP82:EP91" si="178">IF(EO82&lt;=1,"Nivel de riesgo bajo",
IF(EO82&lt;=5,"Nivel de riesgo medio",
"Nivel de riesgo alto"))</f>
        <v>Nivel de riesgo medio</v>
      </c>
      <c r="EQ82" s="5" t="s">
        <v>248</v>
      </c>
      <c r="ER82" s="5">
        <f t="shared" ref="ER82:ER91" si="179">IF(EQ82="Nunca/ casi nunca",4,
IF(EQ82="Rara vez",3,
IF(EQ82="A veces",2,
IF(EQ82="A menudo",1,
IF(EQ82="Siempre",0,"")))))</f>
        <v>3</v>
      </c>
      <c r="ES82" s="5" t="s">
        <v>254</v>
      </c>
      <c r="ET82" s="5">
        <f t="shared" ref="ET82:ET91" si="180">IF(ES82="Nunca/ casi nunca",4,
IF(ES82="Rara vez",3,
IF(ES82="A veces",2,
IF(ES82="A menudo",1,
IF(ES82="Siempre",0,"")))))</f>
        <v>0</v>
      </c>
      <c r="EU82" s="5" t="s">
        <v>254</v>
      </c>
      <c r="EV82" s="5">
        <f t="shared" ref="EV82:EV91" si="181">IF(EU82="Nunca/ casi nunca",4,
IF(EU82="Rara vez",3,
IF(EU82="A veces",2,
IF(EU82="A menudo",1,
IF(EU82="Siempre",0,"")))))</f>
        <v>0</v>
      </c>
      <c r="EW82" s="5" t="s">
        <v>254</v>
      </c>
      <c r="EX82" s="5">
        <f t="shared" ref="EX82:EX91" si="182">IF(EW82="Nunca/ casi nunca",4,
IF(EW82="Rara vez",3,
IF(EW82="A veces",2,
IF(EW82="A menudo",1,
IF(EW82="Siempre",0,"")))))</f>
        <v>0</v>
      </c>
      <c r="EY82" s="5">
        <f t="shared" ref="EY82:EY91" si="183">SUM(ER82,ET82,EV82,EX82)</f>
        <v>3</v>
      </c>
      <c r="EZ82" s="5" t="str">
        <f t="shared" ref="EZ82:EZ91" si="184">IF(EY82&lt;=0,"Nivel de riesgo bajo",
IF(EY82&lt;=4,"Nivel de riesgo medio",
"Nivel de riesgo alto"))</f>
        <v>Nivel de riesgo medio</v>
      </c>
      <c r="FA82" s="5" t="s">
        <v>253</v>
      </c>
      <c r="FB82" s="5">
        <f t="shared" ref="FB82:FB91" si="185">IF(FA82="Nunca/ casi nunca",0,
IF(FA82="Rara vez",1,
IF(FA82="A veces",2,
IF(FA82="A menudo",3,
IF(FA82="Siempre",4,"")))))</f>
        <v>0</v>
      </c>
      <c r="FC82" s="5" t="s">
        <v>253</v>
      </c>
      <c r="FD82" s="5">
        <f t="shared" ref="FD82:FD91" si="186">IF(FC82="Nunca/ casi nunca",0,
IF(FC82="Rara vez",1,
IF(FC82="A veces",2,
IF(FC82="A menudo",3,
IF(FC82="Siempre",4,"")))))</f>
        <v>0</v>
      </c>
      <c r="FE82" s="5" t="s">
        <v>253</v>
      </c>
      <c r="FF82" s="5">
        <f t="shared" ref="FF82:FF91" si="187">IF(FE82="Nunca/ casi nunca",0,
IF(FE82="Rara vez",1,
IF(FE82="A veces",2,
IF(FE82="A menudo",3,
IF(FE82="Siempre",4,"")))))</f>
        <v>0</v>
      </c>
      <c r="FG82" s="5">
        <f t="shared" ref="FG82:FG91" si="188">SUM(FB82,FD82,FF82)</f>
        <v>0</v>
      </c>
      <c r="FH82" s="5" t="str">
        <f t="shared" ref="FH82:FH91" si="189">IF(FG82&lt;=2,"Nivel de riesgo bajo",
IF(FG82&lt;=5,"Nivel de riesgo medio",
"Nivel de riesgo alto"))</f>
        <v>Nivel de riesgo bajo</v>
      </c>
      <c r="FI82" s="5" t="s">
        <v>248</v>
      </c>
      <c r="FJ82" s="5">
        <f t="shared" ref="FJ82:FJ91" si="190">IF(FI82="Nunca/ casi nunca",0,
IF(FI82="Rara vez",1,
IF(FI82="A veces",2,
IF(FI82="A menudo",3,
IF(FI82="Siempre",4,"")))))</f>
        <v>1</v>
      </c>
      <c r="FK82" s="5" t="s">
        <v>253</v>
      </c>
      <c r="FL82" s="5">
        <f t="shared" ref="FL82:FL91" si="191">IF(FK82="Nunca/ casi nunca",0,
IF(FK82="Rara vez",1,
IF(FK82="A veces",2,
IF(FK82="A menudo",3,
IF(FK82="Siempre",4,"")))))</f>
        <v>0</v>
      </c>
      <c r="FM82" s="5" t="s">
        <v>248</v>
      </c>
      <c r="FN82" s="5">
        <f t="shared" ref="FN82:FN91" si="192">IF(FM82="Nunca/ casi nunca",0,
IF(FM82="Rara vez",1,
IF(FM82="A veces",2,
IF(FM82="A menudo",3,
IF(FM82="Siempre",4,"")))))</f>
        <v>1</v>
      </c>
      <c r="FO82" s="5">
        <f t="shared" ref="FO82:FO91" si="193">SUM(FJ82,FL82,FN82)</f>
        <v>2</v>
      </c>
      <c r="FP82" s="5" t="str">
        <f t="shared" ref="FP82:FP91" si="194">IF(FO82&lt;=2,"Nivel de riesgo bajo",
IF(FO82&lt;=5,"Nivel de riesgo medio",
"Nivel de riesgo alto"))</f>
        <v>Nivel de riesgo bajo</v>
      </c>
      <c r="FQ82" s="5" t="s">
        <v>206</v>
      </c>
      <c r="FR82" s="5">
        <f t="shared" ref="FR82:FR91" si="195">IF(FQ82="No",0,
IF(FQ82="Sí, unas pocas veces",1,
IF(FQ82="Sí, mensualmente",2,
IF(FQ82="Sí, semanalmente",3,
IF(FQ82="Sí, diariamente",4,"")))))</f>
        <v>0</v>
      </c>
      <c r="FS82" s="5" t="s">
        <v>206</v>
      </c>
      <c r="FT82" s="5">
        <f t="shared" ref="FT82:FT91" si="196">IF(FS82="No",0,
IF(FS82="Sí, unas pocas veces",1,
IF(FS82="Sí, mensualmente",2,
IF(FS82="Sí, semanalmente",3,
IF(FS82="Sí, diariamente",4,"")))))</f>
        <v>0</v>
      </c>
      <c r="FU82" s="5" t="s">
        <v>206</v>
      </c>
      <c r="FV82" s="5">
        <f t="shared" ref="FV82:FV91" si="197">IF(FU82="No",0,
IF(FU82="Sí, unas pocas veces",1,
IF(FU82="Sí, mensualmente",2,
IF(FU82="Sí, semanalmente",3,
IF(FU82="Sí, diariamente",4,"")))))</f>
        <v>0</v>
      </c>
      <c r="FW82" s="5" t="s">
        <v>206</v>
      </c>
      <c r="FX82" s="5">
        <f t="shared" ref="FX82:FX91" si="198">IF(FW82="No",0,
IF(FW82="Sí, unas pocas veces",1,
IF(FW82="Sí, mensualmente",2,
IF(FW82="Sí, semanalmente",3,
IF(FW82="Sí, diariamente",4,"")))))</f>
        <v>0</v>
      </c>
      <c r="FY82" s="5" t="s">
        <v>206</v>
      </c>
      <c r="FZ82" s="5">
        <f t="shared" ref="FZ82:FZ91" si="199">IF(FY82="No",0,
IF(FY82="Sí, unas pocas veces",1,
IF(FY82="Sí, mensualmente",2,
IF(FY82="Sí, semanalmente",3,
IF(FY82="Sí, diariamente",4,"")))))</f>
        <v>0</v>
      </c>
      <c r="GA82" s="5" t="s">
        <v>206</v>
      </c>
      <c r="GB82" s="5">
        <f t="shared" ref="GB82:GB91" si="200">IF(GA82="No",0,
IF(GA82="Sí, unas pocas veces",1,
IF(GA82="Sí, mensualmente",2,
IF(GA82="Sí, semanalmente",3,
IF(GA82="Sí, diariamente",4,"")))))</f>
        <v>0</v>
      </c>
      <c r="GC82" s="5" t="s">
        <v>206</v>
      </c>
      <c r="GD82" s="5">
        <f t="shared" ref="GD82:GD91" si="201">IF(GC82="No",0,
IF(GC82="Sí, unas pocas veces",1,
IF(GC82="Sí, mensualmente",2,
IF(GC82="Sí, semanalmente",3,
IF(GC82="Sí, diariamente",4,"")))))</f>
        <v>0</v>
      </c>
      <c r="GE82" s="5">
        <f t="shared" ref="GE82:GE91" si="202">SUM(FR82,FT82,FV82,FX82,FZ82,GB82,GD82)</f>
        <v>0</v>
      </c>
      <c r="GF82" s="5" t="str">
        <f t="shared" ref="GF82:GF91" si="203">IF(GE82&lt;=0,"Nivel de riesgo bajo",
IF(GE82&lt;=14,"Nivel de riesgo medio",
"Nivel de riesgo alto"))</f>
        <v>Nivel de riesgo bajo</v>
      </c>
      <c r="GG82" s="5" t="s">
        <v>255</v>
      </c>
      <c r="GH82" s="5" t="s">
        <v>255</v>
      </c>
      <c r="GI82" s="5" t="s">
        <v>255</v>
      </c>
      <c r="GJ82" s="5" t="s">
        <v>298</v>
      </c>
      <c r="GK82" s="5" t="s">
        <v>233</v>
      </c>
      <c r="GL82" s="5" t="s">
        <v>298</v>
      </c>
      <c r="GM82" s="5" t="s">
        <v>266</v>
      </c>
      <c r="GN82" s="5" t="s">
        <v>243</v>
      </c>
      <c r="GO82" s="5" t="s">
        <v>257</v>
      </c>
      <c r="GP82" s="5" t="s">
        <v>256</v>
      </c>
      <c r="GQ82" s="5" t="s">
        <v>257</v>
      </c>
      <c r="GR82" s="5" t="s">
        <v>257</v>
      </c>
      <c r="GS82" s="5" t="s">
        <v>257</v>
      </c>
      <c r="GT82" s="5" t="s">
        <v>256</v>
      </c>
      <c r="GU82" s="5" t="s">
        <v>416</v>
      </c>
      <c r="GV82" s="5" t="str">
        <f>TEXT("6278807731779561374","0")</f>
        <v>6278807731779560000</v>
      </c>
    </row>
    <row r="83" spans="1:204" ht="15.75" customHeight="1" x14ac:dyDescent="0.15">
      <c r="A83" s="1">
        <f t="shared" si="153"/>
        <v>83</v>
      </c>
      <c r="B83" s="4">
        <v>45847.43959490741</v>
      </c>
      <c r="C83" s="5" t="s">
        <v>204</v>
      </c>
      <c r="D83" s="5" t="s">
        <v>204</v>
      </c>
      <c r="E83" s="5" t="s">
        <v>417</v>
      </c>
      <c r="F83" s="5" t="s">
        <v>206</v>
      </c>
      <c r="G83" s="5" t="s">
        <v>206</v>
      </c>
      <c r="H83" s="5" t="s">
        <v>206</v>
      </c>
      <c r="L83" s="5" t="s">
        <v>236</v>
      </c>
      <c r="Q83" s="5" t="s">
        <v>236</v>
      </c>
      <c r="V83" s="5" t="s">
        <v>236</v>
      </c>
      <c r="AB83" s="5" t="s">
        <v>207</v>
      </c>
      <c r="AF83" s="5" t="s">
        <v>236</v>
      </c>
      <c r="AH83" s="5" t="s">
        <v>210</v>
      </c>
      <c r="AI83" s="5">
        <v>2010</v>
      </c>
      <c r="AJ83" s="5" t="s">
        <v>238</v>
      </c>
      <c r="AK83" s="5" t="str">
        <f t="shared" si="154"/>
        <v>Trabajadora por cuenta propia</v>
      </c>
      <c r="AM83" s="5" t="s">
        <v>309</v>
      </c>
      <c r="AO83" s="5" t="s">
        <v>323</v>
      </c>
      <c r="AP83" s="5" t="s">
        <v>365</v>
      </c>
      <c r="AR83" s="5" t="s">
        <v>241</v>
      </c>
      <c r="AS83" s="5" t="s">
        <v>241</v>
      </c>
      <c r="AT83" s="5" t="s">
        <v>241</v>
      </c>
      <c r="AU83" s="5" t="s">
        <v>241</v>
      </c>
      <c r="AV83" s="5" t="s">
        <v>285</v>
      </c>
      <c r="AW83" s="5" t="s">
        <v>204</v>
      </c>
      <c r="AX83" s="5" t="s">
        <v>204</v>
      </c>
      <c r="AY83" s="5" t="s">
        <v>214</v>
      </c>
      <c r="AZ83" s="5" t="s">
        <v>204</v>
      </c>
      <c r="BA83" s="5" t="s">
        <v>263</v>
      </c>
      <c r="BF83" s="5" t="s">
        <v>204</v>
      </c>
      <c r="BG83" s="5" t="s">
        <v>278</v>
      </c>
      <c r="BH83" s="5" t="s">
        <v>278</v>
      </c>
      <c r="BI83" s="5" t="s">
        <v>278</v>
      </c>
      <c r="BJ83" s="5" t="s">
        <v>278</v>
      </c>
      <c r="BK83" s="5" t="s">
        <v>245</v>
      </c>
      <c r="BL83" s="5" t="s">
        <v>244</v>
      </c>
      <c r="BM83" s="5" t="s">
        <v>244</v>
      </c>
      <c r="BN83" s="5" t="s">
        <v>244</v>
      </c>
      <c r="BO83" s="5" t="s">
        <v>245</v>
      </c>
      <c r="BP83" s="5" t="s">
        <v>245</v>
      </c>
      <c r="BQ83" s="5" t="s">
        <v>244</v>
      </c>
      <c r="BR83" s="5" t="s">
        <v>243</v>
      </c>
      <c r="BS83" s="5" t="s">
        <v>254</v>
      </c>
      <c r="BT83" s="5" t="s">
        <v>254</v>
      </c>
      <c r="BU83" s="5" t="s">
        <v>232</v>
      </c>
      <c r="BV83" s="5" t="s">
        <v>247</v>
      </c>
      <c r="BW83" s="5" t="s">
        <v>247</v>
      </c>
      <c r="BX83" s="5" t="s">
        <v>247</v>
      </c>
      <c r="BY83" s="5" t="s">
        <v>247</v>
      </c>
      <c r="BZ83" s="5" t="s">
        <v>244</v>
      </c>
      <c r="CA83" s="5" t="s">
        <v>243</v>
      </c>
      <c r="CB83" s="5" t="s">
        <v>244</v>
      </c>
      <c r="CC83" s="5" t="s">
        <v>245</v>
      </c>
      <c r="CD83" s="5" t="s">
        <v>206</v>
      </c>
      <c r="CH83" s="5" t="s">
        <v>206</v>
      </c>
      <c r="CI83" s="5" t="s">
        <v>291</v>
      </c>
      <c r="CJ83" s="5">
        <v>2</v>
      </c>
      <c r="CK83" s="5" t="s">
        <v>223</v>
      </c>
      <c r="CU83" s="5" t="s">
        <v>206</v>
      </c>
      <c r="DA83" s="5" t="s">
        <v>272</v>
      </c>
      <c r="DB83" s="5">
        <f t="shared" si="155"/>
        <v>1</v>
      </c>
      <c r="DC83" s="5" t="s">
        <v>251</v>
      </c>
      <c r="DD83" s="5">
        <f t="shared" si="156"/>
        <v>1</v>
      </c>
      <c r="DE83" s="5" t="s">
        <v>251</v>
      </c>
      <c r="DF83" s="5">
        <f t="shared" si="157"/>
        <v>1</v>
      </c>
      <c r="DG83" s="5" t="s">
        <v>251</v>
      </c>
      <c r="DH83" s="5">
        <f t="shared" si="158"/>
        <v>1</v>
      </c>
      <c r="DI83" s="5" t="s">
        <v>251</v>
      </c>
      <c r="DJ83" s="5">
        <f t="shared" si="159"/>
        <v>1</v>
      </c>
      <c r="DK83" s="5" t="s">
        <v>251</v>
      </c>
      <c r="DL83" s="5">
        <f t="shared" si="160"/>
        <v>1</v>
      </c>
      <c r="DM83" s="5" t="s">
        <v>251</v>
      </c>
      <c r="DN83" s="5">
        <f t="shared" si="161"/>
        <v>1</v>
      </c>
      <c r="DO83" s="5" t="s">
        <v>281</v>
      </c>
      <c r="DP83" s="5">
        <f t="shared" si="162"/>
        <v>1</v>
      </c>
      <c r="DQ83" s="5" t="s">
        <v>281</v>
      </c>
      <c r="DR83" s="5">
        <f t="shared" si="163"/>
        <v>1</v>
      </c>
      <c r="DS83" s="5" t="s">
        <v>281</v>
      </c>
      <c r="DT83" s="5">
        <f t="shared" si="164"/>
        <v>1</v>
      </c>
      <c r="DU83" s="5" t="s">
        <v>281</v>
      </c>
      <c r="DV83" s="5">
        <f t="shared" si="165"/>
        <v>1</v>
      </c>
      <c r="DW83" s="5" t="s">
        <v>281</v>
      </c>
      <c r="DX83" s="5">
        <f t="shared" si="166"/>
        <v>1</v>
      </c>
      <c r="DY83" s="5">
        <f t="shared" si="167"/>
        <v>12</v>
      </c>
      <c r="DZ83" s="5" t="str">
        <f t="shared" si="168"/>
        <v>Nivel de riesgo bajo</v>
      </c>
      <c r="EA83" s="5" t="s">
        <v>248</v>
      </c>
      <c r="EB83" s="5">
        <f t="shared" si="169"/>
        <v>1</v>
      </c>
      <c r="EC83" s="5" t="s">
        <v>247</v>
      </c>
      <c r="ED83" s="5">
        <f t="shared" si="170"/>
        <v>2</v>
      </c>
      <c r="EE83" s="5" t="s">
        <v>248</v>
      </c>
      <c r="EF83" s="5">
        <f t="shared" si="171"/>
        <v>1</v>
      </c>
      <c r="EG83" s="5">
        <f t="shared" si="172"/>
        <v>4</v>
      </c>
      <c r="EH83" s="5" t="str">
        <f t="shared" si="173"/>
        <v>Nivel de riesgo medio</v>
      </c>
      <c r="EI83" s="5" t="s">
        <v>248</v>
      </c>
      <c r="EJ83" s="5">
        <f t="shared" si="174"/>
        <v>1</v>
      </c>
      <c r="EK83" s="5" t="s">
        <v>232</v>
      </c>
      <c r="EL83" s="5">
        <f t="shared" si="175"/>
        <v>3</v>
      </c>
      <c r="EM83" s="5" t="s">
        <v>248</v>
      </c>
      <c r="EN83" s="5">
        <f t="shared" si="176"/>
        <v>1</v>
      </c>
      <c r="EO83" s="5">
        <f t="shared" si="177"/>
        <v>5</v>
      </c>
      <c r="EP83" s="5" t="str">
        <f t="shared" si="178"/>
        <v>Nivel de riesgo medio</v>
      </c>
      <c r="EQ83" s="5" t="s">
        <v>247</v>
      </c>
      <c r="ER83" s="5">
        <f t="shared" si="179"/>
        <v>2</v>
      </c>
      <c r="ES83" s="5" t="s">
        <v>247</v>
      </c>
      <c r="ET83" s="5">
        <f t="shared" si="180"/>
        <v>2</v>
      </c>
      <c r="EU83" s="5" t="s">
        <v>254</v>
      </c>
      <c r="EV83" s="5">
        <f t="shared" si="181"/>
        <v>0</v>
      </c>
      <c r="EW83" s="5" t="s">
        <v>254</v>
      </c>
      <c r="EX83" s="5">
        <f t="shared" si="182"/>
        <v>0</v>
      </c>
      <c r="EY83" s="5">
        <f t="shared" si="183"/>
        <v>4</v>
      </c>
      <c r="EZ83" s="5" t="str">
        <f t="shared" si="184"/>
        <v>Nivel de riesgo medio</v>
      </c>
      <c r="FA83" s="5" t="s">
        <v>253</v>
      </c>
      <c r="FB83" s="5">
        <f t="shared" si="185"/>
        <v>0</v>
      </c>
      <c r="FC83" s="5" t="s">
        <v>253</v>
      </c>
      <c r="FD83" s="5">
        <f t="shared" si="186"/>
        <v>0</v>
      </c>
      <c r="FE83" s="5" t="s">
        <v>253</v>
      </c>
      <c r="FF83" s="5">
        <f t="shared" si="187"/>
        <v>0</v>
      </c>
      <c r="FG83" s="5">
        <f t="shared" si="188"/>
        <v>0</v>
      </c>
      <c r="FH83" s="5" t="str">
        <f t="shared" si="189"/>
        <v>Nivel de riesgo bajo</v>
      </c>
      <c r="FI83" s="5" t="s">
        <v>253</v>
      </c>
      <c r="FJ83" s="5">
        <f t="shared" si="190"/>
        <v>0</v>
      </c>
      <c r="FK83" s="5" t="s">
        <v>253</v>
      </c>
      <c r="FL83" s="5">
        <f t="shared" si="191"/>
        <v>0</v>
      </c>
      <c r="FM83" s="5" t="s">
        <v>253</v>
      </c>
      <c r="FN83" s="5">
        <f t="shared" si="192"/>
        <v>0</v>
      </c>
      <c r="FO83" s="5">
        <f t="shared" si="193"/>
        <v>0</v>
      </c>
      <c r="FP83" s="5" t="str">
        <f t="shared" si="194"/>
        <v>Nivel de riesgo bajo</v>
      </c>
      <c r="FQ83" s="5" t="s">
        <v>206</v>
      </c>
      <c r="FR83" s="5">
        <f t="shared" si="195"/>
        <v>0</v>
      </c>
      <c r="FS83" s="5" t="s">
        <v>206</v>
      </c>
      <c r="FT83" s="5">
        <f t="shared" si="196"/>
        <v>0</v>
      </c>
      <c r="FU83" s="5" t="s">
        <v>206</v>
      </c>
      <c r="FV83" s="5">
        <f t="shared" si="197"/>
        <v>0</v>
      </c>
      <c r="FW83" s="5" t="s">
        <v>206</v>
      </c>
      <c r="FX83" s="5">
        <f t="shared" si="198"/>
        <v>0</v>
      </c>
      <c r="FY83" s="5" t="s">
        <v>206</v>
      </c>
      <c r="FZ83" s="5">
        <f t="shared" si="199"/>
        <v>0</v>
      </c>
      <c r="GA83" s="5" t="s">
        <v>206</v>
      </c>
      <c r="GB83" s="5">
        <f t="shared" si="200"/>
        <v>0</v>
      </c>
      <c r="GC83" s="5" t="s">
        <v>206</v>
      </c>
      <c r="GD83" s="5">
        <f t="shared" si="201"/>
        <v>0</v>
      </c>
      <c r="GE83" s="5">
        <f t="shared" si="202"/>
        <v>0</v>
      </c>
      <c r="GF83" s="5" t="str">
        <f t="shared" si="203"/>
        <v>Nivel de riesgo bajo</v>
      </c>
      <c r="GG83" s="5" t="s">
        <v>255</v>
      </c>
      <c r="GH83" s="5" t="s">
        <v>255</v>
      </c>
      <c r="GI83" s="5" t="s">
        <v>255</v>
      </c>
      <c r="GJ83" s="5" t="s">
        <v>255</v>
      </c>
      <c r="GK83" s="5" t="s">
        <v>233</v>
      </c>
      <c r="GL83" s="5" t="s">
        <v>255</v>
      </c>
      <c r="GM83" s="5" t="s">
        <v>255</v>
      </c>
      <c r="GN83" s="5" t="s">
        <v>256</v>
      </c>
      <c r="GO83" s="5" t="s">
        <v>256</v>
      </c>
      <c r="GP83" s="5" t="s">
        <v>256</v>
      </c>
      <c r="GQ83" s="5" t="s">
        <v>256</v>
      </c>
      <c r="GR83" s="5" t="s">
        <v>256</v>
      </c>
      <c r="GS83" s="5" t="s">
        <v>256</v>
      </c>
      <c r="GT83" s="5" t="s">
        <v>256</v>
      </c>
      <c r="GU83" s="5" t="s">
        <v>418</v>
      </c>
      <c r="GV83" s="5" t="str">
        <f>TEXT("6278807813811140281","0")</f>
        <v>6278807813811140000</v>
      </c>
    </row>
    <row r="84" spans="1:204" ht="15.75" customHeight="1" x14ac:dyDescent="0.15">
      <c r="A84" s="1">
        <f t="shared" si="153"/>
        <v>84</v>
      </c>
      <c r="B84" s="4">
        <v>45847.440752314818</v>
      </c>
      <c r="C84" s="5" t="s">
        <v>204</v>
      </c>
      <c r="D84" s="5" t="s">
        <v>204</v>
      </c>
      <c r="E84" s="5" t="s">
        <v>335</v>
      </c>
      <c r="F84" s="5" t="s">
        <v>206</v>
      </c>
      <c r="G84" s="5" t="s">
        <v>204</v>
      </c>
      <c r="H84" s="5" t="s">
        <v>206</v>
      </c>
      <c r="K84" s="5" t="s">
        <v>237</v>
      </c>
      <c r="N84" s="5" t="s">
        <v>208</v>
      </c>
      <c r="S84" s="5" t="s">
        <v>208</v>
      </c>
      <c r="X84" s="5" t="s">
        <v>208</v>
      </c>
      <c r="AC84" s="5" t="s">
        <v>208</v>
      </c>
      <c r="AH84" s="5" t="s">
        <v>268</v>
      </c>
      <c r="AI84" s="5">
        <v>2019</v>
      </c>
      <c r="AJ84" s="5" t="s">
        <v>238</v>
      </c>
      <c r="AK84" s="5" t="str">
        <f t="shared" si="154"/>
        <v>Trabajadora por cuenta propia</v>
      </c>
      <c r="AM84" s="5" t="s">
        <v>309</v>
      </c>
      <c r="AP84" s="5" t="s">
        <v>240</v>
      </c>
      <c r="AR84" s="5" t="s">
        <v>301</v>
      </c>
      <c r="AS84" s="5" t="s">
        <v>301</v>
      </c>
      <c r="AT84" s="5" t="s">
        <v>301</v>
      </c>
      <c r="AU84" s="5" t="s">
        <v>301</v>
      </c>
      <c r="AV84" s="5" t="s">
        <v>213</v>
      </c>
      <c r="AW84" s="5" t="s">
        <v>206</v>
      </c>
      <c r="BF84" s="5" t="s">
        <v>204</v>
      </c>
      <c r="BG84" s="5" t="s">
        <v>207</v>
      </c>
      <c r="BH84" s="5" t="s">
        <v>215</v>
      </c>
      <c r="BI84" s="5" t="s">
        <v>215</v>
      </c>
      <c r="BJ84" s="5" t="s">
        <v>242</v>
      </c>
      <c r="BK84" s="5" t="s">
        <v>244</v>
      </c>
      <c r="BL84" s="5" t="s">
        <v>246</v>
      </c>
      <c r="BM84" s="5" t="s">
        <v>246</v>
      </c>
      <c r="BN84" s="5" t="s">
        <v>244</v>
      </c>
      <c r="BO84" s="5" t="s">
        <v>246</v>
      </c>
      <c r="BP84" s="5" t="s">
        <v>246</v>
      </c>
      <c r="BQ84" s="5" t="s">
        <v>246</v>
      </c>
      <c r="BR84" s="5" t="s">
        <v>246</v>
      </c>
      <c r="BS84" s="5" t="s">
        <v>247</v>
      </c>
      <c r="BT84" s="5" t="s">
        <v>248</v>
      </c>
      <c r="BU84" s="5" t="s">
        <v>217</v>
      </c>
      <c r="BV84" s="5" t="s">
        <v>217</v>
      </c>
      <c r="BW84" s="5" t="s">
        <v>217</v>
      </c>
      <c r="BX84" s="5" t="s">
        <v>217</v>
      </c>
      <c r="BY84" s="5" t="s">
        <v>217</v>
      </c>
      <c r="CD84" s="5" t="s">
        <v>206</v>
      </c>
      <c r="CH84" s="5" t="s">
        <v>310</v>
      </c>
      <c r="CI84" s="5" t="s">
        <v>291</v>
      </c>
      <c r="CJ84" s="5">
        <v>1</v>
      </c>
      <c r="CK84" s="5" t="s">
        <v>223</v>
      </c>
      <c r="CU84" s="5" t="s">
        <v>206</v>
      </c>
      <c r="DA84" s="5" t="s">
        <v>272</v>
      </c>
      <c r="DB84" s="5">
        <f t="shared" si="155"/>
        <v>1</v>
      </c>
      <c r="DC84" s="5" t="s">
        <v>230</v>
      </c>
      <c r="DD84" s="5">
        <f t="shared" si="156"/>
        <v>2</v>
      </c>
      <c r="DE84" s="5" t="s">
        <v>251</v>
      </c>
      <c r="DF84" s="5">
        <f t="shared" si="157"/>
        <v>1</v>
      </c>
      <c r="DG84" s="5" t="s">
        <v>251</v>
      </c>
      <c r="DH84" s="5">
        <f t="shared" si="158"/>
        <v>1</v>
      </c>
      <c r="DI84" s="5" t="s">
        <v>251</v>
      </c>
      <c r="DJ84" s="5">
        <f t="shared" si="159"/>
        <v>1</v>
      </c>
      <c r="DK84" s="5" t="s">
        <v>251</v>
      </c>
      <c r="DL84" s="5">
        <f t="shared" si="160"/>
        <v>1</v>
      </c>
      <c r="DM84" s="5" t="s">
        <v>251</v>
      </c>
      <c r="DN84" s="5">
        <f t="shared" si="161"/>
        <v>1</v>
      </c>
      <c r="DO84" s="5" t="s">
        <v>281</v>
      </c>
      <c r="DP84" s="5">
        <f t="shared" si="162"/>
        <v>1</v>
      </c>
      <c r="DQ84" s="5" t="s">
        <v>281</v>
      </c>
      <c r="DR84" s="5">
        <f t="shared" si="163"/>
        <v>1</v>
      </c>
      <c r="DS84" s="5" t="s">
        <v>281</v>
      </c>
      <c r="DT84" s="5">
        <f t="shared" si="164"/>
        <v>1</v>
      </c>
      <c r="DU84" s="5" t="s">
        <v>281</v>
      </c>
      <c r="DV84" s="5">
        <f t="shared" si="165"/>
        <v>1</v>
      </c>
      <c r="DW84" s="5" t="s">
        <v>281</v>
      </c>
      <c r="DX84" s="5">
        <f t="shared" si="166"/>
        <v>1</v>
      </c>
      <c r="DY84" s="5">
        <f t="shared" si="167"/>
        <v>13</v>
      </c>
      <c r="DZ84" s="5" t="str">
        <f t="shared" si="168"/>
        <v>Nivel de riesgo bajo</v>
      </c>
      <c r="EA84" s="5" t="s">
        <v>232</v>
      </c>
      <c r="EB84" s="5">
        <f t="shared" si="169"/>
        <v>3</v>
      </c>
      <c r="EC84" s="5" t="s">
        <v>232</v>
      </c>
      <c r="ED84" s="5">
        <f t="shared" si="170"/>
        <v>3</v>
      </c>
      <c r="EE84" s="5" t="s">
        <v>232</v>
      </c>
      <c r="EF84" s="5">
        <f t="shared" si="171"/>
        <v>3</v>
      </c>
      <c r="EG84" s="5">
        <f t="shared" si="172"/>
        <v>9</v>
      </c>
      <c r="EH84" s="5" t="str">
        <f t="shared" si="173"/>
        <v>Nivel de riesgo alto</v>
      </c>
      <c r="EI84" s="5" t="s">
        <v>232</v>
      </c>
      <c r="EJ84" s="5">
        <f t="shared" si="174"/>
        <v>3</v>
      </c>
      <c r="EK84" s="5" t="s">
        <v>232</v>
      </c>
      <c r="EL84" s="5">
        <f t="shared" si="175"/>
        <v>3</v>
      </c>
      <c r="EM84" s="5" t="s">
        <v>232</v>
      </c>
      <c r="EN84" s="5">
        <f t="shared" si="176"/>
        <v>3</v>
      </c>
      <c r="EO84" s="5">
        <f t="shared" si="177"/>
        <v>9</v>
      </c>
      <c r="EP84" s="5" t="str">
        <f t="shared" si="178"/>
        <v>Nivel de riesgo alto</v>
      </c>
      <c r="EQ84" s="5" t="s">
        <v>232</v>
      </c>
      <c r="ER84" s="5">
        <f t="shared" si="179"/>
        <v>1</v>
      </c>
      <c r="ES84" s="5" t="s">
        <v>232</v>
      </c>
      <c r="ET84" s="5">
        <f t="shared" si="180"/>
        <v>1</v>
      </c>
      <c r="EU84" s="5" t="s">
        <v>232</v>
      </c>
      <c r="EV84" s="5">
        <f t="shared" si="181"/>
        <v>1</v>
      </c>
      <c r="EW84" s="5" t="s">
        <v>232</v>
      </c>
      <c r="EX84" s="5">
        <f t="shared" si="182"/>
        <v>1</v>
      </c>
      <c r="EY84" s="5">
        <f t="shared" si="183"/>
        <v>4</v>
      </c>
      <c r="EZ84" s="5" t="str">
        <f t="shared" si="184"/>
        <v>Nivel de riesgo medio</v>
      </c>
      <c r="FA84" s="5" t="s">
        <v>232</v>
      </c>
      <c r="FB84" s="5">
        <f t="shared" si="185"/>
        <v>3</v>
      </c>
      <c r="FC84" s="5" t="s">
        <v>232</v>
      </c>
      <c r="FD84" s="5">
        <f t="shared" si="186"/>
        <v>3</v>
      </c>
      <c r="FE84" s="5" t="s">
        <v>232</v>
      </c>
      <c r="FF84" s="5">
        <f t="shared" si="187"/>
        <v>3</v>
      </c>
      <c r="FG84" s="5">
        <f t="shared" si="188"/>
        <v>9</v>
      </c>
      <c r="FH84" s="5" t="str">
        <f t="shared" si="189"/>
        <v>Nivel de riesgo alto</v>
      </c>
      <c r="FI84" s="5" t="s">
        <v>232</v>
      </c>
      <c r="FJ84" s="5">
        <f t="shared" si="190"/>
        <v>3</v>
      </c>
      <c r="FK84" s="5" t="s">
        <v>232</v>
      </c>
      <c r="FL84" s="5">
        <f t="shared" si="191"/>
        <v>3</v>
      </c>
      <c r="FM84" s="5" t="s">
        <v>232</v>
      </c>
      <c r="FN84" s="5">
        <f t="shared" si="192"/>
        <v>3</v>
      </c>
      <c r="FO84" s="5">
        <f t="shared" si="193"/>
        <v>9</v>
      </c>
      <c r="FP84" s="5" t="str">
        <f t="shared" si="194"/>
        <v>Nivel de riesgo alto</v>
      </c>
      <c r="FQ84" s="5" t="s">
        <v>206</v>
      </c>
      <c r="FR84" s="5">
        <f t="shared" si="195"/>
        <v>0</v>
      </c>
      <c r="FS84" s="5" t="s">
        <v>206</v>
      </c>
      <c r="FT84" s="5">
        <f t="shared" si="196"/>
        <v>0</v>
      </c>
      <c r="FU84" s="5" t="s">
        <v>206</v>
      </c>
      <c r="FV84" s="5">
        <f t="shared" si="197"/>
        <v>0</v>
      </c>
      <c r="FW84" s="5" t="s">
        <v>206</v>
      </c>
      <c r="FX84" s="5">
        <f t="shared" si="198"/>
        <v>0</v>
      </c>
      <c r="FY84" s="5" t="s">
        <v>206</v>
      </c>
      <c r="FZ84" s="5">
        <f t="shared" si="199"/>
        <v>0</v>
      </c>
      <c r="GA84" s="5" t="s">
        <v>206</v>
      </c>
      <c r="GB84" s="5">
        <f t="shared" si="200"/>
        <v>0</v>
      </c>
      <c r="GC84" s="5" t="s">
        <v>206</v>
      </c>
      <c r="GD84" s="5">
        <f t="shared" si="201"/>
        <v>0</v>
      </c>
      <c r="GE84" s="5">
        <f t="shared" si="202"/>
        <v>0</v>
      </c>
      <c r="GF84" s="5" t="str">
        <f t="shared" si="203"/>
        <v>Nivel de riesgo bajo</v>
      </c>
      <c r="GG84" s="5" t="s">
        <v>255</v>
      </c>
      <c r="GH84" s="5" t="s">
        <v>255</v>
      </c>
      <c r="GI84" s="5" t="s">
        <v>255</v>
      </c>
      <c r="GJ84" s="5" t="s">
        <v>255</v>
      </c>
      <c r="GK84" s="5" t="s">
        <v>233</v>
      </c>
      <c r="GL84" s="5" t="s">
        <v>298</v>
      </c>
      <c r="GM84" s="5" t="s">
        <v>298</v>
      </c>
      <c r="GN84" s="5" t="s">
        <v>243</v>
      </c>
      <c r="GO84" s="5" t="s">
        <v>257</v>
      </c>
      <c r="GP84" s="5" t="s">
        <v>257</v>
      </c>
      <c r="GQ84" s="5" t="s">
        <v>243</v>
      </c>
      <c r="GR84" s="5" t="s">
        <v>243</v>
      </c>
      <c r="GS84" s="5" t="s">
        <v>243</v>
      </c>
      <c r="GT84" s="5" t="s">
        <v>243</v>
      </c>
      <c r="GU84" s="5" t="s">
        <v>419</v>
      </c>
      <c r="GV84" s="5" t="str">
        <f>TEXT("6278808813856617884","0")</f>
        <v>6278808813856610000</v>
      </c>
    </row>
    <row r="85" spans="1:204" ht="15.75" customHeight="1" x14ac:dyDescent="0.15">
      <c r="A85" s="1">
        <f t="shared" si="153"/>
        <v>85</v>
      </c>
      <c r="B85" s="4">
        <v>45847.442129629628</v>
      </c>
      <c r="C85" s="5" t="s">
        <v>204</v>
      </c>
      <c r="D85" s="5" t="s">
        <v>206</v>
      </c>
      <c r="F85" s="5" t="s">
        <v>204</v>
      </c>
      <c r="G85" s="5" t="s">
        <v>206</v>
      </c>
      <c r="H85" s="5" t="s">
        <v>206</v>
      </c>
      <c r="L85" s="5" t="s">
        <v>236</v>
      </c>
      <c r="O85" s="5" t="s">
        <v>209</v>
      </c>
      <c r="V85" s="5" t="s">
        <v>236</v>
      </c>
      <c r="Y85" s="5" t="s">
        <v>209</v>
      </c>
      <c r="AF85" s="5" t="s">
        <v>236</v>
      </c>
      <c r="AH85" s="5" t="s">
        <v>210</v>
      </c>
      <c r="AI85" s="5">
        <v>2020</v>
      </c>
      <c r="AJ85" s="5" t="s">
        <v>238</v>
      </c>
      <c r="AK85" s="5" t="str">
        <f t="shared" si="154"/>
        <v>Trabajadora por cuenta propia</v>
      </c>
      <c r="AL85" s="5" t="s">
        <v>239</v>
      </c>
      <c r="AP85" s="5" t="s">
        <v>297</v>
      </c>
      <c r="AR85" s="5" t="s">
        <v>241</v>
      </c>
      <c r="AS85" s="5" t="s">
        <v>301</v>
      </c>
      <c r="AT85" s="5" t="s">
        <v>301</v>
      </c>
      <c r="AU85" s="5" t="s">
        <v>301</v>
      </c>
      <c r="AV85" s="5" t="s">
        <v>285</v>
      </c>
      <c r="AW85" s="5" t="s">
        <v>204</v>
      </c>
      <c r="AX85" s="5" t="s">
        <v>204</v>
      </c>
      <c r="AY85" s="5" t="s">
        <v>214</v>
      </c>
      <c r="AZ85" s="5" t="s">
        <v>204</v>
      </c>
      <c r="BA85" s="5" t="s">
        <v>263</v>
      </c>
      <c r="BF85" s="5" t="s">
        <v>204</v>
      </c>
      <c r="BG85" s="5" t="s">
        <v>242</v>
      </c>
      <c r="BH85" s="5" t="s">
        <v>242</v>
      </c>
      <c r="BI85" s="5" t="s">
        <v>264</v>
      </c>
      <c r="BJ85" s="5" t="s">
        <v>242</v>
      </c>
      <c r="BK85" s="5" t="s">
        <v>245</v>
      </c>
      <c r="BL85" s="5" t="s">
        <v>245</v>
      </c>
      <c r="BM85" s="5" t="s">
        <v>243</v>
      </c>
      <c r="BN85" s="5" t="s">
        <v>246</v>
      </c>
      <c r="BO85" s="5" t="s">
        <v>216</v>
      </c>
      <c r="BP85" s="5" t="s">
        <v>246</v>
      </c>
      <c r="BQ85" s="5" t="s">
        <v>216</v>
      </c>
      <c r="BR85" s="5" t="s">
        <v>216</v>
      </c>
      <c r="BS85" s="5" t="s">
        <v>217</v>
      </c>
      <c r="BT85" s="5" t="s">
        <v>248</v>
      </c>
      <c r="BU85" s="5" t="s">
        <v>248</v>
      </c>
      <c r="BV85" s="5" t="s">
        <v>217</v>
      </c>
      <c r="BW85" s="5" t="s">
        <v>217</v>
      </c>
      <c r="BX85" s="5" t="s">
        <v>217</v>
      </c>
      <c r="BY85" s="5" t="s">
        <v>217</v>
      </c>
      <c r="BZ85" s="5" t="s">
        <v>244</v>
      </c>
      <c r="CA85" s="5" t="s">
        <v>244</v>
      </c>
      <c r="CB85" s="5" t="s">
        <v>216</v>
      </c>
      <c r="CC85" s="5" t="s">
        <v>244</v>
      </c>
      <c r="CD85" s="5" t="s">
        <v>204</v>
      </c>
      <c r="CE85" s="5" t="s">
        <v>218</v>
      </c>
      <c r="CF85" s="5" t="s">
        <v>219</v>
      </c>
      <c r="CG85" s="5" t="s">
        <v>206</v>
      </c>
      <c r="CH85" s="5" t="s">
        <v>420</v>
      </c>
      <c r="CI85" s="5" t="s">
        <v>383</v>
      </c>
      <c r="CJ85" s="5">
        <v>3</v>
      </c>
      <c r="CK85" s="5" t="s">
        <v>223</v>
      </c>
      <c r="CU85" s="5" t="s">
        <v>206</v>
      </c>
      <c r="DA85" s="5" t="s">
        <v>231</v>
      </c>
      <c r="DB85" s="5">
        <f t="shared" si="155"/>
        <v>2</v>
      </c>
      <c r="DC85" s="5" t="s">
        <v>251</v>
      </c>
      <c r="DD85" s="5">
        <f t="shared" si="156"/>
        <v>1</v>
      </c>
      <c r="DE85" s="5" t="s">
        <v>251</v>
      </c>
      <c r="DF85" s="5">
        <f t="shared" si="157"/>
        <v>1</v>
      </c>
      <c r="DG85" s="5" t="s">
        <v>251</v>
      </c>
      <c r="DH85" s="5">
        <f t="shared" si="158"/>
        <v>1</v>
      </c>
      <c r="DI85" s="5" t="s">
        <v>251</v>
      </c>
      <c r="DJ85" s="5">
        <f t="shared" si="159"/>
        <v>1</v>
      </c>
      <c r="DK85" s="5" t="s">
        <v>251</v>
      </c>
      <c r="DL85" s="5">
        <f t="shared" si="160"/>
        <v>1</v>
      </c>
      <c r="DM85" s="5" t="s">
        <v>251</v>
      </c>
      <c r="DN85" s="5">
        <f t="shared" si="161"/>
        <v>1</v>
      </c>
      <c r="DO85" s="5" t="s">
        <v>252</v>
      </c>
      <c r="DP85" s="5">
        <f t="shared" si="162"/>
        <v>3</v>
      </c>
      <c r="DQ85" s="5" t="s">
        <v>229</v>
      </c>
      <c r="DR85" s="5">
        <f t="shared" si="163"/>
        <v>4</v>
      </c>
      <c r="DS85" s="5" t="s">
        <v>229</v>
      </c>
      <c r="DT85" s="5">
        <f t="shared" si="164"/>
        <v>4</v>
      </c>
      <c r="DU85" s="5" t="s">
        <v>229</v>
      </c>
      <c r="DV85" s="5">
        <f t="shared" si="165"/>
        <v>4</v>
      </c>
      <c r="DW85" s="5" t="s">
        <v>229</v>
      </c>
      <c r="DX85" s="5">
        <f t="shared" si="166"/>
        <v>4</v>
      </c>
      <c r="DY85" s="5">
        <f t="shared" si="167"/>
        <v>27</v>
      </c>
      <c r="DZ85" s="5" t="str">
        <f t="shared" si="168"/>
        <v>Nivel de riesgo alto</v>
      </c>
      <c r="EA85" s="5" t="s">
        <v>248</v>
      </c>
      <c r="EB85" s="5">
        <f t="shared" si="169"/>
        <v>1</v>
      </c>
      <c r="EC85" s="5" t="s">
        <v>248</v>
      </c>
      <c r="ED85" s="5">
        <f t="shared" si="170"/>
        <v>1</v>
      </c>
      <c r="EE85" s="5" t="s">
        <v>253</v>
      </c>
      <c r="EF85" s="5">
        <f t="shared" si="171"/>
        <v>0</v>
      </c>
      <c r="EG85" s="5">
        <f t="shared" si="172"/>
        <v>2</v>
      </c>
      <c r="EH85" s="5" t="str">
        <f t="shared" si="173"/>
        <v>Nivel de riesgo medio</v>
      </c>
      <c r="EI85" s="5" t="s">
        <v>253</v>
      </c>
      <c r="EJ85" s="5">
        <f t="shared" si="174"/>
        <v>0</v>
      </c>
      <c r="EK85" s="5" t="s">
        <v>248</v>
      </c>
      <c r="EL85" s="5">
        <f t="shared" si="175"/>
        <v>1</v>
      </c>
      <c r="EM85" s="5" t="s">
        <v>248</v>
      </c>
      <c r="EN85" s="5">
        <f t="shared" si="176"/>
        <v>1</v>
      </c>
      <c r="EO85" s="5">
        <f t="shared" si="177"/>
        <v>2</v>
      </c>
      <c r="EP85" s="5" t="str">
        <f t="shared" si="178"/>
        <v>Nivel de riesgo medio</v>
      </c>
      <c r="EQ85" s="5" t="s">
        <v>247</v>
      </c>
      <c r="ER85" s="5">
        <f t="shared" si="179"/>
        <v>2</v>
      </c>
      <c r="ES85" s="5" t="s">
        <v>232</v>
      </c>
      <c r="ET85" s="5">
        <f t="shared" si="180"/>
        <v>1</v>
      </c>
      <c r="EU85" s="5" t="s">
        <v>254</v>
      </c>
      <c r="EV85" s="5">
        <f t="shared" si="181"/>
        <v>0</v>
      </c>
      <c r="EW85" s="5" t="s">
        <v>254</v>
      </c>
      <c r="EX85" s="5">
        <f t="shared" si="182"/>
        <v>0</v>
      </c>
      <c r="EY85" s="5">
        <f t="shared" si="183"/>
        <v>3</v>
      </c>
      <c r="EZ85" s="5" t="str">
        <f t="shared" si="184"/>
        <v>Nivel de riesgo medio</v>
      </c>
      <c r="FA85" s="5" t="s">
        <v>248</v>
      </c>
      <c r="FB85" s="5">
        <f t="shared" si="185"/>
        <v>1</v>
      </c>
      <c r="FC85" s="5" t="s">
        <v>253</v>
      </c>
      <c r="FD85" s="5">
        <f t="shared" si="186"/>
        <v>0</v>
      </c>
      <c r="FE85" s="5" t="s">
        <v>253</v>
      </c>
      <c r="FF85" s="5">
        <f t="shared" si="187"/>
        <v>0</v>
      </c>
      <c r="FG85" s="5">
        <f t="shared" si="188"/>
        <v>1</v>
      </c>
      <c r="FH85" s="5" t="str">
        <f t="shared" si="189"/>
        <v>Nivel de riesgo bajo</v>
      </c>
      <c r="FI85" s="5" t="s">
        <v>253</v>
      </c>
      <c r="FJ85" s="5">
        <f t="shared" si="190"/>
        <v>0</v>
      </c>
      <c r="FK85" s="5" t="s">
        <v>253</v>
      </c>
      <c r="FL85" s="5">
        <f t="shared" si="191"/>
        <v>0</v>
      </c>
      <c r="FM85" s="5" t="s">
        <v>248</v>
      </c>
      <c r="FN85" s="5">
        <f t="shared" si="192"/>
        <v>1</v>
      </c>
      <c r="FO85" s="5">
        <f t="shared" si="193"/>
        <v>1</v>
      </c>
      <c r="FP85" s="5" t="str">
        <f t="shared" si="194"/>
        <v>Nivel de riesgo bajo</v>
      </c>
      <c r="FQ85" s="5" t="s">
        <v>206</v>
      </c>
      <c r="FR85" s="5">
        <f t="shared" si="195"/>
        <v>0</v>
      </c>
      <c r="FS85" s="5" t="s">
        <v>206</v>
      </c>
      <c r="FT85" s="5">
        <f t="shared" si="196"/>
        <v>0</v>
      </c>
      <c r="FU85" s="5" t="s">
        <v>206</v>
      </c>
      <c r="FV85" s="5">
        <f t="shared" si="197"/>
        <v>0</v>
      </c>
      <c r="FW85" s="5" t="s">
        <v>206</v>
      </c>
      <c r="FX85" s="5">
        <f t="shared" si="198"/>
        <v>0</v>
      </c>
      <c r="FY85" s="5" t="s">
        <v>206</v>
      </c>
      <c r="FZ85" s="5">
        <f t="shared" si="199"/>
        <v>0</v>
      </c>
      <c r="GA85" s="5" t="s">
        <v>206</v>
      </c>
      <c r="GB85" s="5">
        <f t="shared" si="200"/>
        <v>0</v>
      </c>
      <c r="GC85" s="5" t="s">
        <v>206</v>
      </c>
      <c r="GD85" s="5">
        <f t="shared" si="201"/>
        <v>0</v>
      </c>
      <c r="GE85" s="5">
        <f t="shared" si="202"/>
        <v>0</v>
      </c>
      <c r="GF85" s="5" t="str">
        <f t="shared" si="203"/>
        <v>Nivel de riesgo bajo</v>
      </c>
      <c r="GG85" s="5" t="s">
        <v>273</v>
      </c>
      <c r="GH85" s="5" t="s">
        <v>255</v>
      </c>
      <c r="GI85" s="5" t="s">
        <v>255</v>
      </c>
      <c r="GJ85" s="5" t="s">
        <v>255</v>
      </c>
      <c r="GK85" s="5" t="s">
        <v>233</v>
      </c>
      <c r="GL85" s="5" t="s">
        <v>233</v>
      </c>
      <c r="GM85" s="5" t="s">
        <v>233</v>
      </c>
      <c r="GN85" s="5" t="s">
        <v>256</v>
      </c>
      <c r="GO85" s="5" t="s">
        <v>256</v>
      </c>
      <c r="GP85" s="5" t="s">
        <v>256</v>
      </c>
      <c r="GQ85" s="5" t="s">
        <v>243</v>
      </c>
      <c r="GR85" s="5" t="s">
        <v>256</v>
      </c>
      <c r="GS85" s="5" t="s">
        <v>256</v>
      </c>
      <c r="GT85" s="5" t="s">
        <v>256</v>
      </c>
      <c r="GU85" s="5" t="s">
        <v>421</v>
      </c>
      <c r="GV85" s="5" t="str">
        <f>TEXT("6278810009719976362","0")</f>
        <v>6278810009719970000</v>
      </c>
    </row>
    <row r="86" spans="1:204" ht="15.75" customHeight="1" x14ac:dyDescent="0.15">
      <c r="A86" s="1">
        <f t="shared" si="153"/>
        <v>86</v>
      </c>
      <c r="B86" s="4">
        <v>45847.442372685182</v>
      </c>
      <c r="C86" s="5" t="s">
        <v>204</v>
      </c>
      <c r="D86" s="5" t="s">
        <v>206</v>
      </c>
      <c r="F86" s="5" t="s">
        <v>206</v>
      </c>
      <c r="G86" s="5" t="s">
        <v>206</v>
      </c>
      <c r="H86" s="5" t="s">
        <v>206</v>
      </c>
      <c r="K86" s="5" t="s">
        <v>237</v>
      </c>
      <c r="P86" s="5" t="s">
        <v>237</v>
      </c>
      <c r="T86" s="5" t="s">
        <v>209</v>
      </c>
      <c r="Y86" s="5" t="s">
        <v>209</v>
      </c>
      <c r="AD86" s="5" t="s">
        <v>209</v>
      </c>
      <c r="AH86" s="5" t="s">
        <v>210</v>
      </c>
      <c r="AI86" s="5">
        <v>2023</v>
      </c>
      <c r="AJ86" s="5" t="s">
        <v>238</v>
      </c>
      <c r="AK86" s="5" t="str">
        <f t="shared" si="154"/>
        <v>Trabajadora por cuenta propia</v>
      </c>
      <c r="AL86" s="5" t="s">
        <v>239</v>
      </c>
      <c r="AP86" s="5" t="s">
        <v>297</v>
      </c>
      <c r="AR86" s="5" t="s">
        <v>261</v>
      </c>
      <c r="AS86" s="5" t="s">
        <v>261</v>
      </c>
      <c r="AT86" s="5" t="s">
        <v>261</v>
      </c>
      <c r="AU86" s="5" t="s">
        <v>261</v>
      </c>
      <c r="AV86" s="5" t="s">
        <v>213</v>
      </c>
      <c r="AW86" s="5" t="s">
        <v>206</v>
      </c>
      <c r="BF86" s="5" t="s">
        <v>204</v>
      </c>
      <c r="BG86" s="5" t="s">
        <v>242</v>
      </c>
      <c r="BH86" s="5" t="s">
        <v>242</v>
      </c>
      <c r="BI86" s="5" t="s">
        <v>215</v>
      </c>
      <c r="BJ86" s="5" t="s">
        <v>242</v>
      </c>
      <c r="BK86" s="5" t="s">
        <v>246</v>
      </c>
      <c r="BL86" s="5" t="s">
        <v>246</v>
      </c>
      <c r="BM86" s="5" t="s">
        <v>243</v>
      </c>
      <c r="BN86" s="5" t="s">
        <v>246</v>
      </c>
      <c r="BO86" s="5" t="s">
        <v>246</v>
      </c>
      <c r="BP86" s="5" t="s">
        <v>244</v>
      </c>
      <c r="BQ86" s="5" t="s">
        <v>244</v>
      </c>
      <c r="BR86" s="5" t="s">
        <v>246</v>
      </c>
      <c r="BS86" s="5" t="s">
        <v>247</v>
      </c>
      <c r="BT86" s="5" t="s">
        <v>247</v>
      </c>
      <c r="BU86" s="5" t="s">
        <v>247</v>
      </c>
      <c r="BV86" s="5" t="s">
        <v>247</v>
      </c>
      <c r="BW86" s="5" t="s">
        <v>247</v>
      </c>
      <c r="BX86" s="5" t="s">
        <v>247</v>
      </c>
      <c r="BY86" s="5" t="s">
        <v>247</v>
      </c>
      <c r="CD86" s="5" t="s">
        <v>204</v>
      </c>
      <c r="CE86" s="5" t="s">
        <v>218</v>
      </c>
      <c r="CF86" s="5" t="s">
        <v>219</v>
      </c>
      <c r="CG86" s="5" t="s">
        <v>206</v>
      </c>
      <c r="CH86" s="5" t="s">
        <v>206</v>
      </c>
      <c r="CI86" s="5" t="s">
        <v>206</v>
      </c>
      <c r="CJ86" s="5">
        <v>1</v>
      </c>
      <c r="CK86" s="5" t="s">
        <v>223</v>
      </c>
      <c r="CU86" s="5" t="s">
        <v>206</v>
      </c>
      <c r="DA86" s="5" t="s">
        <v>231</v>
      </c>
      <c r="DB86" s="5">
        <f t="shared" si="155"/>
        <v>2</v>
      </c>
      <c r="DC86" s="5" t="s">
        <v>250</v>
      </c>
      <c r="DD86" s="5">
        <f t="shared" si="156"/>
        <v>3</v>
      </c>
      <c r="DE86" s="5" t="s">
        <v>250</v>
      </c>
      <c r="DF86" s="5">
        <f t="shared" si="157"/>
        <v>3</v>
      </c>
      <c r="DG86" s="5" t="s">
        <v>230</v>
      </c>
      <c r="DH86" s="5">
        <f t="shared" si="158"/>
        <v>2</v>
      </c>
      <c r="DI86" s="5" t="s">
        <v>230</v>
      </c>
      <c r="DJ86" s="5">
        <f t="shared" si="159"/>
        <v>2</v>
      </c>
      <c r="DK86" s="5" t="s">
        <v>230</v>
      </c>
      <c r="DL86" s="5">
        <f t="shared" si="160"/>
        <v>2</v>
      </c>
      <c r="DM86" s="5" t="s">
        <v>251</v>
      </c>
      <c r="DN86" s="5">
        <f t="shared" si="161"/>
        <v>1</v>
      </c>
      <c r="DO86" s="5" t="s">
        <v>281</v>
      </c>
      <c r="DP86" s="5">
        <f t="shared" si="162"/>
        <v>1</v>
      </c>
      <c r="DQ86" s="5" t="s">
        <v>231</v>
      </c>
      <c r="DR86" s="5">
        <f t="shared" si="163"/>
        <v>2</v>
      </c>
      <c r="DS86" s="5" t="s">
        <v>281</v>
      </c>
      <c r="DT86" s="5">
        <f t="shared" si="164"/>
        <v>1</v>
      </c>
      <c r="DU86" s="5" t="s">
        <v>281</v>
      </c>
      <c r="DV86" s="5">
        <f t="shared" si="165"/>
        <v>1</v>
      </c>
      <c r="DW86" s="5" t="s">
        <v>281</v>
      </c>
      <c r="DX86" s="5">
        <f t="shared" si="166"/>
        <v>1</v>
      </c>
      <c r="DY86" s="5">
        <f t="shared" si="167"/>
        <v>21</v>
      </c>
      <c r="DZ86" s="5" t="str">
        <f t="shared" si="168"/>
        <v>Nivel de riesgo medio</v>
      </c>
      <c r="EA86" s="5" t="s">
        <v>232</v>
      </c>
      <c r="EB86" s="5">
        <f t="shared" si="169"/>
        <v>3</v>
      </c>
      <c r="EC86" s="5" t="s">
        <v>232</v>
      </c>
      <c r="ED86" s="5">
        <f t="shared" si="170"/>
        <v>3</v>
      </c>
      <c r="EE86" s="5" t="s">
        <v>232</v>
      </c>
      <c r="EF86" s="5">
        <f t="shared" si="171"/>
        <v>3</v>
      </c>
      <c r="EG86" s="5">
        <f t="shared" si="172"/>
        <v>9</v>
      </c>
      <c r="EH86" s="5" t="str">
        <f t="shared" si="173"/>
        <v>Nivel de riesgo alto</v>
      </c>
      <c r="EI86" s="5" t="s">
        <v>232</v>
      </c>
      <c r="EJ86" s="5">
        <f t="shared" si="174"/>
        <v>3</v>
      </c>
      <c r="EK86" s="5" t="s">
        <v>232</v>
      </c>
      <c r="EL86" s="5">
        <f t="shared" si="175"/>
        <v>3</v>
      </c>
      <c r="EM86" s="5" t="s">
        <v>232</v>
      </c>
      <c r="EN86" s="5">
        <f t="shared" si="176"/>
        <v>3</v>
      </c>
      <c r="EO86" s="5">
        <f t="shared" si="177"/>
        <v>9</v>
      </c>
      <c r="EP86" s="5" t="str">
        <f t="shared" si="178"/>
        <v>Nivel de riesgo alto</v>
      </c>
      <c r="EQ86" s="5" t="s">
        <v>232</v>
      </c>
      <c r="ER86" s="5">
        <f t="shared" si="179"/>
        <v>1</v>
      </c>
      <c r="ES86" s="5" t="s">
        <v>232</v>
      </c>
      <c r="ET86" s="5">
        <f t="shared" si="180"/>
        <v>1</v>
      </c>
      <c r="EU86" s="5" t="s">
        <v>232</v>
      </c>
      <c r="EV86" s="5">
        <f t="shared" si="181"/>
        <v>1</v>
      </c>
      <c r="EW86" s="5" t="s">
        <v>253</v>
      </c>
      <c r="EX86" s="5">
        <f t="shared" si="182"/>
        <v>4</v>
      </c>
      <c r="EY86" s="5">
        <f t="shared" si="183"/>
        <v>7</v>
      </c>
      <c r="EZ86" s="5" t="str">
        <f t="shared" si="184"/>
        <v>Nivel de riesgo alto</v>
      </c>
      <c r="FA86" s="5" t="s">
        <v>232</v>
      </c>
      <c r="FB86" s="5">
        <f t="shared" si="185"/>
        <v>3</v>
      </c>
      <c r="FC86" s="5" t="s">
        <v>232</v>
      </c>
      <c r="FD86" s="5">
        <f t="shared" si="186"/>
        <v>3</v>
      </c>
      <c r="FE86" s="5" t="s">
        <v>232</v>
      </c>
      <c r="FF86" s="5">
        <f t="shared" si="187"/>
        <v>3</v>
      </c>
      <c r="FG86" s="5">
        <f t="shared" si="188"/>
        <v>9</v>
      </c>
      <c r="FH86" s="5" t="str">
        <f t="shared" si="189"/>
        <v>Nivel de riesgo alto</v>
      </c>
      <c r="FI86" s="5" t="s">
        <v>247</v>
      </c>
      <c r="FJ86" s="5">
        <f t="shared" si="190"/>
        <v>2</v>
      </c>
      <c r="FK86" s="5" t="s">
        <v>232</v>
      </c>
      <c r="FL86" s="5">
        <f t="shared" si="191"/>
        <v>3</v>
      </c>
      <c r="FM86" s="5" t="s">
        <v>232</v>
      </c>
      <c r="FN86" s="5">
        <f t="shared" si="192"/>
        <v>3</v>
      </c>
      <c r="FO86" s="5">
        <f t="shared" si="193"/>
        <v>8</v>
      </c>
      <c r="FP86" s="5" t="str">
        <f t="shared" si="194"/>
        <v>Nivel de riesgo alto</v>
      </c>
      <c r="FQ86" s="5" t="s">
        <v>206</v>
      </c>
      <c r="FR86" s="5">
        <f t="shared" si="195"/>
        <v>0</v>
      </c>
      <c r="FS86" s="5" t="s">
        <v>206</v>
      </c>
      <c r="FT86" s="5">
        <f t="shared" si="196"/>
        <v>0</v>
      </c>
      <c r="FU86" s="5" t="s">
        <v>206</v>
      </c>
      <c r="FV86" s="5">
        <f t="shared" si="197"/>
        <v>0</v>
      </c>
      <c r="FW86" s="5" t="s">
        <v>206</v>
      </c>
      <c r="FX86" s="5">
        <f t="shared" si="198"/>
        <v>0</v>
      </c>
      <c r="FY86" s="5" t="s">
        <v>206</v>
      </c>
      <c r="FZ86" s="5">
        <f t="shared" si="199"/>
        <v>0</v>
      </c>
      <c r="GA86" s="5" t="s">
        <v>206</v>
      </c>
      <c r="GB86" s="5">
        <f t="shared" si="200"/>
        <v>0</v>
      </c>
      <c r="GC86" s="5" t="s">
        <v>206</v>
      </c>
      <c r="GD86" s="5">
        <f t="shared" si="201"/>
        <v>0</v>
      </c>
      <c r="GE86" s="5">
        <f t="shared" si="202"/>
        <v>0</v>
      </c>
      <c r="GF86" s="5" t="str">
        <f t="shared" si="203"/>
        <v>Nivel de riesgo bajo</v>
      </c>
      <c r="GG86" s="5" t="s">
        <v>255</v>
      </c>
      <c r="GH86" s="5" t="s">
        <v>255</v>
      </c>
      <c r="GI86" s="5" t="s">
        <v>255</v>
      </c>
      <c r="GJ86" s="5" t="s">
        <v>255</v>
      </c>
      <c r="GK86" s="5" t="s">
        <v>233</v>
      </c>
      <c r="GL86" s="5" t="s">
        <v>298</v>
      </c>
      <c r="GM86" s="5" t="s">
        <v>266</v>
      </c>
      <c r="GN86" s="5" t="s">
        <v>243</v>
      </c>
      <c r="GO86" s="5" t="s">
        <v>243</v>
      </c>
      <c r="GP86" s="5" t="s">
        <v>243</v>
      </c>
      <c r="GQ86" s="5" t="s">
        <v>243</v>
      </c>
      <c r="GR86" s="5" t="s">
        <v>243</v>
      </c>
      <c r="GS86" s="5" t="s">
        <v>243</v>
      </c>
      <c r="GT86" s="5" t="s">
        <v>243</v>
      </c>
      <c r="GU86" s="5" t="s">
        <v>422</v>
      </c>
      <c r="GV86" s="5" t="str">
        <f>TEXT("6278810210366073097","0")</f>
        <v>6278810210366070000</v>
      </c>
    </row>
    <row r="87" spans="1:204" ht="15.75" customHeight="1" x14ac:dyDescent="0.15">
      <c r="A87" s="1">
        <f t="shared" si="153"/>
        <v>87</v>
      </c>
      <c r="B87" s="4">
        <v>45847.443009259259</v>
      </c>
      <c r="C87" s="5" t="s">
        <v>204</v>
      </c>
      <c r="D87" s="5" t="s">
        <v>206</v>
      </c>
      <c r="F87" s="5" t="s">
        <v>206</v>
      </c>
      <c r="G87" s="5" t="s">
        <v>206</v>
      </c>
      <c r="H87" s="5" t="s">
        <v>206</v>
      </c>
      <c r="L87" s="5" t="s">
        <v>236</v>
      </c>
      <c r="P87" s="5" t="s">
        <v>237</v>
      </c>
      <c r="T87" s="5" t="s">
        <v>209</v>
      </c>
      <c r="Z87" s="5" t="s">
        <v>237</v>
      </c>
      <c r="AE87" s="5" t="s">
        <v>237</v>
      </c>
      <c r="AH87" s="5" t="s">
        <v>423</v>
      </c>
      <c r="AI87" s="5">
        <v>2019</v>
      </c>
      <c r="AJ87" s="5" t="s">
        <v>238</v>
      </c>
      <c r="AK87" s="5" t="str">
        <f t="shared" si="154"/>
        <v>Trabajadora por cuenta propia</v>
      </c>
      <c r="AL87" s="5" t="s">
        <v>239</v>
      </c>
      <c r="AO87" s="5" t="s">
        <v>390</v>
      </c>
      <c r="AP87" s="5" t="s">
        <v>424</v>
      </c>
      <c r="AR87" s="5" t="s">
        <v>241</v>
      </c>
      <c r="AS87" s="5" t="s">
        <v>241</v>
      </c>
      <c r="AT87" s="5" t="s">
        <v>241</v>
      </c>
      <c r="AU87" s="5" t="s">
        <v>261</v>
      </c>
      <c r="AV87" s="5" t="s">
        <v>213</v>
      </c>
      <c r="AW87" s="5" t="s">
        <v>204</v>
      </c>
      <c r="AX87" s="5" t="s">
        <v>206</v>
      </c>
      <c r="BF87" s="5" t="s">
        <v>204</v>
      </c>
      <c r="BG87" s="5" t="s">
        <v>242</v>
      </c>
      <c r="BH87" s="5" t="s">
        <v>242</v>
      </c>
      <c r="BI87" s="5" t="s">
        <v>271</v>
      </c>
      <c r="BJ87" s="5" t="s">
        <v>271</v>
      </c>
      <c r="BK87" s="5" t="s">
        <v>244</v>
      </c>
      <c r="BL87" s="5" t="s">
        <v>244</v>
      </c>
      <c r="BM87" s="5" t="s">
        <v>243</v>
      </c>
      <c r="BN87" s="5" t="s">
        <v>246</v>
      </c>
      <c r="BO87" s="5" t="s">
        <v>246</v>
      </c>
      <c r="BP87" s="5" t="s">
        <v>244</v>
      </c>
      <c r="BQ87" s="5" t="s">
        <v>244</v>
      </c>
      <c r="BR87" s="5" t="s">
        <v>246</v>
      </c>
      <c r="BS87" s="5" t="s">
        <v>247</v>
      </c>
      <c r="BT87" s="5" t="s">
        <v>247</v>
      </c>
      <c r="BU87" s="5" t="s">
        <v>217</v>
      </c>
      <c r="BV87" s="5" t="s">
        <v>247</v>
      </c>
      <c r="BW87" s="5" t="s">
        <v>248</v>
      </c>
      <c r="BX87" s="5" t="s">
        <v>248</v>
      </c>
      <c r="BY87" s="5" t="s">
        <v>248</v>
      </c>
      <c r="BZ87" s="5" t="s">
        <v>246</v>
      </c>
      <c r="CA87" s="5" t="s">
        <v>243</v>
      </c>
      <c r="CB87" s="5" t="s">
        <v>244</v>
      </c>
      <c r="CC87" s="5" t="s">
        <v>243</v>
      </c>
      <c r="CD87" s="5" t="s">
        <v>206</v>
      </c>
      <c r="CH87" s="5" t="s">
        <v>206</v>
      </c>
      <c r="CI87" s="5" t="s">
        <v>206</v>
      </c>
      <c r="CJ87" s="5">
        <v>3</v>
      </c>
      <c r="CK87" s="5" t="s">
        <v>223</v>
      </c>
      <c r="CU87" s="5" t="s">
        <v>206</v>
      </c>
      <c r="DA87" s="5" t="s">
        <v>231</v>
      </c>
      <c r="DB87" s="5">
        <f t="shared" si="155"/>
        <v>2</v>
      </c>
      <c r="DC87" s="5" t="s">
        <v>250</v>
      </c>
      <c r="DD87" s="5">
        <f t="shared" si="156"/>
        <v>3</v>
      </c>
      <c r="DE87" s="5" t="s">
        <v>250</v>
      </c>
      <c r="DF87" s="5">
        <f t="shared" si="157"/>
        <v>3</v>
      </c>
      <c r="DG87" s="5" t="s">
        <v>250</v>
      </c>
      <c r="DH87" s="5">
        <f t="shared" si="158"/>
        <v>3</v>
      </c>
      <c r="DI87" s="5" t="s">
        <v>250</v>
      </c>
      <c r="DJ87" s="5">
        <f t="shared" si="159"/>
        <v>3</v>
      </c>
      <c r="DK87" s="5" t="s">
        <v>251</v>
      </c>
      <c r="DL87" s="5">
        <f t="shared" si="160"/>
        <v>1</v>
      </c>
      <c r="DM87" s="5" t="s">
        <v>251</v>
      </c>
      <c r="DN87" s="5">
        <f t="shared" si="161"/>
        <v>1</v>
      </c>
      <c r="DO87" s="5" t="s">
        <v>281</v>
      </c>
      <c r="DP87" s="5">
        <f t="shared" si="162"/>
        <v>1</v>
      </c>
      <c r="DQ87" s="5" t="s">
        <v>281</v>
      </c>
      <c r="DR87" s="5">
        <f t="shared" si="163"/>
        <v>1</v>
      </c>
      <c r="DS87" s="5" t="s">
        <v>252</v>
      </c>
      <c r="DT87" s="5">
        <f t="shared" si="164"/>
        <v>3</v>
      </c>
      <c r="DU87" s="5" t="s">
        <v>281</v>
      </c>
      <c r="DV87" s="5">
        <f t="shared" si="165"/>
        <v>1</v>
      </c>
      <c r="DW87" s="5" t="s">
        <v>281</v>
      </c>
      <c r="DX87" s="5">
        <f t="shared" si="166"/>
        <v>1</v>
      </c>
      <c r="DY87" s="5">
        <f t="shared" si="167"/>
        <v>23</v>
      </c>
      <c r="DZ87" s="5" t="str">
        <f t="shared" si="168"/>
        <v>Nivel de riesgo medio</v>
      </c>
      <c r="EA87" s="5" t="s">
        <v>253</v>
      </c>
      <c r="EB87" s="5">
        <f t="shared" si="169"/>
        <v>0</v>
      </c>
      <c r="EC87" s="5" t="s">
        <v>248</v>
      </c>
      <c r="ED87" s="5">
        <f t="shared" si="170"/>
        <v>1</v>
      </c>
      <c r="EE87" s="5" t="s">
        <v>248</v>
      </c>
      <c r="EF87" s="5">
        <f t="shared" si="171"/>
        <v>1</v>
      </c>
      <c r="EG87" s="5">
        <f t="shared" si="172"/>
        <v>2</v>
      </c>
      <c r="EH87" s="5" t="str">
        <f t="shared" si="173"/>
        <v>Nivel de riesgo medio</v>
      </c>
      <c r="EI87" s="5" t="s">
        <v>253</v>
      </c>
      <c r="EJ87" s="5">
        <f t="shared" si="174"/>
        <v>0</v>
      </c>
      <c r="EK87" s="5" t="s">
        <v>253</v>
      </c>
      <c r="EL87" s="5">
        <f t="shared" si="175"/>
        <v>0</v>
      </c>
      <c r="EM87" s="5" t="s">
        <v>253</v>
      </c>
      <c r="EN87" s="5">
        <f t="shared" si="176"/>
        <v>0</v>
      </c>
      <c r="EO87" s="5">
        <f t="shared" si="177"/>
        <v>0</v>
      </c>
      <c r="EP87" s="5" t="str">
        <f t="shared" si="178"/>
        <v>Nivel de riesgo bajo</v>
      </c>
      <c r="EQ87" s="5" t="s">
        <v>247</v>
      </c>
      <c r="ER87" s="5">
        <f t="shared" si="179"/>
        <v>2</v>
      </c>
      <c r="ES87" s="5" t="s">
        <v>232</v>
      </c>
      <c r="ET87" s="5">
        <f t="shared" si="180"/>
        <v>1</v>
      </c>
      <c r="EU87" s="5" t="s">
        <v>254</v>
      </c>
      <c r="EV87" s="5">
        <f t="shared" si="181"/>
        <v>0</v>
      </c>
      <c r="EW87" s="5" t="s">
        <v>254</v>
      </c>
      <c r="EX87" s="5">
        <f t="shared" si="182"/>
        <v>0</v>
      </c>
      <c r="EY87" s="5">
        <f t="shared" si="183"/>
        <v>3</v>
      </c>
      <c r="EZ87" s="5" t="str">
        <f t="shared" si="184"/>
        <v>Nivel de riesgo medio</v>
      </c>
      <c r="FA87" s="5" t="s">
        <v>253</v>
      </c>
      <c r="FB87" s="5">
        <f t="shared" si="185"/>
        <v>0</v>
      </c>
      <c r="FC87" s="5" t="s">
        <v>253</v>
      </c>
      <c r="FD87" s="5">
        <f t="shared" si="186"/>
        <v>0</v>
      </c>
      <c r="FE87" s="5" t="s">
        <v>253</v>
      </c>
      <c r="FF87" s="5">
        <f t="shared" si="187"/>
        <v>0</v>
      </c>
      <c r="FG87" s="5">
        <f t="shared" si="188"/>
        <v>0</v>
      </c>
      <c r="FH87" s="5" t="str">
        <f t="shared" si="189"/>
        <v>Nivel de riesgo bajo</v>
      </c>
      <c r="FI87" s="5" t="s">
        <v>253</v>
      </c>
      <c r="FJ87" s="5">
        <f t="shared" si="190"/>
        <v>0</v>
      </c>
      <c r="FK87" s="5" t="s">
        <v>253</v>
      </c>
      <c r="FL87" s="5">
        <f t="shared" si="191"/>
        <v>0</v>
      </c>
      <c r="FM87" s="5" t="s">
        <v>253</v>
      </c>
      <c r="FN87" s="5">
        <f t="shared" si="192"/>
        <v>0</v>
      </c>
      <c r="FO87" s="5">
        <f t="shared" si="193"/>
        <v>0</v>
      </c>
      <c r="FP87" s="5" t="str">
        <f t="shared" si="194"/>
        <v>Nivel de riesgo bajo</v>
      </c>
      <c r="FQ87" s="5" t="s">
        <v>206</v>
      </c>
      <c r="FR87" s="5">
        <f t="shared" si="195"/>
        <v>0</v>
      </c>
      <c r="FS87" s="5" t="s">
        <v>206</v>
      </c>
      <c r="FT87" s="5">
        <f t="shared" si="196"/>
        <v>0</v>
      </c>
      <c r="FU87" s="5" t="s">
        <v>206</v>
      </c>
      <c r="FV87" s="5">
        <f t="shared" si="197"/>
        <v>0</v>
      </c>
      <c r="FW87" s="5" t="s">
        <v>206</v>
      </c>
      <c r="FX87" s="5">
        <f t="shared" si="198"/>
        <v>0</v>
      </c>
      <c r="FY87" s="5" t="s">
        <v>206</v>
      </c>
      <c r="FZ87" s="5">
        <f t="shared" si="199"/>
        <v>0</v>
      </c>
      <c r="GA87" s="5" t="s">
        <v>206</v>
      </c>
      <c r="GB87" s="5">
        <f t="shared" si="200"/>
        <v>0</v>
      </c>
      <c r="GC87" s="5" t="s">
        <v>206</v>
      </c>
      <c r="GD87" s="5">
        <f t="shared" si="201"/>
        <v>0</v>
      </c>
      <c r="GE87" s="5">
        <f t="shared" si="202"/>
        <v>0</v>
      </c>
      <c r="GF87" s="5" t="str">
        <f t="shared" si="203"/>
        <v>Nivel de riesgo bajo</v>
      </c>
      <c r="GG87" s="5" t="s">
        <v>273</v>
      </c>
      <c r="GH87" s="5" t="s">
        <v>273</v>
      </c>
      <c r="GI87" s="5" t="s">
        <v>233</v>
      </c>
      <c r="GJ87" s="5" t="s">
        <v>233</v>
      </c>
      <c r="GK87" s="5" t="s">
        <v>233</v>
      </c>
      <c r="GL87" s="5" t="s">
        <v>233</v>
      </c>
      <c r="GM87" s="5" t="s">
        <v>233</v>
      </c>
      <c r="GN87" s="5" t="s">
        <v>243</v>
      </c>
      <c r="GO87" s="5" t="s">
        <v>243</v>
      </c>
      <c r="GP87" s="5" t="s">
        <v>257</v>
      </c>
      <c r="GQ87" s="5" t="s">
        <v>257</v>
      </c>
      <c r="GR87" s="5" t="s">
        <v>257</v>
      </c>
      <c r="GS87" s="5" t="s">
        <v>243</v>
      </c>
      <c r="GT87" s="5" t="s">
        <v>243</v>
      </c>
      <c r="GU87" s="5" t="s">
        <v>425</v>
      </c>
      <c r="GV87" s="5" t="str">
        <f>TEXT("6278810761214945792","0")</f>
        <v>6278810761214940000</v>
      </c>
    </row>
    <row r="88" spans="1:204" ht="15.75" customHeight="1" x14ac:dyDescent="0.15">
      <c r="A88" s="1">
        <f t="shared" si="153"/>
        <v>88</v>
      </c>
      <c r="B88" s="4">
        <v>45847.44358796296</v>
      </c>
      <c r="C88" s="5" t="s">
        <v>204</v>
      </c>
      <c r="D88" s="5" t="s">
        <v>206</v>
      </c>
      <c r="F88" s="5" t="s">
        <v>206</v>
      </c>
      <c r="G88" s="5" t="s">
        <v>206</v>
      </c>
      <c r="H88" s="5" t="s">
        <v>206</v>
      </c>
      <c r="L88" s="5" t="s">
        <v>236</v>
      </c>
      <c r="O88" s="5" t="s">
        <v>209</v>
      </c>
      <c r="S88" s="5" t="s">
        <v>208</v>
      </c>
      <c r="X88" s="5" t="s">
        <v>208</v>
      </c>
      <c r="AD88" s="5" t="s">
        <v>209</v>
      </c>
      <c r="AH88" s="5" t="s">
        <v>268</v>
      </c>
      <c r="AI88" s="5">
        <v>2010</v>
      </c>
      <c r="AJ88" s="5" t="s">
        <v>238</v>
      </c>
      <c r="AK88" s="5" t="str">
        <f t="shared" si="154"/>
        <v>Trabajadora por cuenta propia</v>
      </c>
      <c r="AL88" s="5" t="s">
        <v>239</v>
      </c>
      <c r="AP88" s="5" t="s">
        <v>284</v>
      </c>
      <c r="AR88" s="5" t="s">
        <v>294</v>
      </c>
      <c r="AS88" s="5" t="s">
        <v>294</v>
      </c>
      <c r="AT88" s="5" t="s">
        <v>294</v>
      </c>
      <c r="AU88" s="5" t="s">
        <v>294</v>
      </c>
      <c r="AV88" s="5" t="s">
        <v>285</v>
      </c>
      <c r="AW88" s="5" t="s">
        <v>204</v>
      </c>
      <c r="AX88" s="5" t="s">
        <v>206</v>
      </c>
      <c r="BF88" s="5" t="s">
        <v>204</v>
      </c>
      <c r="BG88" s="5" t="s">
        <v>215</v>
      </c>
      <c r="BH88" s="5" t="s">
        <v>264</v>
      </c>
      <c r="BI88" s="5" t="s">
        <v>264</v>
      </c>
      <c r="BJ88" s="5" t="s">
        <v>264</v>
      </c>
      <c r="BK88" s="5" t="s">
        <v>244</v>
      </c>
      <c r="BL88" s="5" t="s">
        <v>244</v>
      </c>
      <c r="BM88" s="5" t="s">
        <v>244</v>
      </c>
      <c r="BN88" s="5" t="s">
        <v>244</v>
      </c>
      <c r="BO88" s="5" t="s">
        <v>244</v>
      </c>
      <c r="BP88" s="5" t="s">
        <v>244</v>
      </c>
      <c r="BQ88" s="5" t="s">
        <v>244</v>
      </c>
      <c r="BR88" s="5" t="s">
        <v>244</v>
      </c>
      <c r="BS88" s="5" t="s">
        <v>217</v>
      </c>
      <c r="BT88" s="5" t="s">
        <v>217</v>
      </c>
      <c r="BU88" s="5" t="s">
        <v>217</v>
      </c>
      <c r="BV88" s="5" t="s">
        <v>217</v>
      </c>
      <c r="BW88" s="5" t="s">
        <v>217</v>
      </c>
      <c r="BX88" s="5" t="s">
        <v>217</v>
      </c>
      <c r="BY88" s="5" t="s">
        <v>217</v>
      </c>
      <c r="BZ88" s="5" t="s">
        <v>244</v>
      </c>
      <c r="CA88" s="5" t="s">
        <v>244</v>
      </c>
      <c r="CB88" s="5" t="s">
        <v>244</v>
      </c>
      <c r="CC88" s="5" t="s">
        <v>244</v>
      </c>
      <c r="CD88" s="5" t="s">
        <v>204</v>
      </c>
      <c r="CE88" s="5" t="s">
        <v>218</v>
      </c>
      <c r="CF88" s="5" t="s">
        <v>219</v>
      </c>
      <c r="CG88" s="5" t="s">
        <v>206</v>
      </c>
      <c r="CH88" s="5" t="s">
        <v>310</v>
      </c>
      <c r="CI88" s="5" t="s">
        <v>206</v>
      </c>
      <c r="CJ88" s="5">
        <v>5</v>
      </c>
      <c r="CL88" s="5" t="s">
        <v>426</v>
      </c>
      <c r="CU88" s="5" t="s">
        <v>206</v>
      </c>
      <c r="DA88" s="5" t="s">
        <v>231</v>
      </c>
      <c r="DB88" s="5">
        <f t="shared" si="155"/>
        <v>2</v>
      </c>
      <c r="DC88" s="5" t="s">
        <v>251</v>
      </c>
      <c r="DD88" s="5">
        <f t="shared" si="156"/>
        <v>1</v>
      </c>
      <c r="DE88" s="5" t="s">
        <v>251</v>
      </c>
      <c r="DF88" s="5">
        <f t="shared" si="157"/>
        <v>1</v>
      </c>
      <c r="DG88" s="5" t="s">
        <v>251</v>
      </c>
      <c r="DH88" s="5">
        <f t="shared" si="158"/>
        <v>1</v>
      </c>
      <c r="DI88" s="5" t="s">
        <v>251</v>
      </c>
      <c r="DJ88" s="5">
        <f t="shared" si="159"/>
        <v>1</v>
      </c>
      <c r="DK88" s="5" t="s">
        <v>251</v>
      </c>
      <c r="DL88" s="5">
        <f t="shared" si="160"/>
        <v>1</v>
      </c>
      <c r="DM88" s="5" t="s">
        <v>251</v>
      </c>
      <c r="DN88" s="5">
        <f t="shared" si="161"/>
        <v>1</v>
      </c>
      <c r="DO88" s="5" t="s">
        <v>231</v>
      </c>
      <c r="DP88" s="5">
        <f t="shared" si="162"/>
        <v>2</v>
      </c>
      <c r="DQ88" s="5" t="s">
        <v>231</v>
      </c>
      <c r="DR88" s="5">
        <f t="shared" si="163"/>
        <v>2</v>
      </c>
      <c r="DS88" s="5" t="s">
        <v>231</v>
      </c>
      <c r="DT88" s="5">
        <f t="shared" si="164"/>
        <v>2</v>
      </c>
      <c r="DU88" s="5" t="s">
        <v>231</v>
      </c>
      <c r="DV88" s="5">
        <f t="shared" si="165"/>
        <v>2</v>
      </c>
      <c r="DW88" s="5" t="s">
        <v>231</v>
      </c>
      <c r="DX88" s="5">
        <f t="shared" si="166"/>
        <v>2</v>
      </c>
      <c r="DY88" s="5">
        <f t="shared" si="167"/>
        <v>18</v>
      </c>
      <c r="DZ88" s="5" t="str">
        <f t="shared" si="168"/>
        <v>Nivel de riesgo bajo</v>
      </c>
      <c r="EA88" s="5" t="s">
        <v>253</v>
      </c>
      <c r="EB88" s="5">
        <f t="shared" si="169"/>
        <v>0</v>
      </c>
      <c r="EC88" s="5" t="s">
        <v>253</v>
      </c>
      <c r="ED88" s="5">
        <f t="shared" si="170"/>
        <v>0</v>
      </c>
      <c r="EE88" s="5" t="s">
        <v>253</v>
      </c>
      <c r="EF88" s="5">
        <f t="shared" si="171"/>
        <v>0</v>
      </c>
      <c r="EG88" s="5">
        <f t="shared" si="172"/>
        <v>0</v>
      </c>
      <c r="EH88" s="5" t="str">
        <f t="shared" si="173"/>
        <v>Nivel de riesgo bajo</v>
      </c>
      <c r="EI88" s="5" t="s">
        <v>253</v>
      </c>
      <c r="EJ88" s="5">
        <f t="shared" si="174"/>
        <v>0</v>
      </c>
      <c r="EK88" s="5" t="s">
        <v>253</v>
      </c>
      <c r="EL88" s="5">
        <f t="shared" si="175"/>
        <v>0</v>
      </c>
      <c r="EM88" s="5" t="s">
        <v>253</v>
      </c>
      <c r="EN88" s="5">
        <f t="shared" si="176"/>
        <v>0</v>
      </c>
      <c r="EO88" s="5">
        <f t="shared" si="177"/>
        <v>0</v>
      </c>
      <c r="EP88" s="5" t="str">
        <f t="shared" si="178"/>
        <v>Nivel de riesgo bajo</v>
      </c>
      <c r="EQ88" s="5" t="s">
        <v>253</v>
      </c>
      <c r="ER88" s="5">
        <f t="shared" si="179"/>
        <v>4</v>
      </c>
      <c r="ES88" s="5" t="s">
        <v>253</v>
      </c>
      <c r="ET88" s="5">
        <f t="shared" si="180"/>
        <v>4</v>
      </c>
      <c r="EU88" s="5" t="s">
        <v>254</v>
      </c>
      <c r="EV88" s="5">
        <f t="shared" si="181"/>
        <v>0</v>
      </c>
      <c r="EW88" s="5" t="s">
        <v>254</v>
      </c>
      <c r="EX88" s="5">
        <f t="shared" si="182"/>
        <v>0</v>
      </c>
      <c r="EY88" s="5">
        <f t="shared" si="183"/>
        <v>8</v>
      </c>
      <c r="EZ88" s="5" t="str">
        <f t="shared" si="184"/>
        <v>Nivel de riesgo alto</v>
      </c>
      <c r="FA88" s="5" t="s">
        <v>253</v>
      </c>
      <c r="FB88" s="5">
        <f t="shared" si="185"/>
        <v>0</v>
      </c>
      <c r="FC88" s="5" t="s">
        <v>253</v>
      </c>
      <c r="FD88" s="5">
        <f t="shared" si="186"/>
        <v>0</v>
      </c>
      <c r="FE88" s="5" t="s">
        <v>253</v>
      </c>
      <c r="FF88" s="5">
        <f t="shared" si="187"/>
        <v>0</v>
      </c>
      <c r="FG88" s="5">
        <f t="shared" si="188"/>
        <v>0</v>
      </c>
      <c r="FH88" s="5" t="str">
        <f t="shared" si="189"/>
        <v>Nivel de riesgo bajo</v>
      </c>
      <c r="FI88" s="5" t="s">
        <v>253</v>
      </c>
      <c r="FJ88" s="5">
        <f t="shared" si="190"/>
        <v>0</v>
      </c>
      <c r="FK88" s="5" t="s">
        <v>253</v>
      </c>
      <c r="FL88" s="5">
        <f t="shared" si="191"/>
        <v>0</v>
      </c>
      <c r="FM88" s="5" t="s">
        <v>253</v>
      </c>
      <c r="FN88" s="5">
        <f t="shared" si="192"/>
        <v>0</v>
      </c>
      <c r="FO88" s="5">
        <f t="shared" si="193"/>
        <v>0</v>
      </c>
      <c r="FP88" s="5" t="str">
        <f t="shared" si="194"/>
        <v>Nivel de riesgo bajo</v>
      </c>
      <c r="FQ88" s="5" t="s">
        <v>206</v>
      </c>
      <c r="FR88" s="5">
        <f t="shared" si="195"/>
        <v>0</v>
      </c>
      <c r="FS88" s="5" t="s">
        <v>206</v>
      </c>
      <c r="FT88" s="5">
        <f t="shared" si="196"/>
        <v>0</v>
      </c>
      <c r="FU88" s="5" t="s">
        <v>206</v>
      </c>
      <c r="FV88" s="5">
        <f t="shared" si="197"/>
        <v>0</v>
      </c>
      <c r="FW88" s="5" t="s">
        <v>206</v>
      </c>
      <c r="FX88" s="5">
        <f t="shared" si="198"/>
        <v>0</v>
      </c>
      <c r="FY88" s="5" t="s">
        <v>206</v>
      </c>
      <c r="FZ88" s="5">
        <f t="shared" si="199"/>
        <v>0</v>
      </c>
      <c r="GA88" s="5" t="s">
        <v>206</v>
      </c>
      <c r="GB88" s="5">
        <f t="shared" si="200"/>
        <v>0</v>
      </c>
      <c r="GC88" s="5" t="s">
        <v>206</v>
      </c>
      <c r="GD88" s="5">
        <f t="shared" si="201"/>
        <v>0</v>
      </c>
      <c r="GE88" s="5">
        <f t="shared" si="202"/>
        <v>0</v>
      </c>
      <c r="GF88" s="5" t="str">
        <f t="shared" si="203"/>
        <v>Nivel de riesgo bajo</v>
      </c>
      <c r="GG88" s="5" t="s">
        <v>255</v>
      </c>
      <c r="GH88" s="5" t="s">
        <v>255</v>
      </c>
      <c r="GI88" s="5" t="s">
        <v>255</v>
      </c>
      <c r="GJ88" s="5" t="s">
        <v>255</v>
      </c>
      <c r="GK88" s="5" t="s">
        <v>233</v>
      </c>
      <c r="GL88" s="5" t="s">
        <v>233</v>
      </c>
      <c r="GM88" s="5" t="s">
        <v>255</v>
      </c>
      <c r="GN88" s="5" t="s">
        <v>256</v>
      </c>
      <c r="GO88" s="5" t="s">
        <v>256</v>
      </c>
      <c r="GP88" s="5" t="s">
        <v>256</v>
      </c>
      <c r="GQ88" s="5" t="s">
        <v>256</v>
      </c>
      <c r="GR88" s="5" t="s">
        <v>256</v>
      </c>
      <c r="GS88" s="5" t="s">
        <v>256</v>
      </c>
      <c r="GT88" s="5" t="s">
        <v>256</v>
      </c>
      <c r="GU88" s="5" t="s">
        <v>427</v>
      </c>
      <c r="GV88" s="5" t="str">
        <f>TEXT("6278811261414804674","0")</f>
        <v>6278811261414800000</v>
      </c>
    </row>
    <row r="89" spans="1:204" ht="15.75" customHeight="1" x14ac:dyDescent="0.15">
      <c r="A89" s="1">
        <f t="shared" si="153"/>
        <v>89</v>
      </c>
      <c r="B89" s="4">
        <v>45847.44568287037</v>
      </c>
      <c r="C89" s="5" t="s">
        <v>204</v>
      </c>
      <c r="D89" s="5" t="s">
        <v>204</v>
      </c>
      <c r="E89" s="5" t="s">
        <v>335</v>
      </c>
      <c r="F89" s="5" t="s">
        <v>206</v>
      </c>
      <c r="G89" s="5" t="s">
        <v>204</v>
      </c>
      <c r="H89" s="5" t="s">
        <v>206</v>
      </c>
      <c r="K89" s="5" t="s">
        <v>237</v>
      </c>
      <c r="O89" s="5" t="s">
        <v>209</v>
      </c>
      <c r="T89" s="5" t="s">
        <v>209</v>
      </c>
      <c r="Y89" s="5" t="s">
        <v>209</v>
      </c>
      <c r="AD89" s="5" t="s">
        <v>209</v>
      </c>
      <c r="AH89" s="5" t="s">
        <v>428</v>
      </c>
      <c r="AI89" s="5">
        <v>2021</v>
      </c>
      <c r="AJ89" s="5" t="s">
        <v>238</v>
      </c>
      <c r="AK89" s="5" t="str">
        <f t="shared" si="154"/>
        <v>Trabajadora por cuenta propia</v>
      </c>
      <c r="AL89" s="5" t="s">
        <v>239</v>
      </c>
      <c r="AP89" s="5" t="s">
        <v>365</v>
      </c>
      <c r="AR89" s="5" t="s">
        <v>261</v>
      </c>
      <c r="AS89" s="5" t="s">
        <v>276</v>
      </c>
      <c r="AT89" s="5" t="s">
        <v>261</v>
      </c>
      <c r="AU89" s="5" t="s">
        <v>261</v>
      </c>
      <c r="AV89" s="5" t="s">
        <v>262</v>
      </c>
      <c r="AW89" s="5" t="s">
        <v>204</v>
      </c>
      <c r="AX89" s="5" t="s">
        <v>204</v>
      </c>
      <c r="AY89" s="5" t="s">
        <v>406</v>
      </c>
      <c r="AZ89" s="5" t="s">
        <v>204</v>
      </c>
      <c r="BA89" s="5" t="s">
        <v>263</v>
      </c>
      <c r="BF89" s="5" t="s">
        <v>204</v>
      </c>
      <c r="BG89" s="5" t="s">
        <v>271</v>
      </c>
      <c r="BH89" s="5" t="s">
        <v>271</v>
      </c>
      <c r="BI89" s="5" t="s">
        <v>278</v>
      </c>
      <c r="BJ89" s="5" t="s">
        <v>242</v>
      </c>
      <c r="BK89" s="5" t="s">
        <v>243</v>
      </c>
      <c r="BL89" s="5" t="s">
        <v>246</v>
      </c>
      <c r="BM89" s="5" t="s">
        <v>245</v>
      </c>
      <c r="BN89" s="5" t="s">
        <v>246</v>
      </c>
      <c r="BO89" s="5" t="s">
        <v>246</v>
      </c>
      <c r="BP89" s="5" t="s">
        <v>245</v>
      </c>
      <c r="BQ89" s="5" t="s">
        <v>245</v>
      </c>
      <c r="BR89" s="5" t="s">
        <v>245</v>
      </c>
      <c r="BS89" s="5" t="s">
        <v>232</v>
      </c>
      <c r="BT89" s="5" t="s">
        <v>232</v>
      </c>
      <c r="BU89" s="5" t="s">
        <v>247</v>
      </c>
      <c r="BV89" s="5" t="s">
        <v>247</v>
      </c>
      <c r="BW89" s="5" t="s">
        <v>247</v>
      </c>
      <c r="BX89" s="5" t="s">
        <v>247</v>
      </c>
      <c r="BY89" s="5" t="s">
        <v>247</v>
      </c>
      <c r="BZ89" s="5" t="s">
        <v>246</v>
      </c>
      <c r="CA89" s="5" t="s">
        <v>246</v>
      </c>
      <c r="CB89" s="5" t="s">
        <v>246</v>
      </c>
      <c r="CC89" s="5" t="s">
        <v>243</v>
      </c>
      <c r="CD89" s="5" t="s">
        <v>206</v>
      </c>
      <c r="CH89" s="5" t="s">
        <v>206</v>
      </c>
      <c r="CI89" s="5" t="s">
        <v>249</v>
      </c>
      <c r="CJ89" s="5">
        <v>1</v>
      </c>
      <c r="CK89" s="5" t="s">
        <v>223</v>
      </c>
      <c r="CU89" s="5" t="s">
        <v>206</v>
      </c>
      <c r="DA89" s="5" t="s">
        <v>229</v>
      </c>
      <c r="DB89" s="5">
        <f t="shared" si="155"/>
        <v>4</v>
      </c>
      <c r="DC89" s="5" t="s">
        <v>250</v>
      </c>
      <c r="DD89" s="5">
        <f t="shared" si="156"/>
        <v>3</v>
      </c>
      <c r="DE89" s="5" t="s">
        <v>280</v>
      </c>
      <c r="DF89" s="5">
        <f t="shared" si="157"/>
        <v>4</v>
      </c>
      <c r="DG89" s="5" t="s">
        <v>280</v>
      </c>
      <c r="DH89" s="5">
        <f t="shared" si="158"/>
        <v>4</v>
      </c>
      <c r="DI89" s="5" t="s">
        <v>250</v>
      </c>
      <c r="DJ89" s="5">
        <f t="shared" si="159"/>
        <v>3</v>
      </c>
      <c r="DK89" s="5" t="s">
        <v>280</v>
      </c>
      <c r="DL89" s="5">
        <f t="shared" si="160"/>
        <v>4</v>
      </c>
      <c r="DM89" s="5" t="s">
        <v>230</v>
      </c>
      <c r="DN89" s="5">
        <f t="shared" si="161"/>
        <v>2</v>
      </c>
      <c r="DO89" s="5" t="s">
        <v>252</v>
      </c>
      <c r="DP89" s="5">
        <f t="shared" si="162"/>
        <v>3</v>
      </c>
      <c r="DQ89" s="5" t="s">
        <v>231</v>
      </c>
      <c r="DR89" s="5">
        <f t="shared" si="163"/>
        <v>2</v>
      </c>
      <c r="DS89" s="5" t="s">
        <v>252</v>
      </c>
      <c r="DT89" s="5">
        <f t="shared" si="164"/>
        <v>3</v>
      </c>
      <c r="DU89" s="5" t="s">
        <v>252</v>
      </c>
      <c r="DV89" s="5">
        <f t="shared" si="165"/>
        <v>3</v>
      </c>
      <c r="DW89" s="5" t="s">
        <v>231</v>
      </c>
      <c r="DX89" s="5">
        <f t="shared" si="166"/>
        <v>2</v>
      </c>
      <c r="DY89" s="5">
        <f t="shared" si="167"/>
        <v>37</v>
      </c>
      <c r="DZ89" s="5" t="str">
        <f t="shared" si="168"/>
        <v>Nivel de riesgo alto</v>
      </c>
      <c r="EA89" s="5" t="s">
        <v>232</v>
      </c>
      <c r="EB89" s="5">
        <f t="shared" si="169"/>
        <v>3</v>
      </c>
      <c r="EC89" s="5" t="s">
        <v>247</v>
      </c>
      <c r="ED89" s="5">
        <f t="shared" si="170"/>
        <v>2</v>
      </c>
      <c r="EE89" s="5" t="s">
        <v>248</v>
      </c>
      <c r="EF89" s="5">
        <f t="shared" si="171"/>
        <v>1</v>
      </c>
      <c r="EG89" s="5">
        <f t="shared" si="172"/>
        <v>6</v>
      </c>
      <c r="EH89" s="5" t="str">
        <f t="shared" si="173"/>
        <v>Nivel de riesgo alto</v>
      </c>
      <c r="EI89" s="5" t="s">
        <v>248</v>
      </c>
      <c r="EJ89" s="5">
        <f t="shared" si="174"/>
        <v>1</v>
      </c>
      <c r="EK89" s="5" t="s">
        <v>248</v>
      </c>
      <c r="EL89" s="5">
        <f t="shared" si="175"/>
        <v>1</v>
      </c>
      <c r="EM89" s="5" t="s">
        <v>248</v>
      </c>
      <c r="EN89" s="5">
        <f t="shared" si="176"/>
        <v>1</v>
      </c>
      <c r="EO89" s="5">
        <f t="shared" si="177"/>
        <v>3</v>
      </c>
      <c r="EP89" s="5" t="str">
        <f t="shared" si="178"/>
        <v>Nivel de riesgo medio</v>
      </c>
      <c r="EQ89" s="5" t="s">
        <v>253</v>
      </c>
      <c r="ER89" s="5">
        <f t="shared" si="179"/>
        <v>4</v>
      </c>
      <c r="ES89" s="5" t="s">
        <v>253</v>
      </c>
      <c r="ET89" s="5">
        <f t="shared" si="180"/>
        <v>4</v>
      </c>
      <c r="EU89" s="5" t="s">
        <v>253</v>
      </c>
      <c r="EV89" s="5">
        <f t="shared" si="181"/>
        <v>4</v>
      </c>
      <c r="EW89" s="5" t="s">
        <v>254</v>
      </c>
      <c r="EX89" s="5">
        <f t="shared" si="182"/>
        <v>0</v>
      </c>
      <c r="EY89" s="5">
        <f t="shared" si="183"/>
        <v>12</v>
      </c>
      <c r="EZ89" s="5" t="str">
        <f t="shared" si="184"/>
        <v>Nivel de riesgo alto</v>
      </c>
      <c r="FA89" s="5" t="s">
        <v>247</v>
      </c>
      <c r="FB89" s="5">
        <f t="shared" si="185"/>
        <v>2</v>
      </c>
      <c r="FC89" s="5" t="s">
        <v>253</v>
      </c>
      <c r="FD89" s="5">
        <f t="shared" si="186"/>
        <v>0</v>
      </c>
      <c r="FE89" s="5" t="s">
        <v>248</v>
      </c>
      <c r="FF89" s="5">
        <f t="shared" si="187"/>
        <v>1</v>
      </c>
      <c r="FG89" s="5">
        <f t="shared" si="188"/>
        <v>3</v>
      </c>
      <c r="FH89" s="5" t="str">
        <f t="shared" si="189"/>
        <v>Nivel de riesgo medio</v>
      </c>
      <c r="FI89" s="5" t="s">
        <v>248</v>
      </c>
      <c r="FJ89" s="5">
        <f t="shared" si="190"/>
        <v>1</v>
      </c>
      <c r="FK89" s="5" t="s">
        <v>248</v>
      </c>
      <c r="FL89" s="5">
        <f t="shared" si="191"/>
        <v>1</v>
      </c>
      <c r="FM89" s="5" t="s">
        <v>248</v>
      </c>
      <c r="FN89" s="5">
        <f t="shared" si="192"/>
        <v>1</v>
      </c>
      <c r="FO89" s="5">
        <f t="shared" si="193"/>
        <v>3</v>
      </c>
      <c r="FP89" s="5" t="str">
        <f t="shared" si="194"/>
        <v>Nivel de riesgo medio</v>
      </c>
      <c r="FQ89" s="5" t="s">
        <v>206</v>
      </c>
      <c r="FR89" s="5">
        <f t="shared" si="195"/>
        <v>0</v>
      </c>
      <c r="FS89" s="5" t="s">
        <v>206</v>
      </c>
      <c r="FT89" s="5">
        <f t="shared" si="196"/>
        <v>0</v>
      </c>
      <c r="FU89" s="5" t="s">
        <v>206</v>
      </c>
      <c r="FV89" s="5">
        <f t="shared" si="197"/>
        <v>0</v>
      </c>
      <c r="FW89" s="5" t="s">
        <v>206</v>
      </c>
      <c r="FX89" s="5">
        <f t="shared" si="198"/>
        <v>0</v>
      </c>
      <c r="FY89" s="5" t="s">
        <v>206</v>
      </c>
      <c r="FZ89" s="5">
        <f t="shared" si="199"/>
        <v>0</v>
      </c>
      <c r="GA89" s="5" t="s">
        <v>206</v>
      </c>
      <c r="GB89" s="5">
        <f t="shared" si="200"/>
        <v>0</v>
      </c>
      <c r="GC89" s="5" t="s">
        <v>206</v>
      </c>
      <c r="GD89" s="5">
        <f t="shared" si="201"/>
        <v>0</v>
      </c>
      <c r="GE89" s="5">
        <f t="shared" si="202"/>
        <v>0</v>
      </c>
      <c r="GF89" s="5" t="str">
        <f t="shared" si="203"/>
        <v>Nivel de riesgo bajo</v>
      </c>
      <c r="GG89" s="5" t="s">
        <v>255</v>
      </c>
      <c r="GH89" s="5" t="s">
        <v>273</v>
      </c>
      <c r="GI89" s="5" t="s">
        <v>273</v>
      </c>
      <c r="GJ89" s="5" t="s">
        <v>298</v>
      </c>
      <c r="GK89" s="5" t="s">
        <v>233</v>
      </c>
      <c r="GL89" s="5" t="s">
        <v>266</v>
      </c>
      <c r="GM89" s="5" t="s">
        <v>266</v>
      </c>
      <c r="GN89" s="5" t="s">
        <v>243</v>
      </c>
      <c r="GO89" s="5" t="s">
        <v>257</v>
      </c>
      <c r="GP89" s="5" t="s">
        <v>244</v>
      </c>
      <c r="GQ89" s="5" t="s">
        <v>257</v>
      </c>
      <c r="GR89" s="5" t="s">
        <v>257</v>
      </c>
      <c r="GS89" s="5" t="s">
        <v>244</v>
      </c>
      <c r="GT89" s="5" t="s">
        <v>257</v>
      </c>
      <c r="GU89" s="5" t="s">
        <v>429</v>
      </c>
      <c r="GV89" s="5" t="str">
        <f>TEXT("6278813070217506208","0")</f>
        <v>6278813070217500000</v>
      </c>
    </row>
    <row r="90" spans="1:204" ht="15.75" customHeight="1" x14ac:dyDescent="0.15">
      <c r="A90" s="1">
        <f t="shared" si="153"/>
        <v>90</v>
      </c>
      <c r="B90" s="4">
        <v>45847.44730324074</v>
      </c>
      <c r="C90" s="5" t="s">
        <v>204</v>
      </c>
      <c r="D90" s="5" t="s">
        <v>206</v>
      </c>
      <c r="F90" s="5" t="s">
        <v>206</v>
      </c>
      <c r="G90" s="5" t="s">
        <v>206</v>
      </c>
      <c r="H90" s="5" t="s">
        <v>206</v>
      </c>
      <c r="K90" s="5" t="s">
        <v>237</v>
      </c>
      <c r="O90" s="5" t="s">
        <v>209</v>
      </c>
      <c r="U90" s="5" t="s">
        <v>237</v>
      </c>
      <c r="Z90" s="5" t="s">
        <v>237</v>
      </c>
      <c r="AE90" s="5" t="s">
        <v>237</v>
      </c>
      <c r="AH90" s="5" t="s">
        <v>275</v>
      </c>
      <c r="AI90" s="5">
        <v>2015</v>
      </c>
      <c r="AJ90" s="5" t="s">
        <v>238</v>
      </c>
      <c r="AK90" s="5" t="str">
        <f t="shared" si="154"/>
        <v>Trabajadora por cuenta propia</v>
      </c>
      <c r="AL90" s="5" t="s">
        <v>239</v>
      </c>
      <c r="AP90" s="5" t="s">
        <v>240</v>
      </c>
      <c r="AR90" s="5" t="s">
        <v>261</v>
      </c>
      <c r="AS90" s="5" t="s">
        <v>261</v>
      </c>
      <c r="AT90" s="5" t="s">
        <v>261</v>
      </c>
      <c r="AU90" s="5" t="s">
        <v>294</v>
      </c>
      <c r="AV90" s="5" t="s">
        <v>285</v>
      </c>
      <c r="AW90" s="5" t="s">
        <v>204</v>
      </c>
      <c r="AX90" s="5" t="s">
        <v>204</v>
      </c>
      <c r="AY90" s="5" t="s">
        <v>339</v>
      </c>
      <c r="AZ90" s="5" t="s">
        <v>204</v>
      </c>
      <c r="BA90" s="5" t="s">
        <v>344</v>
      </c>
      <c r="BF90" s="5" t="s">
        <v>204</v>
      </c>
      <c r="BG90" s="5" t="s">
        <v>242</v>
      </c>
      <c r="BH90" s="5" t="s">
        <v>242</v>
      </c>
      <c r="BI90" s="5" t="s">
        <v>242</v>
      </c>
      <c r="BJ90" s="5" t="s">
        <v>242</v>
      </c>
      <c r="BK90" s="5" t="s">
        <v>243</v>
      </c>
      <c r="BL90" s="5" t="s">
        <v>243</v>
      </c>
      <c r="BM90" s="5" t="s">
        <v>244</v>
      </c>
      <c r="BN90" s="5" t="s">
        <v>245</v>
      </c>
      <c r="BO90" s="5" t="s">
        <v>246</v>
      </c>
      <c r="BP90" s="5" t="s">
        <v>243</v>
      </c>
      <c r="BQ90" s="5" t="s">
        <v>245</v>
      </c>
      <c r="BR90" s="5" t="s">
        <v>245</v>
      </c>
      <c r="BS90" s="5" t="s">
        <v>232</v>
      </c>
      <c r="BT90" s="5" t="s">
        <v>247</v>
      </c>
      <c r="BU90" s="5" t="s">
        <v>232</v>
      </c>
      <c r="BV90" s="5" t="s">
        <v>247</v>
      </c>
      <c r="BW90" s="5" t="s">
        <v>247</v>
      </c>
      <c r="BX90" s="5" t="s">
        <v>232</v>
      </c>
      <c r="BY90" s="5" t="s">
        <v>232</v>
      </c>
      <c r="BZ90" s="5" t="s">
        <v>244</v>
      </c>
      <c r="CA90" s="5" t="s">
        <v>244</v>
      </c>
      <c r="CB90" s="5" t="s">
        <v>244</v>
      </c>
      <c r="CC90" s="5" t="s">
        <v>243</v>
      </c>
      <c r="CD90" s="5" t="s">
        <v>206</v>
      </c>
      <c r="CH90" s="5" t="s">
        <v>310</v>
      </c>
      <c r="CI90" s="5" t="s">
        <v>249</v>
      </c>
      <c r="CJ90" s="5">
        <v>3</v>
      </c>
      <c r="CK90" s="5" t="s">
        <v>223</v>
      </c>
      <c r="CU90" s="5" t="s">
        <v>206</v>
      </c>
      <c r="DA90" s="5" t="s">
        <v>229</v>
      </c>
      <c r="DB90" s="5">
        <f t="shared" si="155"/>
        <v>4</v>
      </c>
      <c r="DC90" s="5" t="s">
        <v>250</v>
      </c>
      <c r="DD90" s="5">
        <f t="shared" si="156"/>
        <v>3</v>
      </c>
      <c r="DE90" s="5" t="s">
        <v>250</v>
      </c>
      <c r="DF90" s="5">
        <f t="shared" si="157"/>
        <v>3</v>
      </c>
      <c r="DG90" s="5" t="s">
        <v>250</v>
      </c>
      <c r="DH90" s="5">
        <f t="shared" si="158"/>
        <v>3</v>
      </c>
      <c r="DI90" s="5" t="s">
        <v>250</v>
      </c>
      <c r="DJ90" s="5">
        <f t="shared" si="159"/>
        <v>3</v>
      </c>
      <c r="DK90" s="5" t="s">
        <v>250</v>
      </c>
      <c r="DL90" s="5">
        <f t="shared" si="160"/>
        <v>3</v>
      </c>
      <c r="DM90" s="5" t="s">
        <v>250</v>
      </c>
      <c r="DN90" s="5">
        <f t="shared" si="161"/>
        <v>3</v>
      </c>
      <c r="DO90" s="5" t="s">
        <v>231</v>
      </c>
      <c r="DP90" s="5">
        <f t="shared" si="162"/>
        <v>2</v>
      </c>
      <c r="DQ90" s="5" t="s">
        <v>231</v>
      </c>
      <c r="DR90" s="5">
        <f t="shared" si="163"/>
        <v>2</v>
      </c>
      <c r="DS90" s="5" t="s">
        <v>252</v>
      </c>
      <c r="DT90" s="5">
        <f t="shared" si="164"/>
        <v>3</v>
      </c>
      <c r="DU90" s="5" t="s">
        <v>252</v>
      </c>
      <c r="DV90" s="5">
        <f t="shared" si="165"/>
        <v>3</v>
      </c>
      <c r="DW90" s="5" t="s">
        <v>252</v>
      </c>
      <c r="DX90" s="5">
        <f t="shared" si="166"/>
        <v>3</v>
      </c>
      <c r="DY90" s="5">
        <f t="shared" si="167"/>
        <v>35</v>
      </c>
      <c r="DZ90" s="5" t="str">
        <f t="shared" si="168"/>
        <v>Nivel de riesgo alto</v>
      </c>
      <c r="EA90" s="5" t="s">
        <v>232</v>
      </c>
      <c r="EB90" s="5">
        <f t="shared" si="169"/>
        <v>3</v>
      </c>
      <c r="EC90" s="5" t="s">
        <v>254</v>
      </c>
      <c r="ED90" s="5">
        <f t="shared" si="170"/>
        <v>4</v>
      </c>
      <c r="EE90" s="5" t="s">
        <v>247</v>
      </c>
      <c r="EF90" s="5">
        <f t="shared" si="171"/>
        <v>2</v>
      </c>
      <c r="EG90" s="5">
        <f t="shared" si="172"/>
        <v>9</v>
      </c>
      <c r="EH90" s="5" t="str">
        <f t="shared" si="173"/>
        <v>Nivel de riesgo alto</v>
      </c>
      <c r="EI90" s="5" t="s">
        <v>247</v>
      </c>
      <c r="EJ90" s="5">
        <f t="shared" si="174"/>
        <v>2</v>
      </c>
      <c r="EK90" s="5" t="s">
        <v>247</v>
      </c>
      <c r="EL90" s="5">
        <f t="shared" si="175"/>
        <v>2</v>
      </c>
      <c r="EM90" s="5" t="s">
        <v>247</v>
      </c>
      <c r="EN90" s="5">
        <f t="shared" si="176"/>
        <v>2</v>
      </c>
      <c r="EO90" s="5">
        <f t="shared" si="177"/>
        <v>6</v>
      </c>
      <c r="EP90" s="5" t="str">
        <f t="shared" si="178"/>
        <v>Nivel de riesgo alto</v>
      </c>
      <c r="EQ90" s="5" t="s">
        <v>247</v>
      </c>
      <c r="ER90" s="5">
        <f t="shared" si="179"/>
        <v>2</v>
      </c>
      <c r="ES90" s="5" t="s">
        <v>247</v>
      </c>
      <c r="ET90" s="5">
        <f t="shared" si="180"/>
        <v>2</v>
      </c>
      <c r="EU90" s="5" t="s">
        <v>248</v>
      </c>
      <c r="EV90" s="5">
        <f t="shared" si="181"/>
        <v>3</v>
      </c>
      <c r="EW90" s="5" t="s">
        <v>248</v>
      </c>
      <c r="EX90" s="5">
        <f t="shared" si="182"/>
        <v>3</v>
      </c>
      <c r="EY90" s="5">
        <f t="shared" si="183"/>
        <v>10</v>
      </c>
      <c r="EZ90" s="5" t="str">
        <f t="shared" si="184"/>
        <v>Nivel de riesgo alto</v>
      </c>
      <c r="FA90" s="5" t="s">
        <v>248</v>
      </c>
      <c r="FB90" s="5">
        <f t="shared" si="185"/>
        <v>1</v>
      </c>
      <c r="FC90" s="5" t="s">
        <v>248</v>
      </c>
      <c r="FD90" s="5">
        <f t="shared" si="186"/>
        <v>1</v>
      </c>
      <c r="FE90" s="5" t="s">
        <v>248</v>
      </c>
      <c r="FF90" s="5">
        <f t="shared" si="187"/>
        <v>1</v>
      </c>
      <c r="FG90" s="5">
        <f t="shared" si="188"/>
        <v>3</v>
      </c>
      <c r="FH90" s="5" t="str">
        <f t="shared" si="189"/>
        <v>Nivel de riesgo medio</v>
      </c>
      <c r="FI90" s="5" t="s">
        <v>247</v>
      </c>
      <c r="FJ90" s="5">
        <f t="shared" si="190"/>
        <v>2</v>
      </c>
      <c r="FK90" s="5" t="s">
        <v>247</v>
      </c>
      <c r="FL90" s="5">
        <f t="shared" si="191"/>
        <v>2</v>
      </c>
      <c r="FM90" s="5" t="s">
        <v>248</v>
      </c>
      <c r="FN90" s="5">
        <f t="shared" si="192"/>
        <v>1</v>
      </c>
      <c r="FO90" s="5">
        <f t="shared" si="193"/>
        <v>5</v>
      </c>
      <c r="FP90" s="5" t="str">
        <f t="shared" si="194"/>
        <v>Nivel de riesgo medio</v>
      </c>
      <c r="FQ90" s="5" t="s">
        <v>265</v>
      </c>
      <c r="FR90" s="5">
        <f t="shared" si="195"/>
        <v>1</v>
      </c>
      <c r="FS90" s="5" t="s">
        <v>206</v>
      </c>
      <c r="FT90" s="5">
        <f t="shared" si="196"/>
        <v>0</v>
      </c>
      <c r="FU90" s="5" t="s">
        <v>206</v>
      </c>
      <c r="FV90" s="5">
        <f t="shared" si="197"/>
        <v>0</v>
      </c>
      <c r="FW90" s="5" t="s">
        <v>206</v>
      </c>
      <c r="FX90" s="5">
        <f t="shared" si="198"/>
        <v>0</v>
      </c>
      <c r="FY90" s="5" t="s">
        <v>206</v>
      </c>
      <c r="FZ90" s="5">
        <f t="shared" si="199"/>
        <v>0</v>
      </c>
      <c r="GA90" s="5" t="s">
        <v>206</v>
      </c>
      <c r="GB90" s="5">
        <f t="shared" si="200"/>
        <v>0</v>
      </c>
      <c r="GC90" s="5" t="s">
        <v>206</v>
      </c>
      <c r="GD90" s="5">
        <f t="shared" si="201"/>
        <v>0</v>
      </c>
      <c r="GE90" s="5">
        <f t="shared" si="202"/>
        <v>1</v>
      </c>
      <c r="GF90" s="5" t="str">
        <f t="shared" si="203"/>
        <v>Nivel de riesgo medio</v>
      </c>
      <c r="GG90" s="5" t="s">
        <v>255</v>
      </c>
      <c r="GH90" s="5" t="s">
        <v>255</v>
      </c>
      <c r="GI90" s="5" t="s">
        <v>273</v>
      </c>
      <c r="GJ90" s="5" t="s">
        <v>273</v>
      </c>
      <c r="GK90" s="5" t="s">
        <v>233</v>
      </c>
      <c r="GL90" s="5" t="s">
        <v>298</v>
      </c>
      <c r="GM90" s="5" t="s">
        <v>266</v>
      </c>
      <c r="GN90" s="5" t="s">
        <v>256</v>
      </c>
      <c r="GO90" s="5" t="s">
        <v>243</v>
      </c>
      <c r="GP90" s="5" t="s">
        <v>243</v>
      </c>
      <c r="GQ90" s="5" t="s">
        <v>243</v>
      </c>
      <c r="GR90" s="5" t="s">
        <v>243</v>
      </c>
      <c r="GS90" s="5" t="s">
        <v>257</v>
      </c>
      <c r="GT90" s="5" t="s">
        <v>257</v>
      </c>
      <c r="GU90" s="5" t="s">
        <v>430</v>
      </c>
      <c r="GV90" s="5" t="str">
        <f>TEXT("6278814470439567457","0")</f>
        <v>6278814470439560000</v>
      </c>
    </row>
    <row r="91" spans="1:204" ht="15.75" customHeight="1" x14ac:dyDescent="0.15">
      <c r="A91" s="1">
        <f t="shared" si="153"/>
        <v>91</v>
      </c>
      <c r="B91" s="4">
        <v>45847.451412037037</v>
      </c>
      <c r="C91" s="5" t="s">
        <v>204</v>
      </c>
      <c r="D91" s="5" t="s">
        <v>206</v>
      </c>
      <c r="F91" s="5" t="s">
        <v>206</v>
      </c>
      <c r="G91" s="5" t="s">
        <v>206</v>
      </c>
      <c r="H91" s="5" t="s">
        <v>206</v>
      </c>
      <c r="K91" s="5" t="s">
        <v>237</v>
      </c>
      <c r="N91" s="5" t="s">
        <v>208</v>
      </c>
      <c r="U91" s="5" t="s">
        <v>237</v>
      </c>
      <c r="X91" s="5" t="s">
        <v>208</v>
      </c>
      <c r="AC91" s="5" t="s">
        <v>208</v>
      </c>
      <c r="AH91" s="5" t="s">
        <v>210</v>
      </c>
      <c r="AI91" s="5">
        <v>2001</v>
      </c>
      <c r="AJ91" s="5" t="s">
        <v>238</v>
      </c>
      <c r="AK91" s="5" t="str">
        <f t="shared" si="154"/>
        <v>Trabajadora por cuenta propia</v>
      </c>
      <c r="AM91" s="5" t="s">
        <v>309</v>
      </c>
      <c r="AP91" s="5" t="s">
        <v>240</v>
      </c>
      <c r="AR91" s="5" t="s">
        <v>261</v>
      </c>
      <c r="AS91" s="5" t="s">
        <v>241</v>
      </c>
      <c r="AT91" s="5" t="s">
        <v>241</v>
      </c>
      <c r="AU91" s="5" t="s">
        <v>241</v>
      </c>
      <c r="AV91" s="5" t="s">
        <v>285</v>
      </c>
      <c r="AW91" s="5" t="s">
        <v>204</v>
      </c>
      <c r="AX91" s="5" t="s">
        <v>204</v>
      </c>
      <c r="AY91" s="5" t="s">
        <v>214</v>
      </c>
      <c r="AZ91" s="5" t="s">
        <v>204</v>
      </c>
      <c r="BA91" s="5" t="s">
        <v>289</v>
      </c>
      <c r="BB91" s="5" t="s">
        <v>204</v>
      </c>
      <c r="BC91" s="5" t="s">
        <v>206</v>
      </c>
      <c r="BD91" s="5" t="s">
        <v>306</v>
      </c>
      <c r="BE91" s="5" t="s">
        <v>204</v>
      </c>
      <c r="BF91" s="5" t="s">
        <v>204</v>
      </c>
      <c r="BG91" s="5" t="s">
        <v>242</v>
      </c>
      <c r="BH91" s="5" t="s">
        <v>242</v>
      </c>
      <c r="BI91" s="5" t="s">
        <v>242</v>
      </c>
      <c r="BJ91" s="5" t="s">
        <v>242</v>
      </c>
      <c r="BK91" s="5" t="s">
        <v>245</v>
      </c>
      <c r="BL91" s="5" t="s">
        <v>245</v>
      </c>
      <c r="BM91" s="5" t="s">
        <v>245</v>
      </c>
      <c r="BN91" s="5" t="s">
        <v>245</v>
      </c>
      <c r="BO91" s="5" t="s">
        <v>245</v>
      </c>
      <c r="BP91" s="5" t="s">
        <v>245</v>
      </c>
      <c r="BQ91" s="5" t="s">
        <v>243</v>
      </c>
      <c r="BR91" s="5" t="s">
        <v>243</v>
      </c>
      <c r="BS91" s="5" t="s">
        <v>217</v>
      </c>
      <c r="BT91" s="5" t="s">
        <v>217</v>
      </c>
      <c r="BU91" s="5" t="s">
        <v>217</v>
      </c>
      <c r="BV91" s="5" t="s">
        <v>217</v>
      </c>
      <c r="BW91" s="5" t="s">
        <v>217</v>
      </c>
      <c r="BX91" s="5" t="s">
        <v>217</v>
      </c>
      <c r="BY91" s="5" t="s">
        <v>217</v>
      </c>
      <c r="BZ91" s="5" t="s">
        <v>243</v>
      </c>
      <c r="CA91" s="5" t="s">
        <v>243</v>
      </c>
      <c r="CB91" s="5" t="s">
        <v>243</v>
      </c>
      <c r="CC91" s="5" t="s">
        <v>243</v>
      </c>
      <c r="CD91" s="5" t="s">
        <v>206</v>
      </c>
      <c r="CH91" s="5" t="s">
        <v>402</v>
      </c>
      <c r="CI91" s="5" t="s">
        <v>206</v>
      </c>
      <c r="CJ91" s="5">
        <v>1</v>
      </c>
      <c r="CK91" s="5" t="s">
        <v>223</v>
      </c>
      <c r="CU91" s="5" t="s">
        <v>206</v>
      </c>
      <c r="DA91" s="5" t="s">
        <v>229</v>
      </c>
      <c r="DB91" s="5">
        <f t="shared" si="155"/>
        <v>4</v>
      </c>
      <c r="DC91" s="5" t="s">
        <v>280</v>
      </c>
      <c r="DD91" s="5">
        <f t="shared" si="156"/>
        <v>4</v>
      </c>
      <c r="DE91" s="5" t="s">
        <v>280</v>
      </c>
      <c r="DF91" s="5">
        <f t="shared" si="157"/>
        <v>4</v>
      </c>
      <c r="DG91" s="5" t="s">
        <v>280</v>
      </c>
      <c r="DH91" s="5">
        <f t="shared" si="158"/>
        <v>4</v>
      </c>
      <c r="DI91" s="5" t="s">
        <v>230</v>
      </c>
      <c r="DJ91" s="5">
        <f t="shared" si="159"/>
        <v>2</v>
      </c>
      <c r="DK91" s="5" t="s">
        <v>230</v>
      </c>
      <c r="DL91" s="5">
        <f t="shared" si="160"/>
        <v>2</v>
      </c>
      <c r="DM91" s="5" t="s">
        <v>251</v>
      </c>
      <c r="DN91" s="5">
        <f t="shared" si="161"/>
        <v>1</v>
      </c>
      <c r="DO91" s="5" t="s">
        <v>281</v>
      </c>
      <c r="DP91" s="5">
        <f t="shared" si="162"/>
        <v>1</v>
      </c>
      <c r="DQ91" s="5" t="s">
        <v>229</v>
      </c>
      <c r="DR91" s="5">
        <f t="shared" si="163"/>
        <v>4</v>
      </c>
      <c r="DS91" s="5" t="s">
        <v>229</v>
      </c>
      <c r="DT91" s="5">
        <f t="shared" si="164"/>
        <v>4</v>
      </c>
      <c r="DU91" s="5" t="s">
        <v>229</v>
      </c>
      <c r="DV91" s="5">
        <f t="shared" si="165"/>
        <v>4</v>
      </c>
      <c r="DW91" s="5" t="s">
        <v>229</v>
      </c>
      <c r="DX91" s="5">
        <f t="shared" si="166"/>
        <v>4</v>
      </c>
      <c r="DY91" s="5">
        <f t="shared" si="167"/>
        <v>38</v>
      </c>
      <c r="DZ91" s="5" t="str">
        <f t="shared" si="168"/>
        <v>Nivel de riesgo alto</v>
      </c>
      <c r="EA91" s="5" t="s">
        <v>247</v>
      </c>
      <c r="EB91" s="5">
        <f t="shared" si="169"/>
        <v>2</v>
      </c>
      <c r="EC91" s="5" t="s">
        <v>247</v>
      </c>
      <c r="ED91" s="5">
        <f t="shared" si="170"/>
        <v>2</v>
      </c>
      <c r="EE91" s="5" t="s">
        <v>247</v>
      </c>
      <c r="EF91" s="5">
        <f t="shared" si="171"/>
        <v>2</v>
      </c>
      <c r="EG91" s="5">
        <f t="shared" si="172"/>
        <v>6</v>
      </c>
      <c r="EH91" s="5" t="str">
        <f t="shared" si="173"/>
        <v>Nivel de riesgo alto</v>
      </c>
      <c r="EI91" s="5" t="s">
        <v>247</v>
      </c>
      <c r="EJ91" s="5">
        <f t="shared" si="174"/>
        <v>2</v>
      </c>
      <c r="EK91" s="5" t="s">
        <v>247</v>
      </c>
      <c r="EL91" s="5">
        <f t="shared" si="175"/>
        <v>2</v>
      </c>
      <c r="EM91" s="5" t="s">
        <v>247</v>
      </c>
      <c r="EN91" s="5">
        <f t="shared" si="176"/>
        <v>2</v>
      </c>
      <c r="EO91" s="5">
        <f t="shared" si="177"/>
        <v>6</v>
      </c>
      <c r="EP91" s="5" t="str">
        <f t="shared" si="178"/>
        <v>Nivel de riesgo alto</v>
      </c>
      <c r="EQ91" s="5" t="s">
        <v>247</v>
      </c>
      <c r="ER91" s="5">
        <f t="shared" si="179"/>
        <v>2</v>
      </c>
      <c r="ES91" s="5" t="s">
        <v>247</v>
      </c>
      <c r="ET91" s="5">
        <f t="shared" si="180"/>
        <v>2</v>
      </c>
      <c r="EU91" s="5" t="s">
        <v>248</v>
      </c>
      <c r="EV91" s="5">
        <f t="shared" si="181"/>
        <v>3</v>
      </c>
      <c r="EW91" s="5" t="s">
        <v>247</v>
      </c>
      <c r="EX91" s="5">
        <f t="shared" si="182"/>
        <v>2</v>
      </c>
      <c r="EY91" s="5">
        <f t="shared" si="183"/>
        <v>9</v>
      </c>
      <c r="EZ91" s="5" t="str">
        <f t="shared" si="184"/>
        <v>Nivel de riesgo alto</v>
      </c>
      <c r="FA91" s="5" t="s">
        <v>247</v>
      </c>
      <c r="FB91" s="5">
        <f t="shared" si="185"/>
        <v>2</v>
      </c>
      <c r="FC91" s="5" t="s">
        <v>247</v>
      </c>
      <c r="FD91" s="5">
        <f t="shared" si="186"/>
        <v>2</v>
      </c>
      <c r="FE91" s="5" t="s">
        <v>247</v>
      </c>
      <c r="FF91" s="5">
        <f t="shared" si="187"/>
        <v>2</v>
      </c>
      <c r="FG91" s="5">
        <f t="shared" si="188"/>
        <v>6</v>
      </c>
      <c r="FH91" s="5" t="str">
        <f t="shared" si="189"/>
        <v>Nivel de riesgo alto</v>
      </c>
      <c r="FI91" s="5" t="s">
        <v>247</v>
      </c>
      <c r="FJ91" s="5">
        <f t="shared" si="190"/>
        <v>2</v>
      </c>
      <c r="FK91" s="5" t="s">
        <v>247</v>
      </c>
      <c r="FL91" s="5">
        <f t="shared" si="191"/>
        <v>2</v>
      </c>
      <c r="FM91" s="5" t="s">
        <v>247</v>
      </c>
      <c r="FN91" s="5">
        <f t="shared" si="192"/>
        <v>2</v>
      </c>
      <c r="FO91" s="5">
        <f t="shared" si="193"/>
        <v>6</v>
      </c>
      <c r="FP91" s="5" t="str">
        <f t="shared" si="194"/>
        <v>Nivel de riesgo alto</v>
      </c>
      <c r="FQ91" s="5" t="s">
        <v>265</v>
      </c>
      <c r="FR91" s="5">
        <f t="shared" si="195"/>
        <v>1</v>
      </c>
      <c r="FS91" s="5" t="s">
        <v>325</v>
      </c>
      <c r="FT91" s="5">
        <f t="shared" si="196"/>
        <v>2</v>
      </c>
      <c r="FU91" s="5" t="s">
        <v>361</v>
      </c>
      <c r="FV91" s="5">
        <f t="shared" si="197"/>
        <v>3</v>
      </c>
      <c r="FW91" s="5" t="s">
        <v>325</v>
      </c>
      <c r="FX91" s="5">
        <f t="shared" si="198"/>
        <v>2</v>
      </c>
      <c r="FY91" s="5" t="s">
        <v>325</v>
      </c>
      <c r="FZ91" s="5">
        <f t="shared" si="199"/>
        <v>2</v>
      </c>
      <c r="GA91" s="5" t="s">
        <v>361</v>
      </c>
      <c r="GB91" s="5">
        <f t="shared" si="200"/>
        <v>3</v>
      </c>
      <c r="GC91" s="5" t="s">
        <v>361</v>
      </c>
      <c r="GD91" s="5">
        <f t="shared" si="201"/>
        <v>3</v>
      </c>
      <c r="GE91" s="5">
        <f t="shared" si="202"/>
        <v>16</v>
      </c>
      <c r="GF91" s="5" t="str">
        <f t="shared" si="203"/>
        <v>Nivel de riesgo alto</v>
      </c>
      <c r="GG91" s="5" t="s">
        <v>255</v>
      </c>
      <c r="GH91" s="5" t="s">
        <v>255</v>
      </c>
      <c r="GI91" s="5" t="s">
        <v>255</v>
      </c>
      <c r="GJ91" s="5" t="s">
        <v>233</v>
      </c>
      <c r="GK91" s="5" t="s">
        <v>233</v>
      </c>
      <c r="GL91" s="5" t="s">
        <v>233</v>
      </c>
      <c r="GM91" s="5" t="s">
        <v>233</v>
      </c>
      <c r="GN91" s="5" t="s">
        <v>256</v>
      </c>
      <c r="GO91" s="5" t="s">
        <v>243</v>
      </c>
      <c r="GP91" s="5" t="s">
        <v>243</v>
      </c>
      <c r="GQ91" s="5" t="s">
        <v>256</v>
      </c>
      <c r="GR91" s="5" t="s">
        <v>243</v>
      </c>
      <c r="GS91" s="5" t="s">
        <v>243</v>
      </c>
      <c r="GT91" s="5" t="s">
        <v>256</v>
      </c>
      <c r="GU91" s="5" t="s">
        <v>431</v>
      </c>
      <c r="GV91" s="5" t="str">
        <f>TEXT("6278818021105568737","0")</f>
        <v>6278818021105560000</v>
      </c>
    </row>
    <row r="92" spans="1:204" ht="15.75" hidden="1" customHeight="1" x14ac:dyDescent="0.15">
      <c r="B92" s="4">
        <v>45847.456273148149</v>
      </c>
      <c r="C92" s="5" t="s">
        <v>206</v>
      </c>
      <c r="GV92" s="5" t="str">
        <f>TEXT("6278822229303770077","0")</f>
        <v>6278822229303770000</v>
      </c>
    </row>
    <row r="93" spans="1:204" ht="15.75" customHeight="1" x14ac:dyDescent="0.15">
      <c r="A93" s="1">
        <f>ROW(A93)</f>
        <v>93</v>
      </c>
      <c r="B93" s="4">
        <v>45847.456550925926</v>
      </c>
      <c r="C93" s="5" t="s">
        <v>204</v>
      </c>
      <c r="D93" s="5" t="s">
        <v>206</v>
      </c>
      <c r="F93" s="5" t="s">
        <v>206</v>
      </c>
      <c r="G93" s="5" t="s">
        <v>206</v>
      </c>
      <c r="H93" s="5" t="s">
        <v>206</v>
      </c>
      <c r="K93" s="5" t="s">
        <v>237</v>
      </c>
      <c r="P93" s="5" t="s">
        <v>237</v>
      </c>
      <c r="T93" s="5" t="s">
        <v>209</v>
      </c>
      <c r="Y93" s="5" t="s">
        <v>209</v>
      </c>
      <c r="AG93" s="5" t="s">
        <v>207</v>
      </c>
      <c r="AH93" s="5" t="s">
        <v>268</v>
      </c>
      <c r="AI93" s="5">
        <v>2006</v>
      </c>
      <c r="AJ93" s="5" t="s">
        <v>238</v>
      </c>
      <c r="AK93" s="5" t="str">
        <f>IF(OR(AJ93="Empleada del sector privado",AJ93="Empleada del sector público"),"Asalariada",
IF(AJ93="Trabajadora por cuenta propia","Trabajadora por cuenta propia",""))</f>
        <v>Trabajadora por cuenta propia</v>
      </c>
      <c r="AN93" s="5" t="s">
        <v>288</v>
      </c>
      <c r="AP93" s="5" t="s">
        <v>240</v>
      </c>
      <c r="AR93" s="5" t="s">
        <v>241</v>
      </c>
      <c r="AS93" s="5" t="s">
        <v>241</v>
      </c>
      <c r="AT93" s="5" t="s">
        <v>241</v>
      </c>
      <c r="AU93" s="5" t="s">
        <v>241</v>
      </c>
      <c r="AV93" s="5" t="s">
        <v>285</v>
      </c>
      <c r="AW93" s="5" t="s">
        <v>204</v>
      </c>
      <c r="AX93" s="5" t="s">
        <v>204</v>
      </c>
      <c r="AY93" s="5" t="s">
        <v>214</v>
      </c>
      <c r="AZ93" s="5" t="s">
        <v>204</v>
      </c>
      <c r="BA93" s="5" t="s">
        <v>289</v>
      </c>
      <c r="BB93" s="5" t="s">
        <v>206</v>
      </c>
      <c r="BC93" s="5" t="s">
        <v>206</v>
      </c>
      <c r="BD93" s="5" t="s">
        <v>290</v>
      </c>
      <c r="BE93" s="5" t="s">
        <v>204</v>
      </c>
      <c r="BF93" s="5" t="s">
        <v>204</v>
      </c>
      <c r="BG93" s="5" t="s">
        <v>264</v>
      </c>
      <c r="BH93" s="5" t="s">
        <v>215</v>
      </c>
      <c r="BI93" s="5" t="s">
        <v>207</v>
      </c>
      <c r="BJ93" s="5" t="s">
        <v>264</v>
      </c>
      <c r="BK93" s="5" t="s">
        <v>244</v>
      </c>
      <c r="BL93" s="5" t="s">
        <v>244</v>
      </c>
      <c r="BM93" s="5" t="s">
        <v>244</v>
      </c>
      <c r="BN93" s="5" t="s">
        <v>216</v>
      </c>
      <c r="BO93" s="5" t="s">
        <v>216</v>
      </c>
      <c r="BP93" s="5" t="s">
        <v>216</v>
      </c>
      <c r="BQ93" s="5" t="s">
        <v>216</v>
      </c>
      <c r="BR93" s="5" t="s">
        <v>216</v>
      </c>
      <c r="BS93" s="5" t="s">
        <v>217</v>
      </c>
      <c r="BT93" s="5" t="s">
        <v>217</v>
      </c>
      <c r="BU93" s="5" t="s">
        <v>248</v>
      </c>
      <c r="BV93" s="5" t="s">
        <v>247</v>
      </c>
      <c r="BW93" s="5" t="s">
        <v>217</v>
      </c>
      <c r="BX93" s="5" t="s">
        <v>248</v>
      </c>
      <c r="BY93" s="5" t="s">
        <v>217</v>
      </c>
      <c r="BZ93" s="5" t="s">
        <v>246</v>
      </c>
      <c r="CA93" s="5" t="s">
        <v>246</v>
      </c>
      <c r="CB93" s="5" t="s">
        <v>246</v>
      </c>
      <c r="CC93" s="5" t="s">
        <v>246</v>
      </c>
      <c r="CD93" s="5" t="s">
        <v>206</v>
      </c>
      <c r="CH93" s="5" t="s">
        <v>331</v>
      </c>
      <c r="CI93" s="5" t="s">
        <v>307</v>
      </c>
      <c r="CJ93" s="5">
        <v>2</v>
      </c>
      <c r="CK93" s="5" t="s">
        <v>223</v>
      </c>
      <c r="CU93" s="5" t="s">
        <v>206</v>
      </c>
      <c r="DA93" s="5" t="s">
        <v>252</v>
      </c>
      <c r="DB93" s="5">
        <f>IF(DA93="Mejor que lo habitual",1,
IF(DA93="Igual que lo habitual",2,
IF(DA93="Menos que lo habitual",3,
IF(DA93="Mucho menos que lo habitual",4,""))))</f>
        <v>3</v>
      </c>
      <c r="DC93" s="5" t="s">
        <v>250</v>
      </c>
      <c r="DD93" s="5">
        <f>IF(DC93="No, en absoluto",1,
IF(DC93="No más que lo habitual",2,
IF(DC93="Bastante más que lo habitual",3,
IF(DC93="Mucho más que lo habitual",4,""))))</f>
        <v>3</v>
      </c>
      <c r="DE93" s="5" t="s">
        <v>230</v>
      </c>
      <c r="DF93" s="5">
        <f>IF(DE93="No, en absoluto",1,
IF(DE93="No más que lo habitual",2,
IF(DE93="Bastante más que lo habitual",3,
IF(DE93="Mucho más que lo habitual",4,""))))</f>
        <v>2</v>
      </c>
      <c r="DG93" s="5" t="s">
        <v>230</v>
      </c>
      <c r="DH93" s="5">
        <f>IF(DG93="No, en absoluto",1,
IF(DG93="No más que lo habitual",2,
IF(DG93="Bastante más que lo habitual",3,
IF(DG93="Mucho más que lo habitual",4,""))))</f>
        <v>2</v>
      </c>
      <c r="DI93" s="5" t="s">
        <v>230</v>
      </c>
      <c r="DJ93" s="5">
        <f>IF(DI93="No, en absoluto",1,
IF(DI93="No más que lo habitual",2,
IF(DI93="Bastante más que lo habitual",3,
IF(DI93="Mucho más que lo habitual",4,""))))</f>
        <v>2</v>
      </c>
      <c r="DK93" s="5" t="s">
        <v>230</v>
      </c>
      <c r="DL93" s="5">
        <f>IF(DK93="No, en absoluto",1,
IF(DK93="No más que lo habitual",2,
IF(DK93="Bastante más que lo habitual",3,
IF(DK93="Mucho más que lo habitual",4,""))))</f>
        <v>2</v>
      </c>
      <c r="DM93" s="5" t="s">
        <v>251</v>
      </c>
      <c r="DN93" s="5">
        <f>IF(DM93="No, en absoluto",1,
IF(DM93="No más que lo habitual",2,
IF(DM93="Bastante más que lo habitual",3,
IF(DM93="Mucho más que lo habitual",4,""))))</f>
        <v>1</v>
      </c>
      <c r="DO93" s="5" t="s">
        <v>281</v>
      </c>
      <c r="DP93" s="5">
        <f>IF(DO93="Más que lo habitual",1,
IF(DO93="Igual que lo habitual",2,
IF(DO93="Menos que lo habitual",3,
IF(DO93="Mucho menos que lo habitual",4,""))))</f>
        <v>1</v>
      </c>
      <c r="DQ93" s="5" t="s">
        <v>281</v>
      </c>
      <c r="DR93" s="5">
        <f>IF(DQ93="Más que lo habitual",1,
IF(DQ93="Igual que lo habitual",2,
IF(DQ93="Menos que lo habitual",3,
IF(DQ93="Mucho menos que lo habitual",4,""))))</f>
        <v>1</v>
      </c>
      <c r="DS93" s="5" t="s">
        <v>231</v>
      </c>
      <c r="DT93" s="5">
        <f>IF(DS93="Más que lo habitual",1,
IF(DS93="Igual que lo habitual",2,
IF(DS93="Menos que lo habitual",3,
IF(DS93="Mucho menos que lo habitual",4,""))))</f>
        <v>2</v>
      </c>
      <c r="DU93" s="5" t="s">
        <v>231</v>
      </c>
      <c r="DV93" s="5">
        <f>IF(DU93="Más que lo habitual",1,
IF(DU93="Igual que lo habitual",2,
IF(DU93="Menos que lo habitual",3,
IF(DU93="Mucho menos que lo habitual",4,""))))</f>
        <v>2</v>
      </c>
      <c r="DW93" s="5" t="s">
        <v>281</v>
      </c>
      <c r="DX93" s="5">
        <f>IF(DW93="Más que lo habitual",1,
IF(DW93="Igual que lo habitual",2,
IF(DW93="Menos que lo habitual",3,
IF(DW93="Mucho menos que lo habitual",4,""))))</f>
        <v>1</v>
      </c>
      <c r="DY93" s="5">
        <f>SUM(DB93,DD93,DF93,DH93,DJ93,DL93,DN93,DP93,DR93,DT93,DV93,DX93)</f>
        <v>22</v>
      </c>
      <c r="DZ93" s="5" t="str">
        <f>IF(DY93&lt;=18,"Nivel de riesgo bajo",
IF(DY93&lt;=23,"Nivel de riesgo medio",
"Nivel de riesgo alto"))</f>
        <v>Nivel de riesgo medio</v>
      </c>
      <c r="EA93" s="5" t="s">
        <v>232</v>
      </c>
      <c r="EB93" s="5">
        <f>IF(EA93="Nunca/ casi nunca",0,
IF(EA93="Rara vez",1,
IF(EA93="A veces",2,
IF(EA93="A menudo",3,
IF(EA93="Siempre",4,"")))))</f>
        <v>3</v>
      </c>
      <c r="EC93" s="5" t="s">
        <v>247</v>
      </c>
      <c r="ED93" s="5">
        <f>IF(EC93="Nunca/ casi nunca",0,
IF(EC93="Rara vez",1,
IF(EC93="A veces",2,
IF(EC93="A menudo",3,
IF(EC93="Siempre",4,"")))))</f>
        <v>2</v>
      </c>
      <c r="EE93" s="5" t="s">
        <v>248</v>
      </c>
      <c r="EF93" s="5">
        <f>IF(EE93="Nunca/ casi nunca",0,
IF(EE93="Rara vez",1,
IF(EE93="A veces",2,
IF(EE93="A menudo",3,
IF(EE93="Siempre",4,"")))))</f>
        <v>1</v>
      </c>
      <c r="EG93" s="5">
        <f>SUM(EB93,ED93,EF93)</f>
        <v>6</v>
      </c>
      <c r="EH93" s="5" t="str">
        <f>IF(EG93&lt;=1,"Nivel de riesgo bajo",
IF(EG93&lt;=4,"Nivel de riesgo medio",
"Nivel de riesgo alto"))</f>
        <v>Nivel de riesgo alto</v>
      </c>
      <c r="EI93" s="5" t="s">
        <v>248</v>
      </c>
      <c r="EJ93" s="5">
        <f>IF(EI93="Nunca/ casi nunca",0,
IF(EI93="Rara vez",1,
IF(EI93="A veces",2,
IF(EI93="A menudo",3,
IF(EI93="Siempre",4,"")))))</f>
        <v>1</v>
      </c>
      <c r="EK93" s="5" t="s">
        <v>248</v>
      </c>
      <c r="EL93" s="5">
        <f>IF(EK93="Nunca/ casi nunca",0,
IF(EK93="Rara vez",1,
IF(EK93="A veces",2,
IF(EK93="A menudo",3,
IF(EK93="Siempre",4,"")))))</f>
        <v>1</v>
      </c>
      <c r="EM93" s="5" t="s">
        <v>247</v>
      </c>
      <c r="EN93" s="5">
        <f>IF(EM93="Nunca/ casi nunca",0,
IF(EM93="Rara vez",1,
IF(EM93="A veces",2,
IF(EM93="A menudo",3,
IF(EM93="Siempre",4,"")))))</f>
        <v>2</v>
      </c>
      <c r="EO93" s="5">
        <f>SUM(EJ93,EL93,EN93)</f>
        <v>4</v>
      </c>
      <c r="EP93" s="5" t="str">
        <f>IF(EO93&lt;=1,"Nivel de riesgo bajo",
IF(EO93&lt;=5,"Nivel de riesgo medio",
"Nivel de riesgo alto"))</f>
        <v>Nivel de riesgo medio</v>
      </c>
      <c r="EQ93" s="5" t="s">
        <v>254</v>
      </c>
      <c r="ER93" s="5">
        <f>IF(EQ93="Nunca/ casi nunca",4,
IF(EQ93="Rara vez",3,
IF(EQ93="A veces",2,
IF(EQ93="A menudo",1,
IF(EQ93="Siempre",0,"")))))</f>
        <v>0</v>
      </c>
      <c r="ES93" s="5" t="s">
        <v>232</v>
      </c>
      <c r="ET93" s="5">
        <f>IF(ES93="Nunca/ casi nunca",4,
IF(ES93="Rara vez",3,
IF(ES93="A veces",2,
IF(ES93="A menudo",1,
IF(ES93="Siempre",0,"")))))</f>
        <v>1</v>
      </c>
      <c r="EU93" s="5" t="s">
        <v>247</v>
      </c>
      <c r="EV93" s="5">
        <f>IF(EU93="Nunca/ casi nunca",4,
IF(EU93="Rara vez",3,
IF(EU93="A veces",2,
IF(EU93="A menudo",1,
IF(EU93="Siempre",0,"")))))</f>
        <v>2</v>
      </c>
      <c r="EW93" s="5" t="s">
        <v>254</v>
      </c>
      <c r="EX93" s="5">
        <f>IF(EW93="Nunca/ casi nunca",4,
IF(EW93="Rara vez",3,
IF(EW93="A veces",2,
IF(EW93="A menudo",1,
IF(EW93="Siempre",0,"")))))</f>
        <v>0</v>
      </c>
      <c r="EY93" s="5">
        <f>SUM(ER93,ET93,EV93,EX93)</f>
        <v>3</v>
      </c>
      <c r="EZ93" s="5" t="str">
        <f>IF(EY93&lt;=0,"Nivel de riesgo bajo",
IF(EY93&lt;=4,"Nivel de riesgo medio",
"Nivel de riesgo alto"))</f>
        <v>Nivel de riesgo medio</v>
      </c>
      <c r="FA93" s="5" t="s">
        <v>253</v>
      </c>
      <c r="FB93" s="5">
        <f>IF(FA93="Nunca/ casi nunca",0,
IF(FA93="Rara vez",1,
IF(FA93="A veces",2,
IF(FA93="A menudo",3,
IF(FA93="Siempre",4,"")))))</f>
        <v>0</v>
      </c>
      <c r="FC93" s="5" t="s">
        <v>253</v>
      </c>
      <c r="FD93" s="5">
        <f>IF(FC93="Nunca/ casi nunca",0,
IF(FC93="Rara vez",1,
IF(FC93="A veces",2,
IF(FC93="A menudo",3,
IF(FC93="Siempre",4,"")))))</f>
        <v>0</v>
      </c>
      <c r="FE93" s="5" t="s">
        <v>253</v>
      </c>
      <c r="FF93" s="5">
        <f>IF(FE93="Nunca/ casi nunca",0,
IF(FE93="Rara vez",1,
IF(FE93="A veces",2,
IF(FE93="A menudo",3,
IF(FE93="Siempre",4,"")))))</f>
        <v>0</v>
      </c>
      <c r="FG93" s="5">
        <f>SUM(FB93,FD93,FF93)</f>
        <v>0</v>
      </c>
      <c r="FH93" s="5" t="str">
        <f>IF(FG93&lt;=2,"Nivel de riesgo bajo",
IF(FG93&lt;=5,"Nivel de riesgo medio",
"Nivel de riesgo alto"))</f>
        <v>Nivel de riesgo bajo</v>
      </c>
      <c r="FI93" s="5" t="s">
        <v>247</v>
      </c>
      <c r="FJ93" s="5">
        <f>IF(FI93="Nunca/ casi nunca",0,
IF(FI93="Rara vez",1,
IF(FI93="A veces",2,
IF(FI93="A menudo",3,
IF(FI93="Siempre",4,"")))))</f>
        <v>2</v>
      </c>
      <c r="FK93" s="5" t="s">
        <v>247</v>
      </c>
      <c r="FL93" s="5">
        <f>IF(FK93="Nunca/ casi nunca",0,
IF(FK93="Rara vez",1,
IF(FK93="A veces",2,
IF(FK93="A menudo",3,
IF(FK93="Siempre",4,"")))))</f>
        <v>2</v>
      </c>
      <c r="FM93" s="5" t="s">
        <v>247</v>
      </c>
      <c r="FN93" s="5">
        <f>IF(FM93="Nunca/ casi nunca",0,
IF(FM93="Rara vez",1,
IF(FM93="A veces",2,
IF(FM93="A menudo",3,
IF(FM93="Siempre",4,"")))))</f>
        <v>2</v>
      </c>
      <c r="FO93" s="5">
        <f>SUM(FJ93,FL93,FN93)</f>
        <v>6</v>
      </c>
      <c r="FP93" s="5" t="str">
        <f>IF(FO93&lt;=2,"Nivel de riesgo bajo",
IF(FO93&lt;=5,"Nivel de riesgo medio",
"Nivel de riesgo alto"))</f>
        <v>Nivel de riesgo alto</v>
      </c>
      <c r="FQ93" s="5" t="s">
        <v>206</v>
      </c>
      <c r="FR93" s="5">
        <f>IF(FQ93="No",0,
IF(FQ93="Sí, unas pocas veces",1,
IF(FQ93="Sí, mensualmente",2,
IF(FQ93="Sí, semanalmente",3,
IF(FQ93="Sí, diariamente",4,"")))))</f>
        <v>0</v>
      </c>
      <c r="FS93" s="5" t="s">
        <v>206</v>
      </c>
      <c r="FT93" s="5">
        <f>IF(FS93="No",0,
IF(FS93="Sí, unas pocas veces",1,
IF(FS93="Sí, mensualmente",2,
IF(FS93="Sí, semanalmente",3,
IF(FS93="Sí, diariamente",4,"")))))</f>
        <v>0</v>
      </c>
      <c r="FU93" s="5" t="s">
        <v>206</v>
      </c>
      <c r="FV93" s="5">
        <f>IF(FU93="No",0,
IF(FU93="Sí, unas pocas veces",1,
IF(FU93="Sí, mensualmente",2,
IF(FU93="Sí, semanalmente",3,
IF(FU93="Sí, diariamente",4,"")))))</f>
        <v>0</v>
      </c>
      <c r="FW93" s="5" t="s">
        <v>206</v>
      </c>
      <c r="FX93" s="5">
        <f>IF(FW93="No",0,
IF(FW93="Sí, unas pocas veces",1,
IF(FW93="Sí, mensualmente",2,
IF(FW93="Sí, semanalmente",3,
IF(FW93="Sí, diariamente",4,"")))))</f>
        <v>0</v>
      </c>
      <c r="FY93" s="5" t="s">
        <v>206</v>
      </c>
      <c r="FZ93" s="5">
        <f>IF(FY93="No",0,
IF(FY93="Sí, unas pocas veces",1,
IF(FY93="Sí, mensualmente",2,
IF(FY93="Sí, semanalmente",3,
IF(FY93="Sí, diariamente",4,"")))))</f>
        <v>0</v>
      </c>
      <c r="GA93" s="5" t="s">
        <v>206</v>
      </c>
      <c r="GB93" s="5">
        <f>IF(GA93="No",0,
IF(GA93="Sí, unas pocas veces",1,
IF(GA93="Sí, mensualmente",2,
IF(GA93="Sí, semanalmente",3,
IF(GA93="Sí, diariamente",4,"")))))</f>
        <v>0</v>
      </c>
      <c r="GC93" s="5" t="s">
        <v>206</v>
      </c>
      <c r="GD93" s="5">
        <f>IF(GC93="No",0,
IF(GC93="Sí, unas pocas veces",1,
IF(GC93="Sí, mensualmente",2,
IF(GC93="Sí, semanalmente",3,
IF(GC93="Sí, diariamente",4,"")))))</f>
        <v>0</v>
      </c>
      <c r="GE93" s="5">
        <f>SUM(FR93,FT93,FV93,FX93,FZ93,GB93,GD93)</f>
        <v>0</v>
      </c>
      <c r="GF93" s="5" t="str">
        <f>IF(GE93&lt;=0,"Nivel de riesgo bajo",
IF(GE93&lt;=14,"Nivel de riesgo medio",
"Nivel de riesgo alto"))</f>
        <v>Nivel de riesgo bajo</v>
      </c>
      <c r="GG93" s="5" t="s">
        <v>255</v>
      </c>
      <c r="GH93" s="5" t="s">
        <v>255</v>
      </c>
      <c r="GI93" s="5" t="s">
        <v>255</v>
      </c>
      <c r="GJ93" s="5" t="s">
        <v>255</v>
      </c>
      <c r="GK93" s="5" t="s">
        <v>233</v>
      </c>
      <c r="GL93" s="5" t="s">
        <v>255</v>
      </c>
      <c r="GM93" s="5" t="s">
        <v>233</v>
      </c>
      <c r="GN93" s="5" t="s">
        <v>256</v>
      </c>
      <c r="GO93" s="5" t="s">
        <v>256</v>
      </c>
      <c r="GP93" s="5" t="s">
        <v>256</v>
      </c>
      <c r="GQ93" s="5" t="s">
        <v>256</v>
      </c>
      <c r="GR93" s="5" t="s">
        <v>256</v>
      </c>
      <c r="GS93" s="5" t="s">
        <v>256</v>
      </c>
      <c r="GT93" s="5" t="s">
        <v>256</v>
      </c>
      <c r="GU93" s="5" t="s">
        <v>432</v>
      </c>
      <c r="GV93" s="5" t="str">
        <f>TEXT("6278822464573274302","0")</f>
        <v>6278822464573270000</v>
      </c>
    </row>
    <row r="94" spans="1:204" ht="15.75" hidden="1" customHeight="1" x14ac:dyDescent="0.15">
      <c r="B94" s="4">
        <v>45847.45890046296</v>
      </c>
      <c r="C94" s="5" t="s">
        <v>204</v>
      </c>
      <c r="D94" s="5" t="s">
        <v>206</v>
      </c>
      <c r="F94" s="5" t="s">
        <v>206</v>
      </c>
      <c r="G94" s="5" t="s">
        <v>206</v>
      </c>
      <c r="H94" s="5" t="s">
        <v>206</v>
      </c>
      <c r="K94" s="5" t="s">
        <v>237</v>
      </c>
      <c r="O94" s="5" t="s">
        <v>209</v>
      </c>
      <c r="T94" s="5" t="s">
        <v>209</v>
      </c>
      <c r="Y94" s="5" t="s">
        <v>209</v>
      </c>
      <c r="AD94" s="5" t="s">
        <v>209</v>
      </c>
      <c r="AH94" s="5" t="s">
        <v>210</v>
      </c>
      <c r="AI94" s="5">
        <v>2013</v>
      </c>
      <c r="AJ94" s="5" t="s">
        <v>260</v>
      </c>
      <c r="AK94" s="5"/>
      <c r="AR94" s="5" t="s">
        <v>276</v>
      </c>
      <c r="AS94" s="5" t="s">
        <v>261</v>
      </c>
      <c r="AT94" s="5" t="s">
        <v>261</v>
      </c>
      <c r="AU94" s="5" t="s">
        <v>261</v>
      </c>
      <c r="AV94" s="5" t="s">
        <v>269</v>
      </c>
      <c r="AW94" s="5" t="s">
        <v>204</v>
      </c>
      <c r="AX94" s="5" t="s">
        <v>204</v>
      </c>
      <c r="AY94" s="5" t="s">
        <v>214</v>
      </c>
      <c r="AZ94" s="5" t="s">
        <v>204</v>
      </c>
      <c r="BA94" s="5" t="s">
        <v>263</v>
      </c>
      <c r="BF94" s="5" t="s">
        <v>204</v>
      </c>
      <c r="BG94" s="5" t="s">
        <v>242</v>
      </c>
      <c r="BH94" s="5" t="s">
        <v>242</v>
      </c>
      <c r="BI94" s="5" t="s">
        <v>215</v>
      </c>
      <c r="BJ94" s="5" t="s">
        <v>215</v>
      </c>
      <c r="BK94" s="5" t="s">
        <v>243</v>
      </c>
      <c r="BL94" s="5" t="s">
        <v>243</v>
      </c>
      <c r="BM94" s="5" t="s">
        <v>243</v>
      </c>
      <c r="BN94" s="5" t="s">
        <v>246</v>
      </c>
      <c r="BO94" s="5" t="s">
        <v>246</v>
      </c>
      <c r="BP94" s="5" t="s">
        <v>243</v>
      </c>
      <c r="BQ94" s="5" t="s">
        <v>246</v>
      </c>
      <c r="BR94" s="5" t="s">
        <v>246</v>
      </c>
      <c r="BS94" s="5" t="s">
        <v>232</v>
      </c>
      <c r="BT94" s="5" t="s">
        <v>232</v>
      </c>
      <c r="BU94" s="5" t="s">
        <v>248</v>
      </c>
      <c r="BV94" s="5" t="s">
        <v>248</v>
      </c>
      <c r="BW94" s="5" t="s">
        <v>248</v>
      </c>
      <c r="BX94" s="5" t="s">
        <v>248</v>
      </c>
      <c r="BY94" s="5" t="s">
        <v>248</v>
      </c>
      <c r="BZ94" s="5" t="s">
        <v>244</v>
      </c>
      <c r="CA94" s="5" t="s">
        <v>244</v>
      </c>
      <c r="CB94" s="5" t="s">
        <v>244</v>
      </c>
      <c r="CC94" s="5" t="s">
        <v>243</v>
      </c>
      <c r="CD94" s="5" t="s">
        <v>206</v>
      </c>
      <c r="CH94" s="5" t="s">
        <v>369</v>
      </c>
      <c r="CI94" s="5" t="s">
        <v>249</v>
      </c>
      <c r="CJ94" s="5">
        <v>2</v>
      </c>
      <c r="CO94" s="5" t="s">
        <v>433</v>
      </c>
      <c r="CU94" s="5" t="s">
        <v>204</v>
      </c>
      <c r="CV94" s="5" t="s">
        <v>350</v>
      </c>
      <c r="CW94" s="5" t="s">
        <v>434</v>
      </c>
      <c r="CX94" s="5" t="s">
        <v>435</v>
      </c>
      <c r="CY94" s="5" t="s">
        <v>359</v>
      </c>
      <c r="CZ94" s="5" t="s">
        <v>228</v>
      </c>
      <c r="DA94" s="5" t="s">
        <v>231</v>
      </c>
      <c r="DB94" s="5"/>
      <c r="DC94" s="5" t="s">
        <v>250</v>
      </c>
      <c r="DD94" s="5"/>
      <c r="DE94" s="5" t="s">
        <v>230</v>
      </c>
      <c r="DF94" s="5"/>
      <c r="DG94" s="5" t="s">
        <v>230</v>
      </c>
      <c r="DH94" s="5"/>
      <c r="DI94" s="5" t="s">
        <v>230</v>
      </c>
      <c r="DJ94" s="5"/>
      <c r="DK94" s="5" t="s">
        <v>251</v>
      </c>
      <c r="DL94" s="5"/>
      <c r="DM94" s="5" t="s">
        <v>251</v>
      </c>
      <c r="DN94" s="5"/>
      <c r="DO94" s="5" t="s">
        <v>231</v>
      </c>
      <c r="DP94" s="5"/>
      <c r="DQ94" s="5" t="s">
        <v>281</v>
      </c>
      <c r="DR94" s="5"/>
      <c r="DS94" s="5" t="s">
        <v>231</v>
      </c>
      <c r="DT94" s="5"/>
      <c r="DU94" s="5" t="s">
        <v>231</v>
      </c>
      <c r="DV94" s="5"/>
      <c r="DW94" s="5" t="s">
        <v>231</v>
      </c>
      <c r="DX94" s="5"/>
      <c r="DY94" s="5"/>
      <c r="DZ94" s="5"/>
      <c r="EA94" s="5" t="s">
        <v>247</v>
      </c>
      <c r="EB94" s="5"/>
      <c r="EC94" s="5" t="s">
        <v>247</v>
      </c>
      <c r="ED94" s="5"/>
      <c r="EE94" s="5" t="s">
        <v>248</v>
      </c>
      <c r="EF94" s="5"/>
      <c r="EG94" s="5"/>
      <c r="EH94" s="5"/>
      <c r="EI94" s="5" t="s">
        <v>248</v>
      </c>
      <c r="EJ94" s="5"/>
      <c r="EK94" s="5" t="s">
        <v>248</v>
      </c>
      <c r="EL94" s="5"/>
      <c r="EM94" s="5" t="s">
        <v>247</v>
      </c>
      <c r="EN94" s="5"/>
      <c r="EO94" s="5"/>
      <c r="EP94" s="5"/>
      <c r="EQ94" s="5" t="s">
        <v>247</v>
      </c>
      <c r="ER94" s="5"/>
      <c r="ES94" s="5" t="s">
        <v>247</v>
      </c>
      <c r="ET94" s="5"/>
      <c r="EU94" s="5" t="s">
        <v>247</v>
      </c>
      <c r="EV94" s="5"/>
      <c r="EW94" s="5" t="s">
        <v>247</v>
      </c>
      <c r="EX94" s="5"/>
      <c r="EY94" s="5"/>
      <c r="EZ94" s="5"/>
      <c r="FA94" s="5" t="s">
        <v>247</v>
      </c>
      <c r="FB94" s="5"/>
      <c r="FC94" s="5" t="s">
        <v>247</v>
      </c>
      <c r="FD94" s="5"/>
      <c r="FE94" s="5" t="s">
        <v>254</v>
      </c>
      <c r="FF94" s="5"/>
      <c r="FG94" s="5"/>
      <c r="FH94" s="5"/>
      <c r="FI94" s="5" t="s">
        <v>247</v>
      </c>
      <c r="FJ94" s="5"/>
      <c r="FK94" s="5" t="s">
        <v>247</v>
      </c>
      <c r="FL94" s="5"/>
      <c r="FM94" s="5" t="s">
        <v>247</v>
      </c>
      <c r="FN94" s="5"/>
      <c r="FO94" s="5"/>
      <c r="FP94" s="5"/>
      <c r="FQ94" s="5" t="s">
        <v>206</v>
      </c>
      <c r="FR94" s="5"/>
      <c r="FS94" s="5" t="s">
        <v>206</v>
      </c>
      <c r="FT94" s="5"/>
      <c r="FU94" s="5" t="s">
        <v>206</v>
      </c>
      <c r="FV94" s="5"/>
      <c r="FW94" s="5" t="s">
        <v>206</v>
      </c>
      <c r="FX94" s="5"/>
      <c r="FY94" s="5" t="s">
        <v>206</v>
      </c>
      <c r="FZ94" s="5"/>
      <c r="GA94" s="5" t="s">
        <v>206</v>
      </c>
      <c r="GB94" s="5"/>
      <c r="GC94" s="5" t="s">
        <v>206</v>
      </c>
      <c r="GD94" s="5"/>
      <c r="GE94" s="5"/>
      <c r="GF94" s="5"/>
      <c r="GG94" s="5" t="s">
        <v>255</v>
      </c>
      <c r="GH94" s="5" t="s">
        <v>255</v>
      </c>
      <c r="GI94" s="5" t="s">
        <v>255</v>
      </c>
      <c r="GJ94" s="5" t="s">
        <v>266</v>
      </c>
      <c r="GK94" s="5" t="s">
        <v>233</v>
      </c>
      <c r="GL94" s="5" t="s">
        <v>266</v>
      </c>
      <c r="GM94" s="5" t="s">
        <v>233</v>
      </c>
      <c r="GN94" s="5" t="s">
        <v>243</v>
      </c>
      <c r="GO94" s="5" t="s">
        <v>257</v>
      </c>
      <c r="GP94" s="5" t="s">
        <v>257</v>
      </c>
      <c r="GQ94" s="5" t="s">
        <v>257</v>
      </c>
      <c r="GR94" s="5" t="s">
        <v>244</v>
      </c>
      <c r="GS94" s="5" t="s">
        <v>243</v>
      </c>
      <c r="GT94" s="5" t="s">
        <v>243</v>
      </c>
      <c r="GU94" s="5" t="s">
        <v>436</v>
      </c>
      <c r="GV94" s="5" t="str">
        <f>TEXT("6278824495425543374","0")</f>
        <v>6278824495425540000</v>
      </c>
    </row>
    <row r="95" spans="1:204" ht="15.75" customHeight="1" x14ac:dyDescent="0.15">
      <c r="A95" s="1">
        <f t="shared" ref="A95:A106" si="204">ROW(A95)</f>
        <v>95</v>
      </c>
      <c r="B95" s="4">
        <v>45847.463564814818</v>
      </c>
      <c r="C95" s="5" t="s">
        <v>204</v>
      </c>
      <c r="D95" s="5" t="s">
        <v>206</v>
      </c>
      <c r="F95" s="5" t="s">
        <v>206</v>
      </c>
      <c r="G95" s="5" t="s">
        <v>206</v>
      </c>
      <c r="H95" s="5" t="s">
        <v>206</v>
      </c>
      <c r="K95" s="5" t="s">
        <v>237</v>
      </c>
      <c r="O95" s="5" t="s">
        <v>209</v>
      </c>
      <c r="S95" s="5" t="s">
        <v>208</v>
      </c>
      <c r="X95" s="5" t="s">
        <v>208</v>
      </c>
      <c r="AC95" s="5" t="s">
        <v>208</v>
      </c>
      <c r="AH95" s="5" t="s">
        <v>268</v>
      </c>
      <c r="AI95" s="5">
        <v>2019</v>
      </c>
      <c r="AJ95" s="5" t="s">
        <v>238</v>
      </c>
      <c r="AK95" s="5" t="str">
        <f t="shared" ref="AK95:AK106" si="205">IF(OR(AJ95="Empleada del sector privado",AJ95="Empleada del sector público"),"Asalariada",
IF(AJ95="Trabajadora por cuenta propia","Trabajadora por cuenta propia",""))</f>
        <v>Trabajadora por cuenta propia</v>
      </c>
      <c r="AL95" s="5" t="s">
        <v>239</v>
      </c>
      <c r="AP95" s="5" t="s">
        <v>240</v>
      </c>
      <c r="AR95" s="5" t="s">
        <v>241</v>
      </c>
      <c r="AS95" s="5" t="s">
        <v>241</v>
      </c>
      <c r="AT95" s="5" t="s">
        <v>241</v>
      </c>
      <c r="AU95" s="5" t="s">
        <v>241</v>
      </c>
      <c r="AV95" s="5" t="s">
        <v>213</v>
      </c>
      <c r="AW95" s="5" t="s">
        <v>204</v>
      </c>
      <c r="AX95" s="5" t="s">
        <v>204</v>
      </c>
      <c r="AY95" s="5" t="s">
        <v>270</v>
      </c>
      <c r="AZ95" s="5" t="s">
        <v>206</v>
      </c>
      <c r="BA95" s="5" t="s">
        <v>263</v>
      </c>
      <c r="BF95" s="5" t="s">
        <v>204</v>
      </c>
      <c r="BG95" s="5" t="s">
        <v>215</v>
      </c>
      <c r="BH95" s="5" t="s">
        <v>215</v>
      </c>
      <c r="BI95" s="5" t="s">
        <v>278</v>
      </c>
      <c r="BJ95" s="5" t="s">
        <v>215</v>
      </c>
      <c r="BK95" s="5" t="s">
        <v>244</v>
      </c>
      <c r="BL95" s="5" t="s">
        <v>246</v>
      </c>
      <c r="BM95" s="5" t="s">
        <v>244</v>
      </c>
      <c r="BN95" s="5" t="s">
        <v>244</v>
      </c>
      <c r="BO95" s="5" t="s">
        <v>244</v>
      </c>
      <c r="BP95" s="5" t="s">
        <v>244</v>
      </c>
      <c r="BQ95" s="5" t="s">
        <v>244</v>
      </c>
      <c r="BR95" s="5" t="s">
        <v>244</v>
      </c>
      <c r="BS95" s="5" t="s">
        <v>217</v>
      </c>
      <c r="BT95" s="5" t="s">
        <v>217</v>
      </c>
      <c r="BU95" s="5" t="s">
        <v>248</v>
      </c>
      <c r="BV95" s="5" t="s">
        <v>217</v>
      </c>
      <c r="BW95" s="5" t="s">
        <v>217</v>
      </c>
      <c r="BX95" s="5" t="s">
        <v>248</v>
      </c>
      <c r="BY95" s="5" t="s">
        <v>217</v>
      </c>
      <c r="BZ95" s="5" t="s">
        <v>244</v>
      </c>
      <c r="CA95" s="5" t="s">
        <v>244</v>
      </c>
      <c r="CB95" s="5" t="s">
        <v>244</v>
      </c>
      <c r="CC95" s="5" t="s">
        <v>244</v>
      </c>
      <c r="CD95" s="5" t="s">
        <v>206</v>
      </c>
      <c r="CH95" s="5" t="s">
        <v>206</v>
      </c>
      <c r="CI95" s="5" t="s">
        <v>206</v>
      </c>
      <c r="CJ95" s="5">
        <v>2</v>
      </c>
      <c r="CM95" s="5" t="s">
        <v>358</v>
      </c>
      <c r="CU95" s="5" t="s">
        <v>204</v>
      </c>
      <c r="CV95" s="5" t="s">
        <v>350</v>
      </c>
      <c r="CW95" s="5" t="s">
        <v>351</v>
      </c>
      <c r="CX95" s="5" t="s">
        <v>352</v>
      </c>
      <c r="CY95" s="5" t="s">
        <v>353</v>
      </c>
      <c r="CZ95" s="5" t="s">
        <v>228</v>
      </c>
      <c r="DA95" s="5" t="s">
        <v>231</v>
      </c>
      <c r="DB95" s="5">
        <f t="shared" ref="DB95:DB106" si="206">IF(DA95="Mejor que lo habitual",1,
IF(DA95="Igual que lo habitual",2,
IF(DA95="Menos que lo habitual",3,
IF(DA95="Mucho menos que lo habitual",4,""))))</f>
        <v>2</v>
      </c>
      <c r="DC95" s="5" t="s">
        <v>251</v>
      </c>
      <c r="DD95" s="5">
        <f t="shared" ref="DD95:DD106" si="207">IF(DC95="No, en absoluto",1,
IF(DC95="No más que lo habitual",2,
IF(DC95="Bastante más que lo habitual",3,
IF(DC95="Mucho más que lo habitual",4,""))))</f>
        <v>1</v>
      </c>
      <c r="DE95" s="5" t="s">
        <v>230</v>
      </c>
      <c r="DF95" s="5">
        <f t="shared" ref="DF95:DF106" si="208">IF(DE95="No, en absoluto",1,
IF(DE95="No más que lo habitual",2,
IF(DE95="Bastante más que lo habitual",3,
IF(DE95="Mucho más que lo habitual",4,""))))</f>
        <v>2</v>
      </c>
      <c r="DG95" s="5" t="s">
        <v>230</v>
      </c>
      <c r="DH95" s="5">
        <f t="shared" ref="DH95:DH106" si="209">IF(DG95="No, en absoluto",1,
IF(DG95="No más que lo habitual",2,
IF(DG95="Bastante más que lo habitual",3,
IF(DG95="Mucho más que lo habitual",4,""))))</f>
        <v>2</v>
      </c>
      <c r="DI95" s="5" t="s">
        <v>230</v>
      </c>
      <c r="DJ95" s="5">
        <f t="shared" ref="DJ95:DJ106" si="210">IF(DI95="No, en absoluto",1,
IF(DI95="No más que lo habitual",2,
IF(DI95="Bastante más que lo habitual",3,
IF(DI95="Mucho más que lo habitual",4,""))))</f>
        <v>2</v>
      </c>
      <c r="DK95" s="5" t="s">
        <v>251</v>
      </c>
      <c r="DL95" s="5">
        <f t="shared" ref="DL95:DL106" si="211">IF(DK95="No, en absoluto",1,
IF(DK95="No más que lo habitual",2,
IF(DK95="Bastante más que lo habitual",3,
IF(DK95="Mucho más que lo habitual",4,""))))</f>
        <v>1</v>
      </c>
      <c r="DM95" s="5" t="s">
        <v>251</v>
      </c>
      <c r="DN95" s="5">
        <f t="shared" ref="DN95:DN106" si="212">IF(DM95="No, en absoluto",1,
IF(DM95="No más que lo habitual",2,
IF(DM95="Bastante más que lo habitual",3,
IF(DM95="Mucho más que lo habitual",4,""))))</f>
        <v>1</v>
      </c>
      <c r="DO95" s="5" t="s">
        <v>231</v>
      </c>
      <c r="DP95" s="5">
        <f t="shared" ref="DP95:DP106" si="213">IF(DO95="Más que lo habitual",1,
IF(DO95="Igual que lo habitual",2,
IF(DO95="Menos que lo habitual",3,
IF(DO95="Mucho menos que lo habitual",4,""))))</f>
        <v>2</v>
      </c>
      <c r="DQ95" s="5" t="s">
        <v>231</v>
      </c>
      <c r="DR95" s="5">
        <f t="shared" ref="DR95:DR106" si="214">IF(DQ95="Más que lo habitual",1,
IF(DQ95="Igual que lo habitual",2,
IF(DQ95="Menos que lo habitual",3,
IF(DQ95="Mucho menos que lo habitual",4,""))))</f>
        <v>2</v>
      </c>
      <c r="DS95" s="5" t="s">
        <v>231</v>
      </c>
      <c r="DT95" s="5">
        <f t="shared" ref="DT95:DT106" si="215">IF(DS95="Más que lo habitual",1,
IF(DS95="Igual que lo habitual",2,
IF(DS95="Menos que lo habitual",3,
IF(DS95="Mucho menos que lo habitual",4,""))))</f>
        <v>2</v>
      </c>
      <c r="DU95" s="5" t="s">
        <v>231</v>
      </c>
      <c r="DV95" s="5">
        <f t="shared" ref="DV95:DV106" si="216">IF(DU95="Más que lo habitual",1,
IF(DU95="Igual que lo habitual",2,
IF(DU95="Menos que lo habitual",3,
IF(DU95="Mucho menos que lo habitual",4,""))))</f>
        <v>2</v>
      </c>
      <c r="DW95" s="5" t="s">
        <v>231</v>
      </c>
      <c r="DX95" s="5">
        <f t="shared" ref="DX95:DX106" si="217">IF(DW95="Más que lo habitual",1,
IF(DW95="Igual que lo habitual",2,
IF(DW95="Menos que lo habitual",3,
IF(DW95="Mucho menos que lo habitual",4,""))))</f>
        <v>2</v>
      </c>
      <c r="DY95" s="5">
        <f t="shared" ref="DY95:DY106" si="218">SUM(DB95,DD95,DF95,DH95,DJ95,DL95,DN95,DP95,DR95,DT95,DV95,DX95)</f>
        <v>21</v>
      </c>
      <c r="DZ95" s="5" t="str">
        <f t="shared" ref="DZ95:DZ106" si="219">IF(DY95&lt;=18,"Nivel de riesgo bajo",
IF(DY95&lt;=23,"Nivel de riesgo medio",
"Nivel de riesgo alto"))</f>
        <v>Nivel de riesgo medio</v>
      </c>
      <c r="EA95" s="5" t="s">
        <v>253</v>
      </c>
      <c r="EB95" s="5">
        <f t="shared" ref="EB95:EB106" si="220">IF(EA95="Nunca/ casi nunca",0,
IF(EA95="Rara vez",1,
IF(EA95="A veces",2,
IF(EA95="A menudo",3,
IF(EA95="Siempre",4,"")))))</f>
        <v>0</v>
      </c>
      <c r="EC95" s="5" t="s">
        <v>253</v>
      </c>
      <c r="ED95" s="5">
        <f t="shared" ref="ED95:ED106" si="221">IF(EC95="Nunca/ casi nunca",0,
IF(EC95="Rara vez",1,
IF(EC95="A veces",2,
IF(EC95="A menudo",3,
IF(EC95="Siempre",4,"")))))</f>
        <v>0</v>
      </c>
      <c r="EE95" s="5" t="s">
        <v>253</v>
      </c>
      <c r="EF95" s="5">
        <f t="shared" ref="EF95:EF106" si="222">IF(EE95="Nunca/ casi nunca",0,
IF(EE95="Rara vez",1,
IF(EE95="A veces",2,
IF(EE95="A menudo",3,
IF(EE95="Siempre",4,"")))))</f>
        <v>0</v>
      </c>
      <c r="EG95" s="5">
        <f t="shared" ref="EG95:EG106" si="223">SUM(EB95,ED95,EF95)</f>
        <v>0</v>
      </c>
      <c r="EH95" s="5" t="str">
        <f t="shared" ref="EH95:EH106" si="224">IF(EG95&lt;=1,"Nivel de riesgo bajo",
IF(EG95&lt;=4,"Nivel de riesgo medio",
"Nivel de riesgo alto"))</f>
        <v>Nivel de riesgo bajo</v>
      </c>
      <c r="EI95" s="5" t="s">
        <v>253</v>
      </c>
      <c r="EJ95" s="5">
        <f t="shared" ref="EJ95:EJ106" si="225">IF(EI95="Nunca/ casi nunca",0,
IF(EI95="Rara vez",1,
IF(EI95="A veces",2,
IF(EI95="A menudo",3,
IF(EI95="Siempre",4,"")))))</f>
        <v>0</v>
      </c>
      <c r="EK95" s="5" t="s">
        <v>253</v>
      </c>
      <c r="EL95" s="5">
        <f t="shared" ref="EL95:EL106" si="226">IF(EK95="Nunca/ casi nunca",0,
IF(EK95="Rara vez",1,
IF(EK95="A veces",2,
IF(EK95="A menudo",3,
IF(EK95="Siempre",4,"")))))</f>
        <v>0</v>
      </c>
      <c r="EM95" s="5" t="s">
        <v>247</v>
      </c>
      <c r="EN95" s="5">
        <f t="shared" ref="EN95:EN106" si="227">IF(EM95="Nunca/ casi nunca",0,
IF(EM95="Rara vez",1,
IF(EM95="A veces",2,
IF(EM95="A menudo",3,
IF(EM95="Siempre",4,"")))))</f>
        <v>2</v>
      </c>
      <c r="EO95" s="5">
        <f t="shared" ref="EO95:EO106" si="228">SUM(EJ95,EL95,EN95)</f>
        <v>2</v>
      </c>
      <c r="EP95" s="5" t="str">
        <f t="shared" ref="EP95:EP106" si="229">IF(EO95&lt;=1,"Nivel de riesgo bajo",
IF(EO95&lt;=5,"Nivel de riesgo medio",
"Nivel de riesgo alto"))</f>
        <v>Nivel de riesgo medio</v>
      </c>
      <c r="EQ95" s="5" t="s">
        <v>247</v>
      </c>
      <c r="ER95" s="5">
        <f t="shared" ref="ER95:ER106" si="230">IF(EQ95="Nunca/ casi nunca",4,
IF(EQ95="Rara vez",3,
IF(EQ95="A veces",2,
IF(EQ95="A menudo",1,
IF(EQ95="Siempre",0,"")))))</f>
        <v>2</v>
      </c>
      <c r="ES95" s="5" t="s">
        <v>247</v>
      </c>
      <c r="ET95" s="5">
        <f t="shared" ref="ET95:ET106" si="231">IF(ES95="Nunca/ casi nunca",4,
IF(ES95="Rara vez",3,
IF(ES95="A veces",2,
IF(ES95="A menudo",1,
IF(ES95="Siempre",0,"")))))</f>
        <v>2</v>
      </c>
      <c r="EU95" s="5" t="s">
        <v>254</v>
      </c>
      <c r="EV95" s="5">
        <f t="shared" ref="EV95:EV106" si="232">IF(EU95="Nunca/ casi nunca",4,
IF(EU95="Rara vez",3,
IF(EU95="A veces",2,
IF(EU95="A menudo",1,
IF(EU95="Siempre",0,"")))))</f>
        <v>0</v>
      </c>
      <c r="EW95" s="5" t="s">
        <v>254</v>
      </c>
      <c r="EX95" s="5">
        <f t="shared" ref="EX95:EX106" si="233">IF(EW95="Nunca/ casi nunca",4,
IF(EW95="Rara vez",3,
IF(EW95="A veces",2,
IF(EW95="A menudo",1,
IF(EW95="Siempre",0,"")))))</f>
        <v>0</v>
      </c>
      <c r="EY95" s="5">
        <f t="shared" ref="EY95:EY106" si="234">SUM(ER95,ET95,EV95,EX95)</f>
        <v>4</v>
      </c>
      <c r="EZ95" s="5" t="str">
        <f t="shared" ref="EZ95:EZ106" si="235">IF(EY95&lt;=0,"Nivel de riesgo bajo",
IF(EY95&lt;=4,"Nivel de riesgo medio",
"Nivel de riesgo alto"))</f>
        <v>Nivel de riesgo medio</v>
      </c>
      <c r="FA95" s="5" t="s">
        <v>247</v>
      </c>
      <c r="FB95" s="5">
        <f t="shared" ref="FB95:FB106" si="236">IF(FA95="Nunca/ casi nunca",0,
IF(FA95="Rara vez",1,
IF(FA95="A veces",2,
IF(FA95="A menudo",3,
IF(FA95="Siempre",4,"")))))</f>
        <v>2</v>
      </c>
      <c r="FC95" s="5" t="s">
        <v>247</v>
      </c>
      <c r="FD95" s="5">
        <f t="shared" ref="FD95:FD106" si="237">IF(FC95="Nunca/ casi nunca",0,
IF(FC95="Rara vez",1,
IF(FC95="A veces",2,
IF(FC95="A menudo",3,
IF(FC95="Siempre",4,"")))))</f>
        <v>2</v>
      </c>
      <c r="FE95" s="5" t="s">
        <v>247</v>
      </c>
      <c r="FF95" s="5">
        <f t="shared" ref="FF95:FF106" si="238">IF(FE95="Nunca/ casi nunca",0,
IF(FE95="Rara vez",1,
IF(FE95="A veces",2,
IF(FE95="A menudo",3,
IF(FE95="Siempre",4,"")))))</f>
        <v>2</v>
      </c>
      <c r="FG95" s="5">
        <f t="shared" ref="FG95:FG106" si="239">SUM(FB95,FD95,FF95)</f>
        <v>6</v>
      </c>
      <c r="FH95" s="5" t="str">
        <f t="shared" ref="FH95:FH106" si="240">IF(FG95&lt;=2,"Nivel de riesgo bajo",
IF(FG95&lt;=5,"Nivel de riesgo medio",
"Nivel de riesgo alto"))</f>
        <v>Nivel de riesgo alto</v>
      </c>
      <c r="FI95" s="5" t="s">
        <v>253</v>
      </c>
      <c r="FJ95" s="5">
        <f t="shared" ref="FJ95:FJ106" si="241">IF(FI95="Nunca/ casi nunca",0,
IF(FI95="Rara vez",1,
IF(FI95="A veces",2,
IF(FI95="A menudo",3,
IF(FI95="Siempre",4,"")))))</f>
        <v>0</v>
      </c>
      <c r="FK95" s="5" t="s">
        <v>253</v>
      </c>
      <c r="FL95" s="5">
        <f t="shared" ref="FL95:FL106" si="242">IF(FK95="Nunca/ casi nunca",0,
IF(FK95="Rara vez",1,
IF(FK95="A veces",2,
IF(FK95="A menudo",3,
IF(FK95="Siempre",4,"")))))</f>
        <v>0</v>
      </c>
      <c r="FM95" s="5" t="s">
        <v>253</v>
      </c>
      <c r="FN95" s="5">
        <f t="shared" ref="FN95:FN106" si="243">IF(FM95="Nunca/ casi nunca",0,
IF(FM95="Rara vez",1,
IF(FM95="A veces",2,
IF(FM95="A menudo",3,
IF(FM95="Siempre",4,"")))))</f>
        <v>0</v>
      </c>
      <c r="FO95" s="5">
        <f t="shared" ref="FO95:FO106" si="244">SUM(FJ95,FL95,FN95)</f>
        <v>0</v>
      </c>
      <c r="FP95" s="5" t="str">
        <f t="shared" ref="FP95:FP106" si="245">IF(FO95&lt;=2,"Nivel de riesgo bajo",
IF(FO95&lt;=5,"Nivel de riesgo medio",
"Nivel de riesgo alto"))</f>
        <v>Nivel de riesgo bajo</v>
      </c>
      <c r="FQ95" s="5" t="s">
        <v>206</v>
      </c>
      <c r="FR95" s="5">
        <f t="shared" ref="FR95:FR106" si="246">IF(FQ95="No",0,
IF(FQ95="Sí, unas pocas veces",1,
IF(FQ95="Sí, mensualmente",2,
IF(FQ95="Sí, semanalmente",3,
IF(FQ95="Sí, diariamente",4,"")))))</f>
        <v>0</v>
      </c>
      <c r="FS95" s="5" t="s">
        <v>206</v>
      </c>
      <c r="FT95" s="5">
        <f t="shared" ref="FT95:FT106" si="247">IF(FS95="No",0,
IF(FS95="Sí, unas pocas veces",1,
IF(FS95="Sí, mensualmente",2,
IF(FS95="Sí, semanalmente",3,
IF(FS95="Sí, diariamente",4,"")))))</f>
        <v>0</v>
      </c>
      <c r="FU95" s="5" t="s">
        <v>206</v>
      </c>
      <c r="FV95" s="5">
        <f t="shared" ref="FV95:FV106" si="248">IF(FU95="No",0,
IF(FU95="Sí, unas pocas veces",1,
IF(FU95="Sí, mensualmente",2,
IF(FU95="Sí, semanalmente",3,
IF(FU95="Sí, diariamente",4,"")))))</f>
        <v>0</v>
      </c>
      <c r="FW95" s="5" t="s">
        <v>206</v>
      </c>
      <c r="FX95" s="5">
        <f t="shared" ref="FX95:FX106" si="249">IF(FW95="No",0,
IF(FW95="Sí, unas pocas veces",1,
IF(FW95="Sí, mensualmente",2,
IF(FW95="Sí, semanalmente",3,
IF(FW95="Sí, diariamente",4,"")))))</f>
        <v>0</v>
      </c>
      <c r="FY95" s="5" t="s">
        <v>206</v>
      </c>
      <c r="FZ95" s="5">
        <f t="shared" ref="FZ95:FZ106" si="250">IF(FY95="No",0,
IF(FY95="Sí, unas pocas veces",1,
IF(FY95="Sí, mensualmente",2,
IF(FY95="Sí, semanalmente",3,
IF(FY95="Sí, diariamente",4,"")))))</f>
        <v>0</v>
      </c>
      <c r="GA95" s="5" t="s">
        <v>206</v>
      </c>
      <c r="GB95" s="5">
        <f t="shared" ref="GB95:GB106" si="251">IF(GA95="No",0,
IF(GA95="Sí, unas pocas veces",1,
IF(GA95="Sí, mensualmente",2,
IF(GA95="Sí, semanalmente",3,
IF(GA95="Sí, diariamente",4,"")))))</f>
        <v>0</v>
      </c>
      <c r="GC95" s="5" t="s">
        <v>206</v>
      </c>
      <c r="GD95" s="5">
        <f t="shared" ref="GD95:GD106" si="252">IF(GC95="No",0,
IF(GC95="Sí, unas pocas veces",1,
IF(GC95="Sí, mensualmente",2,
IF(GC95="Sí, semanalmente",3,
IF(GC95="Sí, diariamente",4,"")))))</f>
        <v>0</v>
      </c>
      <c r="GE95" s="5">
        <f t="shared" ref="GE95:GE106" si="253">SUM(FR95,FT95,FV95,FX95,FZ95,GB95,GD95)</f>
        <v>0</v>
      </c>
      <c r="GF95" s="5" t="str">
        <f t="shared" ref="GF95:GF106" si="254">IF(GE95&lt;=0,"Nivel de riesgo bajo",
IF(GE95&lt;=14,"Nivel de riesgo medio",
"Nivel de riesgo alto"))</f>
        <v>Nivel de riesgo bajo</v>
      </c>
      <c r="GG95" s="5" t="s">
        <v>255</v>
      </c>
      <c r="GH95" s="5" t="s">
        <v>255</v>
      </c>
      <c r="GI95" s="5" t="s">
        <v>255</v>
      </c>
      <c r="GJ95" s="5" t="s">
        <v>266</v>
      </c>
      <c r="GK95" s="5" t="s">
        <v>233</v>
      </c>
      <c r="GL95" s="5" t="s">
        <v>273</v>
      </c>
      <c r="GM95" s="5" t="s">
        <v>255</v>
      </c>
      <c r="GN95" s="5" t="s">
        <v>256</v>
      </c>
      <c r="GO95" s="5" t="s">
        <v>257</v>
      </c>
      <c r="GP95" s="5" t="s">
        <v>257</v>
      </c>
      <c r="GQ95" s="5" t="s">
        <v>257</v>
      </c>
      <c r="GR95" s="5" t="s">
        <v>257</v>
      </c>
      <c r="GS95" s="5" t="s">
        <v>257</v>
      </c>
      <c r="GT95" s="5" t="s">
        <v>256</v>
      </c>
      <c r="GU95" s="5" t="s">
        <v>437</v>
      </c>
      <c r="GV95" s="5" t="str">
        <f>TEXT("6278828521776490340","0")</f>
        <v>6278828521776490000</v>
      </c>
    </row>
    <row r="96" spans="1:204" ht="15.75" customHeight="1" x14ac:dyDescent="0.15">
      <c r="A96" s="1">
        <f t="shared" si="204"/>
        <v>96</v>
      </c>
      <c r="B96" s="4">
        <v>45847.464039351849</v>
      </c>
      <c r="C96" s="5" t="s">
        <v>204</v>
      </c>
      <c r="D96" s="5" t="s">
        <v>204</v>
      </c>
      <c r="E96" s="5" t="s">
        <v>335</v>
      </c>
      <c r="F96" s="5" t="s">
        <v>206</v>
      </c>
      <c r="G96" s="5" t="s">
        <v>206</v>
      </c>
      <c r="H96" s="5" t="s">
        <v>204</v>
      </c>
      <c r="L96" s="5" t="s">
        <v>236</v>
      </c>
      <c r="O96" s="5" t="s">
        <v>209</v>
      </c>
      <c r="T96" s="5" t="s">
        <v>209</v>
      </c>
      <c r="Y96" s="5" t="s">
        <v>209</v>
      </c>
      <c r="AD96" s="5" t="s">
        <v>209</v>
      </c>
      <c r="AH96" s="5" t="s">
        <v>268</v>
      </c>
      <c r="AI96" s="5">
        <v>2025</v>
      </c>
      <c r="AJ96" s="5" t="s">
        <v>337</v>
      </c>
      <c r="AK96" s="5" t="str">
        <f t="shared" si="205"/>
        <v>Asalariada</v>
      </c>
      <c r="AQ96" s="5" t="s">
        <v>204</v>
      </c>
      <c r="AR96" s="5" t="s">
        <v>276</v>
      </c>
      <c r="AS96" s="5" t="s">
        <v>276</v>
      </c>
      <c r="AT96" s="5" t="s">
        <v>261</v>
      </c>
      <c r="AU96" s="5" t="s">
        <v>294</v>
      </c>
      <c r="AV96" s="5" t="s">
        <v>302</v>
      </c>
      <c r="AW96" s="5" t="s">
        <v>206</v>
      </c>
      <c r="BF96" s="5" t="s">
        <v>204</v>
      </c>
      <c r="BG96" s="5" t="s">
        <v>271</v>
      </c>
      <c r="BH96" s="5" t="s">
        <v>215</v>
      </c>
      <c r="BI96" s="5" t="s">
        <v>278</v>
      </c>
      <c r="BJ96" s="5" t="s">
        <v>278</v>
      </c>
      <c r="BK96" s="5" t="s">
        <v>245</v>
      </c>
      <c r="BL96" s="5" t="s">
        <v>243</v>
      </c>
      <c r="BM96" s="5" t="s">
        <v>245</v>
      </c>
      <c r="BN96" s="5" t="s">
        <v>245</v>
      </c>
      <c r="BO96" s="5" t="s">
        <v>245</v>
      </c>
      <c r="BP96" s="5" t="s">
        <v>245</v>
      </c>
      <c r="BQ96" s="5" t="s">
        <v>243</v>
      </c>
      <c r="BR96" s="5" t="s">
        <v>245</v>
      </c>
      <c r="BS96" s="5" t="s">
        <v>254</v>
      </c>
      <c r="BT96" s="5" t="s">
        <v>254</v>
      </c>
      <c r="BU96" s="5" t="s">
        <v>254</v>
      </c>
      <c r="BV96" s="5" t="s">
        <v>247</v>
      </c>
      <c r="BW96" s="5" t="s">
        <v>254</v>
      </c>
      <c r="BX96" s="5" t="s">
        <v>247</v>
      </c>
      <c r="BY96" s="5" t="s">
        <v>247</v>
      </c>
      <c r="CD96" s="5" t="s">
        <v>206</v>
      </c>
      <c r="CH96" s="5" t="s">
        <v>206</v>
      </c>
      <c r="CI96" s="5" t="s">
        <v>318</v>
      </c>
      <c r="CJ96" s="5">
        <v>5</v>
      </c>
      <c r="CK96" s="5" t="s">
        <v>223</v>
      </c>
      <c r="CU96" s="5" t="s">
        <v>206</v>
      </c>
      <c r="DA96" s="5" t="s">
        <v>252</v>
      </c>
      <c r="DB96" s="5">
        <f t="shared" si="206"/>
        <v>3</v>
      </c>
      <c r="DC96" s="5" t="s">
        <v>250</v>
      </c>
      <c r="DD96" s="5">
        <f t="shared" si="207"/>
        <v>3</v>
      </c>
      <c r="DE96" s="5" t="s">
        <v>280</v>
      </c>
      <c r="DF96" s="5">
        <f t="shared" si="208"/>
        <v>4</v>
      </c>
      <c r="DG96" s="5" t="s">
        <v>250</v>
      </c>
      <c r="DH96" s="5">
        <f t="shared" si="209"/>
        <v>3</v>
      </c>
      <c r="DI96" s="5" t="s">
        <v>250</v>
      </c>
      <c r="DJ96" s="5">
        <f t="shared" si="210"/>
        <v>3</v>
      </c>
      <c r="DK96" s="5" t="s">
        <v>250</v>
      </c>
      <c r="DL96" s="5">
        <f t="shared" si="211"/>
        <v>3</v>
      </c>
      <c r="DM96" s="5" t="s">
        <v>230</v>
      </c>
      <c r="DN96" s="5">
        <f t="shared" si="212"/>
        <v>2</v>
      </c>
      <c r="DO96" s="5" t="s">
        <v>231</v>
      </c>
      <c r="DP96" s="5">
        <f t="shared" si="213"/>
        <v>2</v>
      </c>
      <c r="DQ96" s="5" t="s">
        <v>231</v>
      </c>
      <c r="DR96" s="5">
        <f t="shared" si="214"/>
        <v>2</v>
      </c>
      <c r="DS96" s="5" t="s">
        <v>252</v>
      </c>
      <c r="DT96" s="5">
        <f t="shared" si="215"/>
        <v>3</v>
      </c>
      <c r="DU96" s="5" t="s">
        <v>231</v>
      </c>
      <c r="DV96" s="5">
        <f t="shared" si="216"/>
        <v>2</v>
      </c>
      <c r="DW96" s="5" t="s">
        <v>231</v>
      </c>
      <c r="DX96" s="5">
        <f t="shared" si="217"/>
        <v>2</v>
      </c>
      <c r="DY96" s="5">
        <f t="shared" si="218"/>
        <v>32</v>
      </c>
      <c r="DZ96" s="5" t="str">
        <f t="shared" si="219"/>
        <v>Nivel de riesgo alto</v>
      </c>
      <c r="EA96" s="5" t="s">
        <v>232</v>
      </c>
      <c r="EB96" s="5">
        <f t="shared" si="220"/>
        <v>3</v>
      </c>
      <c r="EC96" s="5" t="s">
        <v>247</v>
      </c>
      <c r="ED96" s="5">
        <f t="shared" si="221"/>
        <v>2</v>
      </c>
      <c r="EE96" s="5" t="s">
        <v>247</v>
      </c>
      <c r="EF96" s="5">
        <f t="shared" si="222"/>
        <v>2</v>
      </c>
      <c r="EG96" s="5">
        <f t="shared" si="223"/>
        <v>7</v>
      </c>
      <c r="EH96" s="5" t="str">
        <f t="shared" si="224"/>
        <v>Nivel de riesgo alto</v>
      </c>
      <c r="EI96" s="5" t="s">
        <v>248</v>
      </c>
      <c r="EJ96" s="5">
        <f t="shared" si="225"/>
        <v>1</v>
      </c>
      <c r="EK96" s="5" t="s">
        <v>254</v>
      </c>
      <c r="EL96" s="5">
        <f t="shared" si="226"/>
        <v>4</v>
      </c>
      <c r="EM96" s="5" t="s">
        <v>254</v>
      </c>
      <c r="EN96" s="5">
        <f t="shared" si="227"/>
        <v>4</v>
      </c>
      <c r="EO96" s="5">
        <f t="shared" si="228"/>
        <v>9</v>
      </c>
      <c r="EP96" s="5" t="str">
        <f t="shared" si="229"/>
        <v>Nivel de riesgo alto</v>
      </c>
      <c r="EQ96" s="5" t="s">
        <v>232</v>
      </c>
      <c r="ER96" s="5">
        <f t="shared" si="230"/>
        <v>1</v>
      </c>
      <c r="ES96" s="5" t="s">
        <v>232</v>
      </c>
      <c r="ET96" s="5">
        <f t="shared" si="231"/>
        <v>1</v>
      </c>
      <c r="EU96" s="5" t="s">
        <v>232</v>
      </c>
      <c r="EV96" s="5">
        <f t="shared" si="232"/>
        <v>1</v>
      </c>
      <c r="EW96" s="5" t="s">
        <v>247</v>
      </c>
      <c r="EX96" s="5">
        <f t="shared" si="233"/>
        <v>2</v>
      </c>
      <c r="EY96" s="5">
        <f t="shared" si="234"/>
        <v>5</v>
      </c>
      <c r="EZ96" s="5" t="str">
        <f t="shared" si="235"/>
        <v>Nivel de riesgo alto</v>
      </c>
      <c r="FA96" s="5" t="s">
        <v>254</v>
      </c>
      <c r="FB96" s="5">
        <f t="shared" si="236"/>
        <v>4</v>
      </c>
      <c r="FC96" s="5" t="s">
        <v>254</v>
      </c>
      <c r="FD96" s="5">
        <f t="shared" si="237"/>
        <v>4</v>
      </c>
      <c r="FE96" s="5" t="s">
        <v>253</v>
      </c>
      <c r="FF96" s="5">
        <f t="shared" si="238"/>
        <v>0</v>
      </c>
      <c r="FG96" s="5">
        <f t="shared" si="239"/>
        <v>8</v>
      </c>
      <c r="FH96" s="5" t="str">
        <f t="shared" si="240"/>
        <v>Nivel de riesgo alto</v>
      </c>
      <c r="FI96" s="5" t="s">
        <v>232</v>
      </c>
      <c r="FJ96" s="5">
        <f t="shared" si="241"/>
        <v>3</v>
      </c>
      <c r="FK96" s="5" t="s">
        <v>232</v>
      </c>
      <c r="FL96" s="5">
        <f t="shared" si="242"/>
        <v>3</v>
      </c>
      <c r="FM96" s="5" t="s">
        <v>232</v>
      </c>
      <c r="FN96" s="5">
        <f t="shared" si="243"/>
        <v>3</v>
      </c>
      <c r="FO96" s="5">
        <f t="shared" si="244"/>
        <v>9</v>
      </c>
      <c r="FP96" s="5" t="str">
        <f t="shared" si="245"/>
        <v>Nivel de riesgo alto</v>
      </c>
      <c r="FQ96" s="5" t="s">
        <v>206</v>
      </c>
      <c r="FR96" s="5">
        <f t="shared" si="246"/>
        <v>0</v>
      </c>
      <c r="FS96" s="5" t="s">
        <v>206</v>
      </c>
      <c r="FT96" s="5">
        <f t="shared" si="247"/>
        <v>0</v>
      </c>
      <c r="FU96" s="5" t="s">
        <v>206</v>
      </c>
      <c r="FV96" s="5">
        <f t="shared" si="248"/>
        <v>0</v>
      </c>
      <c r="FW96" s="5" t="s">
        <v>206</v>
      </c>
      <c r="FX96" s="5">
        <f t="shared" si="249"/>
        <v>0</v>
      </c>
      <c r="FY96" s="5" t="s">
        <v>206</v>
      </c>
      <c r="FZ96" s="5">
        <f t="shared" si="250"/>
        <v>0</v>
      </c>
      <c r="GA96" s="5" t="s">
        <v>206</v>
      </c>
      <c r="GB96" s="5">
        <f t="shared" si="251"/>
        <v>0</v>
      </c>
      <c r="GC96" s="5" t="s">
        <v>206</v>
      </c>
      <c r="GD96" s="5">
        <f t="shared" si="252"/>
        <v>0</v>
      </c>
      <c r="GE96" s="5">
        <f t="shared" si="253"/>
        <v>0</v>
      </c>
      <c r="GF96" s="5" t="str">
        <f t="shared" si="254"/>
        <v>Nivel de riesgo bajo</v>
      </c>
      <c r="GG96" s="5" t="s">
        <v>255</v>
      </c>
      <c r="GH96" s="5" t="s">
        <v>255</v>
      </c>
      <c r="GI96" s="5" t="s">
        <v>255</v>
      </c>
      <c r="GJ96" s="5" t="s">
        <v>255</v>
      </c>
      <c r="GK96" s="5" t="s">
        <v>233</v>
      </c>
      <c r="GL96" s="5" t="s">
        <v>233</v>
      </c>
      <c r="GM96" s="5" t="s">
        <v>255</v>
      </c>
      <c r="GN96" s="5" t="s">
        <v>256</v>
      </c>
      <c r="GO96" s="5" t="s">
        <v>256</v>
      </c>
      <c r="GP96" s="5" t="s">
        <v>256</v>
      </c>
      <c r="GQ96" s="5" t="s">
        <v>256</v>
      </c>
      <c r="GR96" s="5" t="s">
        <v>256</v>
      </c>
      <c r="GS96" s="5" t="s">
        <v>256</v>
      </c>
      <c r="GT96" s="5" t="s">
        <v>256</v>
      </c>
      <c r="GU96" s="5" t="s">
        <v>438</v>
      </c>
      <c r="GV96" s="5" t="str">
        <f>TEXT("6278828938119174222","0")</f>
        <v>6278828938119170000</v>
      </c>
    </row>
    <row r="97" spans="1:204" ht="15.75" customHeight="1" x14ac:dyDescent="0.15">
      <c r="A97" s="1">
        <f t="shared" si="204"/>
        <v>97</v>
      </c>
      <c r="B97" s="4">
        <v>45847.4684375</v>
      </c>
      <c r="C97" s="5" t="s">
        <v>204</v>
      </c>
      <c r="D97" s="5" t="s">
        <v>206</v>
      </c>
      <c r="F97" s="5" t="s">
        <v>206</v>
      </c>
      <c r="G97" s="5" t="s">
        <v>206</v>
      </c>
      <c r="H97" s="5" t="s">
        <v>206</v>
      </c>
      <c r="J97" s="5" t="s">
        <v>209</v>
      </c>
      <c r="O97" s="5" t="s">
        <v>209</v>
      </c>
      <c r="S97" s="5" t="s">
        <v>208</v>
      </c>
      <c r="X97" s="5" t="s">
        <v>208</v>
      </c>
      <c r="AC97" s="5" t="s">
        <v>208</v>
      </c>
      <c r="AH97" s="5" t="s">
        <v>275</v>
      </c>
      <c r="AI97" s="5">
        <v>2023</v>
      </c>
      <c r="AJ97" s="5" t="s">
        <v>238</v>
      </c>
      <c r="AK97" s="5" t="str">
        <f t="shared" si="205"/>
        <v>Trabajadora por cuenta propia</v>
      </c>
      <c r="AM97" s="5" t="s">
        <v>309</v>
      </c>
      <c r="AP97" s="5" t="s">
        <v>284</v>
      </c>
      <c r="AR97" s="5" t="s">
        <v>261</v>
      </c>
      <c r="AS97" s="5" t="s">
        <v>261</v>
      </c>
      <c r="AT97" s="5" t="s">
        <v>261</v>
      </c>
      <c r="AU97" s="5" t="s">
        <v>241</v>
      </c>
      <c r="AV97" s="5" t="s">
        <v>285</v>
      </c>
      <c r="AW97" s="5" t="s">
        <v>204</v>
      </c>
      <c r="AX97" s="5" t="s">
        <v>204</v>
      </c>
      <c r="AY97" s="5" t="s">
        <v>270</v>
      </c>
      <c r="AZ97" s="5" t="s">
        <v>204</v>
      </c>
      <c r="BA97" s="5" t="s">
        <v>263</v>
      </c>
      <c r="BF97" s="5" t="s">
        <v>204</v>
      </c>
      <c r="BG97" s="5" t="s">
        <v>207</v>
      </c>
      <c r="BH97" s="5" t="s">
        <v>215</v>
      </c>
      <c r="BI97" s="5" t="s">
        <v>207</v>
      </c>
      <c r="BJ97" s="5" t="s">
        <v>215</v>
      </c>
      <c r="BK97" s="5" t="s">
        <v>246</v>
      </c>
      <c r="BL97" s="5" t="s">
        <v>246</v>
      </c>
      <c r="BM97" s="5" t="s">
        <v>244</v>
      </c>
      <c r="BN97" s="5" t="s">
        <v>244</v>
      </c>
      <c r="BO97" s="5" t="s">
        <v>244</v>
      </c>
      <c r="BP97" s="5" t="s">
        <v>216</v>
      </c>
      <c r="BQ97" s="5" t="s">
        <v>246</v>
      </c>
      <c r="BR97" s="5" t="s">
        <v>245</v>
      </c>
      <c r="BS97" s="5" t="s">
        <v>247</v>
      </c>
      <c r="BT97" s="5" t="s">
        <v>248</v>
      </c>
      <c r="BU97" s="5" t="s">
        <v>217</v>
      </c>
      <c r="BV97" s="5" t="s">
        <v>248</v>
      </c>
      <c r="BW97" s="5" t="s">
        <v>247</v>
      </c>
      <c r="BX97" s="5" t="s">
        <v>248</v>
      </c>
      <c r="BY97" s="5" t="s">
        <v>217</v>
      </c>
      <c r="BZ97" s="5" t="s">
        <v>244</v>
      </c>
      <c r="CA97" s="5" t="s">
        <v>244</v>
      </c>
      <c r="CB97" s="5" t="s">
        <v>244</v>
      </c>
      <c r="CC97" s="5" t="s">
        <v>244</v>
      </c>
      <c r="CD97" s="5" t="s">
        <v>206</v>
      </c>
      <c r="CH97" s="5" t="s">
        <v>221</v>
      </c>
      <c r="CI97" s="5" t="s">
        <v>291</v>
      </c>
      <c r="CJ97" s="5">
        <v>1</v>
      </c>
      <c r="CK97" s="5" t="s">
        <v>223</v>
      </c>
      <c r="CU97" s="5" t="s">
        <v>206</v>
      </c>
      <c r="DA97" s="5" t="s">
        <v>272</v>
      </c>
      <c r="DB97" s="5">
        <f t="shared" si="206"/>
        <v>1</v>
      </c>
      <c r="DC97" s="5" t="s">
        <v>251</v>
      </c>
      <c r="DD97" s="5">
        <f t="shared" si="207"/>
        <v>1</v>
      </c>
      <c r="DE97" s="5" t="s">
        <v>251</v>
      </c>
      <c r="DF97" s="5">
        <f t="shared" si="208"/>
        <v>1</v>
      </c>
      <c r="DG97" s="5" t="s">
        <v>251</v>
      </c>
      <c r="DH97" s="5">
        <f t="shared" si="209"/>
        <v>1</v>
      </c>
      <c r="DI97" s="5" t="s">
        <v>251</v>
      </c>
      <c r="DJ97" s="5">
        <f t="shared" si="210"/>
        <v>1</v>
      </c>
      <c r="DK97" s="5" t="s">
        <v>251</v>
      </c>
      <c r="DL97" s="5">
        <f t="shared" si="211"/>
        <v>1</v>
      </c>
      <c r="DM97" s="5" t="s">
        <v>251</v>
      </c>
      <c r="DN97" s="5">
        <f t="shared" si="212"/>
        <v>1</v>
      </c>
      <c r="DO97" s="5" t="s">
        <v>281</v>
      </c>
      <c r="DP97" s="5">
        <f t="shared" si="213"/>
        <v>1</v>
      </c>
      <c r="DQ97" s="5" t="s">
        <v>281</v>
      </c>
      <c r="DR97" s="5">
        <f t="shared" si="214"/>
        <v>1</v>
      </c>
      <c r="DS97" s="5" t="s">
        <v>281</v>
      </c>
      <c r="DT97" s="5">
        <f t="shared" si="215"/>
        <v>1</v>
      </c>
      <c r="DU97" s="5" t="s">
        <v>281</v>
      </c>
      <c r="DV97" s="5">
        <f t="shared" si="216"/>
        <v>1</v>
      </c>
      <c r="DW97" s="5" t="s">
        <v>281</v>
      </c>
      <c r="DX97" s="5">
        <f t="shared" si="217"/>
        <v>1</v>
      </c>
      <c r="DY97" s="5">
        <f t="shared" si="218"/>
        <v>12</v>
      </c>
      <c r="DZ97" s="5" t="str">
        <f t="shared" si="219"/>
        <v>Nivel de riesgo bajo</v>
      </c>
      <c r="EA97" s="5" t="s">
        <v>248</v>
      </c>
      <c r="EB97" s="5">
        <f t="shared" si="220"/>
        <v>1</v>
      </c>
      <c r="EC97" s="5" t="s">
        <v>248</v>
      </c>
      <c r="ED97" s="5">
        <f t="shared" si="221"/>
        <v>1</v>
      </c>
      <c r="EE97" s="5" t="s">
        <v>253</v>
      </c>
      <c r="EF97" s="5">
        <f t="shared" si="222"/>
        <v>0</v>
      </c>
      <c r="EG97" s="5">
        <f t="shared" si="223"/>
        <v>2</v>
      </c>
      <c r="EH97" s="5" t="str">
        <f t="shared" si="224"/>
        <v>Nivel de riesgo medio</v>
      </c>
      <c r="EI97" s="5" t="s">
        <v>253</v>
      </c>
      <c r="EJ97" s="5">
        <f t="shared" si="225"/>
        <v>0</v>
      </c>
      <c r="EK97" s="5" t="s">
        <v>253</v>
      </c>
      <c r="EL97" s="5">
        <f t="shared" si="226"/>
        <v>0</v>
      </c>
      <c r="EM97" s="5" t="s">
        <v>253</v>
      </c>
      <c r="EN97" s="5">
        <f t="shared" si="227"/>
        <v>0</v>
      </c>
      <c r="EO97" s="5">
        <f t="shared" si="228"/>
        <v>0</v>
      </c>
      <c r="EP97" s="5" t="str">
        <f t="shared" si="229"/>
        <v>Nivel de riesgo bajo</v>
      </c>
      <c r="EQ97" s="5" t="s">
        <v>232</v>
      </c>
      <c r="ER97" s="5">
        <f t="shared" si="230"/>
        <v>1</v>
      </c>
      <c r="ES97" s="5" t="s">
        <v>232</v>
      </c>
      <c r="ET97" s="5">
        <f t="shared" si="231"/>
        <v>1</v>
      </c>
      <c r="EU97" s="5" t="s">
        <v>232</v>
      </c>
      <c r="EV97" s="5">
        <f t="shared" si="232"/>
        <v>1</v>
      </c>
      <c r="EW97" s="5" t="s">
        <v>232</v>
      </c>
      <c r="EX97" s="5">
        <f t="shared" si="233"/>
        <v>1</v>
      </c>
      <c r="EY97" s="5">
        <f t="shared" si="234"/>
        <v>4</v>
      </c>
      <c r="EZ97" s="5" t="str">
        <f t="shared" si="235"/>
        <v>Nivel de riesgo medio</v>
      </c>
      <c r="FA97" s="5" t="s">
        <v>253</v>
      </c>
      <c r="FB97" s="5">
        <f t="shared" si="236"/>
        <v>0</v>
      </c>
      <c r="FC97" s="5" t="s">
        <v>253</v>
      </c>
      <c r="FD97" s="5">
        <f t="shared" si="237"/>
        <v>0</v>
      </c>
      <c r="FE97" s="5" t="s">
        <v>253</v>
      </c>
      <c r="FF97" s="5">
        <f t="shared" si="238"/>
        <v>0</v>
      </c>
      <c r="FG97" s="5">
        <f t="shared" si="239"/>
        <v>0</v>
      </c>
      <c r="FH97" s="5" t="str">
        <f t="shared" si="240"/>
        <v>Nivel de riesgo bajo</v>
      </c>
      <c r="FI97" s="5" t="s">
        <v>253</v>
      </c>
      <c r="FJ97" s="5">
        <f t="shared" si="241"/>
        <v>0</v>
      </c>
      <c r="FK97" s="5" t="s">
        <v>253</v>
      </c>
      <c r="FL97" s="5">
        <f t="shared" si="242"/>
        <v>0</v>
      </c>
      <c r="FM97" s="5" t="s">
        <v>253</v>
      </c>
      <c r="FN97" s="5">
        <f t="shared" si="243"/>
        <v>0</v>
      </c>
      <c r="FO97" s="5">
        <f t="shared" si="244"/>
        <v>0</v>
      </c>
      <c r="FP97" s="5" t="str">
        <f t="shared" si="245"/>
        <v>Nivel de riesgo bajo</v>
      </c>
      <c r="FQ97" s="5" t="s">
        <v>206</v>
      </c>
      <c r="FR97" s="5">
        <f t="shared" si="246"/>
        <v>0</v>
      </c>
      <c r="FS97" s="5" t="s">
        <v>206</v>
      </c>
      <c r="FT97" s="5">
        <f t="shared" si="247"/>
        <v>0</v>
      </c>
      <c r="FU97" s="5" t="s">
        <v>206</v>
      </c>
      <c r="FV97" s="5">
        <f t="shared" si="248"/>
        <v>0</v>
      </c>
      <c r="FW97" s="5" t="s">
        <v>206</v>
      </c>
      <c r="FX97" s="5">
        <f t="shared" si="249"/>
        <v>0</v>
      </c>
      <c r="FY97" s="5" t="s">
        <v>206</v>
      </c>
      <c r="FZ97" s="5">
        <f t="shared" si="250"/>
        <v>0</v>
      </c>
      <c r="GA97" s="5" t="s">
        <v>206</v>
      </c>
      <c r="GB97" s="5">
        <f t="shared" si="251"/>
        <v>0</v>
      </c>
      <c r="GC97" s="5" t="s">
        <v>206</v>
      </c>
      <c r="GD97" s="5">
        <f t="shared" si="252"/>
        <v>0</v>
      </c>
      <c r="GE97" s="5">
        <f t="shared" si="253"/>
        <v>0</v>
      </c>
      <c r="GF97" s="5" t="str">
        <f t="shared" si="254"/>
        <v>Nivel de riesgo bajo</v>
      </c>
      <c r="GG97" s="5" t="s">
        <v>273</v>
      </c>
      <c r="GH97" s="5" t="s">
        <v>255</v>
      </c>
      <c r="GI97" s="5" t="s">
        <v>255</v>
      </c>
      <c r="GJ97" s="5" t="s">
        <v>233</v>
      </c>
      <c r="GK97" s="5" t="s">
        <v>233</v>
      </c>
      <c r="GL97" s="5" t="s">
        <v>233</v>
      </c>
      <c r="GM97" s="5" t="s">
        <v>298</v>
      </c>
      <c r="GN97" s="5" t="s">
        <v>256</v>
      </c>
      <c r="GO97" s="5" t="s">
        <v>243</v>
      </c>
      <c r="GP97" s="5" t="s">
        <v>243</v>
      </c>
      <c r="GQ97" s="5" t="s">
        <v>244</v>
      </c>
      <c r="GR97" s="5" t="s">
        <v>244</v>
      </c>
      <c r="GS97" s="5" t="s">
        <v>244</v>
      </c>
      <c r="GT97" s="5" t="s">
        <v>243</v>
      </c>
      <c r="GU97" s="5" t="s">
        <v>439</v>
      </c>
      <c r="GV97" s="5" t="str">
        <f>TEXT("6278832738226056954","0")</f>
        <v>6278832738226050000</v>
      </c>
    </row>
    <row r="98" spans="1:204" ht="15.75" customHeight="1" x14ac:dyDescent="0.15">
      <c r="A98" s="1">
        <f t="shared" si="204"/>
        <v>98</v>
      </c>
      <c r="B98" s="4">
        <v>45847.469560185185</v>
      </c>
      <c r="C98" s="5" t="s">
        <v>204</v>
      </c>
      <c r="D98" s="5" t="s">
        <v>206</v>
      </c>
      <c r="F98" s="5" t="s">
        <v>206</v>
      </c>
      <c r="G98" s="5" t="s">
        <v>206</v>
      </c>
      <c r="H98" s="5" t="s">
        <v>204</v>
      </c>
      <c r="K98" s="5" t="s">
        <v>237</v>
      </c>
      <c r="P98" s="5" t="s">
        <v>237</v>
      </c>
      <c r="U98" s="5" t="s">
        <v>237</v>
      </c>
      <c r="Z98" s="5" t="s">
        <v>237</v>
      </c>
      <c r="AE98" s="5" t="s">
        <v>237</v>
      </c>
      <c r="AH98" s="5" t="s">
        <v>210</v>
      </c>
      <c r="AI98" s="5">
        <v>2008</v>
      </c>
      <c r="AJ98" s="5" t="s">
        <v>337</v>
      </c>
      <c r="AK98" s="5" t="str">
        <f t="shared" si="205"/>
        <v>Asalariada</v>
      </c>
      <c r="AQ98" s="5" t="s">
        <v>204</v>
      </c>
      <c r="AR98" s="5" t="s">
        <v>241</v>
      </c>
      <c r="AS98" s="5" t="s">
        <v>261</v>
      </c>
      <c r="AT98" s="5" t="s">
        <v>261</v>
      </c>
      <c r="AU98" s="5" t="s">
        <v>261</v>
      </c>
      <c r="AV98" s="5" t="s">
        <v>285</v>
      </c>
      <c r="AW98" s="5" t="s">
        <v>204</v>
      </c>
      <c r="AX98" s="5" t="s">
        <v>204</v>
      </c>
      <c r="AY98" s="5" t="s">
        <v>214</v>
      </c>
      <c r="AZ98" s="5" t="s">
        <v>204</v>
      </c>
      <c r="BA98" s="5" t="s">
        <v>344</v>
      </c>
      <c r="BF98" s="5" t="s">
        <v>204</v>
      </c>
      <c r="BG98" s="5" t="s">
        <v>278</v>
      </c>
      <c r="BH98" s="5" t="s">
        <v>278</v>
      </c>
      <c r="BI98" s="5" t="s">
        <v>278</v>
      </c>
      <c r="BJ98" s="5" t="s">
        <v>278</v>
      </c>
      <c r="BK98" s="5" t="s">
        <v>243</v>
      </c>
      <c r="BL98" s="5" t="s">
        <v>244</v>
      </c>
      <c r="BM98" s="5" t="s">
        <v>246</v>
      </c>
      <c r="BN98" s="5" t="s">
        <v>243</v>
      </c>
      <c r="BO98" s="5" t="s">
        <v>243</v>
      </c>
      <c r="BP98" s="5" t="s">
        <v>246</v>
      </c>
      <c r="BQ98" s="5" t="s">
        <v>246</v>
      </c>
      <c r="BR98" s="5" t="s">
        <v>243</v>
      </c>
      <c r="BS98" s="5" t="s">
        <v>232</v>
      </c>
      <c r="BT98" s="5" t="s">
        <v>254</v>
      </c>
      <c r="BU98" s="5" t="s">
        <v>254</v>
      </c>
      <c r="BV98" s="5" t="s">
        <v>232</v>
      </c>
      <c r="BW98" s="5" t="s">
        <v>232</v>
      </c>
      <c r="BX98" s="5" t="s">
        <v>254</v>
      </c>
      <c r="BY98" s="5" t="s">
        <v>232</v>
      </c>
      <c r="BZ98" s="5" t="s">
        <v>244</v>
      </c>
      <c r="CA98" s="5" t="s">
        <v>246</v>
      </c>
      <c r="CB98" s="5" t="s">
        <v>244</v>
      </c>
      <c r="CC98" s="5" t="s">
        <v>243</v>
      </c>
      <c r="CD98" s="5" t="s">
        <v>206</v>
      </c>
      <c r="CH98" s="5" t="s">
        <v>206</v>
      </c>
      <c r="CI98" s="5" t="s">
        <v>206</v>
      </c>
      <c r="CJ98" s="5">
        <v>0</v>
      </c>
      <c r="CK98" s="5" t="s">
        <v>223</v>
      </c>
      <c r="CU98" s="5" t="s">
        <v>206</v>
      </c>
      <c r="DA98" s="5" t="s">
        <v>231</v>
      </c>
      <c r="DB98" s="5">
        <f t="shared" si="206"/>
        <v>2</v>
      </c>
      <c r="DC98" s="5" t="s">
        <v>230</v>
      </c>
      <c r="DD98" s="5">
        <f t="shared" si="207"/>
        <v>2</v>
      </c>
      <c r="DE98" s="5" t="s">
        <v>230</v>
      </c>
      <c r="DF98" s="5">
        <f t="shared" si="208"/>
        <v>2</v>
      </c>
      <c r="DG98" s="5" t="s">
        <v>230</v>
      </c>
      <c r="DH98" s="5">
        <f t="shared" si="209"/>
        <v>2</v>
      </c>
      <c r="DI98" s="5" t="s">
        <v>230</v>
      </c>
      <c r="DJ98" s="5">
        <f t="shared" si="210"/>
        <v>2</v>
      </c>
      <c r="DK98" s="5" t="s">
        <v>230</v>
      </c>
      <c r="DL98" s="5">
        <f t="shared" si="211"/>
        <v>2</v>
      </c>
      <c r="DM98" s="5" t="s">
        <v>230</v>
      </c>
      <c r="DN98" s="5">
        <f t="shared" si="212"/>
        <v>2</v>
      </c>
      <c r="DO98" s="5" t="s">
        <v>231</v>
      </c>
      <c r="DP98" s="5">
        <f t="shared" si="213"/>
        <v>2</v>
      </c>
      <c r="DQ98" s="5" t="s">
        <v>231</v>
      </c>
      <c r="DR98" s="5">
        <f t="shared" si="214"/>
        <v>2</v>
      </c>
      <c r="DS98" s="5" t="s">
        <v>231</v>
      </c>
      <c r="DT98" s="5">
        <f t="shared" si="215"/>
        <v>2</v>
      </c>
      <c r="DU98" s="5" t="s">
        <v>231</v>
      </c>
      <c r="DV98" s="5">
        <f t="shared" si="216"/>
        <v>2</v>
      </c>
      <c r="DW98" s="5" t="s">
        <v>231</v>
      </c>
      <c r="DX98" s="5">
        <f t="shared" si="217"/>
        <v>2</v>
      </c>
      <c r="DY98" s="5">
        <f t="shared" si="218"/>
        <v>24</v>
      </c>
      <c r="DZ98" s="5" t="str">
        <f t="shared" si="219"/>
        <v>Nivel de riesgo alto</v>
      </c>
      <c r="EA98" s="5" t="s">
        <v>247</v>
      </c>
      <c r="EB98" s="5">
        <f t="shared" si="220"/>
        <v>2</v>
      </c>
      <c r="EC98" s="5" t="s">
        <v>232</v>
      </c>
      <c r="ED98" s="5">
        <f t="shared" si="221"/>
        <v>3</v>
      </c>
      <c r="EE98" s="5" t="s">
        <v>253</v>
      </c>
      <c r="EF98" s="5">
        <f t="shared" si="222"/>
        <v>0</v>
      </c>
      <c r="EG98" s="5">
        <f t="shared" si="223"/>
        <v>5</v>
      </c>
      <c r="EH98" s="5" t="str">
        <f t="shared" si="224"/>
        <v>Nivel de riesgo alto</v>
      </c>
      <c r="EI98" s="5" t="s">
        <v>253</v>
      </c>
      <c r="EJ98" s="5">
        <f t="shared" si="225"/>
        <v>0</v>
      </c>
      <c r="EK98" s="5" t="s">
        <v>248</v>
      </c>
      <c r="EL98" s="5">
        <f t="shared" si="226"/>
        <v>1</v>
      </c>
      <c r="EM98" s="5" t="s">
        <v>248</v>
      </c>
      <c r="EN98" s="5">
        <f t="shared" si="227"/>
        <v>1</v>
      </c>
      <c r="EO98" s="5">
        <f t="shared" si="228"/>
        <v>2</v>
      </c>
      <c r="EP98" s="5" t="str">
        <f t="shared" si="229"/>
        <v>Nivel de riesgo medio</v>
      </c>
      <c r="EQ98" s="5" t="s">
        <v>253</v>
      </c>
      <c r="ER98" s="5">
        <f t="shared" si="230"/>
        <v>4</v>
      </c>
      <c r="ES98" s="5" t="s">
        <v>253</v>
      </c>
      <c r="ET98" s="5">
        <f t="shared" si="231"/>
        <v>4</v>
      </c>
      <c r="EU98" s="5" t="s">
        <v>254</v>
      </c>
      <c r="EV98" s="5">
        <f t="shared" si="232"/>
        <v>0</v>
      </c>
      <c r="EW98" s="5" t="s">
        <v>254</v>
      </c>
      <c r="EX98" s="5">
        <f t="shared" si="233"/>
        <v>0</v>
      </c>
      <c r="EY98" s="5">
        <f t="shared" si="234"/>
        <v>8</v>
      </c>
      <c r="EZ98" s="5" t="str">
        <f t="shared" si="235"/>
        <v>Nivel de riesgo alto</v>
      </c>
      <c r="FA98" s="5" t="s">
        <v>253</v>
      </c>
      <c r="FB98" s="5">
        <f t="shared" si="236"/>
        <v>0</v>
      </c>
      <c r="FC98" s="5" t="s">
        <v>253</v>
      </c>
      <c r="FD98" s="5">
        <f t="shared" si="237"/>
        <v>0</v>
      </c>
      <c r="FE98" s="5" t="s">
        <v>248</v>
      </c>
      <c r="FF98" s="5">
        <f t="shared" si="238"/>
        <v>1</v>
      </c>
      <c r="FG98" s="5">
        <f t="shared" si="239"/>
        <v>1</v>
      </c>
      <c r="FH98" s="5" t="str">
        <f t="shared" si="240"/>
        <v>Nivel de riesgo bajo</v>
      </c>
      <c r="FI98" s="5" t="s">
        <v>247</v>
      </c>
      <c r="FJ98" s="5">
        <f t="shared" si="241"/>
        <v>2</v>
      </c>
      <c r="FK98" s="5" t="s">
        <v>247</v>
      </c>
      <c r="FL98" s="5">
        <f t="shared" si="242"/>
        <v>2</v>
      </c>
      <c r="FM98" s="5" t="s">
        <v>247</v>
      </c>
      <c r="FN98" s="5">
        <f t="shared" si="243"/>
        <v>2</v>
      </c>
      <c r="FO98" s="5">
        <f t="shared" si="244"/>
        <v>6</v>
      </c>
      <c r="FP98" s="5" t="str">
        <f t="shared" si="245"/>
        <v>Nivel de riesgo alto</v>
      </c>
      <c r="FQ98" s="5" t="s">
        <v>206</v>
      </c>
      <c r="FR98" s="5">
        <f t="shared" si="246"/>
        <v>0</v>
      </c>
      <c r="FS98" s="5" t="s">
        <v>206</v>
      </c>
      <c r="FT98" s="5">
        <f t="shared" si="247"/>
        <v>0</v>
      </c>
      <c r="FU98" s="5" t="s">
        <v>206</v>
      </c>
      <c r="FV98" s="5">
        <f t="shared" si="248"/>
        <v>0</v>
      </c>
      <c r="FW98" s="5" t="s">
        <v>206</v>
      </c>
      <c r="FX98" s="5">
        <f t="shared" si="249"/>
        <v>0</v>
      </c>
      <c r="FY98" s="5" t="s">
        <v>206</v>
      </c>
      <c r="FZ98" s="5">
        <f t="shared" si="250"/>
        <v>0</v>
      </c>
      <c r="GA98" s="5" t="s">
        <v>206</v>
      </c>
      <c r="GB98" s="5">
        <f t="shared" si="251"/>
        <v>0</v>
      </c>
      <c r="GC98" s="5" t="s">
        <v>206</v>
      </c>
      <c r="GD98" s="5">
        <f t="shared" si="252"/>
        <v>0</v>
      </c>
      <c r="GE98" s="5">
        <f t="shared" si="253"/>
        <v>0</v>
      </c>
      <c r="GF98" s="5" t="str">
        <f t="shared" si="254"/>
        <v>Nivel de riesgo bajo</v>
      </c>
      <c r="GG98" s="5" t="s">
        <v>255</v>
      </c>
      <c r="GH98" s="5" t="s">
        <v>255</v>
      </c>
      <c r="GI98" s="5" t="s">
        <v>255</v>
      </c>
      <c r="GJ98" s="5" t="s">
        <v>255</v>
      </c>
      <c r="GK98" s="5" t="s">
        <v>255</v>
      </c>
      <c r="GL98" s="5" t="s">
        <v>255</v>
      </c>
      <c r="GM98" s="5" t="s">
        <v>255</v>
      </c>
      <c r="GN98" s="5" t="s">
        <v>243</v>
      </c>
      <c r="GO98" s="5" t="s">
        <v>243</v>
      </c>
      <c r="GP98" s="5" t="s">
        <v>243</v>
      </c>
      <c r="GQ98" s="5" t="s">
        <v>243</v>
      </c>
      <c r="GR98" s="5" t="s">
        <v>243</v>
      </c>
      <c r="GS98" s="5" t="s">
        <v>243</v>
      </c>
      <c r="GT98" s="5" t="s">
        <v>243</v>
      </c>
      <c r="GU98" s="5" t="s">
        <v>440</v>
      </c>
      <c r="GV98" s="5" t="str">
        <f>TEXT("6278833701778789593","0")</f>
        <v>6278833701778780000</v>
      </c>
    </row>
    <row r="99" spans="1:204" ht="15.75" customHeight="1" x14ac:dyDescent="0.15">
      <c r="A99" s="1">
        <f t="shared" si="204"/>
        <v>99</v>
      </c>
      <c r="B99" s="4">
        <v>45847.471875000003</v>
      </c>
      <c r="C99" s="5" t="s">
        <v>204</v>
      </c>
      <c r="D99" s="5" t="s">
        <v>206</v>
      </c>
      <c r="F99" s="5" t="s">
        <v>206</v>
      </c>
      <c r="G99" s="5" t="s">
        <v>206</v>
      </c>
      <c r="H99" s="5" t="s">
        <v>206</v>
      </c>
      <c r="K99" s="5" t="s">
        <v>237</v>
      </c>
      <c r="O99" s="5" t="s">
        <v>209</v>
      </c>
      <c r="S99" s="5" t="s">
        <v>208</v>
      </c>
      <c r="X99" s="5" t="s">
        <v>208</v>
      </c>
      <c r="AC99" s="5" t="s">
        <v>208</v>
      </c>
      <c r="AH99" s="5" t="s">
        <v>210</v>
      </c>
      <c r="AI99" s="5">
        <v>2000</v>
      </c>
      <c r="AJ99" s="5" t="s">
        <v>238</v>
      </c>
      <c r="AK99" s="5" t="str">
        <f t="shared" si="205"/>
        <v>Trabajadora por cuenta propia</v>
      </c>
      <c r="AM99" s="5" t="s">
        <v>309</v>
      </c>
      <c r="AP99" s="5" t="s">
        <v>284</v>
      </c>
      <c r="AR99" s="5" t="s">
        <v>294</v>
      </c>
      <c r="AS99" s="5" t="s">
        <v>294</v>
      </c>
      <c r="AT99" s="5" t="s">
        <v>294</v>
      </c>
      <c r="AU99" s="5" t="s">
        <v>294</v>
      </c>
      <c r="AV99" s="5" t="s">
        <v>285</v>
      </c>
      <c r="AW99" s="5" t="s">
        <v>204</v>
      </c>
      <c r="AX99" s="5" t="s">
        <v>204</v>
      </c>
      <c r="AY99" s="5" t="s">
        <v>366</v>
      </c>
      <c r="AZ99" s="5" t="s">
        <v>204</v>
      </c>
      <c r="BA99" s="5" t="s">
        <v>263</v>
      </c>
      <c r="BF99" s="5" t="s">
        <v>204</v>
      </c>
      <c r="BG99" s="5" t="s">
        <v>264</v>
      </c>
      <c r="BH99" s="5" t="s">
        <v>264</v>
      </c>
      <c r="BI99" s="5" t="s">
        <v>264</v>
      </c>
      <c r="BJ99" s="5" t="s">
        <v>215</v>
      </c>
      <c r="BK99" s="5" t="s">
        <v>244</v>
      </c>
      <c r="BL99" s="5" t="s">
        <v>244</v>
      </c>
      <c r="BM99" s="5" t="s">
        <v>244</v>
      </c>
      <c r="BN99" s="5" t="s">
        <v>244</v>
      </c>
      <c r="BO99" s="5" t="s">
        <v>244</v>
      </c>
      <c r="BP99" s="5" t="s">
        <v>244</v>
      </c>
      <c r="BQ99" s="5" t="s">
        <v>244</v>
      </c>
      <c r="BR99" s="5" t="s">
        <v>244</v>
      </c>
      <c r="BS99" s="5" t="s">
        <v>248</v>
      </c>
      <c r="BT99" s="5" t="s">
        <v>248</v>
      </c>
      <c r="BU99" s="5" t="s">
        <v>248</v>
      </c>
      <c r="BV99" s="5" t="s">
        <v>248</v>
      </c>
      <c r="BW99" s="5" t="s">
        <v>248</v>
      </c>
      <c r="BX99" s="5" t="s">
        <v>248</v>
      </c>
      <c r="BY99" s="5" t="s">
        <v>248</v>
      </c>
      <c r="BZ99" s="5" t="s">
        <v>244</v>
      </c>
      <c r="CA99" s="5" t="s">
        <v>244</v>
      </c>
      <c r="CB99" s="5" t="s">
        <v>244</v>
      </c>
      <c r="CC99" s="5" t="s">
        <v>244</v>
      </c>
      <c r="CD99" s="5" t="s">
        <v>206</v>
      </c>
      <c r="CH99" s="5" t="s">
        <v>206</v>
      </c>
      <c r="CI99" s="5" t="s">
        <v>206</v>
      </c>
      <c r="CJ99" s="5">
        <v>0</v>
      </c>
      <c r="CK99" s="5" t="s">
        <v>223</v>
      </c>
      <c r="CU99" s="5" t="s">
        <v>206</v>
      </c>
      <c r="DA99" s="5" t="s">
        <v>272</v>
      </c>
      <c r="DB99" s="5">
        <f t="shared" si="206"/>
        <v>1</v>
      </c>
      <c r="DC99" s="5" t="s">
        <v>251</v>
      </c>
      <c r="DD99" s="5">
        <f t="shared" si="207"/>
        <v>1</v>
      </c>
      <c r="DE99" s="5" t="s">
        <v>251</v>
      </c>
      <c r="DF99" s="5">
        <f t="shared" si="208"/>
        <v>1</v>
      </c>
      <c r="DG99" s="5" t="s">
        <v>251</v>
      </c>
      <c r="DH99" s="5">
        <f t="shared" si="209"/>
        <v>1</v>
      </c>
      <c r="DI99" s="5" t="s">
        <v>251</v>
      </c>
      <c r="DJ99" s="5">
        <f t="shared" si="210"/>
        <v>1</v>
      </c>
      <c r="DK99" s="5" t="s">
        <v>251</v>
      </c>
      <c r="DL99" s="5">
        <f t="shared" si="211"/>
        <v>1</v>
      </c>
      <c r="DM99" s="5" t="s">
        <v>251</v>
      </c>
      <c r="DN99" s="5">
        <f t="shared" si="212"/>
        <v>1</v>
      </c>
      <c r="DO99" s="5" t="s">
        <v>281</v>
      </c>
      <c r="DP99" s="5">
        <f t="shared" si="213"/>
        <v>1</v>
      </c>
      <c r="DQ99" s="5" t="s">
        <v>281</v>
      </c>
      <c r="DR99" s="5">
        <f t="shared" si="214"/>
        <v>1</v>
      </c>
      <c r="DS99" s="5" t="s">
        <v>281</v>
      </c>
      <c r="DT99" s="5">
        <f t="shared" si="215"/>
        <v>1</v>
      </c>
      <c r="DU99" s="5" t="s">
        <v>281</v>
      </c>
      <c r="DV99" s="5">
        <f t="shared" si="216"/>
        <v>1</v>
      </c>
      <c r="DW99" s="5" t="s">
        <v>281</v>
      </c>
      <c r="DX99" s="5">
        <f t="shared" si="217"/>
        <v>1</v>
      </c>
      <c r="DY99" s="5">
        <f t="shared" si="218"/>
        <v>12</v>
      </c>
      <c r="DZ99" s="5" t="str">
        <f t="shared" si="219"/>
        <v>Nivel de riesgo bajo</v>
      </c>
      <c r="EA99" s="5" t="s">
        <v>247</v>
      </c>
      <c r="EB99" s="5">
        <f t="shared" si="220"/>
        <v>2</v>
      </c>
      <c r="EC99" s="5" t="s">
        <v>247</v>
      </c>
      <c r="ED99" s="5">
        <f t="shared" si="221"/>
        <v>2</v>
      </c>
      <c r="EE99" s="5" t="s">
        <v>247</v>
      </c>
      <c r="EF99" s="5">
        <f t="shared" si="222"/>
        <v>2</v>
      </c>
      <c r="EG99" s="5">
        <f t="shared" si="223"/>
        <v>6</v>
      </c>
      <c r="EH99" s="5" t="str">
        <f t="shared" si="224"/>
        <v>Nivel de riesgo alto</v>
      </c>
      <c r="EI99" s="5" t="s">
        <v>247</v>
      </c>
      <c r="EJ99" s="5">
        <f t="shared" si="225"/>
        <v>2</v>
      </c>
      <c r="EK99" s="5" t="s">
        <v>247</v>
      </c>
      <c r="EL99" s="5">
        <f t="shared" si="226"/>
        <v>2</v>
      </c>
      <c r="EM99" s="5" t="s">
        <v>247</v>
      </c>
      <c r="EN99" s="5">
        <f t="shared" si="227"/>
        <v>2</v>
      </c>
      <c r="EO99" s="5">
        <f t="shared" si="228"/>
        <v>6</v>
      </c>
      <c r="EP99" s="5" t="str">
        <f t="shared" si="229"/>
        <v>Nivel de riesgo alto</v>
      </c>
      <c r="EQ99" s="5" t="s">
        <v>254</v>
      </c>
      <c r="ER99" s="5">
        <f t="shared" si="230"/>
        <v>0</v>
      </c>
      <c r="ES99" s="5" t="s">
        <v>254</v>
      </c>
      <c r="ET99" s="5">
        <f t="shared" si="231"/>
        <v>0</v>
      </c>
      <c r="EU99" s="5" t="s">
        <v>254</v>
      </c>
      <c r="EV99" s="5">
        <f t="shared" si="232"/>
        <v>0</v>
      </c>
      <c r="EW99" s="5" t="s">
        <v>247</v>
      </c>
      <c r="EX99" s="5">
        <f t="shared" si="233"/>
        <v>2</v>
      </c>
      <c r="EY99" s="5">
        <f t="shared" si="234"/>
        <v>2</v>
      </c>
      <c r="EZ99" s="5" t="str">
        <f t="shared" si="235"/>
        <v>Nivel de riesgo medio</v>
      </c>
      <c r="FA99" s="5" t="s">
        <v>247</v>
      </c>
      <c r="FB99" s="5">
        <f t="shared" si="236"/>
        <v>2</v>
      </c>
      <c r="FC99" s="5" t="s">
        <v>247</v>
      </c>
      <c r="FD99" s="5">
        <f t="shared" si="237"/>
        <v>2</v>
      </c>
      <c r="FE99" s="5" t="s">
        <v>247</v>
      </c>
      <c r="FF99" s="5">
        <f t="shared" si="238"/>
        <v>2</v>
      </c>
      <c r="FG99" s="5">
        <f t="shared" si="239"/>
        <v>6</v>
      </c>
      <c r="FH99" s="5" t="str">
        <f t="shared" si="240"/>
        <v>Nivel de riesgo alto</v>
      </c>
      <c r="FI99" s="5" t="s">
        <v>247</v>
      </c>
      <c r="FJ99" s="5">
        <f t="shared" si="241"/>
        <v>2</v>
      </c>
      <c r="FK99" s="5" t="s">
        <v>247</v>
      </c>
      <c r="FL99" s="5">
        <f t="shared" si="242"/>
        <v>2</v>
      </c>
      <c r="FM99" s="5" t="s">
        <v>247</v>
      </c>
      <c r="FN99" s="5">
        <f t="shared" si="243"/>
        <v>2</v>
      </c>
      <c r="FO99" s="5">
        <f t="shared" si="244"/>
        <v>6</v>
      </c>
      <c r="FP99" s="5" t="str">
        <f t="shared" si="245"/>
        <v>Nivel de riesgo alto</v>
      </c>
      <c r="FQ99" s="5" t="s">
        <v>206</v>
      </c>
      <c r="FR99" s="5">
        <f t="shared" si="246"/>
        <v>0</v>
      </c>
      <c r="FS99" s="5" t="s">
        <v>206</v>
      </c>
      <c r="FT99" s="5">
        <f t="shared" si="247"/>
        <v>0</v>
      </c>
      <c r="FU99" s="5" t="s">
        <v>206</v>
      </c>
      <c r="FV99" s="5">
        <f t="shared" si="248"/>
        <v>0</v>
      </c>
      <c r="FW99" s="5" t="s">
        <v>206</v>
      </c>
      <c r="FX99" s="5">
        <f t="shared" si="249"/>
        <v>0</v>
      </c>
      <c r="FY99" s="5" t="s">
        <v>206</v>
      </c>
      <c r="FZ99" s="5">
        <f t="shared" si="250"/>
        <v>0</v>
      </c>
      <c r="GA99" s="5" t="s">
        <v>206</v>
      </c>
      <c r="GB99" s="5">
        <f t="shared" si="251"/>
        <v>0</v>
      </c>
      <c r="GC99" s="5" t="s">
        <v>206</v>
      </c>
      <c r="GD99" s="5">
        <f t="shared" si="252"/>
        <v>0</v>
      </c>
      <c r="GE99" s="5">
        <f t="shared" si="253"/>
        <v>0</v>
      </c>
      <c r="GF99" s="5" t="str">
        <f t="shared" si="254"/>
        <v>Nivel de riesgo bajo</v>
      </c>
      <c r="GG99" s="5" t="s">
        <v>255</v>
      </c>
      <c r="GH99" s="5" t="s">
        <v>255</v>
      </c>
      <c r="GI99" s="5" t="s">
        <v>255</v>
      </c>
      <c r="GJ99" s="5" t="s">
        <v>266</v>
      </c>
      <c r="GK99" s="5" t="s">
        <v>233</v>
      </c>
      <c r="GL99" s="5" t="s">
        <v>298</v>
      </c>
      <c r="GM99" s="5" t="s">
        <v>266</v>
      </c>
      <c r="GN99" s="5" t="s">
        <v>256</v>
      </c>
      <c r="GO99" s="5" t="s">
        <v>256</v>
      </c>
      <c r="GP99" s="5" t="s">
        <v>243</v>
      </c>
      <c r="GQ99" s="5" t="s">
        <v>243</v>
      </c>
      <c r="GR99" s="5" t="s">
        <v>243</v>
      </c>
      <c r="GS99" s="5" t="s">
        <v>243</v>
      </c>
      <c r="GT99" s="5" t="s">
        <v>256</v>
      </c>
      <c r="GU99" s="5" t="s">
        <v>441</v>
      </c>
      <c r="GV99" s="5" t="str">
        <f>TEXT("6278835704383476975","0")</f>
        <v>6278835704383470000</v>
      </c>
    </row>
    <row r="100" spans="1:204" ht="15.75" customHeight="1" x14ac:dyDescent="0.15">
      <c r="A100" s="1">
        <f t="shared" si="204"/>
        <v>100</v>
      </c>
      <c r="B100" s="4">
        <v>45847.472581018519</v>
      </c>
      <c r="C100" s="5" t="s">
        <v>204</v>
      </c>
      <c r="D100" s="5" t="s">
        <v>206</v>
      </c>
      <c r="F100" s="5" t="s">
        <v>204</v>
      </c>
      <c r="G100" s="5" t="s">
        <v>206</v>
      </c>
      <c r="H100" s="5" t="s">
        <v>206</v>
      </c>
      <c r="J100" s="5" t="s">
        <v>209</v>
      </c>
      <c r="O100" s="5" t="s">
        <v>209</v>
      </c>
      <c r="S100" s="5" t="s">
        <v>208</v>
      </c>
      <c r="X100" s="5" t="s">
        <v>208</v>
      </c>
      <c r="AC100" s="5" t="s">
        <v>208</v>
      </c>
      <c r="AH100" s="5" t="s">
        <v>346</v>
      </c>
      <c r="AI100" s="5">
        <v>2023</v>
      </c>
      <c r="AJ100" s="5" t="s">
        <v>238</v>
      </c>
      <c r="AK100" s="5" t="str">
        <f t="shared" si="205"/>
        <v>Trabajadora por cuenta propia</v>
      </c>
      <c r="AM100" s="5" t="s">
        <v>309</v>
      </c>
      <c r="AP100" s="5" t="s">
        <v>240</v>
      </c>
      <c r="AR100" s="5" t="s">
        <v>301</v>
      </c>
      <c r="AS100" s="5" t="s">
        <v>301</v>
      </c>
      <c r="AT100" s="5" t="s">
        <v>301</v>
      </c>
      <c r="AU100" s="5" t="s">
        <v>261</v>
      </c>
      <c r="AV100" s="5" t="s">
        <v>285</v>
      </c>
      <c r="AW100" s="5" t="s">
        <v>204</v>
      </c>
      <c r="AX100" s="5" t="s">
        <v>204</v>
      </c>
      <c r="AY100" s="5" t="s">
        <v>270</v>
      </c>
      <c r="AZ100" s="5" t="s">
        <v>204</v>
      </c>
      <c r="BA100" s="5" t="s">
        <v>344</v>
      </c>
      <c r="BF100" s="5" t="s">
        <v>204</v>
      </c>
      <c r="BG100" s="5" t="s">
        <v>242</v>
      </c>
      <c r="BH100" s="5" t="s">
        <v>215</v>
      </c>
      <c r="BI100" s="5" t="s">
        <v>242</v>
      </c>
      <c r="BJ100" s="5" t="s">
        <v>215</v>
      </c>
      <c r="BK100" s="5" t="s">
        <v>216</v>
      </c>
      <c r="BL100" s="5" t="s">
        <v>216</v>
      </c>
      <c r="BM100" s="5" t="s">
        <v>244</v>
      </c>
      <c r="BN100" s="5" t="s">
        <v>244</v>
      </c>
      <c r="BO100" s="5" t="s">
        <v>246</v>
      </c>
      <c r="BP100" s="5" t="s">
        <v>246</v>
      </c>
      <c r="BQ100" s="5" t="s">
        <v>246</v>
      </c>
      <c r="BR100" s="5" t="s">
        <v>246</v>
      </c>
      <c r="BS100" s="5" t="s">
        <v>248</v>
      </c>
      <c r="BT100" s="5" t="s">
        <v>247</v>
      </c>
      <c r="BU100" s="5" t="s">
        <v>248</v>
      </c>
      <c r="BV100" s="5" t="s">
        <v>247</v>
      </c>
      <c r="BW100" s="5" t="s">
        <v>247</v>
      </c>
      <c r="BX100" s="5" t="s">
        <v>247</v>
      </c>
      <c r="BY100" s="5" t="s">
        <v>247</v>
      </c>
      <c r="BZ100" s="5" t="s">
        <v>216</v>
      </c>
      <c r="CA100" s="5" t="s">
        <v>216</v>
      </c>
      <c r="CB100" s="5" t="s">
        <v>246</v>
      </c>
      <c r="CC100" s="5" t="s">
        <v>246</v>
      </c>
      <c r="CD100" s="5" t="s">
        <v>204</v>
      </c>
      <c r="CE100" s="5" t="s">
        <v>218</v>
      </c>
      <c r="CF100" s="5" t="s">
        <v>219</v>
      </c>
      <c r="CG100" s="5" t="s">
        <v>206</v>
      </c>
      <c r="CH100" s="5" t="s">
        <v>206</v>
      </c>
      <c r="CI100" s="5" t="s">
        <v>206</v>
      </c>
      <c r="CJ100" s="5">
        <v>9</v>
      </c>
      <c r="CK100" s="5" t="s">
        <v>223</v>
      </c>
      <c r="CU100" s="5" t="s">
        <v>206</v>
      </c>
      <c r="DA100" s="5" t="s">
        <v>272</v>
      </c>
      <c r="DB100" s="5">
        <f t="shared" si="206"/>
        <v>1</v>
      </c>
      <c r="DC100" s="5" t="s">
        <v>251</v>
      </c>
      <c r="DD100" s="5">
        <f t="shared" si="207"/>
        <v>1</v>
      </c>
      <c r="DE100" s="5" t="s">
        <v>230</v>
      </c>
      <c r="DF100" s="5">
        <f t="shared" si="208"/>
        <v>2</v>
      </c>
      <c r="DG100" s="5" t="s">
        <v>251</v>
      </c>
      <c r="DH100" s="5">
        <f t="shared" si="209"/>
        <v>1</v>
      </c>
      <c r="DI100" s="5" t="s">
        <v>251</v>
      </c>
      <c r="DJ100" s="5">
        <f t="shared" si="210"/>
        <v>1</v>
      </c>
      <c r="DK100" s="5" t="s">
        <v>251</v>
      </c>
      <c r="DL100" s="5">
        <f t="shared" si="211"/>
        <v>1</v>
      </c>
      <c r="DM100" s="5" t="s">
        <v>251</v>
      </c>
      <c r="DN100" s="5">
        <f t="shared" si="212"/>
        <v>1</v>
      </c>
      <c r="DO100" s="5" t="s">
        <v>281</v>
      </c>
      <c r="DP100" s="5">
        <f t="shared" si="213"/>
        <v>1</v>
      </c>
      <c r="DQ100" s="5" t="s">
        <v>281</v>
      </c>
      <c r="DR100" s="5">
        <f t="shared" si="214"/>
        <v>1</v>
      </c>
      <c r="DS100" s="5" t="s">
        <v>281</v>
      </c>
      <c r="DT100" s="5">
        <f t="shared" si="215"/>
        <v>1</v>
      </c>
      <c r="DU100" s="5" t="s">
        <v>281</v>
      </c>
      <c r="DV100" s="5">
        <f t="shared" si="216"/>
        <v>1</v>
      </c>
      <c r="DW100" s="5" t="s">
        <v>281</v>
      </c>
      <c r="DX100" s="5">
        <f t="shared" si="217"/>
        <v>1</v>
      </c>
      <c r="DY100" s="5">
        <f t="shared" si="218"/>
        <v>13</v>
      </c>
      <c r="DZ100" s="5" t="str">
        <f t="shared" si="219"/>
        <v>Nivel de riesgo bajo</v>
      </c>
      <c r="EA100" s="5" t="s">
        <v>247</v>
      </c>
      <c r="EB100" s="5">
        <f t="shared" si="220"/>
        <v>2</v>
      </c>
      <c r="EC100" s="5" t="s">
        <v>247</v>
      </c>
      <c r="ED100" s="5">
        <f t="shared" si="221"/>
        <v>2</v>
      </c>
      <c r="EE100" s="5" t="s">
        <v>247</v>
      </c>
      <c r="EF100" s="5">
        <f t="shared" si="222"/>
        <v>2</v>
      </c>
      <c r="EG100" s="5">
        <f t="shared" si="223"/>
        <v>6</v>
      </c>
      <c r="EH100" s="5" t="str">
        <f t="shared" si="224"/>
        <v>Nivel de riesgo alto</v>
      </c>
      <c r="EI100" s="5" t="s">
        <v>232</v>
      </c>
      <c r="EJ100" s="5">
        <f t="shared" si="225"/>
        <v>3</v>
      </c>
      <c r="EK100" s="5" t="s">
        <v>247</v>
      </c>
      <c r="EL100" s="5">
        <f t="shared" si="226"/>
        <v>2</v>
      </c>
      <c r="EM100" s="5" t="s">
        <v>247</v>
      </c>
      <c r="EN100" s="5">
        <f t="shared" si="227"/>
        <v>2</v>
      </c>
      <c r="EO100" s="5">
        <f t="shared" si="228"/>
        <v>7</v>
      </c>
      <c r="EP100" s="5" t="str">
        <f t="shared" si="229"/>
        <v>Nivel de riesgo alto</v>
      </c>
      <c r="EQ100" s="5" t="s">
        <v>232</v>
      </c>
      <c r="ER100" s="5">
        <f t="shared" si="230"/>
        <v>1</v>
      </c>
      <c r="ES100" s="5" t="s">
        <v>232</v>
      </c>
      <c r="ET100" s="5">
        <f t="shared" si="231"/>
        <v>1</v>
      </c>
      <c r="EU100" s="5" t="s">
        <v>232</v>
      </c>
      <c r="EV100" s="5">
        <f t="shared" si="232"/>
        <v>1</v>
      </c>
      <c r="EW100" s="5" t="s">
        <v>232</v>
      </c>
      <c r="EX100" s="5">
        <f t="shared" si="233"/>
        <v>1</v>
      </c>
      <c r="EY100" s="5">
        <f t="shared" si="234"/>
        <v>4</v>
      </c>
      <c r="EZ100" s="5" t="str">
        <f t="shared" si="235"/>
        <v>Nivel de riesgo medio</v>
      </c>
      <c r="FA100" s="5" t="s">
        <v>232</v>
      </c>
      <c r="FB100" s="5">
        <f t="shared" si="236"/>
        <v>3</v>
      </c>
      <c r="FC100" s="5" t="s">
        <v>247</v>
      </c>
      <c r="FD100" s="5">
        <f t="shared" si="237"/>
        <v>2</v>
      </c>
      <c r="FE100" s="5" t="s">
        <v>247</v>
      </c>
      <c r="FF100" s="5">
        <f t="shared" si="238"/>
        <v>2</v>
      </c>
      <c r="FG100" s="5">
        <f t="shared" si="239"/>
        <v>7</v>
      </c>
      <c r="FH100" s="5" t="str">
        <f t="shared" si="240"/>
        <v>Nivel de riesgo alto</v>
      </c>
      <c r="FI100" s="5" t="s">
        <v>247</v>
      </c>
      <c r="FJ100" s="5">
        <f t="shared" si="241"/>
        <v>2</v>
      </c>
      <c r="FK100" s="5" t="s">
        <v>247</v>
      </c>
      <c r="FL100" s="5">
        <f t="shared" si="242"/>
        <v>2</v>
      </c>
      <c r="FM100" s="5" t="s">
        <v>247</v>
      </c>
      <c r="FN100" s="5">
        <f t="shared" si="243"/>
        <v>2</v>
      </c>
      <c r="FO100" s="5">
        <f t="shared" si="244"/>
        <v>6</v>
      </c>
      <c r="FP100" s="5" t="str">
        <f t="shared" si="245"/>
        <v>Nivel de riesgo alto</v>
      </c>
      <c r="FQ100" s="5" t="s">
        <v>206</v>
      </c>
      <c r="FR100" s="5">
        <f t="shared" si="246"/>
        <v>0</v>
      </c>
      <c r="FS100" s="5" t="s">
        <v>206</v>
      </c>
      <c r="FT100" s="5">
        <f t="shared" si="247"/>
        <v>0</v>
      </c>
      <c r="FU100" s="5" t="s">
        <v>206</v>
      </c>
      <c r="FV100" s="5">
        <f t="shared" si="248"/>
        <v>0</v>
      </c>
      <c r="FW100" s="5" t="s">
        <v>206</v>
      </c>
      <c r="FX100" s="5">
        <f t="shared" si="249"/>
        <v>0</v>
      </c>
      <c r="FY100" s="5" t="s">
        <v>206</v>
      </c>
      <c r="FZ100" s="5">
        <f t="shared" si="250"/>
        <v>0</v>
      </c>
      <c r="GA100" s="5" t="s">
        <v>206</v>
      </c>
      <c r="GB100" s="5">
        <f t="shared" si="251"/>
        <v>0</v>
      </c>
      <c r="GC100" s="5" t="s">
        <v>206</v>
      </c>
      <c r="GD100" s="5">
        <f t="shared" si="252"/>
        <v>0</v>
      </c>
      <c r="GE100" s="5">
        <f t="shared" si="253"/>
        <v>0</v>
      </c>
      <c r="GF100" s="5" t="str">
        <f t="shared" si="254"/>
        <v>Nivel de riesgo bajo</v>
      </c>
      <c r="GG100" s="5" t="s">
        <v>255</v>
      </c>
      <c r="GH100" s="5" t="s">
        <v>255</v>
      </c>
      <c r="GI100" s="5" t="s">
        <v>255</v>
      </c>
      <c r="GJ100" s="5" t="s">
        <v>255</v>
      </c>
      <c r="GK100" s="5" t="s">
        <v>255</v>
      </c>
      <c r="GL100" s="5" t="s">
        <v>255</v>
      </c>
      <c r="GM100" s="5" t="s">
        <v>255</v>
      </c>
      <c r="GN100" s="5" t="s">
        <v>243</v>
      </c>
      <c r="GO100" s="5" t="s">
        <v>243</v>
      </c>
      <c r="GP100" s="5" t="s">
        <v>243</v>
      </c>
      <c r="GQ100" s="5" t="s">
        <v>243</v>
      </c>
      <c r="GR100" s="5" t="s">
        <v>243</v>
      </c>
      <c r="GS100" s="5" t="s">
        <v>243</v>
      </c>
      <c r="GT100" s="5" t="s">
        <v>243</v>
      </c>
      <c r="GU100" s="5" t="s">
        <v>442</v>
      </c>
      <c r="GV100" s="5" t="str">
        <f>TEXT("6278836318515778777","0")</f>
        <v>6278836318515770000</v>
      </c>
    </row>
    <row r="101" spans="1:204" ht="15.75" customHeight="1" x14ac:dyDescent="0.15">
      <c r="A101" s="1">
        <f t="shared" si="204"/>
        <v>101</v>
      </c>
      <c r="B101" s="4">
        <v>45847.474131944444</v>
      </c>
      <c r="C101" s="5" t="s">
        <v>204</v>
      </c>
      <c r="D101" s="5" t="s">
        <v>206</v>
      </c>
      <c r="F101" s="5" t="s">
        <v>206</v>
      </c>
      <c r="G101" s="5" t="s">
        <v>206</v>
      </c>
      <c r="H101" s="5" t="s">
        <v>206</v>
      </c>
      <c r="K101" s="5" t="s">
        <v>237</v>
      </c>
      <c r="P101" s="5" t="s">
        <v>237</v>
      </c>
      <c r="S101" s="5" t="s">
        <v>208</v>
      </c>
      <c r="X101" s="5" t="s">
        <v>208</v>
      </c>
      <c r="AC101" s="5" t="s">
        <v>208</v>
      </c>
      <c r="AG101" s="5" t="s">
        <v>207</v>
      </c>
      <c r="AH101" s="5" t="s">
        <v>268</v>
      </c>
      <c r="AI101" s="5">
        <v>2023</v>
      </c>
      <c r="AJ101" s="5" t="s">
        <v>238</v>
      </c>
      <c r="AK101" s="5" t="str">
        <f t="shared" si="205"/>
        <v>Trabajadora por cuenta propia</v>
      </c>
      <c r="AO101" s="5" t="s">
        <v>390</v>
      </c>
      <c r="AP101" s="5" t="s">
        <v>284</v>
      </c>
      <c r="AR101" s="5" t="s">
        <v>301</v>
      </c>
      <c r="AS101" s="5" t="s">
        <v>301</v>
      </c>
      <c r="AT101" s="5" t="s">
        <v>301</v>
      </c>
      <c r="AU101" s="5" t="s">
        <v>301</v>
      </c>
      <c r="AV101" s="5" t="s">
        <v>269</v>
      </c>
      <c r="AW101" s="5" t="s">
        <v>204</v>
      </c>
      <c r="AX101" s="5" t="s">
        <v>204</v>
      </c>
      <c r="AY101" s="5" t="s">
        <v>214</v>
      </c>
      <c r="AZ101" s="5" t="s">
        <v>204</v>
      </c>
      <c r="BA101" s="5" t="s">
        <v>263</v>
      </c>
      <c r="BF101" s="5" t="s">
        <v>204</v>
      </c>
      <c r="BG101" s="5" t="s">
        <v>278</v>
      </c>
      <c r="BH101" s="5" t="s">
        <v>278</v>
      </c>
      <c r="BI101" s="5" t="s">
        <v>278</v>
      </c>
      <c r="BJ101" s="5" t="s">
        <v>278</v>
      </c>
      <c r="BK101" s="5" t="s">
        <v>244</v>
      </c>
      <c r="BL101" s="5" t="s">
        <v>216</v>
      </c>
      <c r="BM101" s="5" t="s">
        <v>244</v>
      </c>
      <c r="BN101" s="5" t="s">
        <v>244</v>
      </c>
      <c r="BO101" s="5" t="s">
        <v>244</v>
      </c>
      <c r="BP101" s="5" t="s">
        <v>244</v>
      </c>
      <c r="BQ101" s="5" t="s">
        <v>244</v>
      </c>
      <c r="BR101" s="5" t="s">
        <v>244</v>
      </c>
      <c r="BS101" s="5" t="s">
        <v>254</v>
      </c>
      <c r="BT101" s="5" t="s">
        <v>217</v>
      </c>
      <c r="BU101" s="5" t="s">
        <v>217</v>
      </c>
      <c r="BV101" s="5" t="s">
        <v>217</v>
      </c>
      <c r="BW101" s="5" t="s">
        <v>247</v>
      </c>
      <c r="BX101" s="5" t="s">
        <v>217</v>
      </c>
      <c r="BY101" s="5" t="s">
        <v>217</v>
      </c>
      <c r="BZ101" s="5" t="s">
        <v>244</v>
      </c>
      <c r="CA101" s="5" t="s">
        <v>244</v>
      </c>
      <c r="CB101" s="5" t="s">
        <v>244</v>
      </c>
      <c r="CC101" s="5" t="s">
        <v>243</v>
      </c>
      <c r="CD101" s="5" t="s">
        <v>204</v>
      </c>
      <c r="CE101" s="5" t="s">
        <v>218</v>
      </c>
      <c r="CF101" s="5" t="s">
        <v>219</v>
      </c>
      <c r="CG101" s="5" t="s">
        <v>206</v>
      </c>
      <c r="CH101" s="5" t="s">
        <v>206</v>
      </c>
      <c r="CI101" s="5" t="s">
        <v>206</v>
      </c>
      <c r="CJ101" s="5">
        <v>0</v>
      </c>
      <c r="CK101" s="5" t="s">
        <v>223</v>
      </c>
      <c r="CU101" s="5" t="s">
        <v>206</v>
      </c>
      <c r="DA101" s="5" t="s">
        <v>272</v>
      </c>
      <c r="DB101" s="5">
        <f t="shared" si="206"/>
        <v>1</v>
      </c>
      <c r="DC101" s="5" t="s">
        <v>251</v>
      </c>
      <c r="DD101" s="5">
        <f t="shared" si="207"/>
        <v>1</v>
      </c>
      <c r="DE101" s="5" t="s">
        <v>251</v>
      </c>
      <c r="DF101" s="5">
        <f t="shared" si="208"/>
        <v>1</v>
      </c>
      <c r="DG101" s="5" t="s">
        <v>251</v>
      </c>
      <c r="DH101" s="5">
        <f t="shared" si="209"/>
        <v>1</v>
      </c>
      <c r="DI101" s="5" t="s">
        <v>251</v>
      </c>
      <c r="DJ101" s="5">
        <f t="shared" si="210"/>
        <v>1</v>
      </c>
      <c r="DK101" s="5" t="s">
        <v>251</v>
      </c>
      <c r="DL101" s="5">
        <f t="shared" si="211"/>
        <v>1</v>
      </c>
      <c r="DM101" s="5" t="s">
        <v>251</v>
      </c>
      <c r="DN101" s="5">
        <f t="shared" si="212"/>
        <v>1</v>
      </c>
      <c r="DO101" s="5" t="s">
        <v>281</v>
      </c>
      <c r="DP101" s="5">
        <f t="shared" si="213"/>
        <v>1</v>
      </c>
      <c r="DQ101" s="5" t="s">
        <v>281</v>
      </c>
      <c r="DR101" s="5">
        <f t="shared" si="214"/>
        <v>1</v>
      </c>
      <c r="DS101" s="5" t="s">
        <v>281</v>
      </c>
      <c r="DT101" s="5">
        <f t="shared" si="215"/>
        <v>1</v>
      </c>
      <c r="DU101" s="5" t="s">
        <v>281</v>
      </c>
      <c r="DV101" s="5">
        <f t="shared" si="216"/>
        <v>1</v>
      </c>
      <c r="DW101" s="5" t="s">
        <v>281</v>
      </c>
      <c r="DX101" s="5">
        <f t="shared" si="217"/>
        <v>1</v>
      </c>
      <c r="DY101" s="5">
        <f t="shared" si="218"/>
        <v>12</v>
      </c>
      <c r="DZ101" s="5" t="str">
        <f t="shared" si="219"/>
        <v>Nivel de riesgo bajo</v>
      </c>
      <c r="EA101" s="5" t="s">
        <v>254</v>
      </c>
      <c r="EB101" s="5">
        <f t="shared" si="220"/>
        <v>4</v>
      </c>
      <c r="EC101" s="5" t="s">
        <v>247</v>
      </c>
      <c r="ED101" s="5">
        <f t="shared" si="221"/>
        <v>2</v>
      </c>
      <c r="EE101" s="5" t="s">
        <v>253</v>
      </c>
      <c r="EF101" s="5">
        <f t="shared" si="222"/>
        <v>0</v>
      </c>
      <c r="EG101" s="5">
        <f t="shared" si="223"/>
        <v>6</v>
      </c>
      <c r="EH101" s="5" t="str">
        <f t="shared" si="224"/>
        <v>Nivel de riesgo alto</v>
      </c>
      <c r="EI101" s="5" t="s">
        <v>253</v>
      </c>
      <c r="EJ101" s="5">
        <f t="shared" si="225"/>
        <v>0</v>
      </c>
      <c r="EK101" s="5" t="s">
        <v>253</v>
      </c>
      <c r="EL101" s="5">
        <f t="shared" si="226"/>
        <v>0</v>
      </c>
      <c r="EM101" s="5" t="s">
        <v>253</v>
      </c>
      <c r="EN101" s="5">
        <f t="shared" si="227"/>
        <v>0</v>
      </c>
      <c r="EO101" s="5">
        <f t="shared" si="228"/>
        <v>0</v>
      </c>
      <c r="EP101" s="5" t="str">
        <f t="shared" si="229"/>
        <v>Nivel de riesgo bajo</v>
      </c>
      <c r="EQ101" s="5" t="s">
        <v>253</v>
      </c>
      <c r="ER101" s="5">
        <f t="shared" si="230"/>
        <v>4</v>
      </c>
      <c r="ES101" s="5" t="s">
        <v>253</v>
      </c>
      <c r="ET101" s="5">
        <f t="shared" si="231"/>
        <v>4</v>
      </c>
      <c r="EU101" s="5" t="s">
        <v>253</v>
      </c>
      <c r="EV101" s="5">
        <f t="shared" si="232"/>
        <v>4</v>
      </c>
      <c r="EW101" s="5" t="s">
        <v>253</v>
      </c>
      <c r="EX101" s="5">
        <f t="shared" si="233"/>
        <v>4</v>
      </c>
      <c r="EY101" s="5">
        <f t="shared" si="234"/>
        <v>16</v>
      </c>
      <c r="EZ101" s="5" t="str">
        <f t="shared" si="235"/>
        <v>Nivel de riesgo alto</v>
      </c>
      <c r="FA101" s="5" t="s">
        <v>253</v>
      </c>
      <c r="FB101" s="5">
        <f t="shared" si="236"/>
        <v>0</v>
      </c>
      <c r="FC101" s="5" t="s">
        <v>253</v>
      </c>
      <c r="FD101" s="5">
        <f t="shared" si="237"/>
        <v>0</v>
      </c>
      <c r="FE101" s="5" t="s">
        <v>253</v>
      </c>
      <c r="FF101" s="5">
        <f t="shared" si="238"/>
        <v>0</v>
      </c>
      <c r="FG101" s="5">
        <f t="shared" si="239"/>
        <v>0</v>
      </c>
      <c r="FH101" s="5" t="str">
        <f t="shared" si="240"/>
        <v>Nivel de riesgo bajo</v>
      </c>
      <c r="FI101" s="5" t="s">
        <v>253</v>
      </c>
      <c r="FJ101" s="5">
        <f t="shared" si="241"/>
        <v>0</v>
      </c>
      <c r="FK101" s="5" t="s">
        <v>253</v>
      </c>
      <c r="FL101" s="5">
        <f t="shared" si="242"/>
        <v>0</v>
      </c>
      <c r="FM101" s="5" t="s">
        <v>253</v>
      </c>
      <c r="FN101" s="5">
        <f t="shared" si="243"/>
        <v>0</v>
      </c>
      <c r="FO101" s="5">
        <f t="shared" si="244"/>
        <v>0</v>
      </c>
      <c r="FP101" s="5" t="str">
        <f t="shared" si="245"/>
        <v>Nivel de riesgo bajo</v>
      </c>
      <c r="FQ101" s="5" t="s">
        <v>206</v>
      </c>
      <c r="FR101" s="5">
        <f t="shared" si="246"/>
        <v>0</v>
      </c>
      <c r="FS101" s="5" t="s">
        <v>206</v>
      </c>
      <c r="FT101" s="5">
        <f t="shared" si="247"/>
        <v>0</v>
      </c>
      <c r="FU101" s="5" t="s">
        <v>206</v>
      </c>
      <c r="FV101" s="5">
        <f t="shared" si="248"/>
        <v>0</v>
      </c>
      <c r="FW101" s="5" t="s">
        <v>206</v>
      </c>
      <c r="FX101" s="5">
        <f t="shared" si="249"/>
        <v>0</v>
      </c>
      <c r="FY101" s="5" t="s">
        <v>206</v>
      </c>
      <c r="FZ101" s="5">
        <f t="shared" si="250"/>
        <v>0</v>
      </c>
      <c r="GA101" s="5" t="s">
        <v>206</v>
      </c>
      <c r="GB101" s="5">
        <f t="shared" si="251"/>
        <v>0</v>
      </c>
      <c r="GC101" s="5" t="s">
        <v>206</v>
      </c>
      <c r="GD101" s="5">
        <f t="shared" si="252"/>
        <v>0</v>
      </c>
      <c r="GE101" s="5">
        <f t="shared" si="253"/>
        <v>0</v>
      </c>
      <c r="GF101" s="5" t="str">
        <f t="shared" si="254"/>
        <v>Nivel de riesgo bajo</v>
      </c>
      <c r="GG101" s="5" t="s">
        <v>255</v>
      </c>
      <c r="GH101" s="5" t="s">
        <v>255</v>
      </c>
      <c r="GI101" s="5" t="s">
        <v>255</v>
      </c>
      <c r="GJ101" s="5" t="s">
        <v>255</v>
      </c>
      <c r="GK101" s="5" t="s">
        <v>233</v>
      </c>
      <c r="GL101" s="5" t="s">
        <v>273</v>
      </c>
      <c r="GM101" s="5" t="s">
        <v>255</v>
      </c>
      <c r="GN101" s="5" t="s">
        <v>256</v>
      </c>
      <c r="GO101" s="5" t="s">
        <v>256</v>
      </c>
      <c r="GP101" s="5" t="s">
        <v>256</v>
      </c>
      <c r="GQ101" s="5" t="s">
        <v>256</v>
      </c>
      <c r="GR101" s="5" t="s">
        <v>256</v>
      </c>
      <c r="GS101" s="5" t="s">
        <v>256</v>
      </c>
      <c r="GT101" s="5" t="s">
        <v>256</v>
      </c>
      <c r="GU101" s="5" t="s">
        <v>443</v>
      </c>
      <c r="GV101" s="5" t="str">
        <f>TEXT("6278837651213167935","0")</f>
        <v>6278837651213160000</v>
      </c>
    </row>
    <row r="102" spans="1:204" ht="15.75" customHeight="1" x14ac:dyDescent="0.15">
      <c r="A102" s="1">
        <f t="shared" si="204"/>
        <v>102</v>
      </c>
      <c r="B102" s="4">
        <v>45847.475752314815</v>
      </c>
      <c r="C102" s="5" t="s">
        <v>204</v>
      </c>
      <c r="D102" s="5" t="s">
        <v>206</v>
      </c>
      <c r="F102" s="5" t="s">
        <v>206</v>
      </c>
      <c r="G102" s="5" t="s">
        <v>206</v>
      </c>
      <c r="H102" s="5" t="s">
        <v>206</v>
      </c>
      <c r="J102" s="5" t="s">
        <v>209</v>
      </c>
      <c r="O102" s="5" t="s">
        <v>209</v>
      </c>
      <c r="S102" s="5" t="s">
        <v>208</v>
      </c>
      <c r="X102" s="5" t="s">
        <v>208</v>
      </c>
      <c r="AC102" s="5" t="s">
        <v>208</v>
      </c>
      <c r="AH102" s="5" t="s">
        <v>268</v>
      </c>
      <c r="AI102" s="5">
        <v>2008</v>
      </c>
      <c r="AJ102" s="5" t="s">
        <v>238</v>
      </c>
      <c r="AK102" s="5" t="str">
        <f t="shared" si="205"/>
        <v>Trabajadora por cuenta propia</v>
      </c>
      <c r="AN102" s="5" t="s">
        <v>288</v>
      </c>
      <c r="AP102" s="5" t="s">
        <v>365</v>
      </c>
      <c r="AR102" s="5" t="s">
        <v>261</v>
      </c>
      <c r="AS102" s="5" t="s">
        <v>294</v>
      </c>
      <c r="AT102" s="5" t="s">
        <v>294</v>
      </c>
      <c r="AU102" s="5" t="s">
        <v>294</v>
      </c>
      <c r="AV102" s="5" t="s">
        <v>269</v>
      </c>
      <c r="AW102" s="5" t="s">
        <v>204</v>
      </c>
      <c r="AX102" s="5" t="s">
        <v>204</v>
      </c>
      <c r="AY102" s="5" t="s">
        <v>406</v>
      </c>
      <c r="AZ102" s="5" t="s">
        <v>204</v>
      </c>
      <c r="BA102" s="5" t="s">
        <v>263</v>
      </c>
      <c r="BF102" s="5" t="s">
        <v>204</v>
      </c>
      <c r="BG102" s="5" t="s">
        <v>215</v>
      </c>
      <c r="BH102" s="5" t="s">
        <v>215</v>
      </c>
      <c r="BI102" s="5" t="s">
        <v>264</v>
      </c>
      <c r="BJ102" s="5" t="s">
        <v>264</v>
      </c>
      <c r="BK102" s="5" t="s">
        <v>243</v>
      </c>
      <c r="BL102" s="5" t="s">
        <v>243</v>
      </c>
      <c r="BM102" s="5" t="s">
        <v>243</v>
      </c>
      <c r="BN102" s="5" t="s">
        <v>243</v>
      </c>
      <c r="BO102" s="5" t="s">
        <v>243</v>
      </c>
      <c r="BP102" s="5" t="s">
        <v>243</v>
      </c>
      <c r="BQ102" s="5" t="s">
        <v>243</v>
      </c>
      <c r="BR102" s="5" t="s">
        <v>243</v>
      </c>
      <c r="BS102" s="5" t="s">
        <v>248</v>
      </c>
      <c r="BT102" s="5" t="s">
        <v>247</v>
      </c>
      <c r="BU102" s="5" t="s">
        <v>248</v>
      </c>
      <c r="BV102" s="5" t="s">
        <v>248</v>
      </c>
      <c r="BW102" s="5" t="s">
        <v>248</v>
      </c>
      <c r="BX102" s="5" t="s">
        <v>248</v>
      </c>
      <c r="BY102" s="5" t="s">
        <v>217</v>
      </c>
      <c r="BZ102" s="5" t="s">
        <v>245</v>
      </c>
      <c r="CA102" s="5" t="s">
        <v>245</v>
      </c>
      <c r="CB102" s="5" t="s">
        <v>245</v>
      </c>
      <c r="CC102" s="5" t="s">
        <v>245</v>
      </c>
      <c r="CD102" s="5" t="s">
        <v>204</v>
      </c>
      <c r="CE102" s="5" t="s">
        <v>218</v>
      </c>
      <c r="CF102" s="5" t="s">
        <v>279</v>
      </c>
      <c r="CG102" s="5" t="s">
        <v>206</v>
      </c>
      <c r="CH102" s="5" t="s">
        <v>206</v>
      </c>
      <c r="CI102" s="5" t="s">
        <v>206</v>
      </c>
      <c r="CJ102" s="5">
        <v>0</v>
      </c>
      <c r="CK102" s="5" t="s">
        <v>223</v>
      </c>
      <c r="CU102" s="5" t="s">
        <v>206</v>
      </c>
      <c r="DA102" s="5" t="s">
        <v>272</v>
      </c>
      <c r="DB102" s="5">
        <f t="shared" si="206"/>
        <v>1</v>
      </c>
      <c r="DC102" s="5" t="s">
        <v>251</v>
      </c>
      <c r="DD102" s="5">
        <f t="shared" si="207"/>
        <v>1</v>
      </c>
      <c r="DE102" s="5" t="s">
        <v>251</v>
      </c>
      <c r="DF102" s="5">
        <f t="shared" si="208"/>
        <v>1</v>
      </c>
      <c r="DG102" s="5" t="s">
        <v>251</v>
      </c>
      <c r="DH102" s="5">
        <f t="shared" si="209"/>
        <v>1</v>
      </c>
      <c r="DI102" s="5" t="s">
        <v>251</v>
      </c>
      <c r="DJ102" s="5">
        <f t="shared" si="210"/>
        <v>1</v>
      </c>
      <c r="DK102" s="5" t="s">
        <v>251</v>
      </c>
      <c r="DL102" s="5">
        <f t="shared" si="211"/>
        <v>1</v>
      </c>
      <c r="DM102" s="5" t="s">
        <v>251</v>
      </c>
      <c r="DN102" s="5">
        <f t="shared" si="212"/>
        <v>1</v>
      </c>
      <c r="DO102" s="5" t="s">
        <v>231</v>
      </c>
      <c r="DP102" s="5">
        <f t="shared" si="213"/>
        <v>2</v>
      </c>
      <c r="DQ102" s="5" t="s">
        <v>231</v>
      </c>
      <c r="DR102" s="5">
        <f t="shared" si="214"/>
        <v>2</v>
      </c>
      <c r="DS102" s="5" t="s">
        <v>231</v>
      </c>
      <c r="DT102" s="5">
        <f t="shared" si="215"/>
        <v>2</v>
      </c>
      <c r="DU102" s="5" t="s">
        <v>231</v>
      </c>
      <c r="DV102" s="5">
        <f t="shared" si="216"/>
        <v>2</v>
      </c>
      <c r="DW102" s="5" t="s">
        <v>231</v>
      </c>
      <c r="DX102" s="5">
        <f t="shared" si="217"/>
        <v>2</v>
      </c>
      <c r="DY102" s="5">
        <f t="shared" si="218"/>
        <v>17</v>
      </c>
      <c r="DZ102" s="5" t="str">
        <f t="shared" si="219"/>
        <v>Nivel de riesgo bajo</v>
      </c>
      <c r="EA102" s="5" t="s">
        <v>232</v>
      </c>
      <c r="EB102" s="5">
        <f t="shared" si="220"/>
        <v>3</v>
      </c>
      <c r="EC102" s="5" t="s">
        <v>232</v>
      </c>
      <c r="ED102" s="5">
        <f t="shared" si="221"/>
        <v>3</v>
      </c>
      <c r="EE102" s="5" t="s">
        <v>254</v>
      </c>
      <c r="EF102" s="5">
        <f t="shared" si="222"/>
        <v>4</v>
      </c>
      <c r="EG102" s="5">
        <f t="shared" si="223"/>
        <v>10</v>
      </c>
      <c r="EH102" s="5" t="str">
        <f t="shared" si="224"/>
        <v>Nivel de riesgo alto</v>
      </c>
      <c r="EI102" s="5" t="s">
        <v>232</v>
      </c>
      <c r="EJ102" s="5">
        <f t="shared" si="225"/>
        <v>3</v>
      </c>
      <c r="EK102" s="5" t="s">
        <v>232</v>
      </c>
      <c r="EL102" s="5">
        <f t="shared" si="226"/>
        <v>3</v>
      </c>
      <c r="EM102" s="5" t="s">
        <v>232</v>
      </c>
      <c r="EN102" s="5">
        <f t="shared" si="227"/>
        <v>3</v>
      </c>
      <c r="EO102" s="5">
        <f t="shared" si="228"/>
        <v>9</v>
      </c>
      <c r="EP102" s="5" t="str">
        <f t="shared" si="229"/>
        <v>Nivel de riesgo alto</v>
      </c>
      <c r="EQ102" s="5" t="s">
        <v>232</v>
      </c>
      <c r="ER102" s="5">
        <f t="shared" si="230"/>
        <v>1</v>
      </c>
      <c r="ES102" s="5" t="s">
        <v>232</v>
      </c>
      <c r="ET102" s="5">
        <f t="shared" si="231"/>
        <v>1</v>
      </c>
      <c r="EU102" s="5" t="s">
        <v>232</v>
      </c>
      <c r="EV102" s="5">
        <f t="shared" si="232"/>
        <v>1</v>
      </c>
      <c r="EW102" s="5" t="s">
        <v>254</v>
      </c>
      <c r="EX102" s="5">
        <f t="shared" si="233"/>
        <v>0</v>
      </c>
      <c r="EY102" s="5">
        <f t="shared" si="234"/>
        <v>3</v>
      </c>
      <c r="EZ102" s="5" t="str">
        <f t="shared" si="235"/>
        <v>Nivel de riesgo medio</v>
      </c>
      <c r="FA102" s="5" t="s">
        <v>254</v>
      </c>
      <c r="FB102" s="5">
        <f t="shared" si="236"/>
        <v>4</v>
      </c>
      <c r="FC102" s="5" t="s">
        <v>232</v>
      </c>
      <c r="FD102" s="5">
        <f t="shared" si="237"/>
        <v>3</v>
      </c>
      <c r="FE102" s="5" t="s">
        <v>232</v>
      </c>
      <c r="FF102" s="5">
        <f t="shared" si="238"/>
        <v>3</v>
      </c>
      <c r="FG102" s="5">
        <f t="shared" si="239"/>
        <v>10</v>
      </c>
      <c r="FH102" s="5" t="str">
        <f t="shared" si="240"/>
        <v>Nivel de riesgo alto</v>
      </c>
      <c r="FI102" s="5" t="s">
        <v>232</v>
      </c>
      <c r="FJ102" s="5">
        <f t="shared" si="241"/>
        <v>3</v>
      </c>
      <c r="FK102" s="5" t="s">
        <v>232</v>
      </c>
      <c r="FL102" s="5">
        <f t="shared" si="242"/>
        <v>3</v>
      </c>
      <c r="FM102" s="5" t="s">
        <v>232</v>
      </c>
      <c r="FN102" s="5">
        <f t="shared" si="243"/>
        <v>3</v>
      </c>
      <c r="FO102" s="5">
        <f t="shared" si="244"/>
        <v>9</v>
      </c>
      <c r="FP102" s="5" t="str">
        <f t="shared" si="245"/>
        <v>Nivel de riesgo alto</v>
      </c>
      <c r="FQ102" s="5" t="s">
        <v>206</v>
      </c>
      <c r="FR102" s="5">
        <f t="shared" si="246"/>
        <v>0</v>
      </c>
      <c r="FS102" s="5" t="s">
        <v>206</v>
      </c>
      <c r="FT102" s="5">
        <f t="shared" si="247"/>
        <v>0</v>
      </c>
      <c r="FU102" s="5" t="s">
        <v>206</v>
      </c>
      <c r="FV102" s="5">
        <f t="shared" si="248"/>
        <v>0</v>
      </c>
      <c r="FW102" s="5" t="s">
        <v>206</v>
      </c>
      <c r="FX102" s="5">
        <f t="shared" si="249"/>
        <v>0</v>
      </c>
      <c r="FY102" s="5" t="s">
        <v>206</v>
      </c>
      <c r="FZ102" s="5">
        <f t="shared" si="250"/>
        <v>0</v>
      </c>
      <c r="GA102" s="5" t="s">
        <v>206</v>
      </c>
      <c r="GB102" s="5">
        <f t="shared" si="251"/>
        <v>0</v>
      </c>
      <c r="GC102" s="5" t="s">
        <v>206</v>
      </c>
      <c r="GD102" s="5">
        <f t="shared" si="252"/>
        <v>0</v>
      </c>
      <c r="GE102" s="5">
        <f t="shared" si="253"/>
        <v>0</v>
      </c>
      <c r="GF102" s="5" t="str">
        <f t="shared" si="254"/>
        <v>Nivel de riesgo bajo</v>
      </c>
      <c r="GG102" s="5" t="s">
        <v>298</v>
      </c>
      <c r="GH102" s="5" t="s">
        <v>298</v>
      </c>
      <c r="GI102" s="5" t="s">
        <v>233</v>
      </c>
      <c r="GJ102" s="5" t="s">
        <v>298</v>
      </c>
      <c r="GK102" s="5" t="s">
        <v>298</v>
      </c>
      <c r="GL102" s="5" t="s">
        <v>298</v>
      </c>
      <c r="GM102" s="5" t="s">
        <v>298</v>
      </c>
      <c r="GN102" s="5" t="s">
        <v>257</v>
      </c>
      <c r="GO102" s="5" t="s">
        <v>257</v>
      </c>
      <c r="GP102" s="5" t="s">
        <v>257</v>
      </c>
      <c r="GQ102" s="5" t="s">
        <v>257</v>
      </c>
      <c r="GR102" s="5" t="s">
        <v>257</v>
      </c>
      <c r="GS102" s="5" t="s">
        <v>257</v>
      </c>
      <c r="GT102" s="5" t="s">
        <v>257</v>
      </c>
      <c r="GU102" s="5" t="s">
        <v>444</v>
      </c>
      <c r="GV102" s="5" t="str">
        <f>TEXT("6278839052422456204","0")</f>
        <v>6278839052422450000</v>
      </c>
    </row>
    <row r="103" spans="1:204" ht="15.75" customHeight="1" x14ac:dyDescent="0.15">
      <c r="A103" s="1">
        <f t="shared" si="204"/>
        <v>103</v>
      </c>
      <c r="B103" s="4">
        <v>45847.477349537039</v>
      </c>
      <c r="C103" s="5" t="s">
        <v>204</v>
      </c>
      <c r="D103" s="5" t="s">
        <v>204</v>
      </c>
      <c r="E103" s="5" t="s">
        <v>335</v>
      </c>
      <c r="F103" s="5" t="s">
        <v>206</v>
      </c>
      <c r="G103" s="5" t="s">
        <v>204</v>
      </c>
      <c r="H103" s="5" t="s">
        <v>206</v>
      </c>
      <c r="J103" s="5" t="s">
        <v>209</v>
      </c>
      <c r="O103" s="5" t="s">
        <v>209</v>
      </c>
      <c r="U103" s="5" t="s">
        <v>237</v>
      </c>
      <c r="X103" s="5" t="s">
        <v>208</v>
      </c>
      <c r="AE103" s="5" t="s">
        <v>237</v>
      </c>
      <c r="AH103" s="5" t="s">
        <v>275</v>
      </c>
      <c r="AI103" s="5">
        <v>2019</v>
      </c>
      <c r="AJ103" s="5" t="s">
        <v>238</v>
      </c>
      <c r="AK103" s="5" t="str">
        <f t="shared" si="205"/>
        <v>Trabajadora por cuenta propia</v>
      </c>
      <c r="AO103" s="5" t="s">
        <v>323</v>
      </c>
      <c r="AP103" s="5" t="s">
        <v>240</v>
      </c>
      <c r="AR103" s="5" t="s">
        <v>301</v>
      </c>
      <c r="AS103" s="5" t="s">
        <v>301</v>
      </c>
      <c r="AT103" s="5" t="s">
        <v>301</v>
      </c>
      <c r="AU103" s="5" t="s">
        <v>301</v>
      </c>
      <c r="AV103" s="5" t="s">
        <v>213</v>
      </c>
      <c r="AW103" s="5" t="s">
        <v>206</v>
      </c>
      <c r="BF103" s="5" t="s">
        <v>204</v>
      </c>
      <c r="BG103" s="5" t="s">
        <v>278</v>
      </c>
      <c r="BH103" s="5" t="s">
        <v>242</v>
      </c>
      <c r="BI103" s="5" t="s">
        <v>278</v>
      </c>
      <c r="BJ103" s="5" t="s">
        <v>215</v>
      </c>
      <c r="BK103" s="5" t="s">
        <v>244</v>
      </c>
      <c r="BL103" s="5" t="s">
        <v>244</v>
      </c>
      <c r="BM103" s="5" t="s">
        <v>244</v>
      </c>
      <c r="BN103" s="5" t="s">
        <v>244</v>
      </c>
      <c r="BO103" s="5" t="s">
        <v>244</v>
      </c>
      <c r="BP103" s="5" t="s">
        <v>244</v>
      </c>
      <c r="BQ103" s="5" t="s">
        <v>244</v>
      </c>
      <c r="BR103" s="5" t="s">
        <v>244</v>
      </c>
      <c r="BS103" s="5" t="s">
        <v>248</v>
      </c>
      <c r="BT103" s="5" t="s">
        <v>248</v>
      </c>
      <c r="BU103" s="5" t="s">
        <v>248</v>
      </c>
      <c r="BV103" s="5" t="s">
        <v>248</v>
      </c>
      <c r="BW103" s="5" t="s">
        <v>248</v>
      </c>
      <c r="BX103" s="5" t="s">
        <v>248</v>
      </c>
      <c r="BY103" s="5" t="s">
        <v>248</v>
      </c>
      <c r="CD103" s="5" t="s">
        <v>206</v>
      </c>
      <c r="CH103" s="5" t="s">
        <v>445</v>
      </c>
      <c r="CI103" s="5" t="s">
        <v>318</v>
      </c>
      <c r="CJ103" s="5">
        <v>5</v>
      </c>
      <c r="CK103" s="5" t="s">
        <v>223</v>
      </c>
      <c r="CU103" s="5" t="s">
        <v>206</v>
      </c>
      <c r="DA103" s="5" t="s">
        <v>229</v>
      </c>
      <c r="DB103" s="5">
        <f t="shared" si="206"/>
        <v>4</v>
      </c>
      <c r="DC103" s="5" t="s">
        <v>250</v>
      </c>
      <c r="DD103" s="5">
        <f t="shared" si="207"/>
        <v>3</v>
      </c>
      <c r="DE103" s="5" t="s">
        <v>250</v>
      </c>
      <c r="DF103" s="5">
        <f t="shared" si="208"/>
        <v>3</v>
      </c>
      <c r="DG103" s="5" t="s">
        <v>250</v>
      </c>
      <c r="DH103" s="5">
        <f t="shared" si="209"/>
        <v>3</v>
      </c>
      <c r="DI103" s="5" t="s">
        <v>250</v>
      </c>
      <c r="DJ103" s="5">
        <f t="shared" si="210"/>
        <v>3</v>
      </c>
      <c r="DK103" s="5" t="s">
        <v>230</v>
      </c>
      <c r="DL103" s="5">
        <f t="shared" si="211"/>
        <v>2</v>
      </c>
      <c r="DM103" s="5" t="s">
        <v>251</v>
      </c>
      <c r="DN103" s="5">
        <f t="shared" si="212"/>
        <v>1</v>
      </c>
      <c r="DO103" s="5" t="s">
        <v>281</v>
      </c>
      <c r="DP103" s="5">
        <f t="shared" si="213"/>
        <v>1</v>
      </c>
      <c r="DQ103" s="5" t="s">
        <v>281</v>
      </c>
      <c r="DR103" s="5">
        <f t="shared" si="214"/>
        <v>1</v>
      </c>
      <c r="DS103" s="5" t="s">
        <v>281</v>
      </c>
      <c r="DT103" s="5">
        <f t="shared" si="215"/>
        <v>1</v>
      </c>
      <c r="DU103" s="5" t="s">
        <v>281</v>
      </c>
      <c r="DV103" s="5">
        <f t="shared" si="216"/>
        <v>1</v>
      </c>
      <c r="DW103" s="5" t="s">
        <v>281</v>
      </c>
      <c r="DX103" s="5">
        <f t="shared" si="217"/>
        <v>1</v>
      </c>
      <c r="DY103" s="5">
        <f t="shared" si="218"/>
        <v>24</v>
      </c>
      <c r="DZ103" s="5" t="str">
        <f t="shared" si="219"/>
        <v>Nivel de riesgo alto</v>
      </c>
      <c r="EA103" s="5" t="s">
        <v>248</v>
      </c>
      <c r="EB103" s="5">
        <f t="shared" si="220"/>
        <v>1</v>
      </c>
      <c r="EC103" s="5" t="s">
        <v>248</v>
      </c>
      <c r="ED103" s="5">
        <f t="shared" si="221"/>
        <v>1</v>
      </c>
      <c r="EE103" s="5" t="s">
        <v>248</v>
      </c>
      <c r="EF103" s="5">
        <f t="shared" si="222"/>
        <v>1</v>
      </c>
      <c r="EG103" s="5">
        <f t="shared" si="223"/>
        <v>3</v>
      </c>
      <c r="EH103" s="5" t="str">
        <f t="shared" si="224"/>
        <v>Nivel de riesgo medio</v>
      </c>
      <c r="EI103" s="5" t="s">
        <v>248</v>
      </c>
      <c r="EJ103" s="5">
        <f t="shared" si="225"/>
        <v>1</v>
      </c>
      <c r="EK103" s="5" t="s">
        <v>247</v>
      </c>
      <c r="EL103" s="5">
        <f t="shared" si="226"/>
        <v>2</v>
      </c>
      <c r="EM103" s="5" t="s">
        <v>248</v>
      </c>
      <c r="EN103" s="5">
        <f t="shared" si="227"/>
        <v>1</v>
      </c>
      <c r="EO103" s="5">
        <f t="shared" si="228"/>
        <v>4</v>
      </c>
      <c r="EP103" s="5" t="str">
        <f t="shared" si="229"/>
        <v>Nivel de riesgo medio</v>
      </c>
      <c r="EQ103" s="5" t="s">
        <v>254</v>
      </c>
      <c r="ER103" s="5">
        <f t="shared" si="230"/>
        <v>0</v>
      </c>
      <c r="ES103" s="5" t="s">
        <v>254</v>
      </c>
      <c r="ET103" s="5">
        <f t="shared" si="231"/>
        <v>0</v>
      </c>
      <c r="EU103" s="5" t="s">
        <v>254</v>
      </c>
      <c r="EV103" s="5">
        <f t="shared" si="232"/>
        <v>0</v>
      </c>
      <c r="EW103" s="5" t="s">
        <v>254</v>
      </c>
      <c r="EX103" s="5">
        <f t="shared" si="233"/>
        <v>0</v>
      </c>
      <c r="EY103" s="5">
        <f t="shared" si="234"/>
        <v>0</v>
      </c>
      <c r="EZ103" s="5" t="str">
        <f t="shared" si="235"/>
        <v>Nivel de riesgo bajo</v>
      </c>
      <c r="FA103" s="5" t="s">
        <v>247</v>
      </c>
      <c r="FB103" s="5">
        <f t="shared" si="236"/>
        <v>2</v>
      </c>
      <c r="FC103" s="5" t="s">
        <v>253</v>
      </c>
      <c r="FD103" s="5">
        <f t="shared" si="237"/>
        <v>0</v>
      </c>
      <c r="FE103" s="5" t="s">
        <v>253</v>
      </c>
      <c r="FF103" s="5">
        <f t="shared" si="238"/>
        <v>0</v>
      </c>
      <c r="FG103" s="5">
        <f t="shared" si="239"/>
        <v>2</v>
      </c>
      <c r="FH103" s="5" t="str">
        <f t="shared" si="240"/>
        <v>Nivel de riesgo bajo</v>
      </c>
      <c r="FI103" s="5" t="s">
        <v>253</v>
      </c>
      <c r="FJ103" s="5">
        <f t="shared" si="241"/>
        <v>0</v>
      </c>
      <c r="FK103" s="5" t="s">
        <v>253</v>
      </c>
      <c r="FL103" s="5">
        <f t="shared" si="242"/>
        <v>0</v>
      </c>
      <c r="FM103" s="5" t="s">
        <v>253</v>
      </c>
      <c r="FN103" s="5">
        <f t="shared" si="243"/>
        <v>0</v>
      </c>
      <c r="FO103" s="5">
        <f t="shared" si="244"/>
        <v>0</v>
      </c>
      <c r="FP103" s="5" t="str">
        <f t="shared" si="245"/>
        <v>Nivel de riesgo bajo</v>
      </c>
      <c r="FQ103" s="5" t="s">
        <v>206</v>
      </c>
      <c r="FR103" s="5">
        <f t="shared" si="246"/>
        <v>0</v>
      </c>
      <c r="FS103" s="5" t="s">
        <v>206</v>
      </c>
      <c r="FT103" s="5">
        <f t="shared" si="247"/>
        <v>0</v>
      </c>
      <c r="FU103" s="5" t="s">
        <v>206</v>
      </c>
      <c r="FV103" s="5">
        <f t="shared" si="248"/>
        <v>0</v>
      </c>
      <c r="FW103" s="5" t="s">
        <v>206</v>
      </c>
      <c r="FX103" s="5">
        <f t="shared" si="249"/>
        <v>0</v>
      </c>
      <c r="FY103" s="5" t="s">
        <v>206</v>
      </c>
      <c r="FZ103" s="5">
        <f t="shared" si="250"/>
        <v>0</v>
      </c>
      <c r="GA103" s="5" t="s">
        <v>206</v>
      </c>
      <c r="GB103" s="5">
        <f t="shared" si="251"/>
        <v>0</v>
      </c>
      <c r="GC103" s="5" t="s">
        <v>206</v>
      </c>
      <c r="GD103" s="5">
        <f t="shared" si="252"/>
        <v>0</v>
      </c>
      <c r="GE103" s="5">
        <f t="shared" si="253"/>
        <v>0</v>
      </c>
      <c r="GF103" s="5" t="str">
        <f t="shared" si="254"/>
        <v>Nivel de riesgo bajo</v>
      </c>
      <c r="GG103" s="5" t="s">
        <v>255</v>
      </c>
      <c r="GH103" s="5" t="s">
        <v>255</v>
      </c>
      <c r="GI103" s="5" t="s">
        <v>255</v>
      </c>
      <c r="GJ103" s="5" t="s">
        <v>233</v>
      </c>
      <c r="GK103" s="5" t="s">
        <v>233</v>
      </c>
      <c r="GL103" s="5" t="s">
        <v>266</v>
      </c>
      <c r="GM103" s="5" t="s">
        <v>233</v>
      </c>
      <c r="GN103" s="5" t="s">
        <v>256</v>
      </c>
      <c r="GO103" s="5" t="s">
        <v>256</v>
      </c>
      <c r="GP103" s="5" t="s">
        <v>256</v>
      </c>
      <c r="GQ103" s="5" t="s">
        <v>256</v>
      </c>
      <c r="GR103" s="5" t="s">
        <v>256</v>
      </c>
      <c r="GS103" s="5" t="s">
        <v>256</v>
      </c>
      <c r="GT103" s="5" t="s">
        <v>256</v>
      </c>
      <c r="GU103" s="5" t="s">
        <v>446</v>
      </c>
      <c r="GV103" s="5" t="str">
        <f>TEXT("6278840433013031775","0")</f>
        <v>6278840433013030000</v>
      </c>
    </row>
    <row r="104" spans="1:204" ht="15.75" customHeight="1" x14ac:dyDescent="0.15">
      <c r="A104" s="1">
        <f t="shared" si="204"/>
        <v>104</v>
      </c>
      <c r="B104" s="4">
        <v>45847.477500000001</v>
      </c>
      <c r="C104" s="5" t="s">
        <v>204</v>
      </c>
      <c r="D104" s="5" t="s">
        <v>206</v>
      </c>
      <c r="F104" s="5" t="s">
        <v>206</v>
      </c>
      <c r="G104" s="5" t="s">
        <v>206</v>
      </c>
      <c r="H104" s="5" t="s">
        <v>206</v>
      </c>
      <c r="K104" s="5" t="s">
        <v>237</v>
      </c>
      <c r="P104" s="5" t="s">
        <v>237</v>
      </c>
      <c r="T104" s="5" t="s">
        <v>209</v>
      </c>
      <c r="Z104" s="5" t="s">
        <v>237</v>
      </c>
      <c r="AD104" s="5" t="s">
        <v>209</v>
      </c>
      <c r="AH104" s="5" t="s">
        <v>259</v>
      </c>
      <c r="AI104" s="5">
        <v>2021</v>
      </c>
      <c r="AJ104" s="5" t="s">
        <v>238</v>
      </c>
      <c r="AK104" s="5" t="str">
        <f t="shared" si="205"/>
        <v>Trabajadora por cuenta propia</v>
      </c>
      <c r="AL104" s="5" t="s">
        <v>239</v>
      </c>
      <c r="AP104" s="5" t="s">
        <v>240</v>
      </c>
      <c r="AR104" s="5" t="s">
        <v>294</v>
      </c>
      <c r="AS104" s="5" t="s">
        <v>261</v>
      </c>
      <c r="AT104" s="5" t="s">
        <v>261</v>
      </c>
      <c r="AU104" s="5" t="s">
        <v>261</v>
      </c>
      <c r="AV104" s="5" t="s">
        <v>285</v>
      </c>
      <c r="AW104" s="5" t="s">
        <v>204</v>
      </c>
      <c r="AX104" s="5" t="s">
        <v>204</v>
      </c>
      <c r="AY104" s="5" t="s">
        <v>214</v>
      </c>
      <c r="AZ104" s="5" t="s">
        <v>204</v>
      </c>
      <c r="BA104" s="5" t="s">
        <v>263</v>
      </c>
      <c r="BF104" s="5" t="s">
        <v>204</v>
      </c>
      <c r="BG104" s="5" t="s">
        <v>242</v>
      </c>
      <c r="BH104" s="5" t="s">
        <v>242</v>
      </c>
      <c r="BI104" s="5" t="s">
        <v>242</v>
      </c>
      <c r="BJ104" s="5" t="s">
        <v>242</v>
      </c>
      <c r="BK104" s="5" t="s">
        <v>244</v>
      </c>
      <c r="BL104" s="5" t="s">
        <v>244</v>
      </c>
      <c r="BM104" s="5" t="s">
        <v>244</v>
      </c>
      <c r="BN104" s="5" t="s">
        <v>244</v>
      </c>
      <c r="BO104" s="5" t="s">
        <v>244</v>
      </c>
      <c r="BP104" s="5" t="s">
        <v>243</v>
      </c>
      <c r="BQ104" s="5" t="s">
        <v>246</v>
      </c>
      <c r="BR104" s="5" t="s">
        <v>243</v>
      </c>
      <c r="BS104" s="5" t="s">
        <v>254</v>
      </c>
      <c r="BT104" s="5" t="s">
        <v>247</v>
      </c>
      <c r="BU104" s="5" t="s">
        <v>247</v>
      </c>
      <c r="BV104" s="5" t="s">
        <v>247</v>
      </c>
      <c r="BW104" s="5" t="s">
        <v>247</v>
      </c>
      <c r="BX104" s="5" t="s">
        <v>247</v>
      </c>
      <c r="BY104" s="5" t="s">
        <v>232</v>
      </c>
      <c r="BZ104" s="5" t="s">
        <v>246</v>
      </c>
      <c r="CA104" s="5" t="s">
        <v>246</v>
      </c>
      <c r="CB104" s="5" t="s">
        <v>246</v>
      </c>
      <c r="CC104" s="5" t="s">
        <v>246</v>
      </c>
      <c r="CD104" s="5" t="s">
        <v>206</v>
      </c>
      <c r="CH104" s="5" t="s">
        <v>331</v>
      </c>
      <c r="CI104" s="5" t="s">
        <v>291</v>
      </c>
      <c r="CJ104" s="5">
        <v>1</v>
      </c>
      <c r="CK104" s="5" t="s">
        <v>223</v>
      </c>
      <c r="CU104" s="5" t="s">
        <v>206</v>
      </c>
      <c r="DA104" s="5" t="s">
        <v>231</v>
      </c>
      <c r="DB104" s="5">
        <f t="shared" si="206"/>
        <v>2</v>
      </c>
      <c r="DC104" s="5" t="s">
        <v>250</v>
      </c>
      <c r="DD104" s="5">
        <f t="shared" si="207"/>
        <v>3</v>
      </c>
      <c r="DE104" s="5" t="s">
        <v>250</v>
      </c>
      <c r="DF104" s="5">
        <f t="shared" si="208"/>
        <v>3</v>
      </c>
      <c r="DG104" s="5" t="s">
        <v>251</v>
      </c>
      <c r="DH104" s="5">
        <f t="shared" si="209"/>
        <v>1</v>
      </c>
      <c r="DI104" s="5" t="s">
        <v>251</v>
      </c>
      <c r="DJ104" s="5">
        <f t="shared" si="210"/>
        <v>1</v>
      </c>
      <c r="DK104" s="5" t="s">
        <v>251</v>
      </c>
      <c r="DL104" s="5">
        <f t="shared" si="211"/>
        <v>1</v>
      </c>
      <c r="DM104" s="5" t="s">
        <v>251</v>
      </c>
      <c r="DN104" s="5">
        <f t="shared" si="212"/>
        <v>1</v>
      </c>
      <c r="DO104" s="5" t="s">
        <v>231</v>
      </c>
      <c r="DP104" s="5">
        <f t="shared" si="213"/>
        <v>2</v>
      </c>
      <c r="DQ104" s="5" t="s">
        <v>231</v>
      </c>
      <c r="DR104" s="5">
        <f t="shared" si="214"/>
        <v>2</v>
      </c>
      <c r="DS104" s="5" t="s">
        <v>231</v>
      </c>
      <c r="DT104" s="5">
        <f t="shared" si="215"/>
        <v>2</v>
      </c>
      <c r="DU104" s="5" t="s">
        <v>231</v>
      </c>
      <c r="DV104" s="5">
        <f t="shared" si="216"/>
        <v>2</v>
      </c>
      <c r="DW104" s="5" t="s">
        <v>231</v>
      </c>
      <c r="DX104" s="5">
        <f t="shared" si="217"/>
        <v>2</v>
      </c>
      <c r="DY104" s="5">
        <f t="shared" si="218"/>
        <v>22</v>
      </c>
      <c r="DZ104" s="5" t="str">
        <f t="shared" si="219"/>
        <v>Nivel de riesgo medio</v>
      </c>
      <c r="EA104" s="5" t="s">
        <v>232</v>
      </c>
      <c r="EB104" s="5">
        <f t="shared" si="220"/>
        <v>3</v>
      </c>
      <c r="EC104" s="5" t="s">
        <v>232</v>
      </c>
      <c r="ED104" s="5">
        <f t="shared" si="221"/>
        <v>3</v>
      </c>
      <c r="EE104" s="5" t="s">
        <v>232</v>
      </c>
      <c r="EF104" s="5">
        <f t="shared" si="222"/>
        <v>3</v>
      </c>
      <c r="EG104" s="5">
        <f t="shared" si="223"/>
        <v>9</v>
      </c>
      <c r="EH104" s="5" t="str">
        <f t="shared" si="224"/>
        <v>Nivel de riesgo alto</v>
      </c>
      <c r="EI104" s="5" t="s">
        <v>232</v>
      </c>
      <c r="EJ104" s="5">
        <f t="shared" si="225"/>
        <v>3</v>
      </c>
      <c r="EK104" s="5" t="s">
        <v>232</v>
      </c>
      <c r="EL104" s="5">
        <f t="shared" si="226"/>
        <v>3</v>
      </c>
      <c r="EM104" s="5" t="s">
        <v>232</v>
      </c>
      <c r="EN104" s="5">
        <f t="shared" si="227"/>
        <v>3</v>
      </c>
      <c r="EO104" s="5">
        <f t="shared" si="228"/>
        <v>9</v>
      </c>
      <c r="EP104" s="5" t="str">
        <f t="shared" si="229"/>
        <v>Nivel de riesgo alto</v>
      </c>
      <c r="EQ104" s="5" t="s">
        <v>232</v>
      </c>
      <c r="ER104" s="5">
        <f t="shared" si="230"/>
        <v>1</v>
      </c>
      <c r="ES104" s="5" t="s">
        <v>232</v>
      </c>
      <c r="ET104" s="5">
        <f t="shared" si="231"/>
        <v>1</v>
      </c>
      <c r="EU104" s="5" t="s">
        <v>247</v>
      </c>
      <c r="EV104" s="5">
        <f t="shared" si="232"/>
        <v>2</v>
      </c>
      <c r="EW104" s="5" t="s">
        <v>247</v>
      </c>
      <c r="EX104" s="5">
        <f t="shared" si="233"/>
        <v>2</v>
      </c>
      <c r="EY104" s="5">
        <f t="shared" si="234"/>
        <v>6</v>
      </c>
      <c r="EZ104" s="5" t="str">
        <f t="shared" si="235"/>
        <v>Nivel de riesgo alto</v>
      </c>
      <c r="FA104" s="5" t="s">
        <v>247</v>
      </c>
      <c r="FB104" s="5">
        <f t="shared" si="236"/>
        <v>2</v>
      </c>
      <c r="FC104" s="5" t="s">
        <v>247</v>
      </c>
      <c r="FD104" s="5">
        <f t="shared" si="237"/>
        <v>2</v>
      </c>
      <c r="FE104" s="5" t="s">
        <v>247</v>
      </c>
      <c r="FF104" s="5">
        <f t="shared" si="238"/>
        <v>2</v>
      </c>
      <c r="FG104" s="5">
        <f t="shared" si="239"/>
        <v>6</v>
      </c>
      <c r="FH104" s="5" t="str">
        <f t="shared" si="240"/>
        <v>Nivel de riesgo alto</v>
      </c>
      <c r="FI104" s="5" t="s">
        <v>247</v>
      </c>
      <c r="FJ104" s="5">
        <f t="shared" si="241"/>
        <v>2</v>
      </c>
      <c r="FK104" s="5" t="s">
        <v>247</v>
      </c>
      <c r="FL104" s="5">
        <f t="shared" si="242"/>
        <v>2</v>
      </c>
      <c r="FM104" s="5" t="s">
        <v>232</v>
      </c>
      <c r="FN104" s="5">
        <f t="shared" si="243"/>
        <v>3</v>
      </c>
      <c r="FO104" s="5">
        <f t="shared" si="244"/>
        <v>7</v>
      </c>
      <c r="FP104" s="5" t="str">
        <f t="shared" si="245"/>
        <v>Nivel de riesgo alto</v>
      </c>
      <c r="FQ104" s="5" t="s">
        <v>206</v>
      </c>
      <c r="FR104" s="5">
        <f t="shared" si="246"/>
        <v>0</v>
      </c>
      <c r="FS104" s="5" t="s">
        <v>206</v>
      </c>
      <c r="FT104" s="5">
        <f t="shared" si="247"/>
        <v>0</v>
      </c>
      <c r="FU104" s="5" t="s">
        <v>206</v>
      </c>
      <c r="FV104" s="5">
        <f t="shared" si="248"/>
        <v>0</v>
      </c>
      <c r="FW104" s="5" t="s">
        <v>206</v>
      </c>
      <c r="FX104" s="5">
        <f t="shared" si="249"/>
        <v>0</v>
      </c>
      <c r="FY104" s="5" t="s">
        <v>206</v>
      </c>
      <c r="FZ104" s="5">
        <f t="shared" si="250"/>
        <v>0</v>
      </c>
      <c r="GA104" s="5" t="s">
        <v>206</v>
      </c>
      <c r="GB104" s="5">
        <f t="shared" si="251"/>
        <v>0</v>
      </c>
      <c r="GC104" s="5" t="s">
        <v>206</v>
      </c>
      <c r="GD104" s="5">
        <f t="shared" si="252"/>
        <v>0</v>
      </c>
      <c r="GE104" s="5">
        <f t="shared" si="253"/>
        <v>0</v>
      </c>
      <c r="GF104" s="5" t="str">
        <f t="shared" si="254"/>
        <v>Nivel de riesgo bajo</v>
      </c>
      <c r="GG104" s="5" t="s">
        <v>255</v>
      </c>
      <c r="GH104" s="5" t="s">
        <v>255</v>
      </c>
      <c r="GI104" s="5" t="s">
        <v>255</v>
      </c>
      <c r="GJ104" s="5" t="s">
        <v>233</v>
      </c>
      <c r="GK104" s="5" t="s">
        <v>233</v>
      </c>
      <c r="GL104" s="5" t="s">
        <v>233</v>
      </c>
      <c r="GM104" s="5" t="s">
        <v>255</v>
      </c>
      <c r="GN104" s="5" t="s">
        <v>256</v>
      </c>
      <c r="GO104" s="5" t="s">
        <v>256</v>
      </c>
      <c r="GP104" s="5" t="s">
        <v>256</v>
      </c>
      <c r="GQ104" s="5" t="s">
        <v>256</v>
      </c>
      <c r="GR104" s="5" t="s">
        <v>256</v>
      </c>
      <c r="GS104" s="5" t="s">
        <v>256</v>
      </c>
      <c r="GT104" s="5" t="s">
        <v>256</v>
      </c>
      <c r="GU104" s="5" t="s">
        <v>447</v>
      </c>
      <c r="GV104" s="5" t="str">
        <f>TEXT("6278840569196883282","0")</f>
        <v>6278840569196880000</v>
      </c>
    </row>
    <row r="105" spans="1:204" ht="15.75" customHeight="1" x14ac:dyDescent="0.15">
      <c r="A105" s="1">
        <f t="shared" si="204"/>
        <v>105</v>
      </c>
      <c r="B105" s="4">
        <v>45847.477511574078</v>
      </c>
      <c r="C105" s="5" t="s">
        <v>204</v>
      </c>
      <c r="D105" s="5" t="s">
        <v>206</v>
      </c>
      <c r="F105" s="5" t="s">
        <v>206</v>
      </c>
      <c r="G105" s="5" t="s">
        <v>206</v>
      </c>
      <c r="H105" s="5" t="s">
        <v>206</v>
      </c>
      <c r="K105" s="5" t="s">
        <v>237</v>
      </c>
      <c r="O105" s="5" t="s">
        <v>209</v>
      </c>
      <c r="S105" s="5" t="s">
        <v>208</v>
      </c>
      <c r="X105" s="5" t="s">
        <v>208</v>
      </c>
      <c r="AF105" s="5" t="s">
        <v>236</v>
      </c>
      <c r="AH105" s="5" t="s">
        <v>275</v>
      </c>
      <c r="AI105" s="5">
        <v>2016</v>
      </c>
      <c r="AJ105" s="5" t="s">
        <v>330</v>
      </c>
      <c r="AK105" s="5" t="str">
        <f t="shared" si="205"/>
        <v>Asalariada</v>
      </c>
      <c r="AQ105" s="5" t="s">
        <v>204</v>
      </c>
      <c r="AR105" s="5" t="s">
        <v>276</v>
      </c>
      <c r="AS105" s="5" t="s">
        <v>276</v>
      </c>
      <c r="AT105" s="5" t="s">
        <v>276</v>
      </c>
      <c r="AU105" s="5" t="s">
        <v>276</v>
      </c>
      <c r="AV105" s="5" t="s">
        <v>285</v>
      </c>
      <c r="AW105" s="5" t="s">
        <v>204</v>
      </c>
      <c r="AX105" s="5" t="s">
        <v>204</v>
      </c>
      <c r="AY105" s="5" t="s">
        <v>406</v>
      </c>
      <c r="AZ105" s="5" t="s">
        <v>204</v>
      </c>
      <c r="BA105" s="5" t="s">
        <v>263</v>
      </c>
      <c r="BF105" s="5" t="s">
        <v>204</v>
      </c>
      <c r="BG105" s="5" t="s">
        <v>215</v>
      </c>
      <c r="BH105" s="5" t="s">
        <v>215</v>
      </c>
      <c r="BI105" s="5" t="s">
        <v>215</v>
      </c>
      <c r="BJ105" s="5" t="s">
        <v>215</v>
      </c>
      <c r="BK105" s="5" t="s">
        <v>243</v>
      </c>
      <c r="BL105" s="5" t="s">
        <v>243</v>
      </c>
      <c r="BM105" s="5" t="s">
        <v>243</v>
      </c>
      <c r="BN105" s="5" t="s">
        <v>246</v>
      </c>
      <c r="BO105" s="5" t="s">
        <v>246</v>
      </c>
      <c r="BP105" s="5" t="s">
        <v>243</v>
      </c>
      <c r="BQ105" s="5" t="s">
        <v>246</v>
      </c>
      <c r="BR105" s="5" t="s">
        <v>243</v>
      </c>
      <c r="BS105" s="5" t="s">
        <v>247</v>
      </c>
      <c r="BT105" s="5" t="s">
        <v>248</v>
      </c>
      <c r="BU105" s="5" t="s">
        <v>247</v>
      </c>
      <c r="BV105" s="5" t="s">
        <v>248</v>
      </c>
      <c r="BW105" s="5" t="s">
        <v>248</v>
      </c>
      <c r="BX105" s="5" t="s">
        <v>248</v>
      </c>
      <c r="BY105" s="5" t="s">
        <v>217</v>
      </c>
      <c r="BZ105" s="5" t="s">
        <v>244</v>
      </c>
      <c r="CA105" s="5" t="s">
        <v>244</v>
      </c>
      <c r="CB105" s="5" t="s">
        <v>216</v>
      </c>
      <c r="CC105" s="5" t="s">
        <v>244</v>
      </c>
      <c r="CD105" s="5" t="s">
        <v>206</v>
      </c>
      <c r="CH105" s="5" t="s">
        <v>206</v>
      </c>
      <c r="CI105" s="5" t="s">
        <v>291</v>
      </c>
      <c r="CJ105" s="5">
        <v>2</v>
      </c>
      <c r="CK105" s="5" t="s">
        <v>223</v>
      </c>
      <c r="CU105" s="5" t="s">
        <v>206</v>
      </c>
      <c r="DA105" s="5" t="s">
        <v>272</v>
      </c>
      <c r="DB105" s="5">
        <f t="shared" si="206"/>
        <v>1</v>
      </c>
      <c r="DC105" s="5" t="s">
        <v>230</v>
      </c>
      <c r="DD105" s="5">
        <f t="shared" si="207"/>
        <v>2</v>
      </c>
      <c r="DE105" s="5" t="s">
        <v>230</v>
      </c>
      <c r="DF105" s="5">
        <f t="shared" si="208"/>
        <v>2</v>
      </c>
      <c r="DG105" s="5" t="s">
        <v>230</v>
      </c>
      <c r="DH105" s="5">
        <f t="shared" si="209"/>
        <v>2</v>
      </c>
      <c r="DI105" s="5" t="s">
        <v>251</v>
      </c>
      <c r="DJ105" s="5">
        <f t="shared" si="210"/>
        <v>1</v>
      </c>
      <c r="DK105" s="5" t="s">
        <v>251</v>
      </c>
      <c r="DL105" s="5">
        <f t="shared" si="211"/>
        <v>1</v>
      </c>
      <c r="DM105" s="5" t="s">
        <v>251</v>
      </c>
      <c r="DN105" s="5">
        <f t="shared" si="212"/>
        <v>1</v>
      </c>
      <c r="DO105" s="5" t="s">
        <v>281</v>
      </c>
      <c r="DP105" s="5">
        <f t="shared" si="213"/>
        <v>1</v>
      </c>
      <c r="DQ105" s="5" t="s">
        <v>281</v>
      </c>
      <c r="DR105" s="5">
        <f t="shared" si="214"/>
        <v>1</v>
      </c>
      <c r="DS105" s="5" t="s">
        <v>281</v>
      </c>
      <c r="DT105" s="5">
        <f t="shared" si="215"/>
        <v>1</v>
      </c>
      <c r="DU105" s="5" t="s">
        <v>281</v>
      </c>
      <c r="DV105" s="5">
        <f t="shared" si="216"/>
        <v>1</v>
      </c>
      <c r="DW105" s="5" t="s">
        <v>281</v>
      </c>
      <c r="DX105" s="5">
        <f t="shared" si="217"/>
        <v>1</v>
      </c>
      <c r="DY105" s="5">
        <f t="shared" si="218"/>
        <v>15</v>
      </c>
      <c r="DZ105" s="5" t="str">
        <f t="shared" si="219"/>
        <v>Nivel de riesgo bajo</v>
      </c>
      <c r="EA105" s="5" t="s">
        <v>232</v>
      </c>
      <c r="EB105" s="5">
        <f t="shared" si="220"/>
        <v>3</v>
      </c>
      <c r="EC105" s="5" t="s">
        <v>247</v>
      </c>
      <c r="ED105" s="5">
        <f t="shared" si="221"/>
        <v>2</v>
      </c>
      <c r="EE105" s="5" t="s">
        <v>248</v>
      </c>
      <c r="EF105" s="5">
        <f t="shared" si="222"/>
        <v>1</v>
      </c>
      <c r="EG105" s="5">
        <f t="shared" si="223"/>
        <v>6</v>
      </c>
      <c r="EH105" s="5" t="str">
        <f t="shared" si="224"/>
        <v>Nivel de riesgo alto</v>
      </c>
      <c r="EI105" s="5" t="s">
        <v>247</v>
      </c>
      <c r="EJ105" s="5">
        <f t="shared" si="225"/>
        <v>2</v>
      </c>
      <c r="EK105" s="5" t="s">
        <v>247</v>
      </c>
      <c r="EL105" s="5">
        <f t="shared" si="226"/>
        <v>2</v>
      </c>
      <c r="EM105" s="5" t="s">
        <v>247</v>
      </c>
      <c r="EN105" s="5">
        <f t="shared" si="227"/>
        <v>2</v>
      </c>
      <c r="EO105" s="5">
        <f t="shared" si="228"/>
        <v>6</v>
      </c>
      <c r="EP105" s="5" t="str">
        <f t="shared" si="229"/>
        <v>Nivel de riesgo alto</v>
      </c>
      <c r="EQ105" s="5" t="s">
        <v>247</v>
      </c>
      <c r="ER105" s="5">
        <f t="shared" si="230"/>
        <v>2</v>
      </c>
      <c r="ES105" s="5" t="s">
        <v>247</v>
      </c>
      <c r="ET105" s="5">
        <f t="shared" si="231"/>
        <v>2</v>
      </c>
      <c r="EU105" s="5" t="s">
        <v>247</v>
      </c>
      <c r="EV105" s="5">
        <f t="shared" si="232"/>
        <v>2</v>
      </c>
      <c r="EW105" s="5" t="s">
        <v>247</v>
      </c>
      <c r="EX105" s="5">
        <f t="shared" si="233"/>
        <v>2</v>
      </c>
      <c r="EY105" s="5">
        <f t="shared" si="234"/>
        <v>8</v>
      </c>
      <c r="EZ105" s="5" t="str">
        <f t="shared" si="235"/>
        <v>Nivel de riesgo alto</v>
      </c>
      <c r="FA105" s="5" t="s">
        <v>247</v>
      </c>
      <c r="FB105" s="5">
        <f t="shared" si="236"/>
        <v>2</v>
      </c>
      <c r="FC105" s="5" t="s">
        <v>247</v>
      </c>
      <c r="FD105" s="5">
        <f t="shared" si="237"/>
        <v>2</v>
      </c>
      <c r="FE105" s="5" t="s">
        <v>248</v>
      </c>
      <c r="FF105" s="5">
        <f t="shared" si="238"/>
        <v>1</v>
      </c>
      <c r="FG105" s="5">
        <f t="shared" si="239"/>
        <v>5</v>
      </c>
      <c r="FH105" s="5" t="str">
        <f t="shared" si="240"/>
        <v>Nivel de riesgo medio</v>
      </c>
      <c r="FI105" s="5" t="s">
        <v>248</v>
      </c>
      <c r="FJ105" s="5">
        <f t="shared" si="241"/>
        <v>1</v>
      </c>
      <c r="FK105" s="5" t="s">
        <v>248</v>
      </c>
      <c r="FL105" s="5">
        <f t="shared" si="242"/>
        <v>1</v>
      </c>
      <c r="FM105" s="5" t="s">
        <v>248</v>
      </c>
      <c r="FN105" s="5">
        <f t="shared" si="243"/>
        <v>1</v>
      </c>
      <c r="FO105" s="5">
        <f t="shared" si="244"/>
        <v>3</v>
      </c>
      <c r="FP105" s="5" t="str">
        <f t="shared" si="245"/>
        <v>Nivel de riesgo medio</v>
      </c>
      <c r="FQ105" s="5" t="s">
        <v>265</v>
      </c>
      <c r="FR105" s="5">
        <f t="shared" si="246"/>
        <v>1</v>
      </c>
      <c r="FS105" s="5" t="s">
        <v>206</v>
      </c>
      <c r="FT105" s="5">
        <f t="shared" si="247"/>
        <v>0</v>
      </c>
      <c r="FU105" s="5" t="s">
        <v>206</v>
      </c>
      <c r="FV105" s="5">
        <f t="shared" si="248"/>
        <v>0</v>
      </c>
      <c r="FW105" s="5" t="s">
        <v>206</v>
      </c>
      <c r="FX105" s="5">
        <f t="shared" si="249"/>
        <v>0</v>
      </c>
      <c r="FY105" s="5" t="s">
        <v>206</v>
      </c>
      <c r="FZ105" s="5">
        <f t="shared" si="250"/>
        <v>0</v>
      </c>
      <c r="GA105" s="5" t="s">
        <v>206</v>
      </c>
      <c r="GB105" s="5">
        <f t="shared" si="251"/>
        <v>0</v>
      </c>
      <c r="GC105" s="5" t="s">
        <v>206</v>
      </c>
      <c r="GD105" s="5">
        <f t="shared" si="252"/>
        <v>0</v>
      </c>
      <c r="GE105" s="5">
        <f t="shared" si="253"/>
        <v>1</v>
      </c>
      <c r="GF105" s="5" t="str">
        <f t="shared" si="254"/>
        <v>Nivel de riesgo medio</v>
      </c>
      <c r="GG105" s="5" t="s">
        <v>255</v>
      </c>
      <c r="GH105" s="5" t="s">
        <v>255</v>
      </c>
      <c r="GI105" s="5" t="s">
        <v>255</v>
      </c>
      <c r="GJ105" s="5" t="s">
        <v>255</v>
      </c>
      <c r="GK105" s="5" t="s">
        <v>233</v>
      </c>
      <c r="GL105" s="5" t="s">
        <v>233</v>
      </c>
      <c r="GM105" s="5" t="s">
        <v>255</v>
      </c>
      <c r="GN105" s="5" t="s">
        <v>256</v>
      </c>
      <c r="GO105" s="5" t="s">
        <v>257</v>
      </c>
      <c r="GP105" s="5" t="s">
        <v>243</v>
      </c>
      <c r="GQ105" s="5" t="s">
        <v>257</v>
      </c>
      <c r="GR105" s="5" t="s">
        <v>257</v>
      </c>
      <c r="GS105" s="5" t="s">
        <v>257</v>
      </c>
      <c r="GT105" s="5" t="s">
        <v>257</v>
      </c>
      <c r="GU105" s="5" t="s">
        <v>448</v>
      </c>
      <c r="GV105" s="5" t="str">
        <f>TEXT("6278840572126176077","0")</f>
        <v>6278840572126170000</v>
      </c>
    </row>
    <row r="106" spans="1:204" ht="15.75" customHeight="1" x14ac:dyDescent="0.15">
      <c r="A106" s="1">
        <f t="shared" si="204"/>
        <v>106</v>
      </c>
      <c r="B106" s="4">
        <v>45847.481874999998</v>
      </c>
      <c r="C106" s="5" t="s">
        <v>204</v>
      </c>
      <c r="D106" s="5" t="s">
        <v>206</v>
      </c>
      <c r="F106" s="5" t="s">
        <v>206</v>
      </c>
      <c r="G106" s="5" t="s">
        <v>204</v>
      </c>
      <c r="H106" s="5" t="s">
        <v>206</v>
      </c>
      <c r="K106" s="5" t="s">
        <v>237</v>
      </c>
      <c r="P106" s="5" t="s">
        <v>237</v>
      </c>
      <c r="S106" s="5" t="s">
        <v>208</v>
      </c>
      <c r="X106" s="5" t="s">
        <v>208</v>
      </c>
      <c r="AD106" s="5" t="s">
        <v>209</v>
      </c>
      <c r="AH106" s="5" t="s">
        <v>275</v>
      </c>
      <c r="AI106" s="5">
        <v>2025</v>
      </c>
      <c r="AJ106" s="5" t="s">
        <v>337</v>
      </c>
      <c r="AK106" s="5" t="str">
        <f t="shared" si="205"/>
        <v>Asalariada</v>
      </c>
      <c r="AQ106" s="5" t="s">
        <v>206</v>
      </c>
      <c r="AR106" s="5" t="s">
        <v>301</v>
      </c>
      <c r="AS106" s="5" t="s">
        <v>241</v>
      </c>
      <c r="AT106" s="5" t="s">
        <v>261</v>
      </c>
      <c r="AU106" s="5" t="s">
        <v>261</v>
      </c>
      <c r="AV106" s="5" t="s">
        <v>213</v>
      </c>
      <c r="AW106" s="5" t="s">
        <v>206</v>
      </c>
      <c r="BF106" s="5" t="s">
        <v>204</v>
      </c>
      <c r="BG106" s="5" t="s">
        <v>278</v>
      </c>
      <c r="BH106" s="5" t="s">
        <v>215</v>
      </c>
      <c r="BI106" s="5" t="s">
        <v>278</v>
      </c>
      <c r="BJ106" s="5" t="s">
        <v>215</v>
      </c>
      <c r="BK106" s="5" t="s">
        <v>216</v>
      </c>
      <c r="BL106" s="5" t="s">
        <v>216</v>
      </c>
      <c r="BM106" s="5" t="s">
        <v>216</v>
      </c>
      <c r="BN106" s="5" t="s">
        <v>216</v>
      </c>
      <c r="BO106" s="5" t="s">
        <v>216</v>
      </c>
      <c r="BP106" s="5" t="s">
        <v>246</v>
      </c>
      <c r="BQ106" s="5" t="s">
        <v>216</v>
      </c>
      <c r="BR106" s="5" t="s">
        <v>216</v>
      </c>
      <c r="BS106" s="5" t="s">
        <v>247</v>
      </c>
      <c r="BT106" s="5" t="s">
        <v>248</v>
      </c>
      <c r="BU106" s="5" t="s">
        <v>248</v>
      </c>
      <c r="BV106" s="5" t="s">
        <v>217</v>
      </c>
      <c r="BW106" s="5" t="s">
        <v>217</v>
      </c>
      <c r="BX106" s="5" t="s">
        <v>217</v>
      </c>
      <c r="BY106" s="5" t="s">
        <v>217</v>
      </c>
      <c r="CD106" s="5" t="s">
        <v>206</v>
      </c>
      <c r="CH106" s="5" t="s">
        <v>206</v>
      </c>
      <c r="CI106" s="5" t="s">
        <v>291</v>
      </c>
      <c r="CJ106" s="5">
        <v>9</v>
      </c>
      <c r="CK106" s="5" t="s">
        <v>223</v>
      </c>
      <c r="CU106" s="5" t="s">
        <v>206</v>
      </c>
      <c r="DA106" s="5" t="s">
        <v>231</v>
      </c>
      <c r="DB106" s="5">
        <f t="shared" si="206"/>
        <v>2</v>
      </c>
      <c r="DC106" s="5" t="s">
        <v>251</v>
      </c>
      <c r="DD106" s="5">
        <f t="shared" si="207"/>
        <v>1</v>
      </c>
      <c r="DE106" s="5" t="s">
        <v>251</v>
      </c>
      <c r="DF106" s="5">
        <f t="shared" si="208"/>
        <v>1</v>
      </c>
      <c r="DG106" s="5" t="s">
        <v>251</v>
      </c>
      <c r="DH106" s="5">
        <f t="shared" si="209"/>
        <v>1</v>
      </c>
      <c r="DI106" s="5" t="s">
        <v>251</v>
      </c>
      <c r="DJ106" s="5">
        <f t="shared" si="210"/>
        <v>1</v>
      </c>
      <c r="DK106" s="5" t="s">
        <v>251</v>
      </c>
      <c r="DL106" s="5">
        <f t="shared" si="211"/>
        <v>1</v>
      </c>
      <c r="DM106" s="5" t="s">
        <v>251</v>
      </c>
      <c r="DN106" s="5">
        <f t="shared" si="212"/>
        <v>1</v>
      </c>
      <c r="DO106" s="5" t="s">
        <v>231</v>
      </c>
      <c r="DP106" s="5">
        <f t="shared" si="213"/>
        <v>2</v>
      </c>
      <c r="DQ106" s="5" t="s">
        <v>231</v>
      </c>
      <c r="DR106" s="5">
        <f t="shared" si="214"/>
        <v>2</v>
      </c>
      <c r="DS106" s="5" t="s">
        <v>231</v>
      </c>
      <c r="DT106" s="5">
        <f t="shared" si="215"/>
        <v>2</v>
      </c>
      <c r="DU106" s="5" t="s">
        <v>231</v>
      </c>
      <c r="DV106" s="5">
        <f t="shared" si="216"/>
        <v>2</v>
      </c>
      <c r="DW106" s="5" t="s">
        <v>231</v>
      </c>
      <c r="DX106" s="5">
        <f t="shared" si="217"/>
        <v>2</v>
      </c>
      <c r="DY106" s="5">
        <f t="shared" si="218"/>
        <v>18</v>
      </c>
      <c r="DZ106" s="5" t="str">
        <f t="shared" si="219"/>
        <v>Nivel de riesgo bajo</v>
      </c>
      <c r="EA106" s="5" t="s">
        <v>253</v>
      </c>
      <c r="EB106" s="5">
        <f t="shared" si="220"/>
        <v>0</v>
      </c>
      <c r="EC106" s="5" t="s">
        <v>253</v>
      </c>
      <c r="ED106" s="5">
        <f t="shared" si="221"/>
        <v>0</v>
      </c>
      <c r="EE106" s="5" t="s">
        <v>253</v>
      </c>
      <c r="EF106" s="5">
        <f t="shared" si="222"/>
        <v>0</v>
      </c>
      <c r="EG106" s="5">
        <f t="shared" si="223"/>
        <v>0</v>
      </c>
      <c r="EH106" s="5" t="str">
        <f t="shared" si="224"/>
        <v>Nivel de riesgo bajo</v>
      </c>
      <c r="EI106" s="5" t="s">
        <v>253</v>
      </c>
      <c r="EJ106" s="5">
        <f t="shared" si="225"/>
        <v>0</v>
      </c>
      <c r="EK106" s="5" t="s">
        <v>248</v>
      </c>
      <c r="EL106" s="5">
        <f t="shared" si="226"/>
        <v>1</v>
      </c>
      <c r="EM106" s="5" t="s">
        <v>253</v>
      </c>
      <c r="EN106" s="5">
        <f t="shared" si="227"/>
        <v>0</v>
      </c>
      <c r="EO106" s="5">
        <f t="shared" si="228"/>
        <v>1</v>
      </c>
      <c r="EP106" s="5" t="str">
        <f t="shared" si="229"/>
        <v>Nivel de riesgo bajo</v>
      </c>
      <c r="EQ106" s="5" t="s">
        <v>247</v>
      </c>
      <c r="ER106" s="5">
        <f t="shared" si="230"/>
        <v>2</v>
      </c>
      <c r="ES106" s="5" t="s">
        <v>253</v>
      </c>
      <c r="ET106" s="5">
        <f t="shared" si="231"/>
        <v>4</v>
      </c>
      <c r="EU106" s="5" t="s">
        <v>232</v>
      </c>
      <c r="EV106" s="5">
        <f t="shared" si="232"/>
        <v>1</v>
      </c>
      <c r="EW106" s="5" t="s">
        <v>232</v>
      </c>
      <c r="EX106" s="5">
        <f t="shared" si="233"/>
        <v>1</v>
      </c>
      <c r="EY106" s="5">
        <f t="shared" si="234"/>
        <v>8</v>
      </c>
      <c r="EZ106" s="5" t="str">
        <f t="shared" si="235"/>
        <v>Nivel de riesgo alto</v>
      </c>
      <c r="FA106" s="5" t="s">
        <v>253</v>
      </c>
      <c r="FB106" s="5">
        <f t="shared" si="236"/>
        <v>0</v>
      </c>
      <c r="FC106" s="5" t="s">
        <v>253</v>
      </c>
      <c r="FD106" s="5">
        <f t="shared" si="237"/>
        <v>0</v>
      </c>
      <c r="FE106" s="5" t="s">
        <v>253</v>
      </c>
      <c r="FF106" s="5">
        <f t="shared" si="238"/>
        <v>0</v>
      </c>
      <c r="FG106" s="5">
        <f t="shared" si="239"/>
        <v>0</v>
      </c>
      <c r="FH106" s="5" t="str">
        <f t="shared" si="240"/>
        <v>Nivel de riesgo bajo</v>
      </c>
      <c r="FI106" s="5" t="s">
        <v>253</v>
      </c>
      <c r="FJ106" s="5">
        <f t="shared" si="241"/>
        <v>0</v>
      </c>
      <c r="FK106" s="5" t="s">
        <v>253</v>
      </c>
      <c r="FL106" s="5">
        <f t="shared" si="242"/>
        <v>0</v>
      </c>
      <c r="FM106" s="5" t="s">
        <v>253</v>
      </c>
      <c r="FN106" s="5">
        <f t="shared" si="243"/>
        <v>0</v>
      </c>
      <c r="FO106" s="5">
        <f t="shared" si="244"/>
        <v>0</v>
      </c>
      <c r="FP106" s="5" t="str">
        <f t="shared" si="245"/>
        <v>Nivel de riesgo bajo</v>
      </c>
      <c r="FQ106" s="5" t="s">
        <v>206</v>
      </c>
      <c r="FR106" s="5">
        <f t="shared" si="246"/>
        <v>0</v>
      </c>
      <c r="FS106" s="5" t="s">
        <v>206</v>
      </c>
      <c r="FT106" s="5">
        <f t="shared" si="247"/>
        <v>0</v>
      </c>
      <c r="FU106" s="5" t="s">
        <v>206</v>
      </c>
      <c r="FV106" s="5">
        <f t="shared" si="248"/>
        <v>0</v>
      </c>
      <c r="FW106" s="5" t="s">
        <v>206</v>
      </c>
      <c r="FX106" s="5">
        <f t="shared" si="249"/>
        <v>0</v>
      </c>
      <c r="FY106" s="5" t="s">
        <v>206</v>
      </c>
      <c r="FZ106" s="5">
        <f t="shared" si="250"/>
        <v>0</v>
      </c>
      <c r="GA106" s="5" t="s">
        <v>206</v>
      </c>
      <c r="GB106" s="5">
        <f t="shared" si="251"/>
        <v>0</v>
      </c>
      <c r="GC106" s="5" t="s">
        <v>206</v>
      </c>
      <c r="GD106" s="5">
        <f t="shared" si="252"/>
        <v>0</v>
      </c>
      <c r="GE106" s="5">
        <f t="shared" si="253"/>
        <v>0</v>
      </c>
      <c r="GF106" s="5" t="str">
        <f t="shared" si="254"/>
        <v>Nivel de riesgo bajo</v>
      </c>
      <c r="GG106" s="5" t="s">
        <v>255</v>
      </c>
      <c r="GH106" s="5" t="s">
        <v>266</v>
      </c>
      <c r="GI106" s="5" t="s">
        <v>266</v>
      </c>
      <c r="GJ106" s="5" t="s">
        <v>266</v>
      </c>
      <c r="GK106" s="5" t="s">
        <v>233</v>
      </c>
      <c r="GL106" s="5" t="s">
        <v>233</v>
      </c>
      <c r="GM106" s="5" t="s">
        <v>266</v>
      </c>
      <c r="GN106" s="5" t="s">
        <v>257</v>
      </c>
      <c r="GO106" s="5" t="s">
        <v>257</v>
      </c>
      <c r="GP106" s="5" t="s">
        <v>257</v>
      </c>
      <c r="GQ106" s="5" t="s">
        <v>257</v>
      </c>
      <c r="GR106" s="5" t="s">
        <v>257</v>
      </c>
      <c r="GS106" s="5" t="s">
        <v>257</v>
      </c>
      <c r="GT106" s="5" t="s">
        <v>257</v>
      </c>
      <c r="GU106" s="5" t="s">
        <v>303</v>
      </c>
      <c r="GV106" s="5" t="str">
        <f>TEXT("6278844342843929749","0")</f>
        <v>6278844342843920000</v>
      </c>
    </row>
    <row r="107" spans="1:204" ht="15.75" hidden="1" customHeight="1" x14ac:dyDescent="0.15">
      <c r="B107" s="4">
        <v>45847.481874999998</v>
      </c>
      <c r="C107" s="5" t="s">
        <v>204</v>
      </c>
      <c r="D107" s="5" t="s">
        <v>206</v>
      </c>
      <c r="F107" s="5" t="s">
        <v>206</v>
      </c>
      <c r="G107" s="5" t="s">
        <v>206</v>
      </c>
      <c r="H107" s="5" t="s">
        <v>204</v>
      </c>
      <c r="K107" s="5" t="s">
        <v>237</v>
      </c>
      <c r="P107" s="5" t="s">
        <v>237</v>
      </c>
      <c r="S107" s="5" t="s">
        <v>208</v>
      </c>
      <c r="X107" s="5" t="s">
        <v>208</v>
      </c>
      <c r="AG107" s="5" t="s">
        <v>207</v>
      </c>
      <c r="AH107" s="5" t="s">
        <v>268</v>
      </c>
      <c r="AI107" s="5">
        <v>2019</v>
      </c>
      <c r="AJ107" s="5" t="s">
        <v>260</v>
      </c>
      <c r="AK107" s="5"/>
      <c r="AR107" s="5" t="s">
        <v>301</v>
      </c>
      <c r="AS107" s="5" t="s">
        <v>301</v>
      </c>
      <c r="AT107" s="5" t="s">
        <v>241</v>
      </c>
      <c r="AU107" s="5" t="s">
        <v>261</v>
      </c>
      <c r="AV107" s="5" t="s">
        <v>269</v>
      </c>
      <c r="AW107" s="5" t="s">
        <v>204</v>
      </c>
      <c r="AX107" s="5" t="s">
        <v>204</v>
      </c>
      <c r="AY107" s="5" t="s">
        <v>270</v>
      </c>
      <c r="AZ107" s="5" t="s">
        <v>204</v>
      </c>
      <c r="BA107" s="5" t="s">
        <v>263</v>
      </c>
      <c r="BF107" s="5" t="s">
        <v>204</v>
      </c>
      <c r="BG107" s="5" t="s">
        <v>207</v>
      </c>
      <c r="BH107" s="5" t="s">
        <v>242</v>
      </c>
      <c r="BI107" s="5" t="s">
        <v>207</v>
      </c>
      <c r="BJ107" s="5" t="s">
        <v>242</v>
      </c>
      <c r="BK107" s="5" t="s">
        <v>244</v>
      </c>
      <c r="BL107" s="5" t="s">
        <v>216</v>
      </c>
      <c r="BM107" s="5" t="s">
        <v>245</v>
      </c>
      <c r="BN107" s="5" t="s">
        <v>245</v>
      </c>
      <c r="BO107" s="5" t="s">
        <v>244</v>
      </c>
      <c r="BP107" s="5" t="s">
        <v>245</v>
      </c>
      <c r="BQ107" s="5" t="s">
        <v>246</v>
      </c>
      <c r="BR107" s="5" t="s">
        <v>246</v>
      </c>
      <c r="BS107" s="5" t="s">
        <v>247</v>
      </c>
      <c r="BT107" s="5" t="s">
        <v>247</v>
      </c>
      <c r="BU107" s="5" t="s">
        <v>247</v>
      </c>
      <c r="BV107" s="5" t="s">
        <v>217</v>
      </c>
      <c r="BW107" s="5" t="s">
        <v>247</v>
      </c>
      <c r="BX107" s="5" t="s">
        <v>217</v>
      </c>
      <c r="BY107" s="5" t="s">
        <v>217</v>
      </c>
      <c r="BZ107" s="5" t="s">
        <v>216</v>
      </c>
      <c r="CA107" s="5" t="s">
        <v>244</v>
      </c>
      <c r="CB107" s="5" t="s">
        <v>216</v>
      </c>
      <c r="CC107" s="5" t="s">
        <v>246</v>
      </c>
      <c r="CD107" s="5" t="s">
        <v>206</v>
      </c>
      <c r="CH107" s="5" t="s">
        <v>206</v>
      </c>
      <c r="CI107" s="5" t="s">
        <v>332</v>
      </c>
      <c r="CJ107" s="5">
        <v>1</v>
      </c>
      <c r="CK107" s="5" t="s">
        <v>223</v>
      </c>
      <c r="CU107" s="5" t="s">
        <v>206</v>
      </c>
      <c r="DA107" s="5" t="s">
        <v>231</v>
      </c>
      <c r="DB107" s="5"/>
      <c r="DC107" s="5" t="s">
        <v>251</v>
      </c>
      <c r="DD107" s="5"/>
      <c r="DE107" s="5" t="s">
        <v>230</v>
      </c>
      <c r="DF107" s="5"/>
      <c r="DG107" s="5" t="s">
        <v>251</v>
      </c>
      <c r="DH107" s="5"/>
      <c r="DI107" s="5" t="s">
        <v>230</v>
      </c>
      <c r="DJ107" s="5"/>
      <c r="DK107" s="5" t="s">
        <v>251</v>
      </c>
      <c r="DL107" s="5"/>
      <c r="DM107" s="5" t="s">
        <v>251</v>
      </c>
      <c r="DN107" s="5"/>
      <c r="DO107" s="5" t="s">
        <v>231</v>
      </c>
      <c r="DP107" s="5"/>
      <c r="DQ107" s="5" t="s">
        <v>281</v>
      </c>
      <c r="DR107" s="5"/>
      <c r="DS107" s="5" t="s">
        <v>231</v>
      </c>
      <c r="DT107" s="5"/>
      <c r="DU107" s="5" t="s">
        <v>281</v>
      </c>
      <c r="DV107" s="5"/>
      <c r="DW107" s="5" t="s">
        <v>281</v>
      </c>
      <c r="DX107" s="5"/>
      <c r="DY107" s="5"/>
      <c r="DZ107" s="5"/>
      <c r="EA107" s="5" t="s">
        <v>254</v>
      </c>
      <c r="EB107" s="5"/>
      <c r="EC107" s="5" t="s">
        <v>247</v>
      </c>
      <c r="ED107" s="5"/>
      <c r="EE107" s="5" t="s">
        <v>253</v>
      </c>
      <c r="EF107" s="5"/>
      <c r="EG107" s="5"/>
      <c r="EH107" s="5"/>
      <c r="EI107" s="5" t="s">
        <v>253</v>
      </c>
      <c r="EJ107" s="5"/>
      <c r="EK107" s="5" t="s">
        <v>247</v>
      </c>
      <c r="EL107" s="5"/>
      <c r="EM107" s="5" t="s">
        <v>254</v>
      </c>
      <c r="EN107" s="5"/>
      <c r="EO107" s="5"/>
      <c r="EP107" s="5"/>
      <c r="EQ107" s="5" t="s">
        <v>232</v>
      </c>
      <c r="ER107" s="5"/>
      <c r="ES107" s="5" t="s">
        <v>232</v>
      </c>
      <c r="ET107" s="5"/>
      <c r="EU107" s="5" t="s">
        <v>254</v>
      </c>
      <c r="EV107" s="5"/>
      <c r="EW107" s="5" t="s">
        <v>254</v>
      </c>
      <c r="EX107" s="5"/>
      <c r="EY107" s="5"/>
      <c r="EZ107" s="5"/>
      <c r="FA107" s="5" t="s">
        <v>248</v>
      </c>
      <c r="FB107" s="5"/>
      <c r="FC107" s="5" t="s">
        <v>248</v>
      </c>
      <c r="FD107" s="5"/>
      <c r="FE107" s="5" t="s">
        <v>248</v>
      </c>
      <c r="FF107" s="5"/>
      <c r="FG107" s="5"/>
      <c r="FH107" s="5"/>
      <c r="FI107" s="5" t="s">
        <v>247</v>
      </c>
      <c r="FJ107" s="5"/>
      <c r="FK107" s="5" t="s">
        <v>247</v>
      </c>
      <c r="FL107" s="5"/>
      <c r="FM107" s="5" t="s">
        <v>254</v>
      </c>
      <c r="FN107" s="5"/>
      <c r="FO107" s="5"/>
      <c r="FP107" s="5"/>
      <c r="FQ107" s="5" t="s">
        <v>206</v>
      </c>
      <c r="FR107" s="5"/>
      <c r="FS107" s="5" t="s">
        <v>206</v>
      </c>
      <c r="FT107" s="5"/>
      <c r="FU107" s="5" t="s">
        <v>206</v>
      </c>
      <c r="FV107" s="5"/>
      <c r="FW107" s="5" t="s">
        <v>206</v>
      </c>
      <c r="FX107" s="5"/>
      <c r="FY107" s="5" t="s">
        <v>206</v>
      </c>
      <c r="FZ107" s="5"/>
      <c r="GA107" s="5" t="s">
        <v>206</v>
      </c>
      <c r="GB107" s="5"/>
      <c r="GC107" s="5" t="s">
        <v>206</v>
      </c>
      <c r="GD107" s="5"/>
      <c r="GE107" s="5"/>
      <c r="GF107" s="5"/>
      <c r="GG107" s="5" t="s">
        <v>255</v>
      </c>
      <c r="GH107" s="5" t="s">
        <v>255</v>
      </c>
      <c r="GI107" s="5" t="s">
        <v>255</v>
      </c>
      <c r="GJ107" s="5" t="s">
        <v>266</v>
      </c>
      <c r="GK107" s="5" t="s">
        <v>233</v>
      </c>
      <c r="GL107" s="5" t="s">
        <v>273</v>
      </c>
      <c r="GM107" s="5" t="s">
        <v>298</v>
      </c>
      <c r="GN107" s="5" t="s">
        <v>256</v>
      </c>
      <c r="GO107" s="5" t="s">
        <v>256</v>
      </c>
      <c r="GP107" s="5" t="s">
        <v>256</v>
      </c>
      <c r="GQ107" s="5" t="s">
        <v>256</v>
      </c>
      <c r="GR107" s="5" t="s">
        <v>256</v>
      </c>
      <c r="GS107" s="5" t="s">
        <v>256</v>
      </c>
      <c r="GT107" s="5" t="s">
        <v>256</v>
      </c>
      <c r="GU107" s="5" t="s">
        <v>449</v>
      </c>
      <c r="GV107" s="5" t="str">
        <f>TEXT("6278844341192384835","0")</f>
        <v>6278844341192380000</v>
      </c>
    </row>
    <row r="108" spans="1:204" ht="15.75" customHeight="1" x14ac:dyDescent="0.15">
      <c r="A108" s="1">
        <f>ROW(A108)</f>
        <v>108</v>
      </c>
      <c r="B108" s="4">
        <v>45847.483310185184</v>
      </c>
      <c r="C108" s="5" t="s">
        <v>204</v>
      </c>
      <c r="D108" s="5" t="s">
        <v>206</v>
      </c>
      <c r="F108" s="5" t="s">
        <v>206</v>
      </c>
      <c r="G108" s="5" t="s">
        <v>206</v>
      </c>
      <c r="H108" s="5" t="s">
        <v>206</v>
      </c>
      <c r="J108" s="5" t="s">
        <v>209</v>
      </c>
      <c r="O108" s="5" t="s">
        <v>209</v>
      </c>
      <c r="T108" s="5" t="s">
        <v>209</v>
      </c>
      <c r="X108" s="5" t="s">
        <v>208</v>
      </c>
      <c r="AC108" s="5" t="s">
        <v>208</v>
      </c>
      <c r="AH108" s="5" t="s">
        <v>275</v>
      </c>
      <c r="AI108" s="5">
        <v>2015</v>
      </c>
      <c r="AJ108" s="5" t="s">
        <v>238</v>
      </c>
      <c r="AK108" s="5" t="str">
        <f>IF(OR(AJ108="Empleada del sector privado",AJ108="Empleada del sector público"),"Asalariada",
IF(AJ108="Trabajadora por cuenta propia","Trabajadora por cuenta propia",""))</f>
        <v>Trabajadora por cuenta propia</v>
      </c>
      <c r="AN108" s="5" t="s">
        <v>288</v>
      </c>
      <c r="AP108" s="5" t="s">
        <v>365</v>
      </c>
      <c r="AR108" s="5" t="s">
        <v>241</v>
      </c>
      <c r="AS108" s="5" t="s">
        <v>301</v>
      </c>
      <c r="AT108" s="5" t="s">
        <v>241</v>
      </c>
      <c r="AU108" s="5" t="s">
        <v>241</v>
      </c>
      <c r="AV108" s="5" t="s">
        <v>277</v>
      </c>
      <c r="AW108" s="5" t="s">
        <v>204</v>
      </c>
      <c r="AX108" s="5" t="s">
        <v>204</v>
      </c>
      <c r="AY108" s="5" t="s">
        <v>214</v>
      </c>
      <c r="AZ108" s="5" t="s">
        <v>206</v>
      </c>
      <c r="BA108" s="5" t="s">
        <v>263</v>
      </c>
      <c r="BF108" s="5" t="s">
        <v>204</v>
      </c>
      <c r="BG108" s="5" t="s">
        <v>215</v>
      </c>
      <c r="BH108" s="5" t="s">
        <v>242</v>
      </c>
      <c r="BI108" s="5" t="s">
        <v>242</v>
      </c>
      <c r="BJ108" s="5" t="s">
        <v>242</v>
      </c>
      <c r="BK108" s="5" t="s">
        <v>243</v>
      </c>
      <c r="BL108" s="5" t="s">
        <v>243</v>
      </c>
      <c r="BM108" s="5" t="s">
        <v>243</v>
      </c>
      <c r="BN108" s="5" t="s">
        <v>243</v>
      </c>
      <c r="BO108" s="5" t="s">
        <v>243</v>
      </c>
      <c r="BP108" s="5" t="s">
        <v>243</v>
      </c>
      <c r="BQ108" s="5" t="s">
        <v>243</v>
      </c>
      <c r="BR108" s="5" t="s">
        <v>243</v>
      </c>
      <c r="BS108" s="5" t="s">
        <v>232</v>
      </c>
      <c r="BT108" s="5" t="s">
        <v>232</v>
      </c>
      <c r="BU108" s="5" t="s">
        <v>232</v>
      </c>
      <c r="BV108" s="5" t="s">
        <v>232</v>
      </c>
      <c r="BW108" s="5" t="s">
        <v>232</v>
      </c>
      <c r="BX108" s="5" t="s">
        <v>232</v>
      </c>
      <c r="BY108" s="5" t="s">
        <v>232</v>
      </c>
      <c r="BZ108" s="5" t="s">
        <v>243</v>
      </c>
      <c r="CA108" s="5" t="s">
        <v>243</v>
      </c>
      <c r="CB108" s="5" t="s">
        <v>243</v>
      </c>
      <c r="CC108" s="5" t="s">
        <v>243</v>
      </c>
      <c r="CD108" s="5" t="s">
        <v>206</v>
      </c>
      <c r="CH108" s="5" t="s">
        <v>206</v>
      </c>
      <c r="CI108" s="5" t="s">
        <v>206</v>
      </c>
      <c r="CJ108" s="5">
        <v>0</v>
      </c>
      <c r="CK108" s="5" t="s">
        <v>223</v>
      </c>
      <c r="CU108" s="5" t="s">
        <v>206</v>
      </c>
      <c r="DA108" s="5" t="s">
        <v>231</v>
      </c>
      <c r="DB108" s="5">
        <f>IF(DA108="Mejor que lo habitual",1,
IF(DA108="Igual que lo habitual",2,
IF(DA108="Menos que lo habitual",3,
IF(DA108="Mucho menos que lo habitual",4,""))))</f>
        <v>2</v>
      </c>
      <c r="DC108" s="5" t="s">
        <v>251</v>
      </c>
      <c r="DD108" s="5">
        <f>IF(DC108="No, en absoluto",1,
IF(DC108="No más que lo habitual",2,
IF(DC108="Bastante más que lo habitual",3,
IF(DC108="Mucho más que lo habitual",4,""))))</f>
        <v>1</v>
      </c>
      <c r="DE108" s="5" t="s">
        <v>251</v>
      </c>
      <c r="DF108" s="5">
        <f>IF(DE108="No, en absoluto",1,
IF(DE108="No más que lo habitual",2,
IF(DE108="Bastante más que lo habitual",3,
IF(DE108="Mucho más que lo habitual",4,""))))</f>
        <v>1</v>
      </c>
      <c r="DG108" s="5" t="s">
        <v>251</v>
      </c>
      <c r="DH108" s="5">
        <f>IF(DG108="No, en absoluto",1,
IF(DG108="No más que lo habitual",2,
IF(DG108="Bastante más que lo habitual",3,
IF(DG108="Mucho más que lo habitual",4,""))))</f>
        <v>1</v>
      </c>
      <c r="DI108" s="5" t="s">
        <v>251</v>
      </c>
      <c r="DJ108" s="5">
        <f>IF(DI108="No, en absoluto",1,
IF(DI108="No más que lo habitual",2,
IF(DI108="Bastante más que lo habitual",3,
IF(DI108="Mucho más que lo habitual",4,""))))</f>
        <v>1</v>
      </c>
      <c r="DK108" s="5" t="s">
        <v>251</v>
      </c>
      <c r="DL108" s="5">
        <f>IF(DK108="No, en absoluto",1,
IF(DK108="No más que lo habitual",2,
IF(DK108="Bastante más que lo habitual",3,
IF(DK108="Mucho más que lo habitual",4,""))))</f>
        <v>1</v>
      </c>
      <c r="DM108" s="5" t="s">
        <v>251</v>
      </c>
      <c r="DN108" s="5">
        <f>IF(DM108="No, en absoluto",1,
IF(DM108="No más que lo habitual",2,
IF(DM108="Bastante más que lo habitual",3,
IF(DM108="Mucho más que lo habitual",4,""))))</f>
        <v>1</v>
      </c>
      <c r="DO108" s="5" t="s">
        <v>281</v>
      </c>
      <c r="DP108" s="5">
        <f>IF(DO108="Más que lo habitual",1,
IF(DO108="Igual que lo habitual",2,
IF(DO108="Menos que lo habitual",3,
IF(DO108="Mucho menos que lo habitual",4,""))))</f>
        <v>1</v>
      </c>
      <c r="DQ108" s="5" t="s">
        <v>281</v>
      </c>
      <c r="DR108" s="5">
        <f>IF(DQ108="Más que lo habitual",1,
IF(DQ108="Igual que lo habitual",2,
IF(DQ108="Menos que lo habitual",3,
IF(DQ108="Mucho menos que lo habitual",4,""))))</f>
        <v>1</v>
      </c>
      <c r="DS108" s="5" t="s">
        <v>281</v>
      </c>
      <c r="DT108" s="5">
        <f>IF(DS108="Más que lo habitual",1,
IF(DS108="Igual que lo habitual",2,
IF(DS108="Menos que lo habitual",3,
IF(DS108="Mucho menos que lo habitual",4,""))))</f>
        <v>1</v>
      </c>
      <c r="DU108" s="5" t="s">
        <v>281</v>
      </c>
      <c r="DV108" s="5">
        <f>IF(DU108="Más que lo habitual",1,
IF(DU108="Igual que lo habitual",2,
IF(DU108="Menos que lo habitual",3,
IF(DU108="Mucho menos que lo habitual",4,""))))</f>
        <v>1</v>
      </c>
      <c r="DW108" s="5" t="s">
        <v>281</v>
      </c>
      <c r="DX108" s="5">
        <f>IF(DW108="Más que lo habitual",1,
IF(DW108="Igual que lo habitual",2,
IF(DW108="Menos que lo habitual",3,
IF(DW108="Mucho menos que lo habitual",4,""))))</f>
        <v>1</v>
      </c>
      <c r="DY108" s="5">
        <f>SUM(DB108,DD108,DF108,DH108,DJ108,DL108,DN108,DP108,DR108,DT108,DV108,DX108)</f>
        <v>13</v>
      </c>
      <c r="DZ108" s="5" t="str">
        <f>IF(DY108&lt;=18,"Nivel de riesgo bajo",
IF(DY108&lt;=23,"Nivel de riesgo medio",
"Nivel de riesgo alto"))</f>
        <v>Nivel de riesgo bajo</v>
      </c>
      <c r="EA108" s="5" t="s">
        <v>247</v>
      </c>
      <c r="EB108" s="5">
        <f>IF(EA108="Nunca/ casi nunca",0,
IF(EA108="Rara vez",1,
IF(EA108="A veces",2,
IF(EA108="A menudo",3,
IF(EA108="Siempre",4,"")))))</f>
        <v>2</v>
      </c>
      <c r="EC108" s="5" t="s">
        <v>247</v>
      </c>
      <c r="ED108" s="5">
        <f>IF(EC108="Nunca/ casi nunca",0,
IF(EC108="Rara vez",1,
IF(EC108="A veces",2,
IF(EC108="A menudo",3,
IF(EC108="Siempre",4,"")))))</f>
        <v>2</v>
      </c>
      <c r="EE108" s="5" t="s">
        <v>247</v>
      </c>
      <c r="EF108" s="5">
        <f>IF(EE108="Nunca/ casi nunca",0,
IF(EE108="Rara vez",1,
IF(EE108="A veces",2,
IF(EE108="A menudo",3,
IF(EE108="Siempre",4,"")))))</f>
        <v>2</v>
      </c>
      <c r="EG108" s="5">
        <f>SUM(EB108,ED108,EF108)</f>
        <v>6</v>
      </c>
      <c r="EH108" s="5" t="str">
        <f>IF(EG108&lt;=1,"Nivel de riesgo bajo",
IF(EG108&lt;=4,"Nivel de riesgo medio",
"Nivel de riesgo alto"))</f>
        <v>Nivel de riesgo alto</v>
      </c>
      <c r="EI108" s="5" t="s">
        <v>247</v>
      </c>
      <c r="EJ108" s="5">
        <f>IF(EI108="Nunca/ casi nunca",0,
IF(EI108="Rara vez",1,
IF(EI108="A veces",2,
IF(EI108="A menudo",3,
IF(EI108="Siempre",4,"")))))</f>
        <v>2</v>
      </c>
      <c r="EK108" s="5" t="s">
        <v>247</v>
      </c>
      <c r="EL108" s="5">
        <f>IF(EK108="Nunca/ casi nunca",0,
IF(EK108="Rara vez",1,
IF(EK108="A veces",2,
IF(EK108="A menudo",3,
IF(EK108="Siempre",4,"")))))</f>
        <v>2</v>
      </c>
      <c r="EM108" s="5" t="s">
        <v>247</v>
      </c>
      <c r="EN108" s="5">
        <f>IF(EM108="Nunca/ casi nunca",0,
IF(EM108="Rara vez",1,
IF(EM108="A veces",2,
IF(EM108="A menudo",3,
IF(EM108="Siempre",4,"")))))</f>
        <v>2</v>
      </c>
      <c r="EO108" s="5">
        <f>SUM(EJ108,EL108,EN108)</f>
        <v>6</v>
      </c>
      <c r="EP108" s="5" t="str">
        <f>IF(EO108&lt;=1,"Nivel de riesgo bajo",
IF(EO108&lt;=5,"Nivel de riesgo medio",
"Nivel de riesgo alto"))</f>
        <v>Nivel de riesgo alto</v>
      </c>
      <c r="EQ108" s="5" t="s">
        <v>247</v>
      </c>
      <c r="ER108" s="5">
        <f>IF(EQ108="Nunca/ casi nunca",4,
IF(EQ108="Rara vez",3,
IF(EQ108="A veces",2,
IF(EQ108="A menudo",1,
IF(EQ108="Siempre",0,"")))))</f>
        <v>2</v>
      </c>
      <c r="ES108" s="5" t="s">
        <v>247</v>
      </c>
      <c r="ET108" s="5">
        <f>IF(ES108="Nunca/ casi nunca",4,
IF(ES108="Rara vez",3,
IF(ES108="A veces",2,
IF(ES108="A menudo",1,
IF(ES108="Siempre",0,"")))))</f>
        <v>2</v>
      </c>
      <c r="EU108" s="5" t="s">
        <v>247</v>
      </c>
      <c r="EV108" s="5">
        <f>IF(EU108="Nunca/ casi nunca",4,
IF(EU108="Rara vez",3,
IF(EU108="A veces",2,
IF(EU108="A menudo",1,
IF(EU108="Siempre",0,"")))))</f>
        <v>2</v>
      </c>
      <c r="EW108" s="5" t="s">
        <v>247</v>
      </c>
      <c r="EX108" s="5">
        <f>IF(EW108="Nunca/ casi nunca",4,
IF(EW108="Rara vez",3,
IF(EW108="A veces",2,
IF(EW108="A menudo",1,
IF(EW108="Siempre",0,"")))))</f>
        <v>2</v>
      </c>
      <c r="EY108" s="5">
        <f>SUM(ER108,ET108,EV108,EX108)</f>
        <v>8</v>
      </c>
      <c r="EZ108" s="5" t="str">
        <f>IF(EY108&lt;=0,"Nivel de riesgo bajo",
IF(EY108&lt;=4,"Nivel de riesgo medio",
"Nivel de riesgo alto"))</f>
        <v>Nivel de riesgo alto</v>
      </c>
      <c r="FA108" s="5" t="s">
        <v>247</v>
      </c>
      <c r="FB108" s="5">
        <f>IF(FA108="Nunca/ casi nunca",0,
IF(FA108="Rara vez",1,
IF(FA108="A veces",2,
IF(FA108="A menudo",3,
IF(FA108="Siempre",4,"")))))</f>
        <v>2</v>
      </c>
      <c r="FC108" s="5" t="s">
        <v>247</v>
      </c>
      <c r="FD108" s="5">
        <f>IF(FC108="Nunca/ casi nunca",0,
IF(FC108="Rara vez",1,
IF(FC108="A veces",2,
IF(FC108="A menudo",3,
IF(FC108="Siempre",4,"")))))</f>
        <v>2</v>
      </c>
      <c r="FE108" s="5" t="s">
        <v>247</v>
      </c>
      <c r="FF108" s="5">
        <f>IF(FE108="Nunca/ casi nunca",0,
IF(FE108="Rara vez",1,
IF(FE108="A veces",2,
IF(FE108="A menudo",3,
IF(FE108="Siempre",4,"")))))</f>
        <v>2</v>
      </c>
      <c r="FG108" s="5">
        <f>SUM(FB108,FD108,FF108)</f>
        <v>6</v>
      </c>
      <c r="FH108" s="5" t="str">
        <f>IF(FG108&lt;=2,"Nivel de riesgo bajo",
IF(FG108&lt;=5,"Nivel de riesgo medio",
"Nivel de riesgo alto"))</f>
        <v>Nivel de riesgo alto</v>
      </c>
      <c r="FI108" s="5" t="s">
        <v>247</v>
      </c>
      <c r="FJ108" s="5">
        <f>IF(FI108="Nunca/ casi nunca",0,
IF(FI108="Rara vez",1,
IF(FI108="A veces",2,
IF(FI108="A menudo",3,
IF(FI108="Siempre",4,"")))))</f>
        <v>2</v>
      </c>
      <c r="FK108" s="5" t="s">
        <v>247</v>
      </c>
      <c r="FL108" s="5">
        <f>IF(FK108="Nunca/ casi nunca",0,
IF(FK108="Rara vez",1,
IF(FK108="A veces",2,
IF(FK108="A menudo",3,
IF(FK108="Siempre",4,"")))))</f>
        <v>2</v>
      </c>
      <c r="FM108" s="5" t="s">
        <v>247</v>
      </c>
      <c r="FN108" s="5">
        <f>IF(FM108="Nunca/ casi nunca",0,
IF(FM108="Rara vez",1,
IF(FM108="A veces",2,
IF(FM108="A menudo",3,
IF(FM108="Siempre",4,"")))))</f>
        <v>2</v>
      </c>
      <c r="FO108" s="5">
        <f>SUM(FJ108,FL108,FN108)</f>
        <v>6</v>
      </c>
      <c r="FP108" s="5" t="str">
        <f>IF(FO108&lt;=2,"Nivel de riesgo bajo",
IF(FO108&lt;=5,"Nivel de riesgo medio",
"Nivel de riesgo alto"))</f>
        <v>Nivel de riesgo alto</v>
      </c>
      <c r="FQ108" s="5" t="s">
        <v>206</v>
      </c>
      <c r="FR108" s="5">
        <f>IF(FQ108="No",0,
IF(FQ108="Sí, unas pocas veces",1,
IF(FQ108="Sí, mensualmente",2,
IF(FQ108="Sí, semanalmente",3,
IF(FQ108="Sí, diariamente",4,"")))))</f>
        <v>0</v>
      </c>
      <c r="FS108" s="5" t="s">
        <v>206</v>
      </c>
      <c r="FT108" s="5">
        <f>IF(FS108="No",0,
IF(FS108="Sí, unas pocas veces",1,
IF(FS108="Sí, mensualmente",2,
IF(FS108="Sí, semanalmente",3,
IF(FS108="Sí, diariamente",4,"")))))</f>
        <v>0</v>
      </c>
      <c r="FU108" s="5" t="s">
        <v>206</v>
      </c>
      <c r="FV108" s="5">
        <f>IF(FU108="No",0,
IF(FU108="Sí, unas pocas veces",1,
IF(FU108="Sí, mensualmente",2,
IF(FU108="Sí, semanalmente",3,
IF(FU108="Sí, diariamente",4,"")))))</f>
        <v>0</v>
      </c>
      <c r="FW108" s="5" t="s">
        <v>206</v>
      </c>
      <c r="FX108" s="5">
        <f>IF(FW108="No",0,
IF(FW108="Sí, unas pocas veces",1,
IF(FW108="Sí, mensualmente",2,
IF(FW108="Sí, semanalmente",3,
IF(FW108="Sí, diariamente",4,"")))))</f>
        <v>0</v>
      </c>
      <c r="FY108" s="5" t="s">
        <v>206</v>
      </c>
      <c r="FZ108" s="5">
        <f>IF(FY108="No",0,
IF(FY108="Sí, unas pocas veces",1,
IF(FY108="Sí, mensualmente",2,
IF(FY108="Sí, semanalmente",3,
IF(FY108="Sí, diariamente",4,"")))))</f>
        <v>0</v>
      </c>
      <c r="GA108" s="5" t="s">
        <v>206</v>
      </c>
      <c r="GB108" s="5">
        <f>IF(GA108="No",0,
IF(GA108="Sí, unas pocas veces",1,
IF(GA108="Sí, mensualmente",2,
IF(GA108="Sí, semanalmente",3,
IF(GA108="Sí, diariamente",4,"")))))</f>
        <v>0</v>
      </c>
      <c r="GC108" s="5" t="s">
        <v>206</v>
      </c>
      <c r="GD108" s="5">
        <f>IF(GC108="No",0,
IF(GC108="Sí, unas pocas veces",1,
IF(GC108="Sí, mensualmente",2,
IF(GC108="Sí, semanalmente",3,
IF(GC108="Sí, diariamente",4,"")))))</f>
        <v>0</v>
      </c>
      <c r="GE108" s="5">
        <f>SUM(FR108,FT108,FV108,FX108,FZ108,GB108,GD108)</f>
        <v>0</v>
      </c>
      <c r="GF108" s="5" t="str">
        <f>IF(GE108&lt;=0,"Nivel de riesgo bajo",
IF(GE108&lt;=14,"Nivel de riesgo medio",
"Nivel de riesgo alto"))</f>
        <v>Nivel de riesgo bajo</v>
      </c>
      <c r="GG108" s="5" t="s">
        <v>255</v>
      </c>
      <c r="GH108" s="5" t="s">
        <v>255</v>
      </c>
      <c r="GI108" s="5" t="s">
        <v>273</v>
      </c>
      <c r="GJ108" s="5" t="s">
        <v>233</v>
      </c>
      <c r="GK108" s="5" t="s">
        <v>233</v>
      </c>
      <c r="GL108" s="5" t="s">
        <v>233</v>
      </c>
      <c r="GM108" s="5" t="s">
        <v>273</v>
      </c>
      <c r="GN108" s="5" t="s">
        <v>243</v>
      </c>
      <c r="GO108" s="5" t="s">
        <v>243</v>
      </c>
      <c r="GP108" s="5" t="s">
        <v>243</v>
      </c>
      <c r="GQ108" s="5" t="s">
        <v>243</v>
      </c>
      <c r="GR108" s="5" t="s">
        <v>243</v>
      </c>
      <c r="GS108" s="5" t="s">
        <v>243</v>
      </c>
      <c r="GT108" s="5" t="s">
        <v>243</v>
      </c>
      <c r="GU108" s="5" t="s">
        <v>450</v>
      </c>
      <c r="GV108" s="5" t="str">
        <f>TEXT("6278845588415358946","0")</f>
        <v>6278845588415350000</v>
      </c>
    </row>
    <row r="109" spans="1:204" ht="15.75" customHeight="1" x14ac:dyDescent="0.15">
      <c r="A109" s="1">
        <f>ROW(A109)</f>
        <v>109</v>
      </c>
      <c r="B109" s="4">
        <v>45847.483587962961</v>
      </c>
      <c r="C109" s="5" t="s">
        <v>204</v>
      </c>
      <c r="D109" s="5" t="s">
        <v>204</v>
      </c>
      <c r="E109" s="5" t="s">
        <v>335</v>
      </c>
      <c r="F109" s="5" t="s">
        <v>204</v>
      </c>
      <c r="G109" s="5" t="s">
        <v>204</v>
      </c>
      <c r="H109" s="5" t="s">
        <v>204</v>
      </c>
      <c r="L109" s="5" t="s">
        <v>236</v>
      </c>
      <c r="O109" s="5" t="s">
        <v>209</v>
      </c>
      <c r="T109" s="5" t="s">
        <v>209</v>
      </c>
      <c r="AA109" s="5" t="s">
        <v>236</v>
      </c>
      <c r="AD109" s="5" t="s">
        <v>209</v>
      </c>
      <c r="AH109" s="5" t="s">
        <v>451</v>
      </c>
      <c r="AI109" s="5">
        <v>2012</v>
      </c>
      <c r="AJ109" s="5" t="s">
        <v>238</v>
      </c>
      <c r="AK109" s="5" t="str">
        <f>IF(OR(AJ109="Empleada del sector privado",AJ109="Empleada del sector público"),"Asalariada",
IF(AJ109="Trabajadora por cuenta propia","Trabajadora por cuenta propia",""))</f>
        <v>Trabajadora por cuenta propia</v>
      </c>
      <c r="AL109" s="5" t="s">
        <v>239</v>
      </c>
      <c r="AP109" s="5" t="s">
        <v>240</v>
      </c>
      <c r="AR109" s="5" t="s">
        <v>261</v>
      </c>
      <c r="AS109" s="5" t="s">
        <v>301</v>
      </c>
      <c r="AT109" s="5" t="s">
        <v>301</v>
      </c>
      <c r="AU109" s="5" t="s">
        <v>301</v>
      </c>
      <c r="AV109" s="5" t="s">
        <v>213</v>
      </c>
      <c r="AW109" s="5" t="s">
        <v>204</v>
      </c>
      <c r="AX109" s="5" t="s">
        <v>204</v>
      </c>
      <c r="AY109" s="5" t="s">
        <v>214</v>
      </c>
      <c r="AZ109" s="5" t="s">
        <v>204</v>
      </c>
      <c r="BA109" s="5" t="s">
        <v>295</v>
      </c>
      <c r="BB109" s="5" t="s">
        <v>206</v>
      </c>
      <c r="BC109" s="5" t="s">
        <v>206</v>
      </c>
      <c r="BD109" s="5" t="s">
        <v>306</v>
      </c>
      <c r="BE109" s="5" t="s">
        <v>206</v>
      </c>
      <c r="BF109" s="5" t="s">
        <v>204</v>
      </c>
      <c r="BG109" s="5" t="s">
        <v>242</v>
      </c>
      <c r="BH109" s="5" t="s">
        <v>278</v>
      </c>
      <c r="BI109" s="5" t="s">
        <v>278</v>
      </c>
      <c r="BJ109" s="5" t="s">
        <v>278</v>
      </c>
      <c r="BK109" s="5" t="s">
        <v>246</v>
      </c>
      <c r="BL109" s="5" t="s">
        <v>243</v>
      </c>
      <c r="BM109" s="5" t="s">
        <v>246</v>
      </c>
      <c r="BN109" s="5" t="s">
        <v>244</v>
      </c>
      <c r="BO109" s="5" t="s">
        <v>244</v>
      </c>
      <c r="BP109" s="5" t="s">
        <v>244</v>
      </c>
      <c r="BQ109" s="5" t="s">
        <v>243</v>
      </c>
      <c r="BR109" s="5" t="s">
        <v>244</v>
      </c>
      <c r="BS109" s="5" t="s">
        <v>247</v>
      </c>
      <c r="BT109" s="5" t="s">
        <v>232</v>
      </c>
      <c r="BU109" s="5" t="s">
        <v>248</v>
      </c>
      <c r="BV109" s="5" t="s">
        <v>248</v>
      </c>
      <c r="BW109" s="5" t="s">
        <v>248</v>
      </c>
      <c r="BX109" s="5" t="s">
        <v>248</v>
      </c>
      <c r="BY109" s="5" t="s">
        <v>217</v>
      </c>
      <c r="BZ109" s="5" t="s">
        <v>244</v>
      </c>
      <c r="CA109" s="5" t="s">
        <v>243</v>
      </c>
      <c r="CB109" s="5" t="s">
        <v>216</v>
      </c>
      <c r="CC109" s="5" t="s">
        <v>244</v>
      </c>
      <c r="CD109" s="5" t="s">
        <v>204</v>
      </c>
      <c r="CE109" s="5" t="s">
        <v>286</v>
      </c>
      <c r="CF109" s="5" t="s">
        <v>219</v>
      </c>
      <c r="CG109" s="5" t="s">
        <v>206</v>
      </c>
      <c r="CH109" s="5" t="s">
        <v>206</v>
      </c>
      <c r="CI109" s="5" t="s">
        <v>291</v>
      </c>
      <c r="CJ109" s="5">
        <v>1</v>
      </c>
      <c r="CK109" s="5" t="s">
        <v>223</v>
      </c>
      <c r="CU109" s="5" t="s">
        <v>206</v>
      </c>
      <c r="DA109" s="5" t="s">
        <v>272</v>
      </c>
      <c r="DB109" s="5">
        <f>IF(DA109="Mejor que lo habitual",1,
IF(DA109="Igual que lo habitual",2,
IF(DA109="Menos que lo habitual",3,
IF(DA109="Mucho menos que lo habitual",4,""))))</f>
        <v>1</v>
      </c>
      <c r="DC109" s="5" t="s">
        <v>230</v>
      </c>
      <c r="DD109" s="5">
        <f>IF(DC109="No, en absoluto",1,
IF(DC109="No más que lo habitual",2,
IF(DC109="Bastante más que lo habitual",3,
IF(DC109="Mucho más que lo habitual",4,""))))</f>
        <v>2</v>
      </c>
      <c r="DE109" s="5" t="s">
        <v>230</v>
      </c>
      <c r="DF109" s="5">
        <f>IF(DE109="No, en absoluto",1,
IF(DE109="No más que lo habitual",2,
IF(DE109="Bastante más que lo habitual",3,
IF(DE109="Mucho más que lo habitual",4,""))))</f>
        <v>2</v>
      </c>
      <c r="DG109" s="5" t="s">
        <v>251</v>
      </c>
      <c r="DH109" s="5">
        <f>IF(DG109="No, en absoluto",1,
IF(DG109="No más que lo habitual",2,
IF(DG109="Bastante más que lo habitual",3,
IF(DG109="Mucho más que lo habitual",4,""))))</f>
        <v>1</v>
      </c>
      <c r="DI109" s="5" t="s">
        <v>251</v>
      </c>
      <c r="DJ109" s="5">
        <f>IF(DI109="No, en absoluto",1,
IF(DI109="No más que lo habitual",2,
IF(DI109="Bastante más que lo habitual",3,
IF(DI109="Mucho más que lo habitual",4,""))))</f>
        <v>1</v>
      </c>
      <c r="DK109" s="5" t="s">
        <v>251</v>
      </c>
      <c r="DL109" s="5">
        <f>IF(DK109="No, en absoluto",1,
IF(DK109="No más que lo habitual",2,
IF(DK109="Bastante más que lo habitual",3,
IF(DK109="Mucho más que lo habitual",4,""))))</f>
        <v>1</v>
      </c>
      <c r="DM109" s="5" t="s">
        <v>251</v>
      </c>
      <c r="DN109" s="5">
        <f>IF(DM109="No, en absoluto",1,
IF(DM109="No más que lo habitual",2,
IF(DM109="Bastante más que lo habitual",3,
IF(DM109="Mucho más que lo habitual",4,""))))</f>
        <v>1</v>
      </c>
      <c r="DO109" s="5" t="s">
        <v>281</v>
      </c>
      <c r="DP109" s="5">
        <f>IF(DO109="Más que lo habitual",1,
IF(DO109="Igual que lo habitual",2,
IF(DO109="Menos que lo habitual",3,
IF(DO109="Mucho menos que lo habitual",4,""))))</f>
        <v>1</v>
      </c>
      <c r="DQ109" s="5" t="s">
        <v>281</v>
      </c>
      <c r="DR109" s="5">
        <f>IF(DQ109="Más que lo habitual",1,
IF(DQ109="Igual que lo habitual",2,
IF(DQ109="Menos que lo habitual",3,
IF(DQ109="Mucho menos que lo habitual",4,""))))</f>
        <v>1</v>
      </c>
      <c r="DS109" s="5" t="s">
        <v>231</v>
      </c>
      <c r="DT109" s="5">
        <f>IF(DS109="Más que lo habitual",1,
IF(DS109="Igual que lo habitual",2,
IF(DS109="Menos que lo habitual",3,
IF(DS109="Mucho menos que lo habitual",4,""))))</f>
        <v>2</v>
      </c>
      <c r="DU109" s="5" t="s">
        <v>281</v>
      </c>
      <c r="DV109" s="5">
        <f>IF(DU109="Más que lo habitual",1,
IF(DU109="Igual que lo habitual",2,
IF(DU109="Menos que lo habitual",3,
IF(DU109="Mucho menos que lo habitual",4,""))))</f>
        <v>1</v>
      </c>
      <c r="DW109" s="5" t="s">
        <v>281</v>
      </c>
      <c r="DX109" s="5">
        <f>IF(DW109="Más que lo habitual",1,
IF(DW109="Igual que lo habitual",2,
IF(DW109="Menos que lo habitual",3,
IF(DW109="Mucho menos que lo habitual",4,""))))</f>
        <v>1</v>
      </c>
      <c r="DY109" s="5">
        <f>SUM(DB109,DD109,DF109,DH109,DJ109,DL109,DN109,DP109,DR109,DT109,DV109,DX109)</f>
        <v>15</v>
      </c>
      <c r="DZ109" s="5" t="str">
        <f>IF(DY109&lt;=18,"Nivel de riesgo bajo",
IF(DY109&lt;=23,"Nivel de riesgo medio",
"Nivel de riesgo alto"))</f>
        <v>Nivel de riesgo bajo</v>
      </c>
      <c r="EA109" s="5" t="s">
        <v>247</v>
      </c>
      <c r="EB109" s="5">
        <f>IF(EA109="Nunca/ casi nunca",0,
IF(EA109="Rara vez",1,
IF(EA109="A veces",2,
IF(EA109="A menudo",3,
IF(EA109="Siempre",4,"")))))</f>
        <v>2</v>
      </c>
      <c r="EC109" s="5" t="s">
        <v>247</v>
      </c>
      <c r="ED109" s="5">
        <f>IF(EC109="Nunca/ casi nunca",0,
IF(EC109="Rara vez",1,
IF(EC109="A veces",2,
IF(EC109="A menudo",3,
IF(EC109="Siempre",4,"")))))</f>
        <v>2</v>
      </c>
      <c r="EE109" s="5" t="s">
        <v>248</v>
      </c>
      <c r="EF109" s="5">
        <f>IF(EE109="Nunca/ casi nunca",0,
IF(EE109="Rara vez",1,
IF(EE109="A veces",2,
IF(EE109="A menudo",3,
IF(EE109="Siempre",4,"")))))</f>
        <v>1</v>
      </c>
      <c r="EG109" s="5">
        <f>SUM(EB109,ED109,EF109)</f>
        <v>5</v>
      </c>
      <c r="EH109" s="5" t="str">
        <f>IF(EG109&lt;=1,"Nivel de riesgo bajo",
IF(EG109&lt;=4,"Nivel de riesgo medio",
"Nivel de riesgo alto"))</f>
        <v>Nivel de riesgo alto</v>
      </c>
      <c r="EI109" s="5" t="s">
        <v>253</v>
      </c>
      <c r="EJ109" s="5">
        <f>IF(EI109="Nunca/ casi nunca",0,
IF(EI109="Rara vez",1,
IF(EI109="A veces",2,
IF(EI109="A menudo",3,
IF(EI109="Siempre",4,"")))))</f>
        <v>0</v>
      </c>
      <c r="EK109" s="5" t="s">
        <v>253</v>
      </c>
      <c r="EL109" s="5">
        <f>IF(EK109="Nunca/ casi nunca",0,
IF(EK109="Rara vez",1,
IF(EK109="A veces",2,
IF(EK109="A menudo",3,
IF(EK109="Siempre",4,"")))))</f>
        <v>0</v>
      </c>
      <c r="EM109" s="5" t="s">
        <v>253</v>
      </c>
      <c r="EN109" s="5">
        <f>IF(EM109="Nunca/ casi nunca",0,
IF(EM109="Rara vez",1,
IF(EM109="A veces",2,
IF(EM109="A menudo",3,
IF(EM109="Siempre",4,"")))))</f>
        <v>0</v>
      </c>
      <c r="EO109" s="5">
        <f>SUM(EJ109,EL109,EN109)</f>
        <v>0</v>
      </c>
      <c r="EP109" s="5" t="str">
        <f>IF(EO109&lt;=1,"Nivel de riesgo bajo",
IF(EO109&lt;=5,"Nivel de riesgo medio",
"Nivel de riesgo alto"))</f>
        <v>Nivel de riesgo bajo</v>
      </c>
      <c r="EQ109" s="5" t="s">
        <v>248</v>
      </c>
      <c r="ER109" s="5">
        <f>IF(EQ109="Nunca/ casi nunca",4,
IF(EQ109="Rara vez",3,
IF(EQ109="A veces",2,
IF(EQ109="A menudo",1,
IF(EQ109="Siempre",0,"")))))</f>
        <v>3</v>
      </c>
      <c r="ES109" s="5" t="s">
        <v>253</v>
      </c>
      <c r="ET109" s="5">
        <f>IF(ES109="Nunca/ casi nunca",4,
IF(ES109="Rara vez",3,
IF(ES109="A veces",2,
IF(ES109="A menudo",1,
IF(ES109="Siempre",0,"")))))</f>
        <v>4</v>
      </c>
      <c r="EU109" s="5" t="s">
        <v>253</v>
      </c>
      <c r="EV109" s="5">
        <f>IF(EU109="Nunca/ casi nunca",4,
IF(EU109="Rara vez",3,
IF(EU109="A veces",2,
IF(EU109="A menudo",1,
IF(EU109="Siempre",0,"")))))</f>
        <v>4</v>
      </c>
      <c r="EW109" s="5" t="s">
        <v>253</v>
      </c>
      <c r="EX109" s="5">
        <f>IF(EW109="Nunca/ casi nunca",4,
IF(EW109="Rara vez",3,
IF(EW109="A veces",2,
IF(EW109="A menudo",1,
IF(EW109="Siempre",0,"")))))</f>
        <v>4</v>
      </c>
      <c r="EY109" s="5">
        <f>SUM(ER109,ET109,EV109,EX109)</f>
        <v>15</v>
      </c>
      <c r="EZ109" s="5" t="str">
        <f>IF(EY109&lt;=0,"Nivel de riesgo bajo",
IF(EY109&lt;=4,"Nivel de riesgo medio",
"Nivel de riesgo alto"))</f>
        <v>Nivel de riesgo alto</v>
      </c>
      <c r="FA109" s="5" t="s">
        <v>253</v>
      </c>
      <c r="FB109" s="5">
        <f>IF(FA109="Nunca/ casi nunca",0,
IF(FA109="Rara vez",1,
IF(FA109="A veces",2,
IF(FA109="A menudo",3,
IF(FA109="Siempre",4,"")))))</f>
        <v>0</v>
      </c>
      <c r="FC109" s="5" t="s">
        <v>253</v>
      </c>
      <c r="FD109" s="5">
        <f>IF(FC109="Nunca/ casi nunca",0,
IF(FC109="Rara vez",1,
IF(FC109="A veces",2,
IF(FC109="A menudo",3,
IF(FC109="Siempre",4,"")))))</f>
        <v>0</v>
      </c>
      <c r="FE109" s="5" t="s">
        <v>253</v>
      </c>
      <c r="FF109" s="5">
        <f>IF(FE109="Nunca/ casi nunca",0,
IF(FE109="Rara vez",1,
IF(FE109="A veces",2,
IF(FE109="A menudo",3,
IF(FE109="Siempre",4,"")))))</f>
        <v>0</v>
      </c>
      <c r="FG109" s="5">
        <f>SUM(FB109,FD109,FF109)</f>
        <v>0</v>
      </c>
      <c r="FH109" s="5" t="str">
        <f>IF(FG109&lt;=2,"Nivel de riesgo bajo",
IF(FG109&lt;=5,"Nivel de riesgo medio",
"Nivel de riesgo alto"))</f>
        <v>Nivel de riesgo bajo</v>
      </c>
      <c r="FI109" s="5" t="s">
        <v>253</v>
      </c>
      <c r="FJ109" s="5">
        <f>IF(FI109="Nunca/ casi nunca",0,
IF(FI109="Rara vez",1,
IF(FI109="A veces",2,
IF(FI109="A menudo",3,
IF(FI109="Siempre",4,"")))))</f>
        <v>0</v>
      </c>
      <c r="FK109" s="5" t="s">
        <v>253</v>
      </c>
      <c r="FL109" s="5">
        <f>IF(FK109="Nunca/ casi nunca",0,
IF(FK109="Rara vez",1,
IF(FK109="A veces",2,
IF(FK109="A menudo",3,
IF(FK109="Siempre",4,"")))))</f>
        <v>0</v>
      </c>
      <c r="FM109" s="5" t="s">
        <v>253</v>
      </c>
      <c r="FN109" s="5">
        <f>IF(FM109="Nunca/ casi nunca",0,
IF(FM109="Rara vez",1,
IF(FM109="A veces",2,
IF(FM109="A menudo",3,
IF(FM109="Siempre",4,"")))))</f>
        <v>0</v>
      </c>
      <c r="FO109" s="5">
        <f>SUM(FJ109,FL109,FN109)</f>
        <v>0</v>
      </c>
      <c r="FP109" s="5" t="str">
        <f>IF(FO109&lt;=2,"Nivel de riesgo bajo",
IF(FO109&lt;=5,"Nivel de riesgo medio",
"Nivel de riesgo alto"))</f>
        <v>Nivel de riesgo bajo</v>
      </c>
      <c r="FQ109" s="5" t="s">
        <v>206</v>
      </c>
      <c r="FR109" s="5">
        <f>IF(FQ109="No",0,
IF(FQ109="Sí, unas pocas veces",1,
IF(FQ109="Sí, mensualmente",2,
IF(FQ109="Sí, semanalmente",3,
IF(FQ109="Sí, diariamente",4,"")))))</f>
        <v>0</v>
      </c>
      <c r="FS109" s="5" t="s">
        <v>206</v>
      </c>
      <c r="FT109" s="5">
        <f>IF(FS109="No",0,
IF(FS109="Sí, unas pocas veces",1,
IF(FS109="Sí, mensualmente",2,
IF(FS109="Sí, semanalmente",3,
IF(FS109="Sí, diariamente",4,"")))))</f>
        <v>0</v>
      </c>
      <c r="FU109" s="5" t="s">
        <v>206</v>
      </c>
      <c r="FV109" s="5">
        <f>IF(FU109="No",0,
IF(FU109="Sí, unas pocas veces",1,
IF(FU109="Sí, mensualmente",2,
IF(FU109="Sí, semanalmente",3,
IF(FU109="Sí, diariamente",4,"")))))</f>
        <v>0</v>
      </c>
      <c r="FW109" s="5" t="s">
        <v>206</v>
      </c>
      <c r="FX109" s="5">
        <f>IF(FW109="No",0,
IF(FW109="Sí, unas pocas veces",1,
IF(FW109="Sí, mensualmente",2,
IF(FW109="Sí, semanalmente",3,
IF(FW109="Sí, diariamente",4,"")))))</f>
        <v>0</v>
      </c>
      <c r="FY109" s="5" t="s">
        <v>206</v>
      </c>
      <c r="FZ109" s="5">
        <f>IF(FY109="No",0,
IF(FY109="Sí, unas pocas veces",1,
IF(FY109="Sí, mensualmente",2,
IF(FY109="Sí, semanalmente",3,
IF(FY109="Sí, diariamente",4,"")))))</f>
        <v>0</v>
      </c>
      <c r="GA109" s="5" t="s">
        <v>206</v>
      </c>
      <c r="GB109" s="5">
        <f>IF(GA109="No",0,
IF(GA109="Sí, unas pocas veces",1,
IF(GA109="Sí, mensualmente",2,
IF(GA109="Sí, semanalmente",3,
IF(GA109="Sí, diariamente",4,"")))))</f>
        <v>0</v>
      </c>
      <c r="GC109" s="5" t="s">
        <v>206</v>
      </c>
      <c r="GD109" s="5">
        <f>IF(GC109="No",0,
IF(GC109="Sí, unas pocas veces",1,
IF(GC109="Sí, mensualmente",2,
IF(GC109="Sí, semanalmente",3,
IF(GC109="Sí, diariamente",4,"")))))</f>
        <v>0</v>
      </c>
      <c r="GE109" s="5">
        <f>SUM(FR109,FT109,FV109,FX109,FZ109,GB109,GD109)</f>
        <v>0</v>
      </c>
      <c r="GF109" s="5" t="str">
        <f>IF(GE109&lt;=0,"Nivel de riesgo bajo",
IF(GE109&lt;=14,"Nivel de riesgo medio",
"Nivel de riesgo alto"))</f>
        <v>Nivel de riesgo bajo</v>
      </c>
      <c r="GG109" s="5" t="s">
        <v>255</v>
      </c>
      <c r="GH109" s="5" t="s">
        <v>255</v>
      </c>
      <c r="GI109" s="5" t="s">
        <v>255</v>
      </c>
      <c r="GJ109" s="5" t="s">
        <v>255</v>
      </c>
      <c r="GK109" s="5" t="s">
        <v>233</v>
      </c>
      <c r="GL109" s="5" t="s">
        <v>255</v>
      </c>
      <c r="GM109" s="5" t="s">
        <v>255</v>
      </c>
      <c r="GN109" s="5" t="s">
        <v>256</v>
      </c>
      <c r="GO109" s="5" t="s">
        <v>244</v>
      </c>
      <c r="GP109" s="5" t="s">
        <v>244</v>
      </c>
      <c r="GQ109" s="5" t="s">
        <v>257</v>
      </c>
      <c r="GR109" s="5" t="s">
        <v>243</v>
      </c>
      <c r="GS109" s="5" t="s">
        <v>243</v>
      </c>
      <c r="GT109" s="5" t="s">
        <v>234</v>
      </c>
      <c r="GU109" s="5" t="s">
        <v>452</v>
      </c>
      <c r="GV109" s="5" t="str">
        <f>TEXT("6278845824318302080","0")</f>
        <v>6278845824318300000</v>
      </c>
    </row>
    <row r="110" spans="1:204" ht="15.75" customHeight="1" x14ac:dyDescent="0.15">
      <c r="A110" s="1">
        <f>ROW(A110)</f>
        <v>110</v>
      </c>
      <c r="B110" s="4">
        <v>45847.483865740738</v>
      </c>
      <c r="C110" s="5" t="s">
        <v>204</v>
      </c>
      <c r="D110" s="5" t="s">
        <v>206</v>
      </c>
      <c r="F110" s="5" t="s">
        <v>206</v>
      </c>
      <c r="G110" s="5" t="s">
        <v>206</v>
      </c>
      <c r="H110" s="5" t="s">
        <v>206</v>
      </c>
      <c r="K110" s="5" t="s">
        <v>237</v>
      </c>
      <c r="L110" s="5" t="s">
        <v>236</v>
      </c>
      <c r="O110" s="5" t="s">
        <v>209</v>
      </c>
      <c r="S110" s="5" t="s">
        <v>208</v>
      </c>
      <c r="Y110" s="5" t="s">
        <v>209</v>
      </c>
      <c r="AF110" s="5" t="s">
        <v>236</v>
      </c>
      <c r="AH110" s="5" t="s">
        <v>268</v>
      </c>
      <c r="AI110" s="5">
        <v>1995</v>
      </c>
      <c r="AJ110" s="5" t="s">
        <v>337</v>
      </c>
      <c r="AK110" s="5" t="str">
        <f>IF(OR(AJ110="Empleada del sector privado",AJ110="Empleada del sector público"),"Asalariada",
IF(AJ110="Trabajadora por cuenta propia","Trabajadora por cuenta propia",""))</f>
        <v>Asalariada</v>
      </c>
      <c r="AQ110" s="5" t="s">
        <v>204</v>
      </c>
      <c r="AR110" s="5" t="s">
        <v>241</v>
      </c>
      <c r="AS110" s="5" t="s">
        <v>241</v>
      </c>
      <c r="AT110" s="5" t="s">
        <v>294</v>
      </c>
      <c r="AU110" s="5" t="s">
        <v>261</v>
      </c>
      <c r="AV110" s="5" t="s">
        <v>285</v>
      </c>
      <c r="AW110" s="5" t="s">
        <v>204</v>
      </c>
      <c r="AX110" s="5" t="s">
        <v>206</v>
      </c>
      <c r="BF110" s="5" t="s">
        <v>206</v>
      </c>
      <c r="CK110" s="5" t="s">
        <v>223</v>
      </c>
      <c r="CU110" s="5" t="s">
        <v>206</v>
      </c>
      <c r="DA110" s="5" t="s">
        <v>231</v>
      </c>
      <c r="DB110" s="5">
        <f>IF(DA110="Mejor que lo habitual",1,
IF(DA110="Igual que lo habitual",2,
IF(DA110="Menos que lo habitual",3,
IF(DA110="Mucho menos que lo habitual",4,""))))</f>
        <v>2</v>
      </c>
      <c r="DC110" s="5" t="s">
        <v>230</v>
      </c>
      <c r="DD110" s="5">
        <f>IF(DC110="No, en absoluto",1,
IF(DC110="No más que lo habitual",2,
IF(DC110="Bastante más que lo habitual",3,
IF(DC110="Mucho más que lo habitual",4,""))))</f>
        <v>2</v>
      </c>
      <c r="DE110" s="5" t="s">
        <v>251</v>
      </c>
      <c r="DF110" s="5">
        <f>IF(DE110="No, en absoluto",1,
IF(DE110="No más que lo habitual",2,
IF(DE110="Bastante más que lo habitual",3,
IF(DE110="Mucho más que lo habitual",4,""))))</f>
        <v>1</v>
      </c>
      <c r="DG110" s="5" t="s">
        <v>251</v>
      </c>
      <c r="DH110" s="5">
        <f>IF(DG110="No, en absoluto",1,
IF(DG110="No más que lo habitual",2,
IF(DG110="Bastante más que lo habitual",3,
IF(DG110="Mucho más que lo habitual",4,""))))</f>
        <v>1</v>
      </c>
      <c r="DI110" s="5" t="s">
        <v>251</v>
      </c>
      <c r="DJ110" s="5">
        <f>IF(DI110="No, en absoluto",1,
IF(DI110="No más que lo habitual",2,
IF(DI110="Bastante más que lo habitual",3,
IF(DI110="Mucho más que lo habitual",4,""))))</f>
        <v>1</v>
      </c>
      <c r="DK110" s="5" t="s">
        <v>251</v>
      </c>
      <c r="DL110" s="5">
        <f>IF(DK110="No, en absoluto",1,
IF(DK110="No más que lo habitual",2,
IF(DK110="Bastante más que lo habitual",3,
IF(DK110="Mucho más que lo habitual",4,""))))</f>
        <v>1</v>
      </c>
      <c r="DM110" s="5" t="s">
        <v>251</v>
      </c>
      <c r="DN110" s="5">
        <f>IF(DM110="No, en absoluto",1,
IF(DM110="No más que lo habitual",2,
IF(DM110="Bastante más que lo habitual",3,
IF(DM110="Mucho más que lo habitual",4,""))))</f>
        <v>1</v>
      </c>
      <c r="DO110" s="5" t="s">
        <v>281</v>
      </c>
      <c r="DP110" s="5">
        <f>IF(DO110="Más que lo habitual",1,
IF(DO110="Igual que lo habitual",2,
IF(DO110="Menos que lo habitual",3,
IF(DO110="Mucho menos que lo habitual",4,""))))</f>
        <v>1</v>
      </c>
      <c r="DQ110" s="5" t="s">
        <v>281</v>
      </c>
      <c r="DR110" s="5">
        <f>IF(DQ110="Más que lo habitual",1,
IF(DQ110="Igual que lo habitual",2,
IF(DQ110="Menos que lo habitual",3,
IF(DQ110="Mucho menos que lo habitual",4,""))))</f>
        <v>1</v>
      </c>
      <c r="DS110" s="5" t="s">
        <v>231</v>
      </c>
      <c r="DT110" s="5">
        <f>IF(DS110="Más que lo habitual",1,
IF(DS110="Igual que lo habitual",2,
IF(DS110="Menos que lo habitual",3,
IF(DS110="Mucho menos que lo habitual",4,""))))</f>
        <v>2</v>
      </c>
      <c r="DU110" s="5" t="s">
        <v>231</v>
      </c>
      <c r="DV110" s="5">
        <f>IF(DU110="Más que lo habitual",1,
IF(DU110="Igual que lo habitual",2,
IF(DU110="Menos que lo habitual",3,
IF(DU110="Mucho menos que lo habitual",4,""))))</f>
        <v>2</v>
      </c>
      <c r="DW110" s="5" t="s">
        <v>281</v>
      </c>
      <c r="DX110" s="5">
        <f>IF(DW110="Más que lo habitual",1,
IF(DW110="Igual que lo habitual",2,
IF(DW110="Menos que lo habitual",3,
IF(DW110="Mucho menos que lo habitual",4,""))))</f>
        <v>1</v>
      </c>
      <c r="DY110" s="5">
        <f>SUM(DB110,DD110,DF110,DH110,DJ110,DL110,DN110,DP110,DR110,DT110,DV110,DX110)</f>
        <v>16</v>
      </c>
      <c r="DZ110" s="5" t="str">
        <f>IF(DY110&lt;=18,"Nivel de riesgo bajo",
IF(DY110&lt;=23,"Nivel de riesgo medio",
"Nivel de riesgo alto"))</f>
        <v>Nivel de riesgo bajo</v>
      </c>
      <c r="EA110" s="5" t="s">
        <v>248</v>
      </c>
      <c r="EB110" s="5">
        <f>IF(EA110="Nunca/ casi nunca",0,
IF(EA110="Rara vez",1,
IF(EA110="A veces",2,
IF(EA110="A menudo",3,
IF(EA110="Siempre",4,"")))))</f>
        <v>1</v>
      </c>
      <c r="EC110" s="5" t="s">
        <v>253</v>
      </c>
      <c r="ED110" s="5">
        <f>IF(EC110="Nunca/ casi nunca",0,
IF(EC110="Rara vez",1,
IF(EC110="A veces",2,
IF(EC110="A menudo",3,
IF(EC110="Siempre",4,"")))))</f>
        <v>0</v>
      </c>
      <c r="EE110" s="5" t="s">
        <v>253</v>
      </c>
      <c r="EF110" s="5">
        <f>IF(EE110="Nunca/ casi nunca",0,
IF(EE110="Rara vez",1,
IF(EE110="A veces",2,
IF(EE110="A menudo",3,
IF(EE110="Siempre",4,"")))))</f>
        <v>0</v>
      </c>
      <c r="EG110" s="5">
        <f>SUM(EB110,ED110,EF110)</f>
        <v>1</v>
      </c>
      <c r="EH110" s="5" t="str">
        <f>IF(EG110&lt;=1,"Nivel de riesgo bajo",
IF(EG110&lt;=4,"Nivel de riesgo medio",
"Nivel de riesgo alto"))</f>
        <v>Nivel de riesgo bajo</v>
      </c>
      <c r="EI110" s="5" t="s">
        <v>253</v>
      </c>
      <c r="EJ110" s="5">
        <f>IF(EI110="Nunca/ casi nunca",0,
IF(EI110="Rara vez",1,
IF(EI110="A veces",2,
IF(EI110="A menudo",3,
IF(EI110="Siempre",4,"")))))</f>
        <v>0</v>
      </c>
      <c r="EK110" s="5" t="s">
        <v>254</v>
      </c>
      <c r="EL110" s="5">
        <f>IF(EK110="Nunca/ casi nunca",0,
IF(EK110="Rara vez",1,
IF(EK110="A veces",2,
IF(EK110="A menudo",3,
IF(EK110="Siempre",4,"")))))</f>
        <v>4</v>
      </c>
      <c r="EM110" s="5" t="s">
        <v>254</v>
      </c>
      <c r="EN110" s="5">
        <f>IF(EM110="Nunca/ casi nunca",0,
IF(EM110="Rara vez",1,
IF(EM110="A veces",2,
IF(EM110="A menudo",3,
IF(EM110="Siempre",4,"")))))</f>
        <v>4</v>
      </c>
      <c r="EO110" s="5">
        <f>SUM(EJ110,EL110,EN110)</f>
        <v>8</v>
      </c>
      <c r="EP110" s="5" t="str">
        <f>IF(EO110&lt;=1,"Nivel de riesgo bajo",
IF(EO110&lt;=5,"Nivel de riesgo medio",
"Nivel de riesgo alto"))</f>
        <v>Nivel de riesgo alto</v>
      </c>
      <c r="EQ110" s="5" t="s">
        <v>254</v>
      </c>
      <c r="ER110" s="5">
        <f>IF(EQ110="Nunca/ casi nunca",4,
IF(EQ110="Rara vez",3,
IF(EQ110="A veces",2,
IF(EQ110="A menudo",1,
IF(EQ110="Siempre",0,"")))))</f>
        <v>0</v>
      </c>
      <c r="ES110" s="5" t="s">
        <v>232</v>
      </c>
      <c r="ET110" s="5">
        <f>IF(ES110="Nunca/ casi nunca",4,
IF(ES110="Rara vez",3,
IF(ES110="A veces",2,
IF(ES110="A menudo",1,
IF(ES110="Siempre",0,"")))))</f>
        <v>1</v>
      </c>
      <c r="EU110" s="5" t="s">
        <v>254</v>
      </c>
      <c r="EV110" s="5">
        <f>IF(EU110="Nunca/ casi nunca",4,
IF(EU110="Rara vez",3,
IF(EU110="A veces",2,
IF(EU110="A menudo",1,
IF(EU110="Siempre",0,"")))))</f>
        <v>0</v>
      </c>
      <c r="EW110" s="5" t="s">
        <v>254</v>
      </c>
      <c r="EX110" s="5">
        <f>IF(EW110="Nunca/ casi nunca",4,
IF(EW110="Rara vez",3,
IF(EW110="A veces",2,
IF(EW110="A menudo",1,
IF(EW110="Siempre",0,"")))))</f>
        <v>0</v>
      </c>
      <c r="EY110" s="5">
        <f>SUM(ER110,ET110,EV110,EX110)</f>
        <v>1</v>
      </c>
      <c r="EZ110" s="5" t="str">
        <f>IF(EY110&lt;=0,"Nivel de riesgo bajo",
IF(EY110&lt;=4,"Nivel de riesgo medio",
"Nivel de riesgo alto"))</f>
        <v>Nivel de riesgo medio</v>
      </c>
      <c r="FA110" s="5" t="s">
        <v>253</v>
      </c>
      <c r="FB110" s="5">
        <f>IF(FA110="Nunca/ casi nunca",0,
IF(FA110="Rara vez",1,
IF(FA110="A veces",2,
IF(FA110="A menudo",3,
IF(FA110="Siempre",4,"")))))</f>
        <v>0</v>
      </c>
      <c r="FC110" s="5" t="s">
        <v>253</v>
      </c>
      <c r="FD110" s="5">
        <f>IF(FC110="Nunca/ casi nunca",0,
IF(FC110="Rara vez",1,
IF(FC110="A veces",2,
IF(FC110="A menudo",3,
IF(FC110="Siempre",4,"")))))</f>
        <v>0</v>
      </c>
      <c r="FE110" s="5" t="s">
        <v>253</v>
      </c>
      <c r="FF110" s="5">
        <f>IF(FE110="Nunca/ casi nunca",0,
IF(FE110="Rara vez",1,
IF(FE110="A veces",2,
IF(FE110="A menudo",3,
IF(FE110="Siempre",4,"")))))</f>
        <v>0</v>
      </c>
      <c r="FG110" s="5">
        <f>SUM(FB110,FD110,FF110)</f>
        <v>0</v>
      </c>
      <c r="FH110" s="5" t="str">
        <f>IF(FG110&lt;=2,"Nivel de riesgo bajo",
IF(FG110&lt;=5,"Nivel de riesgo medio",
"Nivel de riesgo alto"))</f>
        <v>Nivel de riesgo bajo</v>
      </c>
      <c r="FI110" s="5" t="s">
        <v>248</v>
      </c>
      <c r="FJ110" s="5">
        <f>IF(FI110="Nunca/ casi nunca",0,
IF(FI110="Rara vez",1,
IF(FI110="A veces",2,
IF(FI110="A menudo",3,
IF(FI110="Siempre",4,"")))))</f>
        <v>1</v>
      </c>
      <c r="FK110" s="5" t="s">
        <v>247</v>
      </c>
      <c r="FL110" s="5">
        <f>IF(FK110="Nunca/ casi nunca",0,
IF(FK110="Rara vez",1,
IF(FK110="A veces",2,
IF(FK110="A menudo",3,
IF(FK110="Siempre",4,"")))))</f>
        <v>2</v>
      </c>
      <c r="FM110" s="5" t="s">
        <v>247</v>
      </c>
      <c r="FN110" s="5">
        <f>IF(FM110="Nunca/ casi nunca",0,
IF(FM110="Rara vez",1,
IF(FM110="A veces",2,
IF(FM110="A menudo",3,
IF(FM110="Siempre",4,"")))))</f>
        <v>2</v>
      </c>
      <c r="FO110" s="5">
        <f>SUM(FJ110,FL110,FN110)</f>
        <v>5</v>
      </c>
      <c r="FP110" s="5" t="str">
        <f>IF(FO110&lt;=2,"Nivel de riesgo bajo",
IF(FO110&lt;=5,"Nivel de riesgo medio",
"Nivel de riesgo alto"))</f>
        <v>Nivel de riesgo medio</v>
      </c>
      <c r="FQ110" s="5" t="s">
        <v>206</v>
      </c>
      <c r="FR110" s="5">
        <f>IF(FQ110="No",0,
IF(FQ110="Sí, unas pocas veces",1,
IF(FQ110="Sí, mensualmente",2,
IF(FQ110="Sí, semanalmente",3,
IF(FQ110="Sí, diariamente",4,"")))))</f>
        <v>0</v>
      </c>
      <c r="FS110" s="5" t="s">
        <v>206</v>
      </c>
      <c r="FT110" s="5">
        <f>IF(FS110="No",0,
IF(FS110="Sí, unas pocas veces",1,
IF(FS110="Sí, mensualmente",2,
IF(FS110="Sí, semanalmente",3,
IF(FS110="Sí, diariamente",4,"")))))</f>
        <v>0</v>
      </c>
      <c r="FU110" s="5" t="s">
        <v>206</v>
      </c>
      <c r="FV110" s="5">
        <f>IF(FU110="No",0,
IF(FU110="Sí, unas pocas veces",1,
IF(FU110="Sí, mensualmente",2,
IF(FU110="Sí, semanalmente",3,
IF(FU110="Sí, diariamente",4,"")))))</f>
        <v>0</v>
      </c>
      <c r="FW110" s="5" t="s">
        <v>206</v>
      </c>
      <c r="FX110" s="5">
        <f>IF(FW110="No",0,
IF(FW110="Sí, unas pocas veces",1,
IF(FW110="Sí, mensualmente",2,
IF(FW110="Sí, semanalmente",3,
IF(FW110="Sí, diariamente",4,"")))))</f>
        <v>0</v>
      </c>
      <c r="FY110" s="5" t="s">
        <v>206</v>
      </c>
      <c r="FZ110" s="5">
        <f>IF(FY110="No",0,
IF(FY110="Sí, unas pocas veces",1,
IF(FY110="Sí, mensualmente",2,
IF(FY110="Sí, semanalmente",3,
IF(FY110="Sí, diariamente",4,"")))))</f>
        <v>0</v>
      </c>
      <c r="GA110" s="5" t="s">
        <v>206</v>
      </c>
      <c r="GB110" s="5">
        <f>IF(GA110="No",0,
IF(GA110="Sí, unas pocas veces",1,
IF(GA110="Sí, mensualmente",2,
IF(GA110="Sí, semanalmente",3,
IF(GA110="Sí, diariamente",4,"")))))</f>
        <v>0</v>
      </c>
      <c r="GC110" s="5" t="s">
        <v>206</v>
      </c>
      <c r="GD110" s="5">
        <f>IF(GC110="No",0,
IF(GC110="Sí, unas pocas veces",1,
IF(GC110="Sí, mensualmente",2,
IF(GC110="Sí, semanalmente",3,
IF(GC110="Sí, diariamente",4,"")))))</f>
        <v>0</v>
      </c>
      <c r="GE110" s="5">
        <f>SUM(FR110,FT110,FV110,FX110,FZ110,GB110,GD110)</f>
        <v>0</v>
      </c>
      <c r="GF110" s="5" t="str">
        <f>IF(GE110&lt;=0,"Nivel de riesgo bajo",
IF(GE110&lt;=14,"Nivel de riesgo medio",
"Nivel de riesgo alto"))</f>
        <v>Nivel de riesgo bajo</v>
      </c>
      <c r="GG110" s="5" t="s">
        <v>255</v>
      </c>
      <c r="GH110" s="5" t="s">
        <v>255</v>
      </c>
      <c r="GI110" s="5" t="s">
        <v>255</v>
      </c>
      <c r="GJ110" s="5" t="s">
        <v>255</v>
      </c>
      <c r="GK110" s="5" t="s">
        <v>233</v>
      </c>
      <c r="GL110" s="5" t="s">
        <v>233</v>
      </c>
      <c r="GM110" s="5" t="s">
        <v>233</v>
      </c>
      <c r="GN110" s="5" t="s">
        <v>256</v>
      </c>
      <c r="GO110" s="5" t="s">
        <v>257</v>
      </c>
      <c r="GP110" s="5" t="s">
        <v>257</v>
      </c>
      <c r="GQ110" s="5" t="s">
        <v>257</v>
      </c>
      <c r="GR110" s="5" t="s">
        <v>257</v>
      </c>
      <c r="GS110" s="5" t="s">
        <v>257</v>
      </c>
      <c r="GT110" s="5" t="s">
        <v>256</v>
      </c>
      <c r="GU110" s="5" t="s">
        <v>453</v>
      </c>
      <c r="GV110" s="5" t="str">
        <f>TEXT("6278846067616020604","0")</f>
        <v>6278846067616020000</v>
      </c>
    </row>
    <row r="111" spans="1:204" ht="15.75" hidden="1" customHeight="1" x14ac:dyDescent="0.15">
      <c r="B111" s="4">
        <v>45847.485069444447</v>
      </c>
      <c r="C111" s="5" t="s">
        <v>204</v>
      </c>
      <c r="D111" s="5" t="s">
        <v>204</v>
      </c>
      <c r="E111" s="5" t="s">
        <v>335</v>
      </c>
      <c r="F111" s="5" t="s">
        <v>206</v>
      </c>
      <c r="G111" s="5" t="s">
        <v>206</v>
      </c>
      <c r="H111" s="5" t="s">
        <v>206</v>
      </c>
      <c r="J111" s="5" t="s">
        <v>209</v>
      </c>
      <c r="O111" s="5" t="s">
        <v>209</v>
      </c>
      <c r="T111" s="5" t="s">
        <v>209</v>
      </c>
      <c r="X111" s="5" t="s">
        <v>208</v>
      </c>
      <c r="AG111" s="5" t="s">
        <v>207</v>
      </c>
      <c r="AH111" s="5" t="s">
        <v>268</v>
      </c>
      <c r="AI111" s="5">
        <v>2023</v>
      </c>
      <c r="AJ111" s="5" t="s">
        <v>260</v>
      </c>
      <c r="AK111" s="5"/>
      <c r="AR111" s="5" t="s">
        <v>241</v>
      </c>
      <c r="AS111" s="5" t="s">
        <v>301</v>
      </c>
      <c r="AT111" s="5" t="s">
        <v>241</v>
      </c>
      <c r="AU111" s="5" t="s">
        <v>301</v>
      </c>
      <c r="AV111" s="5" t="s">
        <v>213</v>
      </c>
      <c r="AW111" s="5" t="s">
        <v>206</v>
      </c>
      <c r="BF111" s="5" t="s">
        <v>204</v>
      </c>
      <c r="BG111" s="5" t="s">
        <v>207</v>
      </c>
      <c r="BH111" s="5" t="s">
        <v>215</v>
      </c>
      <c r="BI111" s="5" t="s">
        <v>207</v>
      </c>
      <c r="BJ111" s="5" t="s">
        <v>215</v>
      </c>
      <c r="BK111" s="5" t="s">
        <v>246</v>
      </c>
      <c r="BL111" s="5" t="s">
        <v>246</v>
      </c>
      <c r="BM111" s="5" t="s">
        <v>244</v>
      </c>
      <c r="BN111" s="5" t="s">
        <v>246</v>
      </c>
      <c r="BO111" s="5" t="s">
        <v>244</v>
      </c>
      <c r="BP111" s="5" t="s">
        <v>246</v>
      </c>
      <c r="BQ111" s="5" t="s">
        <v>246</v>
      </c>
      <c r="BR111" s="5" t="s">
        <v>244</v>
      </c>
      <c r="BS111" s="5" t="s">
        <v>248</v>
      </c>
      <c r="BT111" s="5" t="s">
        <v>247</v>
      </c>
      <c r="BU111" s="5" t="s">
        <v>232</v>
      </c>
      <c r="BV111" s="5" t="s">
        <v>232</v>
      </c>
      <c r="BW111" s="5" t="s">
        <v>247</v>
      </c>
      <c r="BX111" s="5" t="s">
        <v>247</v>
      </c>
      <c r="BY111" s="5" t="s">
        <v>248</v>
      </c>
      <c r="CD111" s="5" t="s">
        <v>206</v>
      </c>
      <c r="CH111" s="5" t="s">
        <v>206</v>
      </c>
      <c r="CI111" s="5" t="s">
        <v>307</v>
      </c>
      <c r="CJ111" s="5">
        <v>7</v>
      </c>
      <c r="CK111" s="5" t="s">
        <v>223</v>
      </c>
      <c r="CU111" s="5" t="s">
        <v>206</v>
      </c>
      <c r="DA111" s="5" t="s">
        <v>231</v>
      </c>
      <c r="DB111" s="5"/>
      <c r="DC111" s="5" t="s">
        <v>230</v>
      </c>
      <c r="DD111" s="5"/>
      <c r="DE111" s="5" t="s">
        <v>230</v>
      </c>
      <c r="DF111" s="5"/>
      <c r="DG111" s="5" t="s">
        <v>250</v>
      </c>
      <c r="DH111" s="5"/>
      <c r="DI111" s="5" t="s">
        <v>230</v>
      </c>
      <c r="DJ111" s="5"/>
      <c r="DK111" s="5" t="s">
        <v>250</v>
      </c>
      <c r="DL111" s="5"/>
      <c r="DM111" s="5" t="s">
        <v>250</v>
      </c>
      <c r="DN111" s="5"/>
      <c r="DO111" s="5" t="s">
        <v>252</v>
      </c>
      <c r="DP111" s="5"/>
      <c r="DQ111" s="5" t="s">
        <v>231</v>
      </c>
      <c r="DR111" s="5"/>
      <c r="DS111" s="5" t="s">
        <v>281</v>
      </c>
      <c r="DT111" s="5"/>
      <c r="DU111" s="5" t="s">
        <v>281</v>
      </c>
      <c r="DV111" s="5"/>
      <c r="DW111" s="5" t="s">
        <v>231</v>
      </c>
      <c r="DX111" s="5"/>
      <c r="DY111" s="5"/>
      <c r="DZ111" s="5"/>
      <c r="EA111" s="5" t="s">
        <v>247</v>
      </c>
      <c r="EB111" s="5"/>
      <c r="EC111" s="5" t="s">
        <v>232</v>
      </c>
      <c r="ED111" s="5"/>
      <c r="EE111" s="5" t="s">
        <v>248</v>
      </c>
      <c r="EF111" s="5"/>
      <c r="EG111" s="5"/>
      <c r="EH111" s="5"/>
      <c r="EI111" s="5" t="s">
        <v>247</v>
      </c>
      <c r="EJ111" s="5"/>
      <c r="EK111" s="5" t="s">
        <v>247</v>
      </c>
      <c r="EL111" s="5"/>
      <c r="EM111" s="5" t="s">
        <v>248</v>
      </c>
      <c r="EN111" s="5"/>
      <c r="EO111" s="5"/>
      <c r="EP111" s="5"/>
      <c r="EQ111" s="5" t="s">
        <v>254</v>
      </c>
      <c r="ER111" s="5"/>
      <c r="ES111" s="5" t="s">
        <v>254</v>
      </c>
      <c r="ET111" s="5"/>
      <c r="EU111" s="5" t="s">
        <v>254</v>
      </c>
      <c r="EV111" s="5"/>
      <c r="EW111" s="5" t="s">
        <v>254</v>
      </c>
      <c r="EX111" s="5"/>
      <c r="EY111" s="5"/>
      <c r="EZ111" s="5"/>
      <c r="FA111" s="5" t="s">
        <v>247</v>
      </c>
      <c r="FB111" s="5"/>
      <c r="FC111" s="5" t="s">
        <v>248</v>
      </c>
      <c r="FD111" s="5"/>
      <c r="FE111" s="5" t="s">
        <v>247</v>
      </c>
      <c r="FF111" s="5"/>
      <c r="FG111" s="5"/>
      <c r="FH111" s="5"/>
      <c r="FI111" s="5" t="s">
        <v>248</v>
      </c>
      <c r="FJ111" s="5"/>
      <c r="FK111" s="5" t="s">
        <v>248</v>
      </c>
      <c r="FL111" s="5"/>
      <c r="FM111" s="5" t="s">
        <v>248</v>
      </c>
      <c r="FN111" s="5"/>
      <c r="FO111" s="5"/>
      <c r="FP111" s="5"/>
      <c r="FQ111" s="5" t="s">
        <v>265</v>
      </c>
      <c r="FR111" s="5"/>
      <c r="FS111" s="5" t="s">
        <v>206</v>
      </c>
      <c r="FT111" s="5"/>
      <c r="FU111" s="5" t="s">
        <v>206</v>
      </c>
      <c r="FV111" s="5"/>
      <c r="FW111" s="5" t="s">
        <v>206</v>
      </c>
      <c r="FX111" s="5"/>
      <c r="FY111" s="5" t="s">
        <v>206</v>
      </c>
      <c r="FZ111" s="5"/>
      <c r="GA111" s="5" t="s">
        <v>206</v>
      </c>
      <c r="GB111" s="5"/>
      <c r="GC111" s="5" t="s">
        <v>206</v>
      </c>
      <c r="GD111" s="5"/>
      <c r="GE111" s="5"/>
      <c r="GF111" s="5"/>
      <c r="GG111" s="5" t="s">
        <v>273</v>
      </c>
      <c r="GH111" s="5" t="s">
        <v>266</v>
      </c>
      <c r="GI111" s="5" t="s">
        <v>273</v>
      </c>
      <c r="GJ111" s="5" t="s">
        <v>273</v>
      </c>
      <c r="GK111" s="5" t="s">
        <v>298</v>
      </c>
      <c r="GL111" s="5" t="s">
        <v>273</v>
      </c>
      <c r="GM111" s="5" t="s">
        <v>266</v>
      </c>
      <c r="GN111" s="5" t="s">
        <v>243</v>
      </c>
      <c r="GO111" s="5" t="s">
        <v>256</v>
      </c>
      <c r="GP111" s="5" t="s">
        <v>243</v>
      </c>
      <c r="GQ111" s="5" t="s">
        <v>243</v>
      </c>
      <c r="GR111" s="5" t="s">
        <v>257</v>
      </c>
      <c r="GS111" s="5" t="s">
        <v>257</v>
      </c>
      <c r="GT111" s="5" t="s">
        <v>243</v>
      </c>
      <c r="GU111" s="5" t="s">
        <v>454</v>
      </c>
      <c r="GV111" s="5" t="str">
        <f>TEXT("6278847109575017153","0")</f>
        <v>6278847109575010000</v>
      </c>
    </row>
    <row r="112" spans="1:204" ht="15.75" customHeight="1" x14ac:dyDescent="0.15">
      <c r="A112" s="1">
        <f>ROW(A112)</f>
        <v>112</v>
      </c>
      <c r="B112" s="4">
        <v>45847.485277777778</v>
      </c>
      <c r="C112" s="5" t="s">
        <v>204</v>
      </c>
      <c r="D112" s="5" t="s">
        <v>206</v>
      </c>
      <c r="F112" s="5" t="s">
        <v>206</v>
      </c>
      <c r="G112" s="5" t="s">
        <v>206</v>
      </c>
      <c r="H112" s="5" t="s">
        <v>206</v>
      </c>
      <c r="J112" s="5" t="s">
        <v>209</v>
      </c>
      <c r="N112" s="5" t="s">
        <v>208</v>
      </c>
      <c r="S112" s="5" t="s">
        <v>208</v>
      </c>
      <c r="X112" s="5" t="s">
        <v>208</v>
      </c>
      <c r="AG112" s="5" t="s">
        <v>207</v>
      </c>
      <c r="AH112" s="5" t="s">
        <v>268</v>
      </c>
      <c r="AI112" s="5">
        <v>2023</v>
      </c>
      <c r="AJ112" s="5" t="s">
        <v>330</v>
      </c>
      <c r="AK112" s="5" t="str">
        <f>IF(OR(AJ112="Empleada del sector privado",AJ112="Empleada del sector público"),"Asalariada",
IF(AJ112="Trabajadora por cuenta propia","Trabajadora por cuenta propia",""))</f>
        <v>Asalariada</v>
      </c>
      <c r="AQ112" s="5" t="s">
        <v>204</v>
      </c>
      <c r="AR112" s="5" t="s">
        <v>241</v>
      </c>
      <c r="AS112" s="5" t="s">
        <v>301</v>
      </c>
      <c r="AT112" s="5" t="s">
        <v>241</v>
      </c>
      <c r="AU112" s="5" t="s">
        <v>301</v>
      </c>
      <c r="AV112" s="5" t="s">
        <v>269</v>
      </c>
      <c r="AW112" s="5" t="s">
        <v>204</v>
      </c>
      <c r="AX112" s="5" t="s">
        <v>204</v>
      </c>
      <c r="AY112" s="5" t="s">
        <v>214</v>
      </c>
      <c r="AZ112" s="5" t="s">
        <v>206</v>
      </c>
      <c r="BA112" s="5" t="s">
        <v>263</v>
      </c>
      <c r="BF112" s="5" t="s">
        <v>204</v>
      </c>
      <c r="BG112" s="5" t="s">
        <v>207</v>
      </c>
      <c r="BH112" s="5" t="s">
        <v>215</v>
      </c>
      <c r="BI112" s="5" t="s">
        <v>207</v>
      </c>
      <c r="BJ112" s="5" t="s">
        <v>264</v>
      </c>
      <c r="BK112" s="5" t="s">
        <v>244</v>
      </c>
      <c r="BL112" s="5" t="s">
        <v>244</v>
      </c>
      <c r="BM112" s="5" t="s">
        <v>244</v>
      </c>
      <c r="BN112" s="5" t="s">
        <v>244</v>
      </c>
      <c r="BO112" s="5" t="s">
        <v>244</v>
      </c>
      <c r="BP112" s="5" t="s">
        <v>243</v>
      </c>
      <c r="BQ112" s="5" t="s">
        <v>244</v>
      </c>
      <c r="BR112" s="5" t="s">
        <v>244</v>
      </c>
      <c r="BS112" s="5" t="s">
        <v>247</v>
      </c>
      <c r="BT112" s="5" t="s">
        <v>247</v>
      </c>
      <c r="BU112" s="5" t="s">
        <v>248</v>
      </c>
      <c r="BV112" s="5" t="s">
        <v>248</v>
      </c>
      <c r="BW112" s="5" t="s">
        <v>248</v>
      </c>
      <c r="BX112" s="5" t="s">
        <v>247</v>
      </c>
      <c r="BY112" s="5" t="s">
        <v>248</v>
      </c>
      <c r="BZ112" s="5" t="s">
        <v>244</v>
      </c>
      <c r="CA112" s="5" t="s">
        <v>244</v>
      </c>
      <c r="CB112" s="5" t="s">
        <v>244</v>
      </c>
      <c r="CC112" s="5" t="s">
        <v>246</v>
      </c>
      <c r="CD112" s="5" t="s">
        <v>204</v>
      </c>
      <c r="CE112" s="5" t="s">
        <v>218</v>
      </c>
      <c r="CF112" s="5" t="s">
        <v>279</v>
      </c>
      <c r="CG112" s="5" t="s">
        <v>206</v>
      </c>
      <c r="CH112" s="5" t="s">
        <v>206</v>
      </c>
      <c r="CI112" s="5" t="s">
        <v>249</v>
      </c>
      <c r="CJ112" s="5">
        <v>1</v>
      </c>
      <c r="CK112" s="5" t="s">
        <v>223</v>
      </c>
      <c r="CU112" s="5" t="s">
        <v>206</v>
      </c>
      <c r="DA112" s="5" t="s">
        <v>231</v>
      </c>
      <c r="DB112" s="5">
        <f>IF(DA112="Mejor que lo habitual",1,
IF(DA112="Igual que lo habitual",2,
IF(DA112="Menos que lo habitual",3,
IF(DA112="Mucho menos que lo habitual",4,""))))</f>
        <v>2</v>
      </c>
      <c r="DC112" s="5" t="s">
        <v>230</v>
      </c>
      <c r="DD112" s="5">
        <f>IF(DC112="No, en absoluto",1,
IF(DC112="No más que lo habitual",2,
IF(DC112="Bastante más que lo habitual",3,
IF(DC112="Mucho más que lo habitual",4,""))))</f>
        <v>2</v>
      </c>
      <c r="DE112" s="5" t="s">
        <v>230</v>
      </c>
      <c r="DF112" s="5">
        <f>IF(DE112="No, en absoluto",1,
IF(DE112="No más que lo habitual",2,
IF(DE112="Bastante más que lo habitual",3,
IF(DE112="Mucho más que lo habitual",4,""))))</f>
        <v>2</v>
      </c>
      <c r="DG112" s="5" t="s">
        <v>230</v>
      </c>
      <c r="DH112" s="5">
        <f>IF(DG112="No, en absoluto",1,
IF(DG112="No más que lo habitual",2,
IF(DG112="Bastante más que lo habitual",3,
IF(DG112="Mucho más que lo habitual",4,""))))</f>
        <v>2</v>
      </c>
      <c r="DI112" s="5" t="s">
        <v>251</v>
      </c>
      <c r="DJ112" s="5">
        <f>IF(DI112="No, en absoluto",1,
IF(DI112="No más que lo habitual",2,
IF(DI112="Bastante más que lo habitual",3,
IF(DI112="Mucho más que lo habitual",4,""))))</f>
        <v>1</v>
      </c>
      <c r="DK112" s="5" t="s">
        <v>251</v>
      </c>
      <c r="DL112" s="5">
        <f>IF(DK112="No, en absoluto",1,
IF(DK112="No más que lo habitual",2,
IF(DK112="Bastante más que lo habitual",3,
IF(DK112="Mucho más que lo habitual",4,""))))</f>
        <v>1</v>
      </c>
      <c r="DM112" s="5" t="s">
        <v>251</v>
      </c>
      <c r="DN112" s="5">
        <f>IF(DM112="No, en absoluto",1,
IF(DM112="No más que lo habitual",2,
IF(DM112="Bastante más que lo habitual",3,
IF(DM112="Mucho más que lo habitual",4,""))))</f>
        <v>1</v>
      </c>
      <c r="DO112" s="5" t="s">
        <v>231</v>
      </c>
      <c r="DP112" s="5">
        <f>IF(DO112="Más que lo habitual",1,
IF(DO112="Igual que lo habitual",2,
IF(DO112="Menos que lo habitual",3,
IF(DO112="Mucho menos que lo habitual",4,""))))</f>
        <v>2</v>
      </c>
      <c r="DQ112" s="5" t="s">
        <v>231</v>
      </c>
      <c r="DR112" s="5">
        <f>IF(DQ112="Más que lo habitual",1,
IF(DQ112="Igual que lo habitual",2,
IF(DQ112="Menos que lo habitual",3,
IF(DQ112="Mucho menos que lo habitual",4,""))))</f>
        <v>2</v>
      </c>
      <c r="DS112" s="5" t="s">
        <v>231</v>
      </c>
      <c r="DT112" s="5">
        <f>IF(DS112="Más que lo habitual",1,
IF(DS112="Igual que lo habitual",2,
IF(DS112="Menos que lo habitual",3,
IF(DS112="Mucho menos que lo habitual",4,""))))</f>
        <v>2</v>
      </c>
      <c r="DU112" s="5" t="s">
        <v>231</v>
      </c>
      <c r="DV112" s="5">
        <f>IF(DU112="Más que lo habitual",1,
IF(DU112="Igual que lo habitual",2,
IF(DU112="Menos que lo habitual",3,
IF(DU112="Mucho menos que lo habitual",4,""))))</f>
        <v>2</v>
      </c>
      <c r="DW112" s="5" t="s">
        <v>231</v>
      </c>
      <c r="DX112" s="5">
        <f>IF(DW112="Más que lo habitual",1,
IF(DW112="Igual que lo habitual",2,
IF(DW112="Menos que lo habitual",3,
IF(DW112="Mucho menos que lo habitual",4,""))))</f>
        <v>2</v>
      </c>
      <c r="DY112" s="5">
        <f>SUM(DB112,DD112,DF112,DH112,DJ112,DL112,DN112,DP112,DR112,DT112,DV112,DX112)</f>
        <v>21</v>
      </c>
      <c r="DZ112" s="5" t="str">
        <f>IF(DY112&lt;=18,"Nivel de riesgo bajo",
IF(DY112&lt;=23,"Nivel de riesgo medio",
"Nivel de riesgo alto"))</f>
        <v>Nivel de riesgo medio</v>
      </c>
      <c r="EA112" s="5" t="s">
        <v>248</v>
      </c>
      <c r="EB112" s="5">
        <f>IF(EA112="Nunca/ casi nunca",0,
IF(EA112="Rara vez",1,
IF(EA112="A veces",2,
IF(EA112="A menudo",3,
IF(EA112="Siempre",4,"")))))</f>
        <v>1</v>
      </c>
      <c r="EC112" s="5" t="s">
        <v>247</v>
      </c>
      <c r="ED112" s="5">
        <f>IF(EC112="Nunca/ casi nunca",0,
IF(EC112="Rara vez",1,
IF(EC112="A veces",2,
IF(EC112="A menudo",3,
IF(EC112="Siempre",4,"")))))</f>
        <v>2</v>
      </c>
      <c r="EE112" s="5" t="s">
        <v>247</v>
      </c>
      <c r="EF112" s="5">
        <f>IF(EE112="Nunca/ casi nunca",0,
IF(EE112="Rara vez",1,
IF(EE112="A veces",2,
IF(EE112="A menudo",3,
IF(EE112="Siempre",4,"")))))</f>
        <v>2</v>
      </c>
      <c r="EG112" s="5">
        <f>SUM(EB112,ED112,EF112)</f>
        <v>5</v>
      </c>
      <c r="EH112" s="5" t="str">
        <f>IF(EG112&lt;=1,"Nivel de riesgo bajo",
IF(EG112&lt;=4,"Nivel de riesgo medio",
"Nivel de riesgo alto"))</f>
        <v>Nivel de riesgo alto</v>
      </c>
      <c r="EI112" s="5" t="s">
        <v>248</v>
      </c>
      <c r="EJ112" s="5">
        <f>IF(EI112="Nunca/ casi nunca",0,
IF(EI112="Rara vez",1,
IF(EI112="A veces",2,
IF(EI112="A menudo",3,
IF(EI112="Siempre",4,"")))))</f>
        <v>1</v>
      </c>
      <c r="EK112" s="5" t="s">
        <v>248</v>
      </c>
      <c r="EL112" s="5">
        <f>IF(EK112="Nunca/ casi nunca",0,
IF(EK112="Rara vez",1,
IF(EK112="A veces",2,
IF(EK112="A menudo",3,
IF(EK112="Siempre",4,"")))))</f>
        <v>1</v>
      </c>
      <c r="EM112" s="5" t="s">
        <v>248</v>
      </c>
      <c r="EN112" s="5">
        <f>IF(EM112="Nunca/ casi nunca",0,
IF(EM112="Rara vez",1,
IF(EM112="A veces",2,
IF(EM112="A menudo",3,
IF(EM112="Siempre",4,"")))))</f>
        <v>1</v>
      </c>
      <c r="EO112" s="5">
        <f>SUM(EJ112,EL112,EN112)</f>
        <v>3</v>
      </c>
      <c r="EP112" s="5" t="str">
        <f>IF(EO112&lt;=1,"Nivel de riesgo bajo",
IF(EO112&lt;=5,"Nivel de riesgo medio",
"Nivel de riesgo alto"))</f>
        <v>Nivel de riesgo medio</v>
      </c>
      <c r="EQ112" s="5" t="s">
        <v>232</v>
      </c>
      <c r="ER112" s="5">
        <f>IF(EQ112="Nunca/ casi nunca",4,
IF(EQ112="Rara vez",3,
IF(EQ112="A veces",2,
IF(EQ112="A menudo",1,
IF(EQ112="Siempre",0,"")))))</f>
        <v>1</v>
      </c>
      <c r="ES112" s="5" t="s">
        <v>232</v>
      </c>
      <c r="ET112" s="5">
        <f>IF(ES112="Nunca/ casi nunca",4,
IF(ES112="Rara vez",3,
IF(ES112="A veces",2,
IF(ES112="A menudo",1,
IF(ES112="Siempre",0,"")))))</f>
        <v>1</v>
      </c>
      <c r="EU112" s="5" t="s">
        <v>254</v>
      </c>
      <c r="EV112" s="5">
        <f>IF(EU112="Nunca/ casi nunca",4,
IF(EU112="Rara vez",3,
IF(EU112="A veces",2,
IF(EU112="A menudo",1,
IF(EU112="Siempre",0,"")))))</f>
        <v>0</v>
      </c>
      <c r="EW112" s="5" t="s">
        <v>232</v>
      </c>
      <c r="EX112" s="5">
        <f>IF(EW112="Nunca/ casi nunca",4,
IF(EW112="Rara vez",3,
IF(EW112="A veces",2,
IF(EW112="A menudo",1,
IF(EW112="Siempre",0,"")))))</f>
        <v>1</v>
      </c>
      <c r="EY112" s="5">
        <f>SUM(ER112,ET112,EV112,EX112)</f>
        <v>3</v>
      </c>
      <c r="EZ112" s="5" t="str">
        <f>IF(EY112&lt;=0,"Nivel de riesgo bajo",
IF(EY112&lt;=4,"Nivel de riesgo medio",
"Nivel de riesgo alto"))</f>
        <v>Nivel de riesgo medio</v>
      </c>
      <c r="FA112" s="5" t="s">
        <v>248</v>
      </c>
      <c r="FB112" s="5">
        <f>IF(FA112="Nunca/ casi nunca",0,
IF(FA112="Rara vez",1,
IF(FA112="A veces",2,
IF(FA112="A menudo",3,
IF(FA112="Siempre",4,"")))))</f>
        <v>1</v>
      </c>
      <c r="FC112" s="5" t="s">
        <v>248</v>
      </c>
      <c r="FD112" s="5">
        <f>IF(FC112="Nunca/ casi nunca",0,
IF(FC112="Rara vez",1,
IF(FC112="A veces",2,
IF(FC112="A menudo",3,
IF(FC112="Siempre",4,"")))))</f>
        <v>1</v>
      </c>
      <c r="FE112" s="5" t="s">
        <v>247</v>
      </c>
      <c r="FF112" s="5">
        <f>IF(FE112="Nunca/ casi nunca",0,
IF(FE112="Rara vez",1,
IF(FE112="A veces",2,
IF(FE112="A menudo",3,
IF(FE112="Siempre",4,"")))))</f>
        <v>2</v>
      </c>
      <c r="FG112" s="5">
        <f>SUM(FB112,FD112,FF112)</f>
        <v>4</v>
      </c>
      <c r="FH112" s="5" t="str">
        <f>IF(FG112&lt;=2,"Nivel de riesgo bajo",
IF(FG112&lt;=5,"Nivel de riesgo medio",
"Nivel de riesgo alto"))</f>
        <v>Nivel de riesgo medio</v>
      </c>
      <c r="FI112" s="5" t="s">
        <v>248</v>
      </c>
      <c r="FJ112" s="5">
        <f>IF(FI112="Nunca/ casi nunca",0,
IF(FI112="Rara vez",1,
IF(FI112="A veces",2,
IF(FI112="A menudo",3,
IF(FI112="Siempre",4,"")))))</f>
        <v>1</v>
      </c>
      <c r="FK112" s="5" t="s">
        <v>248</v>
      </c>
      <c r="FL112" s="5">
        <f>IF(FK112="Nunca/ casi nunca",0,
IF(FK112="Rara vez",1,
IF(FK112="A veces",2,
IF(FK112="A menudo",3,
IF(FK112="Siempre",4,"")))))</f>
        <v>1</v>
      </c>
      <c r="FM112" s="5" t="s">
        <v>248</v>
      </c>
      <c r="FN112" s="5">
        <f>IF(FM112="Nunca/ casi nunca",0,
IF(FM112="Rara vez",1,
IF(FM112="A veces",2,
IF(FM112="A menudo",3,
IF(FM112="Siempre",4,"")))))</f>
        <v>1</v>
      </c>
      <c r="FO112" s="5">
        <f>SUM(FJ112,FL112,FN112)</f>
        <v>3</v>
      </c>
      <c r="FP112" s="5" t="str">
        <f>IF(FO112&lt;=2,"Nivel de riesgo bajo",
IF(FO112&lt;=5,"Nivel de riesgo medio",
"Nivel de riesgo alto"))</f>
        <v>Nivel de riesgo medio</v>
      </c>
      <c r="FQ112" s="5" t="s">
        <v>206</v>
      </c>
      <c r="FR112" s="5">
        <f>IF(FQ112="No",0,
IF(FQ112="Sí, unas pocas veces",1,
IF(FQ112="Sí, mensualmente",2,
IF(FQ112="Sí, semanalmente",3,
IF(FQ112="Sí, diariamente",4,"")))))</f>
        <v>0</v>
      </c>
      <c r="FS112" s="5" t="s">
        <v>206</v>
      </c>
      <c r="FT112" s="5">
        <f>IF(FS112="No",0,
IF(FS112="Sí, unas pocas veces",1,
IF(FS112="Sí, mensualmente",2,
IF(FS112="Sí, semanalmente",3,
IF(FS112="Sí, diariamente",4,"")))))</f>
        <v>0</v>
      </c>
      <c r="FU112" s="5" t="s">
        <v>206</v>
      </c>
      <c r="FV112" s="5">
        <f>IF(FU112="No",0,
IF(FU112="Sí, unas pocas veces",1,
IF(FU112="Sí, mensualmente",2,
IF(FU112="Sí, semanalmente",3,
IF(FU112="Sí, diariamente",4,"")))))</f>
        <v>0</v>
      </c>
      <c r="FW112" s="5" t="s">
        <v>206</v>
      </c>
      <c r="FX112" s="5">
        <f>IF(FW112="No",0,
IF(FW112="Sí, unas pocas veces",1,
IF(FW112="Sí, mensualmente",2,
IF(FW112="Sí, semanalmente",3,
IF(FW112="Sí, diariamente",4,"")))))</f>
        <v>0</v>
      </c>
      <c r="FY112" s="5" t="s">
        <v>206</v>
      </c>
      <c r="FZ112" s="5">
        <f>IF(FY112="No",0,
IF(FY112="Sí, unas pocas veces",1,
IF(FY112="Sí, mensualmente",2,
IF(FY112="Sí, semanalmente",3,
IF(FY112="Sí, diariamente",4,"")))))</f>
        <v>0</v>
      </c>
      <c r="GA112" s="5" t="s">
        <v>206</v>
      </c>
      <c r="GB112" s="5">
        <f>IF(GA112="No",0,
IF(GA112="Sí, unas pocas veces",1,
IF(GA112="Sí, mensualmente",2,
IF(GA112="Sí, semanalmente",3,
IF(GA112="Sí, diariamente",4,"")))))</f>
        <v>0</v>
      </c>
      <c r="GC112" s="5" t="s">
        <v>206</v>
      </c>
      <c r="GD112" s="5">
        <f>IF(GC112="No",0,
IF(GC112="Sí, unas pocas veces",1,
IF(GC112="Sí, mensualmente",2,
IF(GC112="Sí, semanalmente",3,
IF(GC112="Sí, diariamente",4,"")))))</f>
        <v>0</v>
      </c>
      <c r="GE112" s="5">
        <f>SUM(FR112,FT112,FV112,FX112,FZ112,GB112,GD112)</f>
        <v>0</v>
      </c>
      <c r="GF112" s="5" t="str">
        <f>IF(GE112&lt;=0,"Nivel de riesgo bajo",
IF(GE112&lt;=14,"Nivel de riesgo medio",
"Nivel de riesgo alto"))</f>
        <v>Nivel de riesgo bajo</v>
      </c>
      <c r="GG112" s="5" t="s">
        <v>255</v>
      </c>
      <c r="GH112" s="5" t="s">
        <v>255</v>
      </c>
      <c r="GI112" s="5" t="s">
        <v>255</v>
      </c>
      <c r="GJ112" s="5" t="s">
        <v>255</v>
      </c>
      <c r="GK112" s="5" t="s">
        <v>233</v>
      </c>
      <c r="GL112" s="5" t="s">
        <v>266</v>
      </c>
      <c r="GM112" s="5" t="s">
        <v>266</v>
      </c>
      <c r="GN112" s="5" t="s">
        <v>256</v>
      </c>
      <c r="GO112" s="5" t="s">
        <v>256</v>
      </c>
      <c r="GP112" s="5" t="s">
        <v>256</v>
      </c>
      <c r="GQ112" s="5" t="s">
        <v>243</v>
      </c>
      <c r="GR112" s="5" t="s">
        <v>243</v>
      </c>
      <c r="GS112" s="5" t="s">
        <v>243</v>
      </c>
      <c r="GT112" s="5" t="s">
        <v>243</v>
      </c>
      <c r="GU112" s="5" t="s">
        <v>455</v>
      </c>
      <c r="GV112" s="5" t="str">
        <f>TEXT("6278847287111742760","0")</f>
        <v>6278847287111740000</v>
      </c>
    </row>
    <row r="113" spans="1:204" ht="15.75" hidden="1" customHeight="1" x14ac:dyDescent="0.15">
      <c r="B113" s="4">
        <v>45847.486307870371</v>
      </c>
      <c r="C113" s="5" t="s">
        <v>204</v>
      </c>
      <c r="D113" s="5" t="s">
        <v>206</v>
      </c>
      <c r="F113" s="5" t="s">
        <v>206</v>
      </c>
      <c r="G113" s="5" t="s">
        <v>206</v>
      </c>
      <c r="H113" s="5" t="s">
        <v>206</v>
      </c>
      <c r="J113" s="5" t="s">
        <v>209</v>
      </c>
      <c r="O113" s="5" t="s">
        <v>209</v>
      </c>
      <c r="S113" s="5" t="s">
        <v>208</v>
      </c>
      <c r="X113" s="5" t="s">
        <v>208</v>
      </c>
      <c r="AC113" s="5" t="s">
        <v>208</v>
      </c>
      <c r="AH113" s="5" t="s">
        <v>210</v>
      </c>
      <c r="AI113" s="5">
        <v>2024</v>
      </c>
      <c r="AJ113" s="5" t="s">
        <v>260</v>
      </c>
      <c r="AK113" s="5"/>
      <c r="AR113" s="5" t="s">
        <v>301</v>
      </c>
      <c r="AS113" s="5" t="s">
        <v>301</v>
      </c>
      <c r="AT113" s="5" t="s">
        <v>301</v>
      </c>
      <c r="AU113" s="5" t="s">
        <v>301</v>
      </c>
      <c r="AV113" s="5" t="s">
        <v>213</v>
      </c>
      <c r="AW113" s="5" t="s">
        <v>206</v>
      </c>
      <c r="BF113" s="5" t="s">
        <v>204</v>
      </c>
      <c r="BG113" s="5" t="s">
        <v>242</v>
      </c>
      <c r="BH113" s="5" t="s">
        <v>215</v>
      </c>
      <c r="BI113" s="5" t="s">
        <v>278</v>
      </c>
      <c r="BJ113" s="5" t="s">
        <v>242</v>
      </c>
      <c r="BK113" s="5" t="s">
        <v>216</v>
      </c>
      <c r="BL113" s="5" t="s">
        <v>216</v>
      </c>
      <c r="BM113" s="5" t="s">
        <v>216</v>
      </c>
      <c r="BN113" s="5" t="s">
        <v>216</v>
      </c>
      <c r="BO113" s="5" t="s">
        <v>216</v>
      </c>
      <c r="BP113" s="5" t="s">
        <v>216</v>
      </c>
      <c r="BQ113" s="5" t="s">
        <v>216</v>
      </c>
      <c r="BR113" s="5" t="s">
        <v>216</v>
      </c>
      <c r="BS113" s="5" t="s">
        <v>248</v>
      </c>
      <c r="BT113" s="5" t="s">
        <v>217</v>
      </c>
      <c r="BU113" s="5" t="s">
        <v>217</v>
      </c>
      <c r="BV113" s="5" t="s">
        <v>217</v>
      </c>
      <c r="BW113" s="5" t="s">
        <v>217</v>
      </c>
      <c r="BX113" s="5" t="s">
        <v>217</v>
      </c>
      <c r="BY113" s="5" t="s">
        <v>217</v>
      </c>
      <c r="CD113" s="5" t="s">
        <v>204</v>
      </c>
      <c r="CE113" s="5" t="s">
        <v>286</v>
      </c>
      <c r="CF113" s="5" t="s">
        <v>219</v>
      </c>
      <c r="CG113" s="5" t="s">
        <v>206</v>
      </c>
      <c r="CH113" s="5" t="s">
        <v>206</v>
      </c>
      <c r="CI113" s="5" t="s">
        <v>206</v>
      </c>
      <c r="CJ113" s="5">
        <v>1</v>
      </c>
      <c r="CK113" s="5" t="s">
        <v>223</v>
      </c>
      <c r="CU113" s="5" t="s">
        <v>206</v>
      </c>
      <c r="DA113" s="5" t="s">
        <v>231</v>
      </c>
      <c r="DB113" s="5"/>
      <c r="DC113" s="5" t="s">
        <v>251</v>
      </c>
      <c r="DD113" s="5"/>
      <c r="DE113" s="5" t="s">
        <v>251</v>
      </c>
      <c r="DF113" s="5"/>
      <c r="DG113" s="5" t="s">
        <v>251</v>
      </c>
      <c r="DH113" s="5"/>
      <c r="DI113" s="5" t="s">
        <v>251</v>
      </c>
      <c r="DJ113" s="5"/>
      <c r="DK113" s="5" t="s">
        <v>251</v>
      </c>
      <c r="DL113" s="5"/>
      <c r="DM113" s="5" t="s">
        <v>251</v>
      </c>
      <c r="DN113" s="5"/>
      <c r="DO113" s="5" t="s">
        <v>231</v>
      </c>
      <c r="DP113" s="5"/>
      <c r="DQ113" s="5" t="s">
        <v>231</v>
      </c>
      <c r="DR113" s="5"/>
      <c r="DS113" s="5" t="s">
        <v>231</v>
      </c>
      <c r="DT113" s="5"/>
      <c r="DU113" s="5" t="s">
        <v>231</v>
      </c>
      <c r="DV113" s="5"/>
      <c r="DW113" s="5" t="s">
        <v>231</v>
      </c>
      <c r="DX113" s="5"/>
      <c r="DY113" s="5"/>
      <c r="DZ113" s="5"/>
      <c r="EA113" s="5" t="s">
        <v>253</v>
      </c>
      <c r="EB113" s="5"/>
      <c r="EC113" s="5" t="s">
        <v>253</v>
      </c>
      <c r="ED113" s="5"/>
      <c r="EE113" s="5" t="s">
        <v>253</v>
      </c>
      <c r="EF113" s="5"/>
      <c r="EG113" s="5"/>
      <c r="EH113" s="5"/>
      <c r="EI113" s="5" t="s">
        <v>253</v>
      </c>
      <c r="EJ113" s="5"/>
      <c r="EK113" s="5" t="s">
        <v>253</v>
      </c>
      <c r="EL113" s="5"/>
      <c r="EM113" s="5" t="s">
        <v>253</v>
      </c>
      <c r="EN113" s="5"/>
      <c r="EO113" s="5"/>
      <c r="EP113" s="5"/>
      <c r="EQ113" s="5" t="s">
        <v>253</v>
      </c>
      <c r="ER113" s="5"/>
      <c r="ES113" s="5" t="s">
        <v>253</v>
      </c>
      <c r="ET113" s="5"/>
      <c r="EU113" s="5" t="s">
        <v>254</v>
      </c>
      <c r="EV113" s="5"/>
      <c r="EW113" s="5" t="s">
        <v>254</v>
      </c>
      <c r="EX113" s="5"/>
      <c r="EY113" s="5"/>
      <c r="EZ113" s="5"/>
      <c r="FA113" s="5" t="s">
        <v>253</v>
      </c>
      <c r="FB113" s="5"/>
      <c r="FC113" s="5" t="s">
        <v>253</v>
      </c>
      <c r="FD113" s="5"/>
      <c r="FE113" s="5" t="s">
        <v>253</v>
      </c>
      <c r="FF113" s="5"/>
      <c r="FG113" s="5"/>
      <c r="FH113" s="5"/>
      <c r="FI113" s="5" t="s">
        <v>253</v>
      </c>
      <c r="FJ113" s="5"/>
      <c r="FK113" s="5" t="s">
        <v>253</v>
      </c>
      <c r="FL113" s="5"/>
      <c r="FM113" s="5" t="s">
        <v>248</v>
      </c>
      <c r="FN113" s="5"/>
      <c r="FO113" s="5"/>
      <c r="FP113" s="5"/>
      <c r="FQ113" s="5" t="s">
        <v>206</v>
      </c>
      <c r="FR113" s="5"/>
      <c r="FS113" s="5" t="s">
        <v>206</v>
      </c>
      <c r="FT113" s="5"/>
      <c r="FU113" s="5" t="s">
        <v>206</v>
      </c>
      <c r="FV113" s="5"/>
      <c r="FW113" s="5" t="s">
        <v>206</v>
      </c>
      <c r="FX113" s="5"/>
      <c r="FY113" s="5" t="s">
        <v>206</v>
      </c>
      <c r="FZ113" s="5"/>
      <c r="GA113" s="5" t="s">
        <v>206</v>
      </c>
      <c r="GB113" s="5"/>
      <c r="GC113" s="5" t="s">
        <v>206</v>
      </c>
      <c r="GD113" s="5"/>
      <c r="GE113" s="5"/>
      <c r="GF113" s="5"/>
      <c r="GG113" s="5" t="s">
        <v>273</v>
      </c>
      <c r="GH113" s="5" t="s">
        <v>273</v>
      </c>
      <c r="GI113" s="5" t="s">
        <v>273</v>
      </c>
      <c r="GJ113" s="5" t="s">
        <v>273</v>
      </c>
      <c r="GK113" s="5" t="s">
        <v>273</v>
      </c>
      <c r="GL113" s="5" t="s">
        <v>273</v>
      </c>
      <c r="GM113" s="5" t="s">
        <v>273</v>
      </c>
      <c r="GN113" s="5" t="s">
        <v>234</v>
      </c>
      <c r="GO113" s="5" t="s">
        <v>244</v>
      </c>
      <c r="GP113" s="5" t="s">
        <v>257</v>
      </c>
      <c r="GQ113" s="5" t="s">
        <v>257</v>
      </c>
      <c r="GR113" s="5" t="s">
        <v>234</v>
      </c>
      <c r="GS113" s="5" t="s">
        <v>234</v>
      </c>
      <c r="GT113" s="5" t="s">
        <v>234</v>
      </c>
      <c r="GU113" s="5" t="s">
        <v>456</v>
      </c>
      <c r="GV113" s="5" t="str">
        <f>TEXT("6278848179014523896","0")</f>
        <v>6278848179014520000</v>
      </c>
    </row>
    <row r="114" spans="1:204" ht="15.75" customHeight="1" x14ac:dyDescent="0.15">
      <c r="A114" s="1">
        <f>ROW(A114)</f>
        <v>114</v>
      </c>
      <c r="B114" s="4">
        <v>45847.486331018517</v>
      </c>
      <c r="C114" s="5" t="s">
        <v>204</v>
      </c>
      <c r="D114" s="5" t="s">
        <v>206</v>
      </c>
      <c r="F114" s="5" t="s">
        <v>206</v>
      </c>
      <c r="G114" s="5" t="s">
        <v>204</v>
      </c>
      <c r="H114" s="5" t="s">
        <v>206</v>
      </c>
      <c r="K114" s="5" t="s">
        <v>237</v>
      </c>
      <c r="N114" s="5" t="s">
        <v>208</v>
      </c>
      <c r="S114" s="5" t="s">
        <v>208</v>
      </c>
      <c r="X114" s="5" t="s">
        <v>208</v>
      </c>
      <c r="AC114" s="5" t="s">
        <v>208</v>
      </c>
      <c r="AH114" s="5" t="s">
        <v>275</v>
      </c>
      <c r="AI114" s="5">
        <v>2015</v>
      </c>
      <c r="AJ114" s="5" t="s">
        <v>238</v>
      </c>
      <c r="AK114" s="5" t="str">
        <f>IF(OR(AJ114="Empleada del sector privado",AJ114="Empleada del sector público"),"Asalariada",
IF(AJ114="Trabajadora por cuenta propia","Trabajadora por cuenta propia",""))</f>
        <v>Trabajadora por cuenta propia</v>
      </c>
      <c r="AL114" s="5" t="s">
        <v>239</v>
      </c>
      <c r="AP114" s="5" t="s">
        <v>284</v>
      </c>
      <c r="AR114" s="5" t="s">
        <v>301</v>
      </c>
      <c r="AS114" s="5" t="s">
        <v>301</v>
      </c>
      <c r="AT114" s="5" t="s">
        <v>301</v>
      </c>
      <c r="AU114" s="5" t="s">
        <v>301</v>
      </c>
      <c r="AV114" s="5" t="s">
        <v>457</v>
      </c>
      <c r="AW114" s="5" t="s">
        <v>206</v>
      </c>
      <c r="BF114" s="5" t="s">
        <v>204</v>
      </c>
      <c r="BG114" s="5" t="s">
        <v>264</v>
      </c>
      <c r="BH114" s="5" t="s">
        <v>207</v>
      </c>
      <c r="BI114" s="5" t="s">
        <v>207</v>
      </c>
      <c r="BJ114" s="5" t="s">
        <v>207</v>
      </c>
      <c r="BK114" s="5" t="s">
        <v>246</v>
      </c>
      <c r="BL114" s="5" t="s">
        <v>244</v>
      </c>
      <c r="BM114" s="5" t="s">
        <v>246</v>
      </c>
      <c r="BN114" s="5" t="s">
        <v>246</v>
      </c>
      <c r="BO114" s="5" t="s">
        <v>244</v>
      </c>
      <c r="BP114" s="5" t="s">
        <v>246</v>
      </c>
      <c r="BQ114" s="5" t="s">
        <v>246</v>
      </c>
      <c r="BR114" s="5" t="s">
        <v>243</v>
      </c>
      <c r="BS114" s="5" t="s">
        <v>232</v>
      </c>
      <c r="BT114" s="5" t="s">
        <v>247</v>
      </c>
      <c r="BU114" s="5" t="s">
        <v>247</v>
      </c>
      <c r="BV114" s="5" t="s">
        <v>232</v>
      </c>
      <c r="BW114" s="5" t="s">
        <v>232</v>
      </c>
      <c r="BX114" s="5" t="s">
        <v>254</v>
      </c>
      <c r="BY114" s="5" t="s">
        <v>248</v>
      </c>
      <c r="CD114" s="5" t="s">
        <v>206</v>
      </c>
      <c r="CH114" s="5" t="s">
        <v>206</v>
      </c>
      <c r="CI114" s="5" t="s">
        <v>249</v>
      </c>
      <c r="CJ114" s="5">
        <v>3</v>
      </c>
      <c r="CK114" s="5" t="s">
        <v>223</v>
      </c>
      <c r="CU114" s="5" t="s">
        <v>206</v>
      </c>
      <c r="DA114" s="5" t="s">
        <v>231</v>
      </c>
      <c r="DB114" s="5">
        <f>IF(DA114="Mejor que lo habitual",1,
IF(DA114="Igual que lo habitual",2,
IF(DA114="Menos que lo habitual",3,
IF(DA114="Mucho menos que lo habitual",4,""))))</f>
        <v>2</v>
      </c>
      <c r="DC114" s="5" t="s">
        <v>250</v>
      </c>
      <c r="DD114" s="5">
        <f>IF(DC114="No, en absoluto",1,
IF(DC114="No más que lo habitual",2,
IF(DC114="Bastante más que lo habitual",3,
IF(DC114="Mucho más que lo habitual",4,""))))</f>
        <v>3</v>
      </c>
      <c r="DE114" s="5" t="s">
        <v>250</v>
      </c>
      <c r="DF114" s="5">
        <f>IF(DE114="No, en absoluto",1,
IF(DE114="No más que lo habitual",2,
IF(DE114="Bastante más que lo habitual",3,
IF(DE114="Mucho más que lo habitual",4,""))))</f>
        <v>3</v>
      </c>
      <c r="DG114" s="5" t="s">
        <v>230</v>
      </c>
      <c r="DH114" s="5">
        <f>IF(DG114="No, en absoluto",1,
IF(DG114="No más que lo habitual",2,
IF(DG114="Bastante más que lo habitual",3,
IF(DG114="Mucho más que lo habitual",4,""))))</f>
        <v>2</v>
      </c>
      <c r="DI114" s="5" t="s">
        <v>230</v>
      </c>
      <c r="DJ114" s="5">
        <f>IF(DI114="No, en absoluto",1,
IF(DI114="No más que lo habitual",2,
IF(DI114="Bastante más que lo habitual",3,
IF(DI114="Mucho más que lo habitual",4,""))))</f>
        <v>2</v>
      </c>
      <c r="DK114" s="5" t="s">
        <v>251</v>
      </c>
      <c r="DL114" s="5">
        <f>IF(DK114="No, en absoluto",1,
IF(DK114="No más que lo habitual",2,
IF(DK114="Bastante más que lo habitual",3,
IF(DK114="Mucho más que lo habitual",4,""))))</f>
        <v>1</v>
      </c>
      <c r="DM114" s="5" t="s">
        <v>230</v>
      </c>
      <c r="DN114" s="5">
        <f>IF(DM114="No, en absoluto",1,
IF(DM114="No más que lo habitual",2,
IF(DM114="Bastante más que lo habitual",3,
IF(DM114="Mucho más que lo habitual",4,""))))</f>
        <v>2</v>
      </c>
      <c r="DO114" s="5" t="s">
        <v>231</v>
      </c>
      <c r="DP114" s="5">
        <f>IF(DO114="Más que lo habitual",1,
IF(DO114="Igual que lo habitual",2,
IF(DO114="Menos que lo habitual",3,
IF(DO114="Mucho menos que lo habitual",4,""))))</f>
        <v>2</v>
      </c>
      <c r="DQ114" s="5" t="s">
        <v>281</v>
      </c>
      <c r="DR114" s="5">
        <f>IF(DQ114="Más que lo habitual",1,
IF(DQ114="Igual que lo habitual",2,
IF(DQ114="Menos que lo habitual",3,
IF(DQ114="Mucho menos que lo habitual",4,""))))</f>
        <v>1</v>
      </c>
      <c r="DS114" s="5" t="s">
        <v>231</v>
      </c>
      <c r="DT114" s="5">
        <f>IF(DS114="Más que lo habitual",1,
IF(DS114="Igual que lo habitual",2,
IF(DS114="Menos que lo habitual",3,
IF(DS114="Mucho menos que lo habitual",4,""))))</f>
        <v>2</v>
      </c>
      <c r="DU114" s="5" t="s">
        <v>281</v>
      </c>
      <c r="DV114" s="5">
        <f>IF(DU114="Más que lo habitual",1,
IF(DU114="Igual que lo habitual",2,
IF(DU114="Menos que lo habitual",3,
IF(DU114="Mucho menos que lo habitual",4,""))))</f>
        <v>1</v>
      </c>
      <c r="DW114" s="5" t="s">
        <v>231</v>
      </c>
      <c r="DX114" s="5">
        <f>IF(DW114="Más que lo habitual",1,
IF(DW114="Igual que lo habitual",2,
IF(DW114="Menos que lo habitual",3,
IF(DW114="Mucho menos que lo habitual",4,""))))</f>
        <v>2</v>
      </c>
      <c r="DY114" s="5">
        <f>SUM(DB114,DD114,DF114,DH114,DJ114,DL114,DN114,DP114,DR114,DT114,DV114,DX114)</f>
        <v>23</v>
      </c>
      <c r="DZ114" s="5" t="str">
        <f>IF(DY114&lt;=18,"Nivel de riesgo bajo",
IF(DY114&lt;=23,"Nivel de riesgo medio",
"Nivel de riesgo alto"))</f>
        <v>Nivel de riesgo medio</v>
      </c>
      <c r="EA114" s="5" t="s">
        <v>247</v>
      </c>
      <c r="EB114" s="5">
        <f>IF(EA114="Nunca/ casi nunca",0,
IF(EA114="Rara vez",1,
IF(EA114="A veces",2,
IF(EA114="A menudo",3,
IF(EA114="Siempre",4,"")))))</f>
        <v>2</v>
      </c>
      <c r="EC114" s="5" t="s">
        <v>248</v>
      </c>
      <c r="ED114" s="5">
        <f>IF(EC114="Nunca/ casi nunca",0,
IF(EC114="Rara vez",1,
IF(EC114="A veces",2,
IF(EC114="A menudo",3,
IF(EC114="Siempre",4,"")))))</f>
        <v>1</v>
      </c>
      <c r="EE114" s="5" t="s">
        <v>253</v>
      </c>
      <c r="EF114" s="5">
        <f>IF(EE114="Nunca/ casi nunca",0,
IF(EE114="Rara vez",1,
IF(EE114="A veces",2,
IF(EE114="A menudo",3,
IF(EE114="Siempre",4,"")))))</f>
        <v>0</v>
      </c>
      <c r="EG114" s="5">
        <f>SUM(EB114,ED114,EF114)</f>
        <v>3</v>
      </c>
      <c r="EH114" s="5" t="str">
        <f>IF(EG114&lt;=1,"Nivel de riesgo bajo",
IF(EG114&lt;=4,"Nivel de riesgo medio",
"Nivel de riesgo alto"))</f>
        <v>Nivel de riesgo medio</v>
      </c>
      <c r="EI114" s="5" t="s">
        <v>248</v>
      </c>
      <c r="EJ114" s="5">
        <f>IF(EI114="Nunca/ casi nunca",0,
IF(EI114="Rara vez",1,
IF(EI114="A veces",2,
IF(EI114="A menudo",3,
IF(EI114="Siempre",4,"")))))</f>
        <v>1</v>
      </c>
      <c r="EK114" s="5" t="s">
        <v>247</v>
      </c>
      <c r="EL114" s="5">
        <f>IF(EK114="Nunca/ casi nunca",0,
IF(EK114="Rara vez",1,
IF(EK114="A veces",2,
IF(EK114="A menudo",3,
IF(EK114="Siempre",4,"")))))</f>
        <v>2</v>
      </c>
      <c r="EM114" s="5" t="s">
        <v>247</v>
      </c>
      <c r="EN114" s="5">
        <f>IF(EM114="Nunca/ casi nunca",0,
IF(EM114="Rara vez",1,
IF(EM114="A veces",2,
IF(EM114="A menudo",3,
IF(EM114="Siempre",4,"")))))</f>
        <v>2</v>
      </c>
      <c r="EO114" s="5">
        <f>SUM(EJ114,EL114,EN114)</f>
        <v>5</v>
      </c>
      <c r="EP114" s="5" t="str">
        <f>IF(EO114&lt;=1,"Nivel de riesgo bajo",
IF(EO114&lt;=5,"Nivel de riesgo medio",
"Nivel de riesgo alto"))</f>
        <v>Nivel de riesgo medio</v>
      </c>
      <c r="EQ114" s="5" t="s">
        <v>248</v>
      </c>
      <c r="ER114" s="5">
        <f>IF(EQ114="Nunca/ casi nunca",4,
IF(EQ114="Rara vez",3,
IF(EQ114="A veces",2,
IF(EQ114="A menudo",1,
IF(EQ114="Siempre",0,"")))))</f>
        <v>3</v>
      </c>
      <c r="ES114" s="5" t="s">
        <v>247</v>
      </c>
      <c r="ET114" s="5">
        <f>IF(ES114="Nunca/ casi nunca",4,
IF(ES114="Rara vez",3,
IF(ES114="A veces",2,
IF(ES114="A menudo",1,
IF(ES114="Siempre",0,"")))))</f>
        <v>2</v>
      </c>
      <c r="EU114" s="5" t="s">
        <v>248</v>
      </c>
      <c r="EV114" s="5">
        <f>IF(EU114="Nunca/ casi nunca",4,
IF(EU114="Rara vez",3,
IF(EU114="A veces",2,
IF(EU114="A menudo",1,
IF(EU114="Siempre",0,"")))))</f>
        <v>3</v>
      </c>
      <c r="EW114" s="5" t="s">
        <v>253</v>
      </c>
      <c r="EX114" s="5">
        <f>IF(EW114="Nunca/ casi nunca",4,
IF(EW114="Rara vez",3,
IF(EW114="A veces",2,
IF(EW114="A menudo",1,
IF(EW114="Siempre",0,"")))))</f>
        <v>4</v>
      </c>
      <c r="EY114" s="5">
        <f>SUM(ER114,ET114,EV114,EX114)</f>
        <v>12</v>
      </c>
      <c r="EZ114" s="5" t="str">
        <f>IF(EY114&lt;=0,"Nivel de riesgo bajo",
IF(EY114&lt;=4,"Nivel de riesgo medio",
"Nivel de riesgo alto"))</f>
        <v>Nivel de riesgo alto</v>
      </c>
      <c r="FA114" s="5" t="s">
        <v>248</v>
      </c>
      <c r="FB114" s="5">
        <f>IF(FA114="Nunca/ casi nunca",0,
IF(FA114="Rara vez",1,
IF(FA114="A veces",2,
IF(FA114="A menudo",3,
IF(FA114="Siempre",4,"")))))</f>
        <v>1</v>
      </c>
      <c r="FC114" s="5" t="s">
        <v>248</v>
      </c>
      <c r="FD114" s="5">
        <f>IF(FC114="Nunca/ casi nunca",0,
IF(FC114="Rara vez",1,
IF(FC114="A veces",2,
IF(FC114="A menudo",3,
IF(FC114="Siempre",4,"")))))</f>
        <v>1</v>
      </c>
      <c r="FE114" s="5" t="s">
        <v>248</v>
      </c>
      <c r="FF114" s="5">
        <f>IF(FE114="Nunca/ casi nunca",0,
IF(FE114="Rara vez",1,
IF(FE114="A veces",2,
IF(FE114="A menudo",3,
IF(FE114="Siempre",4,"")))))</f>
        <v>1</v>
      </c>
      <c r="FG114" s="5">
        <f>SUM(FB114,FD114,FF114)</f>
        <v>3</v>
      </c>
      <c r="FH114" s="5" t="str">
        <f>IF(FG114&lt;=2,"Nivel de riesgo bajo",
IF(FG114&lt;=5,"Nivel de riesgo medio",
"Nivel de riesgo alto"))</f>
        <v>Nivel de riesgo medio</v>
      </c>
      <c r="FI114" s="5" t="s">
        <v>248</v>
      </c>
      <c r="FJ114" s="5">
        <f>IF(FI114="Nunca/ casi nunca",0,
IF(FI114="Rara vez",1,
IF(FI114="A veces",2,
IF(FI114="A menudo",3,
IF(FI114="Siempre",4,"")))))</f>
        <v>1</v>
      </c>
      <c r="FK114" s="5" t="s">
        <v>253</v>
      </c>
      <c r="FL114" s="5">
        <f>IF(FK114="Nunca/ casi nunca",0,
IF(FK114="Rara vez",1,
IF(FK114="A veces",2,
IF(FK114="A menudo",3,
IF(FK114="Siempre",4,"")))))</f>
        <v>0</v>
      </c>
      <c r="FM114" s="5" t="s">
        <v>248</v>
      </c>
      <c r="FN114" s="5">
        <f>IF(FM114="Nunca/ casi nunca",0,
IF(FM114="Rara vez",1,
IF(FM114="A veces",2,
IF(FM114="A menudo",3,
IF(FM114="Siempre",4,"")))))</f>
        <v>1</v>
      </c>
      <c r="FO114" s="5">
        <f>SUM(FJ114,FL114,FN114)</f>
        <v>2</v>
      </c>
      <c r="FP114" s="5" t="str">
        <f>IF(FO114&lt;=2,"Nivel de riesgo bajo",
IF(FO114&lt;=5,"Nivel de riesgo medio",
"Nivel de riesgo alto"))</f>
        <v>Nivel de riesgo bajo</v>
      </c>
      <c r="FQ114" s="5" t="s">
        <v>265</v>
      </c>
      <c r="FR114" s="5">
        <f>IF(FQ114="No",0,
IF(FQ114="Sí, unas pocas veces",1,
IF(FQ114="Sí, mensualmente",2,
IF(FQ114="Sí, semanalmente",3,
IF(FQ114="Sí, diariamente",4,"")))))</f>
        <v>1</v>
      </c>
      <c r="FS114" s="5" t="s">
        <v>265</v>
      </c>
      <c r="FT114" s="5">
        <f>IF(FS114="No",0,
IF(FS114="Sí, unas pocas veces",1,
IF(FS114="Sí, mensualmente",2,
IF(FS114="Sí, semanalmente",3,
IF(FS114="Sí, diariamente",4,"")))))</f>
        <v>1</v>
      </c>
      <c r="FU114" s="5" t="s">
        <v>391</v>
      </c>
      <c r="FV114" s="5">
        <f>IF(FU114="No",0,
IF(FU114="Sí, unas pocas veces",1,
IF(FU114="Sí, mensualmente",2,
IF(FU114="Sí, semanalmente",3,
IF(FU114="Sí, diariamente",4,"")))))</f>
        <v>4</v>
      </c>
      <c r="FW114" s="5" t="s">
        <v>206</v>
      </c>
      <c r="FX114" s="5">
        <f>IF(FW114="No",0,
IF(FW114="Sí, unas pocas veces",1,
IF(FW114="Sí, mensualmente",2,
IF(FW114="Sí, semanalmente",3,
IF(FW114="Sí, diariamente",4,"")))))</f>
        <v>0</v>
      </c>
      <c r="FY114" s="5" t="s">
        <v>206</v>
      </c>
      <c r="FZ114" s="5">
        <f>IF(FY114="No",0,
IF(FY114="Sí, unas pocas veces",1,
IF(FY114="Sí, mensualmente",2,
IF(FY114="Sí, semanalmente",3,
IF(FY114="Sí, diariamente",4,"")))))</f>
        <v>0</v>
      </c>
      <c r="GA114" s="5" t="s">
        <v>361</v>
      </c>
      <c r="GB114" s="5">
        <f>IF(GA114="No",0,
IF(GA114="Sí, unas pocas veces",1,
IF(GA114="Sí, mensualmente",2,
IF(GA114="Sí, semanalmente",3,
IF(GA114="Sí, diariamente",4,"")))))</f>
        <v>3</v>
      </c>
      <c r="GC114" s="5" t="s">
        <v>361</v>
      </c>
      <c r="GD114" s="5">
        <f>IF(GC114="No",0,
IF(GC114="Sí, unas pocas veces",1,
IF(GC114="Sí, mensualmente",2,
IF(GC114="Sí, semanalmente",3,
IF(GC114="Sí, diariamente",4,"")))))</f>
        <v>3</v>
      </c>
      <c r="GE114" s="5">
        <f>SUM(FR114,FT114,FV114,FX114,FZ114,GB114,GD114)</f>
        <v>12</v>
      </c>
      <c r="GF114" s="5" t="str">
        <f>IF(GE114&lt;=0,"Nivel de riesgo bajo",
IF(GE114&lt;=14,"Nivel de riesgo medio",
"Nivel de riesgo alto"))</f>
        <v>Nivel de riesgo medio</v>
      </c>
      <c r="GG114" s="5" t="s">
        <v>255</v>
      </c>
      <c r="GH114" s="5" t="s">
        <v>255</v>
      </c>
      <c r="GI114" s="5" t="s">
        <v>255</v>
      </c>
      <c r="GJ114" s="5" t="s">
        <v>266</v>
      </c>
      <c r="GK114" s="5" t="s">
        <v>233</v>
      </c>
      <c r="GL114" s="5" t="s">
        <v>273</v>
      </c>
      <c r="GM114" s="5" t="s">
        <v>233</v>
      </c>
      <c r="GN114" s="5" t="s">
        <v>256</v>
      </c>
      <c r="GO114" s="5" t="s">
        <v>257</v>
      </c>
      <c r="GP114" s="5" t="s">
        <v>257</v>
      </c>
      <c r="GQ114" s="5" t="s">
        <v>243</v>
      </c>
      <c r="GR114" s="5" t="s">
        <v>257</v>
      </c>
      <c r="GS114" s="5" t="s">
        <v>244</v>
      </c>
      <c r="GT114" s="5" t="s">
        <v>256</v>
      </c>
      <c r="GU114" s="5" t="s">
        <v>458</v>
      </c>
      <c r="GV114" s="5" t="str">
        <f>TEXT("6278848197874923114","0")</f>
        <v>6278848197874920000</v>
      </c>
    </row>
    <row r="115" spans="1:204" ht="15.75" customHeight="1" x14ac:dyDescent="0.15">
      <c r="A115" s="1">
        <f>ROW(A115)</f>
        <v>115</v>
      </c>
      <c r="B115" s="4">
        <v>45847.486516203702</v>
      </c>
      <c r="C115" s="5" t="s">
        <v>204</v>
      </c>
      <c r="D115" s="5" t="s">
        <v>206</v>
      </c>
      <c r="F115" s="5" t="s">
        <v>206</v>
      </c>
      <c r="G115" s="5" t="s">
        <v>206</v>
      </c>
      <c r="H115" s="5" t="s">
        <v>206</v>
      </c>
      <c r="J115" s="5" t="s">
        <v>209</v>
      </c>
      <c r="O115" s="5" t="s">
        <v>209</v>
      </c>
      <c r="S115" s="5" t="s">
        <v>208</v>
      </c>
      <c r="X115" s="5" t="s">
        <v>208</v>
      </c>
      <c r="AC115" s="5" t="s">
        <v>208</v>
      </c>
      <c r="AH115" s="5" t="s">
        <v>268</v>
      </c>
      <c r="AI115" s="5">
        <v>2021</v>
      </c>
      <c r="AJ115" s="5" t="s">
        <v>330</v>
      </c>
      <c r="AK115" s="5" t="str">
        <f>IF(OR(AJ115="Empleada del sector privado",AJ115="Empleada del sector público"),"Asalariada",
IF(AJ115="Trabajadora por cuenta propia","Trabajadora por cuenta propia",""))</f>
        <v>Asalariada</v>
      </c>
      <c r="AQ115" s="5" t="s">
        <v>204</v>
      </c>
      <c r="AR115" s="5" t="s">
        <v>261</v>
      </c>
      <c r="AS115" s="5" t="s">
        <v>294</v>
      </c>
      <c r="AT115" s="5" t="s">
        <v>294</v>
      </c>
      <c r="AU115" s="5" t="s">
        <v>261</v>
      </c>
      <c r="AV115" s="5" t="s">
        <v>285</v>
      </c>
      <c r="AW115" s="5" t="s">
        <v>204</v>
      </c>
      <c r="AX115" s="5" t="s">
        <v>204</v>
      </c>
      <c r="AY115" s="5" t="s">
        <v>270</v>
      </c>
      <c r="AZ115" s="5" t="s">
        <v>204</v>
      </c>
      <c r="BA115" s="5" t="s">
        <v>263</v>
      </c>
      <c r="BF115" s="5" t="s">
        <v>204</v>
      </c>
      <c r="BG115" s="5" t="s">
        <v>271</v>
      </c>
      <c r="BH115" s="5" t="s">
        <v>242</v>
      </c>
      <c r="BI115" s="5" t="s">
        <v>278</v>
      </c>
      <c r="BJ115" s="5" t="s">
        <v>242</v>
      </c>
      <c r="BK115" s="5" t="s">
        <v>243</v>
      </c>
      <c r="BL115" s="5" t="s">
        <v>246</v>
      </c>
      <c r="BM115" s="5" t="s">
        <v>243</v>
      </c>
      <c r="BN115" s="5" t="s">
        <v>243</v>
      </c>
      <c r="BO115" s="5" t="s">
        <v>246</v>
      </c>
      <c r="BP115" s="5" t="s">
        <v>246</v>
      </c>
      <c r="BQ115" s="5" t="s">
        <v>216</v>
      </c>
      <c r="BR115" s="5" t="s">
        <v>216</v>
      </c>
      <c r="BS115" s="5" t="s">
        <v>254</v>
      </c>
      <c r="BT115" s="5" t="s">
        <v>248</v>
      </c>
      <c r="BU115" s="5" t="s">
        <v>247</v>
      </c>
      <c r="BV115" s="5" t="s">
        <v>248</v>
      </c>
      <c r="BW115" s="5" t="s">
        <v>248</v>
      </c>
      <c r="BX115" s="5" t="s">
        <v>217</v>
      </c>
      <c r="BY115" s="5" t="s">
        <v>247</v>
      </c>
      <c r="BZ115" s="5" t="s">
        <v>246</v>
      </c>
      <c r="CA115" s="5" t="s">
        <v>246</v>
      </c>
      <c r="CB115" s="5" t="s">
        <v>246</v>
      </c>
      <c r="CC115" s="5" t="s">
        <v>243</v>
      </c>
      <c r="CD115" s="5" t="s">
        <v>206</v>
      </c>
      <c r="CH115" s="5" t="s">
        <v>206</v>
      </c>
      <c r="CI115" s="5" t="s">
        <v>291</v>
      </c>
      <c r="CJ115" s="5">
        <v>2</v>
      </c>
      <c r="CK115" s="5" t="s">
        <v>223</v>
      </c>
      <c r="CU115" s="5" t="s">
        <v>206</v>
      </c>
      <c r="DA115" s="5" t="s">
        <v>272</v>
      </c>
      <c r="DB115" s="5">
        <f>IF(DA115="Mejor que lo habitual",1,
IF(DA115="Igual que lo habitual",2,
IF(DA115="Menos que lo habitual",3,
IF(DA115="Mucho menos que lo habitual",4,""))))</f>
        <v>1</v>
      </c>
      <c r="DC115" s="5" t="s">
        <v>251</v>
      </c>
      <c r="DD115" s="5">
        <f>IF(DC115="No, en absoluto",1,
IF(DC115="No más que lo habitual",2,
IF(DC115="Bastante más que lo habitual",3,
IF(DC115="Mucho más que lo habitual",4,""))))</f>
        <v>1</v>
      </c>
      <c r="DE115" s="5" t="s">
        <v>250</v>
      </c>
      <c r="DF115" s="5">
        <f>IF(DE115="No, en absoluto",1,
IF(DE115="No más que lo habitual",2,
IF(DE115="Bastante más que lo habitual",3,
IF(DE115="Mucho más que lo habitual",4,""))))</f>
        <v>3</v>
      </c>
      <c r="DG115" s="5" t="s">
        <v>251</v>
      </c>
      <c r="DH115" s="5">
        <f>IF(DG115="No, en absoluto",1,
IF(DG115="No más que lo habitual",2,
IF(DG115="Bastante más que lo habitual",3,
IF(DG115="Mucho más que lo habitual",4,""))))</f>
        <v>1</v>
      </c>
      <c r="DI115" s="5" t="s">
        <v>251</v>
      </c>
      <c r="DJ115" s="5">
        <f>IF(DI115="No, en absoluto",1,
IF(DI115="No más que lo habitual",2,
IF(DI115="Bastante más que lo habitual",3,
IF(DI115="Mucho más que lo habitual",4,""))))</f>
        <v>1</v>
      </c>
      <c r="DK115" s="5" t="s">
        <v>230</v>
      </c>
      <c r="DL115" s="5">
        <f>IF(DK115="No, en absoluto",1,
IF(DK115="No más que lo habitual",2,
IF(DK115="Bastante más que lo habitual",3,
IF(DK115="Mucho más que lo habitual",4,""))))</f>
        <v>2</v>
      </c>
      <c r="DM115" s="5" t="s">
        <v>251</v>
      </c>
      <c r="DN115" s="5">
        <f>IF(DM115="No, en absoluto",1,
IF(DM115="No más que lo habitual",2,
IF(DM115="Bastante más que lo habitual",3,
IF(DM115="Mucho más que lo habitual",4,""))))</f>
        <v>1</v>
      </c>
      <c r="DO115" s="5" t="s">
        <v>281</v>
      </c>
      <c r="DP115" s="5">
        <f>IF(DO115="Más que lo habitual",1,
IF(DO115="Igual que lo habitual",2,
IF(DO115="Menos que lo habitual",3,
IF(DO115="Mucho menos que lo habitual",4,""))))</f>
        <v>1</v>
      </c>
      <c r="DQ115" s="5" t="s">
        <v>281</v>
      </c>
      <c r="DR115" s="5">
        <f>IF(DQ115="Más que lo habitual",1,
IF(DQ115="Igual que lo habitual",2,
IF(DQ115="Menos que lo habitual",3,
IF(DQ115="Mucho menos que lo habitual",4,""))))</f>
        <v>1</v>
      </c>
      <c r="DS115" s="5" t="s">
        <v>281</v>
      </c>
      <c r="DT115" s="5">
        <f>IF(DS115="Más que lo habitual",1,
IF(DS115="Igual que lo habitual",2,
IF(DS115="Menos que lo habitual",3,
IF(DS115="Mucho menos que lo habitual",4,""))))</f>
        <v>1</v>
      </c>
      <c r="DU115" s="5" t="s">
        <v>281</v>
      </c>
      <c r="DV115" s="5">
        <f>IF(DU115="Más que lo habitual",1,
IF(DU115="Igual que lo habitual",2,
IF(DU115="Menos que lo habitual",3,
IF(DU115="Mucho menos que lo habitual",4,""))))</f>
        <v>1</v>
      </c>
      <c r="DW115" s="5" t="s">
        <v>281</v>
      </c>
      <c r="DX115" s="5">
        <f>IF(DW115="Más que lo habitual",1,
IF(DW115="Igual que lo habitual",2,
IF(DW115="Menos que lo habitual",3,
IF(DW115="Mucho menos que lo habitual",4,""))))</f>
        <v>1</v>
      </c>
      <c r="DY115" s="5">
        <f>SUM(DB115,DD115,DF115,DH115,DJ115,DL115,DN115,DP115,DR115,DT115,DV115,DX115)</f>
        <v>15</v>
      </c>
      <c r="DZ115" s="5" t="str">
        <f>IF(DY115&lt;=18,"Nivel de riesgo bajo",
IF(DY115&lt;=23,"Nivel de riesgo medio",
"Nivel de riesgo alto"))</f>
        <v>Nivel de riesgo bajo</v>
      </c>
      <c r="EA115" s="5" t="s">
        <v>247</v>
      </c>
      <c r="EB115" s="5">
        <f>IF(EA115="Nunca/ casi nunca",0,
IF(EA115="Rara vez",1,
IF(EA115="A veces",2,
IF(EA115="A menudo",3,
IF(EA115="Siempre",4,"")))))</f>
        <v>2</v>
      </c>
      <c r="EC115" s="5" t="s">
        <v>248</v>
      </c>
      <c r="ED115" s="5">
        <f>IF(EC115="Nunca/ casi nunca",0,
IF(EC115="Rara vez",1,
IF(EC115="A veces",2,
IF(EC115="A menudo",3,
IF(EC115="Siempre",4,"")))))</f>
        <v>1</v>
      </c>
      <c r="EE115" s="5" t="s">
        <v>253</v>
      </c>
      <c r="EF115" s="5">
        <f>IF(EE115="Nunca/ casi nunca",0,
IF(EE115="Rara vez",1,
IF(EE115="A veces",2,
IF(EE115="A menudo",3,
IF(EE115="Siempre",4,"")))))</f>
        <v>0</v>
      </c>
      <c r="EG115" s="5">
        <f>SUM(EB115,ED115,EF115)</f>
        <v>3</v>
      </c>
      <c r="EH115" s="5" t="str">
        <f>IF(EG115&lt;=1,"Nivel de riesgo bajo",
IF(EG115&lt;=4,"Nivel de riesgo medio",
"Nivel de riesgo alto"))</f>
        <v>Nivel de riesgo medio</v>
      </c>
      <c r="EI115" s="5" t="s">
        <v>248</v>
      </c>
      <c r="EJ115" s="5">
        <f>IF(EI115="Nunca/ casi nunca",0,
IF(EI115="Rara vez",1,
IF(EI115="A veces",2,
IF(EI115="A menudo",3,
IF(EI115="Siempre",4,"")))))</f>
        <v>1</v>
      </c>
      <c r="EK115" s="5" t="s">
        <v>232</v>
      </c>
      <c r="EL115" s="5">
        <f>IF(EK115="Nunca/ casi nunca",0,
IF(EK115="Rara vez",1,
IF(EK115="A veces",2,
IF(EK115="A menudo",3,
IF(EK115="Siempre",4,"")))))</f>
        <v>3</v>
      </c>
      <c r="EM115" s="5" t="s">
        <v>254</v>
      </c>
      <c r="EN115" s="5">
        <f>IF(EM115="Nunca/ casi nunca",0,
IF(EM115="Rara vez",1,
IF(EM115="A veces",2,
IF(EM115="A menudo",3,
IF(EM115="Siempre",4,"")))))</f>
        <v>4</v>
      </c>
      <c r="EO115" s="5">
        <f>SUM(EJ115,EL115,EN115)</f>
        <v>8</v>
      </c>
      <c r="EP115" s="5" t="str">
        <f>IF(EO115&lt;=1,"Nivel de riesgo bajo",
IF(EO115&lt;=5,"Nivel de riesgo medio",
"Nivel de riesgo alto"))</f>
        <v>Nivel de riesgo alto</v>
      </c>
      <c r="EQ115" s="5" t="s">
        <v>253</v>
      </c>
      <c r="ER115" s="5">
        <f>IF(EQ115="Nunca/ casi nunca",4,
IF(EQ115="Rara vez",3,
IF(EQ115="A veces",2,
IF(EQ115="A menudo",1,
IF(EQ115="Siempre",0,"")))))</f>
        <v>4</v>
      </c>
      <c r="ES115" s="5" t="s">
        <v>254</v>
      </c>
      <c r="ET115" s="5">
        <f>IF(ES115="Nunca/ casi nunca",4,
IF(ES115="Rara vez",3,
IF(ES115="A veces",2,
IF(ES115="A menudo",1,
IF(ES115="Siempre",0,"")))))</f>
        <v>0</v>
      </c>
      <c r="EU115" s="5" t="s">
        <v>254</v>
      </c>
      <c r="EV115" s="5">
        <f>IF(EU115="Nunca/ casi nunca",4,
IF(EU115="Rara vez",3,
IF(EU115="A veces",2,
IF(EU115="A menudo",1,
IF(EU115="Siempre",0,"")))))</f>
        <v>0</v>
      </c>
      <c r="EW115" s="5" t="s">
        <v>247</v>
      </c>
      <c r="EX115" s="5">
        <f>IF(EW115="Nunca/ casi nunca",4,
IF(EW115="Rara vez",3,
IF(EW115="A veces",2,
IF(EW115="A menudo",1,
IF(EW115="Siempre",0,"")))))</f>
        <v>2</v>
      </c>
      <c r="EY115" s="5">
        <f>SUM(ER115,ET115,EV115,EX115)</f>
        <v>6</v>
      </c>
      <c r="EZ115" s="5" t="str">
        <f>IF(EY115&lt;=0,"Nivel de riesgo bajo",
IF(EY115&lt;=4,"Nivel de riesgo medio",
"Nivel de riesgo alto"))</f>
        <v>Nivel de riesgo alto</v>
      </c>
      <c r="FA115" s="5" t="s">
        <v>247</v>
      </c>
      <c r="FB115" s="5">
        <f>IF(FA115="Nunca/ casi nunca",0,
IF(FA115="Rara vez",1,
IF(FA115="A veces",2,
IF(FA115="A menudo",3,
IF(FA115="Siempre",4,"")))))</f>
        <v>2</v>
      </c>
      <c r="FC115" s="5" t="s">
        <v>247</v>
      </c>
      <c r="FD115" s="5">
        <f>IF(FC115="Nunca/ casi nunca",0,
IF(FC115="Rara vez",1,
IF(FC115="A veces",2,
IF(FC115="A menudo",3,
IF(FC115="Siempre",4,"")))))</f>
        <v>2</v>
      </c>
      <c r="FE115" s="5" t="s">
        <v>247</v>
      </c>
      <c r="FF115" s="5">
        <f>IF(FE115="Nunca/ casi nunca",0,
IF(FE115="Rara vez",1,
IF(FE115="A veces",2,
IF(FE115="A menudo",3,
IF(FE115="Siempre",4,"")))))</f>
        <v>2</v>
      </c>
      <c r="FG115" s="5">
        <f>SUM(FB115,FD115,FF115)</f>
        <v>6</v>
      </c>
      <c r="FH115" s="5" t="str">
        <f>IF(FG115&lt;=2,"Nivel de riesgo bajo",
IF(FG115&lt;=5,"Nivel de riesgo medio",
"Nivel de riesgo alto"))</f>
        <v>Nivel de riesgo alto</v>
      </c>
      <c r="FI115" s="5" t="s">
        <v>247</v>
      </c>
      <c r="FJ115" s="5">
        <f>IF(FI115="Nunca/ casi nunca",0,
IF(FI115="Rara vez",1,
IF(FI115="A veces",2,
IF(FI115="A menudo",3,
IF(FI115="Siempre",4,"")))))</f>
        <v>2</v>
      </c>
      <c r="FK115" s="5" t="s">
        <v>247</v>
      </c>
      <c r="FL115" s="5">
        <f>IF(FK115="Nunca/ casi nunca",0,
IF(FK115="Rara vez",1,
IF(FK115="A veces",2,
IF(FK115="A menudo",3,
IF(FK115="Siempre",4,"")))))</f>
        <v>2</v>
      </c>
      <c r="FM115" s="5" t="s">
        <v>247</v>
      </c>
      <c r="FN115" s="5">
        <f>IF(FM115="Nunca/ casi nunca",0,
IF(FM115="Rara vez",1,
IF(FM115="A veces",2,
IF(FM115="A menudo",3,
IF(FM115="Siempre",4,"")))))</f>
        <v>2</v>
      </c>
      <c r="FO115" s="5">
        <f>SUM(FJ115,FL115,FN115)</f>
        <v>6</v>
      </c>
      <c r="FP115" s="5" t="str">
        <f>IF(FO115&lt;=2,"Nivel de riesgo bajo",
IF(FO115&lt;=5,"Nivel de riesgo medio",
"Nivel de riesgo alto"))</f>
        <v>Nivel de riesgo alto</v>
      </c>
      <c r="FQ115" s="5" t="s">
        <v>265</v>
      </c>
      <c r="FR115" s="5">
        <f>IF(FQ115="No",0,
IF(FQ115="Sí, unas pocas veces",1,
IF(FQ115="Sí, mensualmente",2,
IF(FQ115="Sí, semanalmente",3,
IF(FQ115="Sí, diariamente",4,"")))))</f>
        <v>1</v>
      </c>
      <c r="FS115" s="5" t="s">
        <v>265</v>
      </c>
      <c r="FT115" s="5">
        <f>IF(FS115="No",0,
IF(FS115="Sí, unas pocas veces",1,
IF(FS115="Sí, mensualmente",2,
IF(FS115="Sí, semanalmente",3,
IF(FS115="Sí, diariamente",4,"")))))</f>
        <v>1</v>
      </c>
      <c r="FU115" s="5" t="s">
        <v>265</v>
      </c>
      <c r="FV115" s="5">
        <f>IF(FU115="No",0,
IF(FU115="Sí, unas pocas veces",1,
IF(FU115="Sí, mensualmente",2,
IF(FU115="Sí, semanalmente",3,
IF(FU115="Sí, diariamente",4,"")))))</f>
        <v>1</v>
      </c>
      <c r="FW115" s="5" t="s">
        <v>206</v>
      </c>
      <c r="FX115" s="5">
        <f>IF(FW115="No",0,
IF(FW115="Sí, unas pocas veces",1,
IF(FW115="Sí, mensualmente",2,
IF(FW115="Sí, semanalmente",3,
IF(FW115="Sí, diariamente",4,"")))))</f>
        <v>0</v>
      </c>
      <c r="FY115" s="5" t="s">
        <v>206</v>
      </c>
      <c r="FZ115" s="5">
        <f>IF(FY115="No",0,
IF(FY115="Sí, unas pocas veces",1,
IF(FY115="Sí, mensualmente",2,
IF(FY115="Sí, semanalmente",3,
IF(FY115="Sí, diariamente",4,"")))))</f>
        <v>0</v>
      </c>
      <c r="GA115" s="5" t="s">
        <v>265</v>
      </c>
      <c r="GB115" s="5">
        <f>IF(GA115="No",0,
IF(GA115="Sí, unas pocas veces",1,
IF(GA115="Sí, mensualmente",2,
IF(GA115="Sí, semanalmente",3,
IF(GA115="Sí, diariamente",4,"")))))</f>
        <v>1</v>
      </c>
      <c r="GC115" s="5" t="s">
        <v>265</v>
      </c>
      <c r="GD115" s="5">
        <f>IF(GC115="No",0,
IF(GC115="Sí, unas pocas veces",1,
IF(GC115="Sí, mensualmente",2,
IF(GC115="Sí, semanalmente",3,
IF(GC115="Sí, diariamente",4,"")))))</f>
        <v>1</v>
      </c>
      <c r="GE115" s="5">
        <f>SUM(FR115,FT115,FV115,FX115,FZ115,GB115,GD115)</f>
        <v>5</v>
      </c>
      <c r="GF115" s="5" t="str">
        <f>IF(GE115&lt;=0,"Nivel de riesgo bajo",
IF(GE115&lt;=14,"Nivel de riesgo medio",
"Nivel de riesgo alto"))</f>
        <v>Nivel de riesgo medio</v>
      </c>
      <c r="GG115" s="5" t="s">
        <v>255</v>
      </c>
      <c r="GH115" s="5" t="s">
        <v>255</v>
      </c>
      <c r="GI115" s="5" t="s">
        <v>255</v>
      </c>
      <c r="GJ115" s="5" t="s">
        <v>266</v>
      </c>
      <c r="GK115" s="5" t="s">
        <v>233</v>
      </c>
      <c r="GL115" s="5" t="s">
        <v>266</v>
      </c>
      <c r="GM115" s="5" t="s">
        <v>266</v>
      </c>
      <c r="GN115" s="5" t="s">
        <v>256</v>
      </c>
      <c r="GO115" s="5" t="s">
        <v>256</v>
      </c>
      <c r="GP115" s="5" t="s">
        <v>243</v>
      </c>
      <c r="GQ115" s="5" t="s">
        <v>243</v>
      </c>
      <c r="GR115" s="5" t="s">
        <v>243</v>
      </c>
      <c r="GS115" s="5" t="s">
        <v>243</v>
      </c>
      <c r="GT115" s="5" t="s">
        <v>243</v>
      </c>
      <c r="GU115" s="5" t="s">
        <v>459</v>
      </c>
      <c r="GV115" s="5" t="str">
        <f>TEXT("6278848352617489121","0")</f>
        <v>6278848352617480000</v>
      </c>
    </row>
    <row r="116" spans="1:204" ht="15.75" hidden="1" customHeight="1" x14ac:dyDescent="0.15">
      <c r="B116" s="4">
        <v>45847.486620370371</v>
      </c>
      <c r="C116" s="5" t="s">
        <v>204</v>
      </c>
      <c r="D116" s="5" t="s">
        <v>206</v>
      </c>
      <c r="F116" s="5" t="s">
        <v>206</v>
      </c>
      <c r="G116" s="5" t="s">
        <v>206</v>
      </c>
      <c r="H116" s="5" t="s">
        <v>206</v>
      </c>
      <c r="K116" s="5" t="s">
        <v>237</v>
      </c>
      <c r="O116" s="5" t="s">
        <v>209</v>
      </c>
      <c r="T116" s="5" t="s">
        <v>209</v>
      </c>
      <c r="Y116" s="5" t="s">
        <v>209</v>
      </c>
      <c r="AC116" s="5" t="s">
        <v>208</v>
      </c>
      <c r="AH116" s="5" t="s">
        <v>268</v>
      </c>
      <c r="AI116" s="5">
        <v>2017</v>
      </c>
      <c r="AJ116" s="5" t="s">
        <v>260</v>
      </c>
      <c r="AK116" s="5"/>
      <c r="AR116" s="5" t="s">
        <v>301</v>
      </c>
      <c r="AS116" s="5" t="s">
        <v>301</v>
      </c>
      <c r="AT116" s="5" t="s">
        <v>301</v>
      </c>
      <c r="AU116" s="5" t="s">
        <v>301</v>
      </c>
      <c r="AV116" s="5" t="s">
        <v>302</v>
      </c>
      <c r="AW116" s="5" t="s">
        <v>206</v>
      </c>
      <c r="BF116" s="5" t="s">
        <v>204</v>
      </c>
      <c r="BG116" s="5" t="s">
        <v>271</v>
      </c>
      <c r="BH116" s="5" t="s">
        <v>271</v>
      </c>
      <c r="BI116" s="5" t="s">
        <v>278</v>
      </c>
      <c r="BJ116" s="5" t="s">
        <v>278</v>
      </c>
      <c r="BK116" s="5" t="s">
        <v>243</v>
      </c>
      <c r="BL116" s="5" t="s">
        <v>243</v>
      </c>
      <c r="BM116" s="5" t="s">
        <v>243</v>
      </c>
      <c r="BN116" s="5" t="s">
        <v>243</v>
      </c>
      <c r="BO116" s="5" t="s">
        <v>244</v>
      </c>
      <c r="BP116" s="5" t="s">
        <v>243</v>
      </c>
      <c r="BQ116" s="5" t="s">
        <v>244</v>
      </c>
      <c r="BR116" s="5" t="s">
        <v>244</v>
      </c>
      <c r="BS116" s="5" t="s">
        <v>247</v>
      </c>
      <c r="BT116" s="5" t="s">
        <v>248</v>
      </c>
      <c r="BU116" s="5" t="s">
        <v>248</v>
      </c>
      <c r="BV116" s="5" t="s">
        <v>248</v>
      </c>
      <c r="BW116" s="5" t="s">
        <v>247</v>
      </c>
      <c r="BX116" s="5" t="s">
        <v>247</v>
      </c>
      <c r="BY116" s="5" t="s">
        <v>247</v>
      </c>
      <c r="CD116" s="5" t="s">
        <v>204</v>
      </c>
      <c r="CE116" s="5" t="s">
        <v>218</v>
      </c>
      <c r="CF116" s="5" t="s">
        <v>219</v>
      </c>
      <c r="CG116" s="5" t="s">
        <v>220</v>
      </c>
      <c r="CH116" s="5" t="s">
        <v>310</v>
      </c>
      <c r="CI116" s="5" t="s">
        <v>206</v>
      </c>
      <c r="CJ116" s="5">
        <v>2</v>
      </c>
      <c r="CK116" s="5" t="s">
        <v>223</v>
      </c>
      <c r="CU116" s="5" t="s">
        <v>206</v>
      </c>
      <c r="DA116" s="5" t="s">
        <v>252</v>
      </c>
      <c r="DB116" s="5"/>
      <c r="DC116" s="5" t="s">
        <v>230</v>
      </c>
      <c r="DD116" s="5"/>
      <c r="DE116" s="5" t="s">
        <v>230</v>
      </c>
      <c r="DF116" s="5"/>
      <c r="DG116" s="5" t="s">
        <v>230</v>
      </c>
      <c r="DH116" s="5"/>
      <c r="DI116" s="5" t="s">
        <v>230</v>
      </c>
      <c r="DJ116" s="5"/>
      <c r="DK116" s="5" t="s">
        <v>230</v>
      </c>
      <c r="DL116" s="5"/>
      <c r="DM116" s="5" t="s">
        <v>251</v>
      </c>
      <c r="DN116" s="5"/>
      <c r="DO116" s="5" t="s">
        <v>231</v>
      </c>
      <c r="DP116" s="5"/>
      <c r="DQ116" s="5" t="s">
        <v>281</v>
      </c>
      <c r="DR116" s="5"/>
      <c r="DS116" s="5" t="s">
        <v>252</v>
      </c>
      <c r="DT116" s="5"/>
      <c r="DU116" s="5" t="s">
        <v>231</v>
      </c>
      <c r="DV116" s="5"/>
      <c r="DW116" s="5" t="s">
        <v>252</v>
      </c>
      <c r="DX116" s="5"/>
      <c r="DY116" s="5"/>
      <c r="DZ116" s="5"/>
      <c r="EA116" s="5" t="s">
        <v>247</v>
      </c>
      <c r="EB116" s="5"/>
      <c r="EC116" s="5" t="s">
        <v>248</v>
      </c>
      <c r="ED116" s="5"/>
      <c r="EE116" s="5" t="s">
        <v>253</v>
      </c>
      <c r="EF116" s="5"/>
      <c r="EG116" s="5"/>
      <c r="EH116" s="5"/>
      <c r="EI116" s="5" t="s">
        <v>253</v>
      </c>
      <c r="EJ116" s="5"/>
      <c r="EK116" s="5" t="s">
        <v>253</v>
      </c>
      <c r="EL116" s="5"/>
      <c r="EM116" s="5" t="s">
        <v>253</v>
      </c>
      <c r="EN116" s="5"/>
      <c r="EO116" s="5"/>
      <c r="EP116" s="5"/>
      <c r="EQ116" s="5" t="s">
        <v>254</v>
      </c>
      <c r="ER116" s="5"/>
      <c r="ES116" s="5" t="s">
        <v>254</v>
      </c>
      <c r="ET116" s="5"/>
      <c r="EU116" s="5" t="s">
        <v>254</v>
      </c>
      <c r="EV116" s="5"/>
      <c r="EW116" s="5" t="s">
        <v>232</v>
      </c>
      <c r="EX116" s="5"/>
      <c r="EY116" s="5"/>
      <c r="EZ116" s="5"/>
      <c r="FA116" s="5" t="s">
        <v>253</v>
      </c>
      <c r="FB116" s="5"/>
      <c r="FC116" s="5" t="s">
        <v>232</v>
      </c>
      <c r="FD116" s="5"/>
      <c r="FE116" s="5" t="s">
        <v>232</v>
      </c>
      <c r="FF116" s="5"/>
      <c r="FG116" s="5"/>
      <c r="FH116" s="5"/>
      <c r="FI116" s="5" t="s">
        <v>253</v>
      </c>
      <c r="FJ116" s="5"/>
      <c r="FK116" s="5" t="s">
        <v>253</v>
      </c>
      <c r="FL116" s="5"/>
      <c r="FM116" s="5" t="s">
        <v>253</v>
      </c>
      <c r="FN116" s="5"/>
      <c r="FO116" s="5"/>
      <c r="FP116" s="5"/>
      <c r="FQ116" s="5" t="s">
        <v>206</v>
      </c>
      <c r="FR116" s="5"/>
      <c r="FS116" s="5" t="s">
        <v>206</v>
      </c>
      <c r="FT116" s="5"/>
      <c r="FU116" s="5" t="s">
        <v>206</v>
      </c>
      <c r="FV116" s="5"/>
      <c r="FW116" s="5" t="s">
        <v>206</v>
      </c>
      <c r="FX116" s="5"/>
      <c r="FY116" s="5" t="s">
        <v>206</v>
      </c>
      <c r="FZ116" s="5"/>
      <c r="GA116" s="5" t="s">
        <v>206</v>
      </c>
      <c r="GB116" s="5"/>
      <c r="GC116" s="5" t="s">
        <v>206</v>
      </c>
      <c r="GD116" s="5"/>
      <c r="GE116" s="5"/>
      <c r="GF116" s="5"/>
      <c r="GG116" s="5" t="s">
        <v>273</v>
      </c>
      <c r="GH116" s="5" t="s">
        <v>273</v>
      </c>
      <c r="GI116" s="5" t="s">
        <v>273</v>
      </c>
      <c r="GJ116" s="5" t="s">
        <v>273</v>
      </c>
      <c r="GK116" s="5" t="s">
        <v>233</v>
      </c>
      <c r="GL116" s="5" t="s">
        <v>266</v>
      </c>
      <c r="GM116" s="5" t="s">
        <v>266</v>
      </c>
      <c r="GN116" s="5" t="s">
        <v>243</v>
      </c>
      <c r="GO116" s="5" t="s">
        <v>243</v>
      </c>
      <c r="GP116" s="5" t="s">
        <v>243</v>
      </c>
      <c r="GQ116" s="5" t="s">
        <v>243</v>
      </c>
      <c r="GR116" s="5" t="s">
        <v>243</v>
      </c>
      <c r="GS116" s="5" t="s">
        <v>243</v>
      </c>
      <c r="GT116" s="5" t="s">
        <v>243</v>
      </c>
      <c r="GU116" s="5" t="s">
        <v>460</v>
      </c>
      <c r="GV116" s="5" t="str">
        <f>TEXT("6278848447319027488","0")</f>
        <v>6278848447319020000</v>
      </c>
    </row>
    <row r="117" spans="1:204" ht="15.75" hidden="1" customHeight="1" x14ac:dyDescent="0.15">
      <c r="B117" s="4">
        <v>45847.487349537034</v>
      </c>
      <c r="C117" s="5" t="s">
        <v>204</v>
      </c>
      <c r="D117" s="5" t="s">
        <v>204</v>
      </c>
      <c r="E117" s="5" t="s">
        <v>283</v>
      </c>
      <c r="F117" s="5" t="s">
        <v>204</v>
      </c>
      <c r="G117" s="5" t="s">
        <v>206</v>
      </c>
      <c r="H117" s="5" t="s">
        <v>206</v>
      </c>
      <c r="M117" s="5" t="s">
        <v>207</v>
      </c>
      <c r="O117" s="5" t="s">
        <v>209</v>
      </c>
      <c r="S117" s="5" t="s">
        <v>208</v>
      </c>
      <c r="AB117" s="5" t="s">
        <v>207</v>
      </c>
      <c r="AD117" s="5" t="s">
        <v>209</v>
      </c>
      <c r="AH117" s="5" t="s">
        <v>268</v>
      </c>
      <c r="AI117" s="5">
        <v>2024</v>
      </c>
      <c r="AJ117" s="5" t="s">
        <v>293</v>
      </c>
      <c r="AK117" s="5"/>
      <c r="AR117" s="5" t="s">
        <v>241</v>
      </c>
      <c r="AS117" s="5" t="s">
        <v>261</v>
      </c>
      <c r="AT117" s="5" t="s">
        <v>261</v>
      </c>
      <c r="AU117" s="5" t="s">
        <v>261</v>
      </c>
      <c r="AV117" s="5" t="s">
        <v>213</v>
      </c>
      <c r="AW117" s="5" t="s">
        <v>206</v>
      </c>
      <c r="BF117" s="5" t="s">
        <v>204</v>
      </c>
      <c r="BG117" s="5" t="s">
        <v>278</v>
      </c>
      <c r="BH117" s="5" t="s">
        <v>278</v>
      </c>
      <c r="BI117" s="5" t="s">
        <v>278</v>
      </c>
      <c r="BJ117" s="5" t="s">
        <v>278</v>
      </c>
      <c r="BK117" s="5" t="s">
        <v>246</v>
      </c>
      <c r="BL117" s="5" t="s">
        <v>246</v>
      </c>
      <c r="BM117" s="5" t="s">
        <v>246</v>
      </c>
      <c r="BN117" s="5" t="s">
        <v>246</v>
      </c>
      <c r="BO117" s="5" t="s">
        <v>246</v>
      </c>
      <c r="BP117" s="5" t="s">
        <v>246</v>
      </c>
      <c r="BQ117" s="5" t="s">
        <v>246</v>
      </c>
      <c r="BR117" s="5" t="s">
        <v>246</v>
      </c>
      <c r="BS117" s="5" t="s">
        <v>232</v>
      </c>
      <c r="BT117" s="5" t="s">
        <v>247</v>
      </c>
      <c r="BU117" s="5" t="s">
        <v>232</v>
      </c>
      <c r="BV117" s="5" t="s">
        <v>248</v>
      </c>
      <c r="BW117" s="5" t="s">
        <v>232</v>
      </c>
      <c r="BX117" s="5" t="s">
        <v>232</v>
      </c>
      <c r="BY117" s="5" t="s">
        <v>254</v>
      </c>
      <c r="CD117" s="5" t="s">
        <v>206</v>
      </c>
      <c r="CH117" s="5" t="s">
        <v>206</v>
      </c>
      <c r="CI117" s="5" t="s">
        <v>206</v>
      </c>
      <c r="CJ117" s="5">
        <v>0</v>
      </c>
      <c r="CK117" s="5" t="s">
        <v>223</v>
      </c>
      <c r="CU117" s="5" t="s">
        <v>206</v>
      </c>
      <c r="DA117" s="5" t="s">
        <v>252</v>
      </c>
      <c r="DB117" s="5"/>
      <c r="DC117" s="5" t="s">
        <v>250</v>
      </c>
      <c r="DD117" s="5"/>
      <c r="DE117" s="5" t="s">
        <v>230</v>
      </c>
      <c r="DF117" s="5"/>
      <c r="DG117" s="5" t="s">
        <v>250</v>
      </c>
      <c r="DH117" s="5"/>
      <c r="DI117" s="5" t="s">
        <v>230</v>
      </c>
      <c r="DJ117" s="5"/>
      <c r="DK117" s="5" t="s">
        <v>250</v>
      </c>
      <c r="DL117" s="5"/>
      <c r="DM117" s="5" t="s">
        <v>250</v>
      </c>
      <c r="DN117" s="5"/>
      <c r="DO117" s="5" t="s">
        <v>231</v>
      </c>
      <c r="DP117" s="5"/>
      <c r="DQ117" s="5" t="s">
        <v>252</v>
      </c>
      <c r="DR117" s="5"/>
      <c r="DS117" s="5" t="s">
        <v>231</v>
      </c>
      <c r="DT117" s="5"/>
      <c r="DU117" s="5" t="s">
        <v>252</v>
      </c>
      <c r="DV117" s="5"/>
      <c r="DW117" s="5" t="s">
        <v>252</v>
      </c>
      <c r="DX117" s="5"/>
      <c r="DY117" s="5"/>
      <c r="DZ117" s="5"/>
      <c r="EA117" s="5" t="s">
        <v>247</v>
      </c>
      <c r="EB117" s="5"/>
      <c r="EC117" s="5" t="s">
        <v>247</v>
      </c>
      <c r="ED117" s="5"/>
      <c r="EE117" s="5" t="s">
        <v>247</v>
      </c>
      <c r="EF117" s="5"/>
      <c r="EG117" s="5"/>
      <c r="EH117" s="5"/>
      <c r="EI117" s="5" t="s">
        <v>247</v>
      </c>
      <c r="EJ117" s="5"/>
      <c r="EK117" s="5" t="s">
        <v>247</v>
      </c>
      <c r="EL117" s="5"/>
      <c r="EM117" s="5" t="s">
        <v>247</v>
      </c>
      <c r="EN117" s="5"/>
      <c r="EO117" s="5"/>
      <c r="EP117" s="5"/>
      <c r="EQ117" s="5" t="s">
        <v>247</v>
      </c>
      <c r="ER117" s="5"/>
      <c r="ES117" s="5" t="s">
        <v>247</v>
      </c>
      <c r="ET117" s="5"/>
      <c r="EU117" s="5" t="s">
        <v>248</v>
      </c>
      <c r="EV117" s="5"/>
      <c r="EW117" s="5" t="s">
        <v>247</v>
      </c>
      <c r="EX117" s="5"/>
      <c r="EY117" s="5"/>
      <c r="EZ117" s="5"/>
      <c r="FA117" s="5" t="s">
        <v>248</v>
      </c>
      <c r="FB117" s="5"/>
      <c r="FC117" s="5" t="s">
        <v>247</v>
      </c>
      <c r="FD117" s="5"/>
      <c r="FE117" s="5" t="s">
        <v>248</v>
      </c>
      <c r="FF117" s="5"/>
      <c r="FG117" s="5"/>
      <c r="FH117" s="5"/>
      <c r="FI117" s="5" t="s">
        <v>247</v>
      </c>
      <c r="FJ117" s="5"/>
      <c r="FK117" s="5" t="s">
        <v>247</v>
      </c>
      <c r="FL117" s="5"/>
      <c r="FM117" s="5" t="s">
        <v>247</v>
      </c>
      <c r="FN117" s="5"/>
      <c r="FO117" s="5"/>
      <c r="FP117" s="5"/>
      <c r="FQ117" s="5" t="s">
        <v>206</v>
      </c>
      <c r="FR117" s="5"/>
      <c r="FS117" s="5" t="s">
        <v>206</v>
      </c>
      <c r="FT117" s="5"/>
      <c r="FU117" s="5" t="s">
        <v>206</v>
      </c>
      <c r="FV117" s="5"/>
      <c r="FW117" s="5" t="s">
        <v>206</v>
      </c>
      <c r="FX117" s="5"/>
      <c r="FY117" s="5" t="s">
        <v>206</v>
      </c>
      <c r="FZ117" s="5"/>
      <c r="GA117" s="5" t="s">
        <v>206</v>
      </c>
      <c r="GB117" s="5"/>
      <c r="GC117" s="5" t="s">
        <v>206</v>
      </c>
      <c r="GD117" s="5"/>
      <c r="GE117" s="5"/>
      <c r="GF117" s="5"/>
      <c r="GG117" s="5" t="s">
        <v>255</v>
      </c>
      <c r="GH117" s="5" t="s">
        <v>255</v>
      </c>
      <c r="GI117" s="5" t="s">
        <v>255</v>
      </c>
      <c r="GJ117" s="5" t="s">
        <v>255</v>
      </c>
      <c r="GK117" s="5" t="s">
        <v>255</v>
      </c>
      <c r="GL117" s="5" t="s">
        <v>255</v>
      </c>
      <c r="GM117" s="5" t="s">
        <v>255</v>
      </c>
      <c r="GN117" s="5" t="s">
        <v>257</v>
      </c>
      <c r="GO117" s="5" t="s">
        <v>257</v>
      </c>
      <c r="GP117" s="5" t="s">
        <v>257</v>
      </c>
      <c r="GQ117" s="5" t="s">
        <v>257</v>
      </c>
      <c r="GR117" s="5" t="s">
        <v>257</v>
      </c>
      <c r="GS117" s="5" t="s">
        <v>257</v>
      </c>
      <c r="GT117" s="5" t="s">
        <v>257</v>
      </c>
      <c r="GU117" s="5" t="s">
        <v>461</v>
      </c>
      <c r="GV117" s="5" t="str">
        <f>TEXT("6278849074933508115","0")</f>
        <v>6278849074933500000</v>
      </c>
    </row>
    <row r="118" spans="1:204" ht="15.75" customHeight="1" x14ac:dyDescent="0.15">
      <c r="A118" s="1">
        <f t="shared" ref="A118:A126" si="255">ROW(A118)</f>
        <v>118</v>
      </c>
      <c r="B118" s="4">
        <v>45847.48877314815</v>
      </c>
      <c r="C118" s="5" t="s">
        <v>204</v>
      </c>
      <c r="D118" s="5" t="s">
        <v>206</v>
      </c>
      <c r="F118" s="5" t="s">
        <v>206</v>
      </c>
      <c r="G118" s="5" t="s">
        <v>206</v>
      </c>
      <c r="H118" s="5" t="s">
        <v>206</v>
      </c>
      <c r="K118" s="5" t="s">
        <v>237</v>
      </c>
      <c r="O118" s="5" t="s">
        <v>209</v>
      </c>
      <c r="U118" s="5" t="s">
        <v>237</v>
      </c>
      <c r="Y118" s="5" t="s">
        <v>209</v>
      </c>
      <c r="AC118" s="5" t="s">
        <v>208</v>
      </c>
      <c r="AH118" s="5" t="s">
        <v>268</v>
      </c>
      <c r="AI118" s="5">
        <v>2025</v>
      </c>
      <c r="AJ118" s="5" t="s">
        <v>330</v>
      </c>
      <c r="AK118" s="5" t="str">
        <f t="shared" ref="AK118:AK126" si="256">IF(OR(AJ118="Empleada del sector privado",AJ118="Empleada del sector público"),"Asalariada",
IF(AJ118="Trabajadora por cuenta propia","Trabajadora por cuenta propia",""))</f>
        <v>Asalariada</v>
      </c>
      <c r="AQ118" s="5" t="s">
        <v>204</v>
      </c>
      <c r="AR118" s="5" t="s">
        <v>301</v>
      </c>
      <c r="AS118" s="5" t="s">
        <v>301</v>
      </c>
      <c r="AT118" s="5" t="s">
        <v>301</v>
      </c>
      <c r="AU118" s="5" t="s">
        <v>301</v>
      </c>
      <c r="AV118" s="5" t="s">
        <v>269</v>
      </c>
      <c r="AW118" s="5" t="s">
        <v>204</v>
      </c>
      <c r="AX118" s="5" t="s">
        <v>204</v>
      </c>
      <c r="AY118" s="5" t="s">
        <v>270</v>
      </c>
      <c r="AZ118" s="5" t="s">
        <v>204</v>
      </c>
      <c r="BA118" s="5" t="s">
        <v>263</v>
      </c>
      <c r="BF118" s="5" t="s">
        <v>204</v>
      </c>
      <c r="BG118" s="5" t="s">
        <v>278</v>
      </c>
      <c r="BH118" s="5" t="s">
        <v>215</v>
      </c>
      <c r="BI118" s="5" t="s">
        <v>278</v>
      </c>
      <c r="BJ118" s="5" t="s">
        <v>278</v>
      </c>
      <c r="BK118" s="5" t="s">
        <v>245</v>
      </c>
      <c r="BL118" s="5" t="s">
        <v>245</v>
      </c>
      <c r="BM118" s="5" t="s">
        <v>245</v>
      </c>
      <c r="BN118" s="5" t="s">
        <v>245</v>
      </c>
      <c r="BO118" s="5" t="s">
        <v>245</v>
      </c>
      <c r="BP118" s="5" t="s">
        <v>245</v>
      </c>
      <c r="BQ118" s="5" t="s">
        <v>245</v>
      </c>
      <c r="BR118" s="5" t="s">
        <v>243</v>
      </c>
      <c r="BS118" s="5" t="s">
        <v>254</v>
      </c>
      <c r="BT118" s="5" t="s">
        <v>232</v>
      </c>
      <c r="BU118" s="5" t="s">
        <v>248</v>
      </c>
      <c r="BV118" s="5" t="s">
        <v>217</v>
      </c>
      <c r="BW118" s="5" t="s">
        <v>217</v>
      </c>
      <c r="BX118" s="5" t="s">
        <v>217</v>
      </c>
      <c r="BY118" s="5" t="s">
        <v>217</v>
      </c>
      <c r="BZ118" s="5" t="s">
        <v>245</v>
      </c>
      <c r="CA118" s="5" t="s">
        <v>245</v>
      </c>
      <c r="CB118" s="5" t="s">
        <v>245</v>
      </c>
      <c r="CC118" s="5" t="s">
        <v>245</v>
      </c>
      <c r="CD118" s="5" t="s">
        <v>206</v>
      </c>
      <c r="CH118" s="5" t="s">
        <v>206</v>
      </c>
      <c r="CI118" s="5" t="s">
        <v>383</v>
      </c>
      <c r="CJ118" s="5">
        <v>3</v>
      </c>
      <c r="CK118" s="5" t="s">
        <v>223</v>
      </c>
      <c r="CU118" s="5" t="s">
        <v>206</v>
      </c>
      <c r="DA118" s="5" t="s">
        <v>229</v>
      </c>
      <c r="DB118" s="5">
        <f t="shared" ref="DB118:DB126" si="257">IF(DA118="Mejor que lo habitual",1,
IF(DA118="Igual que lo habitual",2,
IF(DA118="Menos que lo habitual",3,
IF(DA118="Mucho menos que lo habitual",4,""))))</f>
        <v>4</v>
      </c>
      <c r="DC118" s="5" t="s">
        <v>250</v>
      </c>
      <c r="DD118" s="5">
        <f t="shared" ref="DD118:DD126" si="258">IF(DC118="No, en absoluto",1,
IF(DC118="No más que lo habitual",2,
IF(DC118="Bastante más que lo habitual",3,
IF(DC118="Mucho más que lo habitual",4,""))))</f>
        <v>3</v>
      </c>
      <c r="DE118" s="5" t="s">
        <v>280</v>
      </c>
      <c r="DF118" s="5">
        <f t="shared" ref="DF118:DF126" si="259">IF(DE118="No, en absoluto",1,
IF(DE118="No más que lo habitual",2,
IF(DE118="Bastante más que lo habitual",3,
IF(DE118="Mucho más que lo habitual",4,""))))</f>
        <v>4</v>
      </c>
      <c r="DG118" s="5" t="s">
        <v>280</v>
      </c>
      <c r="DH118" s="5">
        <f t="shared" ref="DH118:DH126" si="260">IF(DG118="No, en absoluto",1,
IF(DG118="No más que lo habitual",2,
IF(DG118="Bastante más que lo habitual",3,
IF(DG118="Mucho más que lo habitual",4,""))))</f>
        <v>4</v>
      </c>
      <c r="DI118" s="5" t="s">
        <v>280</v>
      </c>
      <c r="DJ118" s="5">
        <f t="shared" ref="DJ118:DJ126" si="261">IF(DI118="No, en absoluto",1,
IF(DI118="No más que lo habitual",2,
IF(DI118="Bastante más que lo habitual",3,
IF(DI118="Mucho más que lo habitual",4,""))))</f>
        <v>4</v>
      </c>
      <c r="DK118" s="5" t="s">
        <v>280</v>
      </c>
      <c r="DL118" s="5">
        <f t="shared" ref="DL118:DL126" si="262">IF(DK118="No, en absoluto",1,
IF(DK118="No más que lo habitual",2,
IF(DK118="Bastante más que lo habitual",3,
IF(DK118="Mucho más que lo habitual",4,""))))</f>
        <v>4</v>
      </c>
      <c r="DM118" s="5" t="s">
        <v>280</v>
      </c>
      <c r="DN118" s="5">
        <f t="shared" ref="DN118:DN126" si="263">IF(DM118="No, en absoluto",1,
IF(DM118="No más que lo habitual",2,
IF(DM118="Bastante más que lo habitual",3,
IF(DM118="Mucho más que lo habitual",4,""))))</f>
        <v>4</v>
      </c>
      <c r="DO118" s="5" t="s">
        <v>229</v>
      </c>
      <c r="DP118" s="5">
        <f t="shared" ref="DP118:DP126" si="264">IF(DO118="Más que lo habitual",1,
IF(DO118="Igual que lo habitual",2,
IF(DO118="Menos que lo habitual",3,
IF(DO118="Mucho menos que lo habitual",4,""))))</f>
        <v>4</v>
      </c>
      <c r="DQ118" s="5" t="s">
        <v>229</v>
      </c>
      <c r="DR118" s="5">
        <f t="shared" ref="DR118:DR126" si="265">IF(DQ118="Más que lo habitual",1,
IF(DQ118="Igual que lo habitual",2,
IF(DQ118="Menos que lo habitual",3,
IF(DQ118="Mucho menos que lo habitual",4,""))))</f>
        <v>4</v>
      </c>
      <c r="DS118" s="5" t="s">
        <v>229</v>
      </c>
      <c r="DT118" s="5">
        <f t="shared" ref="DT118:DT126" si="266">IF(DS118="Más que lo habitual",1,
IF(DS118="Igual que lo habitual",2,
IF(DS118="Menos que lo habitual",3,
IF(DS118="Mucho menos que lo habitual",4,""))))</f>
        <v>4</v>
      </c>
      <c r="DU118" s="5" t="s">
        <v>229</v>
      </c>
      <c r="DV118" s="5">
        <f t="shared" ref="DV118:DV126" si="267">IF(DU118="Más que lo habitual",1,
IF(DU118="Igual que lo habitual",2,
IF(DU118="Menos que lo habitual",3,
IF(DU118="Mucho menos que lo habitual",4,""))))</f>
        <v>4</v>
      </c>
      <c r="DW118" s="5" t="s">
        <v>229</v>
      </c>
      <c r="DX118" s="5">
        <f t="shared" ref="DX118:DX126" si="268">IF(DW118="Más que lo habitual",1,
IF(DW118="Igual que lo habitual",2,
IF(DW118="Menos que lo habitual",3,
IF(DW118="Mucho menos que lo habitual",4,""))))</f>
        <v>4</v>
      </c>
      <c r="DY118" s="5">
        <f t="shared" ref="DY118:DY126" si="269">SUM(DB118,DD118,DF118,DH118,DJ118,DL118,DN118,DP118,DR118,DT118,DV118,DX118)</f>
        <v>47</v>
      </c>
      <c r="DZ118" s="5" t="str">
        <f t="shared" ref="DZ118:DZ126" si="270">IF(DY118&lt;=18,"Nivel de riesgo bajo",
IF(DY118&lt;=23,"Nivel de riesgo medio",
"Nivel de riesgo alto"))</f>
        <v>Nivel de riesgo alto</v>
      </c>
      <c r="EA118" s="5" t="s">
        <v>253</v>
      </c>
      <c r="EB118" s="5">
        <f t="shared" ref="EB118:EB126" si="271">IF(EA118="Nunca/ casi nunca",0,
IF(EA118="Rara vez",1,
IF(EA118="A veces",2,
IF(EA118="A menudo",3,
IF(EA118="Siempre",4,"")))))</f>
        <v>0</v>
      </c>
      <c r="EC118" s="5" t="s">
        <v>253</v>
      </c>
      <c r="ED118" s="5">
        <f t="shared" ref="ED118:ED126" si="272">IF(EC118="Nunca/ casi nunca",0,
IF(EC118="Rara vez",1,
IF(EC118="A veces",2,
IF(EC118="A menudo",3,
IF(EC118="Siempre",4,"")))))</f>
        <v>0</v>
      </c>
      <c r="EE118" s="5" t="s">
        <v>253</v>
      </c>
      <c r="EF118" s="5">
        <f t="shared" ref="EF118:EF126" si="273">IF(EE118="Nunca/ casi nunca",0,
IF(EE118="Rara vez",1,
IF(EE118="A veces",2,
IF(EE118="A menudo",3,
IF(EE118="Siempre",4,"")))))</f>
        <v>0</v>
      </c>
      <c r="EG118" s="5">
        <f t="shared" ref="EG118:EG126" si="274">SUM(EB118,ED118,EF118)</f>
        <v>0</v>
      </c>
      <c r="EH118" s="5" t="str">
        <f t="shared" ref="EH118:EH126" si="275">IF(EG118&lt;=1,"Nivel de riesgo bajo",
IF(EG118&lt;=4,"Nivel de riesgo medio",
"Nivel de riesgo alto"))</f>
        <v>Nivel de riesgo bajo</v>
      </c>
      <c r="EI118" s="5" t="s">
        <v>253</v>
      </c>
      <c r="EJ118" s="5">
        <f t="shared" ref="EJ118:EJ126" si="276">IF(EI118="Nunca/ casi nunca",0,
IF(EI118="Rara vez",1,
IF(EI118="A veces",2,
IF(EI118="A menudo",3,
IF(EI118="Siempre",4,"")))))</f>
        <v>0</v>
      </c>
      <c r="EK118" s="5" t="s">
        <v>253</v>
      </c>
      <c r="EL118" s="5">
        <f t="shared" ref="EL118:EL126" si="277">IF(EK118="Nunca/ casi nunca",0,
IF(EK118="Rara vez",1,
IF(EK118="A veces",2,
IF(EK118="A menudo",3,
IF(EK118="Siempre",4,"")))))</f>
        <v>0</v>
      </c>
      <c r="EM118" s="5" t="s">
        <v>248</v>
      </c>
      <c r="EN118" s="5">
        <f t="shared" ref="EN118:EN126" si="278">IF(EM118="Nunca/ casi nunca",0,
IF(EM118="Rara vez",1,
IF(EM118="A veces",2,
IF(EM118="A menudo",3,
IF(EM118="Siempre",4,"")))))</f>
        <v>1</v>
      </c>
      <c r="EO118" s="5">
        <f t="shared" ref="EO118:EO126" si="279">SUM(EJ118,EL118,EN118)</f>
        <v>1</v>
      </c>
      <c r="EP118" s="5" t="str">
        <f t="shared" ref="EP118:EP126" si="280">IF(EO118&lt;=1,"Nivel de riesgo bajo",
IF(EO118&lt;=5,"Nivel de riesgo medio",
"Nivel de riesgo alto"))</f>
        <v>Nivel de riesgo bajo</v>
      </c>
      <c r="EQ118" s="5" t="s">
        <v>248</v>
      </c>
      <c r="ER118" s="5">
        <f t="shared" ref="ER118:ER126" si="281">IF(EQ118="Nunca/ casi nunca",4,
IF(EQ118="Rara vez",3,
IF(EQ118="A veces",2,
IF(EQ118="A menudo",1,
IF(EQ118="Siempre",0,"")))))</f>
        <v>3</v>
      </c>
      <c r="ES118" s="5" t="s">
        <v>247</v>
      </c>
      <c r="ET118" s="5">
        <f t="shared" ref="ET118:ET126" si="282">IF(ES118="Nunca/ casi nunca",4,
IF(ES118="Rara vez",3,
IF(ES118="A veces",2,
IF(ES118="A menudo",1,
IF(ES118="Siempre",0,"")))))</f>
        <v>2</v>
      </c>
      <c r="EU118" s="5" t="s">
        <v>254</v>
      </c>
      <c r="EV118" s="5">
        <f t="shared" ref="EV118:EV126" si="283">IF(EU118="Nunca/ casi nunca",4,
IF(EU118="Rara vez",3,
IF(EU118="A veces",2,
IF(EU118="A menudo",1,
IF(EU118="Siempre",0,"")))))</f>
        <v>0</v>
      </c>
      <c r="EW118" s="5" t="s">
        <v>254</v>
      </c>
      <c r="EX118" s="5">
        <f t="shared" ref="EX118:EX126" si="284">IF(EW118="Nunca/ casi nunca",4,
IF(EW118="Rara vez",3,
IF(EW118="A veces",2,
IF(EW118="A menudo",1,
IF(EW118="Siempre",0,"")))))</f>
        <v>0</v>
      </c>
      <c r="EY118" s="5">
        <f t="shared" ref="EY118:EY126" si="285">SUM(ER118,ET118,EV118,EX118)</f>
        <v>5</v>
      </c>
      <c r="EZ118" s="5" t="str">
        <f t="shared" ref="EZ118:EZ126" si="286">IF(EY118&lt;=0,"Nivel de riesgo bajo",
IF(EY118&lt;=4,"Nivel de riesgo medio",
"Nivel de riesgo alto"))</f>
        <v>Nivel de riesgo alto</v>
      </c>
      <c r="FA118" s="5" t="s">
        <v>247</v>
      </c>
      <c r="FB118" s="5">
        <f t="shared" ref="FB118:FB126" si="287">IF(FA118="Nunca/ casi nunca",0,
IF(FA118="Rara vez",1,
IF(FA118="A veces",2,
IF(FA118="A menudo",3,
IF(FA118="Siempre",4,"")))))</f>
        <v>2</v>
      </c>
      <c r="FC118" s="5" t="s">
        <v>248</v>
      </c>
      <c r="FD118" s="5">
        <f t="shared" ref="FD118:FD126" si="288">IF(FC118="Nunca/ casi nunca",0,
IF(FC118="Rara vez",1,
IF(FC118="A veces",2,
IF(FC118="A menudo",3,
IF(FC118="Siempre",4,"")))))</f>
        <v>1</v>
      </c>
      <c r="FE118" s="5" t="s">
        <v>253</v>
      </c>
      <c r="FF118" s="5">
        <f t="shared" ref="FF118:FF126" si="289">IF(FE118="Nunca/ casi nunca",0,
IF(FE118="Rara vez",1,
IF(FE118="A veces",2,
IF(FE118="A menudo",3,
IF(FE118="Siempre",4,"")))))</f>
        <v>0</v>
      </c>
      <c r="FG118" s="5">
        <f t="shared" ref="FG118:FG126" si="290">SUM(FB118,FD118,FF118)</f>
        <v>3</v>
      </c>
      <c r="FH118" s="5" t="str">
        <f t="shared" ref="FH118:FH126" si="291">IF(FG118&lt;=2,"Nivel de riesgo bajo",
IF(FG118&lt;=5,"Nivel de riesgo medio",
"Nivel de riesgo alto"))</f>
        <v>Nivel de riesgo medio</v>
      </c>
      <c r="FI118" s="5" t="s">
        <v>253</v>
      </c>
      <c r="FJ118" s="5">
        <f t="shared" ref="FJ118:FJ126" si="292">IF(FI118="Nunca/ casi nunca",0,
IF(FI118="Rara vez",1,
IF(FI118="A veces",2,
IF(FI118="A menudo",3,
IF(FI118="Siempre",4,"")))))</f>
        <v>0</v>
      </c>
      <c r="FK118" s="5" t="s">
        <v>253</v>
      </c>
      <c r="FL118" s="5">
        <f t="shared" ref="FL118:FL126" si="293">IF(FK118="Nunca/ casi nunca",0,
IF(FK118="Rara vez",1,
IF(FK118="A veces",2,
IF(FK118="A menudo",3,
IF(FK118="Siempre",4,"")))))</f>
        <v>0</v>
      </c>
      <c r="FM118" s="5" t="s">
        <v>253</v>
      </c>
      <c r="FN118" s="5">
        <f t="shared" ref="FN118:FN126" si="294">IF(FM118="Nunca/ casi nunca",0,
IF(FM118="Rara vez",1,
IF(FM118="A veces",2,
IF(FM118="A menudo",3,
IF(FM118="Siempre",4,"")))))</f>
        <v>0</v>
      </c>
      <c r="FO118" s="5">
        <f t="shared" ref="FO118:FO126" si="295">SUM(FJ118,FL118,FN118)</f>
        <v>0</v>
      </c>
      <c r="FP118" s="5" t="str">
        <f t="shared" ref="FP118:FP126" si="296">IF(FO118&lt;=2,"Nivel de riesgo bajo",
IF(FO118&lt;=5,"Nivel de riesgo medio",
"Nivel de riesgo alto"))</f>
        <v>Nivel de riesgo bajo</v>
      </c>
      <c r="FQ118" s="5" t="s">
        <v>206</v>
      </c>
      <c r="FR118" s="5">
        <f t="shared" ref="FR118:FR126" si="297">IF(FQ118="No",0,
IF(FQ118="Sí, unas pocas veces",1,
IF(FQ118="Sí, mensualmente",2,
IF(FQ118="Sí, semanalmente",3,
IF(FQ118="Sí, diariamente",4,"")))))</f>
        <v>0</v>
      </c>
      <c r="FS118" s="5" t="s">
        <v>206</v>
      </c>
      <c r="FT118" s="5">
        <f t="shared" ref="FT118:FT126" si="298">IF(FS118="No",0,
IF(FS118="Sí, unas pocas veces",1,
IF(FS118="Sí, mensualmente",2,
IF(FS118="Sí, semanalmente",3,
IF(FS118="Sí, diariamente",4,"")))))</f>
        <v>0</v>
      </c>
      <c r="FU118" s="5" t="s">
        <v>206</v>
      </c>
      <c r="FV118" s="5">
        <f t="shared" ref="FV118:FV126" si="299">IF(FU118="No",0,
IF(FU118="Sí, unas pocas veces",1,
IF(FU118="Sí, mensualmente",2,
IF(FU118="Sí, semanalmente",3,
IF(FU118="Sí, diariamente",4,"")))))</f>
        <v>0</v>
      </c>
      <c r="FW118" s="5" t="s">
        <v>206</v>
      </c>
      <c r="FX118" s="5">
        <f t="shared" ref="FX118:FX126" si="300">IF(FW118="No",0,
IF(FW118="Sí, unas pocas veces",1,
IF(FW118="Sí, mensualmente",2,
IF(FW118="Sí, semanalmente",3,
IF(FW118="Sí, diariamente",4,"")))))</f>
        <v>0</v>
      </c>
      <c r="FY118" s="5" t="s">
        <v>206</v>
      </c>
      <c r="FZ118" s="5">
        <f t="shared" ref="FZ118:FZ126" si="301">IF(FY118="No",0,
IF(FY118="Sí, unas pocas veces",1,
IF(FY118="Sí, mensualmente",2,
IF(FY118="Sí, semanalmente",3,
IF(FY118="Sí, diariamente",4,"")))))</f>
        <v>0</v>
      </c>
      <c r="GA118" s="5" t="s">
        <v>206</v>
      </c>
      <c r="GB118" s="5">
        <f t="shared" ref="GB118:GB126" si="302">IF(GA118="No",0,
IF(GA118="Sí, unas pocas veces",1,
IF(GA118="Sí, mensualmente",2,
IF(GA118="Sí, semanalmente",3,
IF(GA118="Sí, diariamente",4,"")))))</f>
        <v>0</v>
      </c>
      <c r="GC118" s="5" t="s">
        <v>206</v>
      </c>
      <c r="GD118" s="5">
        <f t="shared" ref="GD118:GD126" si="303">IF(GC118="No",0,
IF(GC118="Sí, unas pocas veces",1,
IF(GC118="Sí, mensualmente",2,
IF(GC118="Sí, semanalmente",3,
IF(GC118="Sí, diariamente",4,"")))))</f>
        <v>0</v>
      </c>
      <c r="GE118" s="5">
        <f t="shared" ref="GE118:GE126" si="304">SUM(FR118,FT118,FV118,FX118,FZ118,GB118,GD118)</f>
        <v>0</v>
      </c>
      <c r="GF118" s="5" t="str">
        <f t="shared" ref="GF118:GF126" si="305">IF(GE118&lt;=0,"Nivel de riesgo bajo",
IF(GE118&lt;=14,"Nivel de riesgo medio",
"Nivel de riesgo alto"))</f>
        <v>Nivel de riesgo bajo</v>
      </c>
      <c r="GG118" s="5" t="s">
        <v>255</v>
      </c>
      <c r="GH118" s="5" t="s">
        <v>255</v>
      </c>
      <c r="GI118" s="5" t="s">
        <v>255</v>
      </c>
      <c r="GJ118" s="5" t="s">
        <v>255</v>
      </c>
      <c r="GK118" s="5" t="s">
        <v>233</v>
      </c>
      <c r="GL118" s="5" t="s">
        <v>273</v>
      </c>
      <c r="GM118" s="5" t="s">
        <v>266</v>
      </c>
      <c r="GN118" s="5" t="s">
        <v>256</v>
      </c>
      <c r="GO118" s="5" t="s">
        <v>256</v>
      </c>
      <c r="GP118" s="5" t="s">
        <v>256</v>
      </c>
      <c r="GQ118" s="5" t="s">
        <v>256</v>
      </c>
      <c r="GR118" s="5" t="s">
        <v>256</v>
      </c>
      <c r="GS118" s="5" t="s">
        <v>243</v>
      </c>
      <c r="GT118" s="5" t="s">
        <v>256</v>
      </c>
      <c r="GU118" s="5" t="s">
        <v>462</v>
      </c>
      <c r="GV118" s="5" t="str">
        <f>TEXT("6278850308995445266","0")</f>
        <v>6278850308995440000</v>
      </c>
    </row>
    <row r="119" spans="1:204" ht="15.75" customHeight="1" x14ac:dyDescent="0.15">
      <c r="A119" s="1">
        <f t="shared" si="255"/>
        <v>119</v>
      </c>
      <c r="B119" s="4">
        <v>45847.488796296297</v>
      </c>
      <c r="C119" s="5" t="s">
        <v>204</v>
      </c>
      <c r="D119" s="5" t="s">
        <v>206</v>
      </c>
      <c r="F119" s="5" t="s">
        <v>206</v>
      </c>
      <c r="G119" s="5" t="s">
        <v>204</v>
      </c>
      <c r="H119" s="5" t="s">
        <v>206</v>
      </c>
      <c r="K119" s="5" t="s">
        <v>237</v>
      </c>
      <c r="O119" s="5" t="s">
        <v>209</v>
      </c>
      <c r="T119" s="5" t="s">
        <v>209</v>
      </c>
      <c r="AB119" s="5" t="s">
        <v>207</v>
      </c>
      <c r="AC119" s="5" t="s">
        <v>208</v>
      </c>
      <c r="AH119" s="5" t="s">
        <v>463</v>
      </c>
      <c r="AI119" s="5">
        <v>2018</v>
      </c>
      <c r="AJ119" s="5" t="s">
        <v>238</v>
      </c>
      <c r="AK119" s="5" t="str">
        <f t="shared" si="256"/>
        <v>Trabajadora por cuenta propia</v>
      </c>
      <c r="AN119" s="5" t="s">
        <v>288</v>
      </c>
      <c r="AP119" s="5" t="s">
        <v>240</v>
      </c>
      <c r="AR119" s="5" t="s">
        <v>261</v>
      </c>
      <c r="AS119" s="5" t="s">
        <v>301</v>
      </c>
      <c r="AT119" s="5" t="s">
        <v>241</v>
      </c>
      <c r="AU119" s="5" t="s">
        <v>301</v>
      </c>
      <c r="AV119" s="5" t="s">
        <v>269</v>
      </c>
      <c r="AW119" s="5" t="s">
        <v>204</v>
      </c>
      <c r="AX119" s="5" t="s">
        <v>204</v>
      </c>
      <c r="AY119" s="5" t="s">
        <v>214</v>
      </c>
      <c r="AZ119" s="5" t="s">
        <v>204</v>
      </c>
      <c r="BA119" s="5" t="s">
        <v>263</v>
      </c>
      <c r="BF119" s="5" t="s">
        <v>204</v>
      </c>
      <c r="BG119" s="5" t="s">
        <v>242</v>
      </c>
      <c r="BH119" s="5" t="s">
        <v>271</v>
      </c>
      <c r="BI119" s="5" t="s">
        <v>278</v>
      </c>
      <c r="BJ119" s="5" t="s">
        <v>242</v>
      </c>
      <c r="BK119" s="5" t="s">
        <v>243</v>
      </c>
      <c r="BL119" s="5" t="s">
        <v>246</v>
      </c>
      <c r="BM119" s="5" t="s">
        <v>243</v>
      </c>
      <c r="BN119" s="5" t="s">
        <v>243</v>
      </c>
      <c r="BO119" s="5" t="s">
        <v>246</v>
      </c>
      <c r="BP119" s="5" t="s">
        <v>243</v>
      </c>
      <c r="BQ119" s="5" t="s">
        <v>246</v>
      </c>
      <c r="BR119" s="5" t="s">
        <v>246</v>
      </c>
      <c r="BS119" s="5" t="s">
        <v>232</v>
      </c>
      <c r="BT119" s="5" t="s">
        <v>232</v>
      </c>
      <c r="BU119" s="5" t="s">
        <v>247</v>
      </c>
      <c r="BV119" s="5" t="s">
        <v>248</v>
      </c>
      <c r="BW119" s="5" t="s">
        <v>247</v>
      </c>
      <c r="BX119" s="5" t="s">
        <v>248</v>
      </c>
      <c r="BY119" s="5" t="s">
        <v>248</v>
      </c>
      <c r="BZ119" s="5" t="s">
        <v>246</v>
      </c>
      <c r="CA119" s="5" t="s">
        <v>243</v>
      </c>
      <c r="CB119" s="5" t="s">
        <v>246</v>
      </c>
      <c r="CC119" s="5" t="s">
        <v>243</v>
      </c>
      <c r="CD119" s="5" t="s">
        <v>206</v>
      </c>
      <c r="CH119" s="5" t="s">
        <v>369</v>
      </c>
      <c r="CI119" s="5" t="s">
        <v>332</v>
      </c>
      <c r="CJ119" s="5">
        <v>4</v>
      </c>
      <c r="CK119" s="5" t="s">
        <v>223</v>
      </c>
      <c r="CU119" s="5" t="s">
        <v>206</v>
      </c>
      <c r="DA119" s="5" t="s">
        <v>231</v>
      </c>
      <c r="DB119" s="5">
        <f t="shared" si="257"/>
        <v>2</v>
      </c>
      <c r="DC119" s="5" t="s">
        <v>230</v>
      </c>
      <c r="DD119" s="5">
        <f t="shared" si="258"/>
        <v>2</v>
      </c>
      <c r="DE119" s="5" t="s">
        <v>230</v>
      </c>
      <c r="DF119" s="5">
        <f t="shared" si="259"/>
        <v>2</v>
      </c>
      <c r="DG119" s="5" t="s">
        <v>250</v>
      </c>
      <c r="DH119" s="5">
        <f t="shared" si="260"/>
        <v>3</v>
      </c>
      <c r="DI119" s="5" t="s">
        <v>250</v>
      </c>
      <c r="DJ119" s="5">
        <f t="shared" si="261"/>
        <v>3</v>
      </c>
      <c r="DK119" s="5" t="s">
        <v>250</v>
      </c>
      <c r="DL119" s="5">
        <f t="shared" si="262"/>
        <v>3</v>
      </c>
      <c r="DM119" s="5" t="s">
        <v>230</v>
      </c>
      <c r="DN119" s="5">
        <f t="shared" si="263"/>
        <v>2</v>
      </c>
      <c r="DO119" s="5" t="s">
        <v>231</v>
      </c>
      <c r="DP119" s="5">
        <f t="shared" si="264"/>
        <v>2</v>
      </c>
      <c r="DQ119" s="5" t="s">
        <v>231</v>
      </c>
      <c r="DR119" s="5">
        <f t="shared" si="265"/>
        <v>2</v>
      </c>
      <c r="DS119" s="5" t="s">
        <v>231</v>
      </c>
      <c r="DT119" s="5">
        <f t="shared" si="266"/>
        <v>2</v>
      </c>
      <c r="DU119" s="5" t="s">
        <v>231</v>
      </c>
      <c r="DV119" s="5">
        <f t="shared" si="267"/>
        <v>2</v>
      </c>
      <c r="DW119" s="5" t="s">
        <v>231</v>
      </c>
      <c r="DX119" s="5">
        <f t="shared" si="268"/>
        <v>2</v>
      </c>
      <c r="DY119" s="5">
        <f t="shared" si="269"/>
        <v>27</v>
      </c>
      <c r="DZ119" s="5" t="str">
        <f t="shared" si="270"/>
        <v>Nivel de riesgo alto</v>
      </c>
      <c r="EA119" s="5" t="s">
        <v>248</v>
      </c>
      <c r="EB119" s="5">
        <f t="shared" si="271"/>
        <v>1</v>
      </c>
      <c r="EC119" s="5" t="s">
        <v>253</v>
      </c>
      <c r="ED119" s="5">
        <f t="shared" si="272"/>
        <v>0</v>
      </c>
      <c r="EE119" s="5" t="s">
        <v>253</v>
      </c>
      <c r="EF119" s="5">
        <f t="shared" si="273"/>
        <v>0</v>
      </c>
      <c r="EG119" s="5">
        <f t="shared" si="274"/>
        <v>1</v>
      </c>
      <c r="EH119" s="5" t="str">
        <f t="shared" si="275"/>
        <v>Nivel de riesgo bajo</v>
      </c>
      <c r="EI119" s="5" t="s">
        <v>247</v>
      </c>
      <c r="EJ119" s="5">
        <f t="shared" si="276"/>
        <v>2</v>
      </c>
      <c r="EK119" s="5" t="s">
        <v>247</v>
      </c>
      <c r="EL119" s="5">
        <f t="shared" si="277"/>
        <v>2</v>
      </c>
      <c r="EM119" s="5" t="s">
        <v>248</v>
      </c>
      <c r="EN119" s="5">
        <f t="shared" si="278"/>
        <v>1</v>
      </c>
      <c r="EO119" s="5">
        <f t="shared" si="279"/>
        <v>5</v>
      </c>
      <c r="EP119" s="5" t="str">
        <f t="shared" si="280"/>
        <v>Nivel de riesgo medio</v>
      </c>
      <c r="EQ119" s="5" t="s">
        <v>253</v>
      </c>
      <c r="ER119" s="5">
        <f t="shared" si="281"/>
        <v>4</v>
      </c>
      <c r="ES119" s="5" t="s">
        <v>253</v>
      </c>
      <c r="ET119" s="5">
        <f t="shared" si="282"/>
        <v>4</v>
      </c>
      <c r="EU119" s="5" t="s">
        <v>253</v>
      </c>
      <c r="EV119" s="5">
        <f t="shared" si="283"/>
        <v>4</v>
      </c>
      <c r="EW119" s="5" t="s">
        <v>254</v>
      </c>
      <c r="EX119" s="5">
        <f t="shared" si="284"/>
        <v>0</v>
      </c>
      <c r="EY119" s="5">
        <f t="shared" si="285"/>
        <v>12</v>
      </c>
      <c r="EZ119" s="5" t="str">
        <f t="shared" si="286"/>
        <v>Nivel de riesgo alto</v>
      </c>
      <c r="FA119" s="5" t="s">
        <v>253</v>
      </c>
      <c r="FB119" s="5">
        <f t="shared" si="287"/>
        <v>0</v>
      </c>
      <c r="FC119" s="5" t="s">
        <v>253</v>
      </c>
      <c r="FD119" s="5">
        <f t="shared" si="288"/>
        <v>0</v>
      </c>
      <c r="FE119" s="5" t="s">
        <v>247</v>
      </c>
      <c r="FF119" s="5">
        <f t="shared" si="289"/>
        <v>2</v>
      </c>
      <c r="FG119" s="5">
        <f t="shared" si="290"/>
        <v>2</v>
      </c>
      <c r="FH119" s="5" t="str">
        <f t="shared" si="291"/>
        <v>Nivel de riesgo bajo</v>
      </c>
      <c r="FI119" s="5" t="s">
        <v>248</v>
      </c>
      <c r="FJ119" s="5">
        <f t="shared" si="292"/>
        <v>1</v>
      </c>
      <c r="FK119" s="5" t="s">
        <v>248</v>
      </c>
      <c r="FL119" s="5">
        <f t="shared" si="293"/>
        <v>1</v>
      </c>
      <c r="FM119" s="5" t="s">
        <v>253</v>
      </c>
      <c r="FN119" s="5">
        <f t="shared" si="294"/>
        <v>0</v>
      </c>
      <c r="FO119" s="5">
        <f t="shared" si="295"/>
        <v>2</v>
      </c>
      <c r="FP119" s="5" t="str">
        <f t="shared" si="296"/>
        <v>Nivel de riesgo bajo</v>
      </c>
      <c r="FQ119" s="5" t="s">
        <v>206</v>
      </c>
      <c r="FR119" s="5">
        <f t="shared" si="297"/>
        <v>0</v>
      </c>
      <c r="FS119" s="5" t="s">
        <v>206</v>
      </c>
      <c r="FT119" s="5">
        <f t="shared" si="298"/>
        <v>0</v>
      </c>
      <c r="FU119" s="5" t="s">
        <v>206</v>
      </c>
      <c r="FV119" s="5">
        <f t="shared" si="299"/>
        <v>0</v>
      </c>
      <c r="FW119" s="5" t="s">
        <v>206</v>
      </c>
      <c r="FX119" s="5">
        <f t="shared" si="300"/>
        <v>0</v>
      </c>
      <c r="FY119" s="5" t="s">
        <v>206</v>
      </c>
      <c r="FZ119" s="5">
        <f t="shared" si="301"/>
        <v>0</v>
      </c>
      <c r="GA119" s="5" t="s">
        <v>206</v>
      </c>
      <c r="GB119" s="5">
        <f t="shared" si="302"/>
        <v>0</v>
      </c>
      <c r="GC119" s="5" t="s">
        <v>206</v>
      </c>
      <c r="GD119" s="5">
        <f t="shared" si="303"/>
        <v>0</v>
      </c>
      <c r="GE119" s="5">
        <f t="shared" si="304"/>
        <v>0</v>
      </c>
      <c r="GF119" s="5" t="str">
        <f t="shared" si="305"/>
        <v>Nivel de riesgo bajo</v>
      </c>
      <c r="GG119" s="5" t="s">
        <v>255</v>
      </c>
      <c r="GH119" s="5" t="s">
        <v>298</v>
      </c>
      <c r="GI119" s="5" t="s">
        <v>266</v>
      </c>
      <c r="GJ119" s="5" t="s">
        <v>233</v>
      </c>
      <c r="GK119" s="5" t="s">
        <v>233</v>
      </c>
      <c r="GL119" s="5" t="s">
        <v>233</v>
      </c>
      <c r="GM119" s="5" t="s">
        <v>273</v>
      </c>
      <c r="GN119" s="5" t="s">
        <v>257</v>
      </c>
      <c r="GO119" s="5" t="s">
        <v>257</v>
      </c>
      <c r="GP119" s="5" t="s">
        <v>243</v>
      </c>
      <c r="GQ119" s="5" t="s">
        <v>257</v>
      </c>
      <c r="GR119" s="5" t="s">
        <v>257</v>
      </c>
      <c r="GS119" s="5" t="s">
        <v>257</v>
      </c>
      <c r="GT119" s="5" t="s">
        <v>257</v>
      </c>
      <c r="GU119" s="5" t="s">
        <v>464</v>
      </c>
      <c r="GV119" s="5" t="str">
        <f>TEXT("6278850327198255590","0")</f>
        <v>6278850327198250000</v>
      </c>
    </row>
    <row r="120" spans="1:204" ht="15.75" customHeight="1" x14ac:dyDescent="0.15">
      <c r="A120" s="1">
        <f t="shared" si="255"/>
        <v>120</v>
      </c>
      <c r="B120" s="4">
        <v>45847.488865740743</v>
      </c>
      <c r="C120" s="5" t="s">
        <v>204</v>
      </c>
      <c r="D120" s="5" t="s">
        <v>206</v>
      </c>
      <c r="F120" s="5" t="s">
        <v>204</v>
      </c>
      <c r="G120" s="5" t="s">
        <v>206</v>
      </c>
      <c r="H120" s="5" t="s">
        <v>206</v>
      </c>
      <c r="L120" s="5" t="s">
        <v>236</v>
      </c>
      <c r="P120" s="5" t="s">
        <v>237</v>
      </c>
      <c r="U120" s="5" t="s">
        <v>237</v>
      </c>
      <c r="Y120" s="5" t="s">
        <v>209</v>
      </c>
      <c r="AF120" s="5" t="s">
        <v>236</v>
      </c>
      <c r="AH120" s="5" t="s">
        <v>210</v>
      </c>
      <c r="AI120" s="5">
        <v>2022</v>
      </c>
      <c r="AJ120" s="5" t="s">
        <v>238</v>
      </c>
      <c r="AK120" s="5" t="str">
        <f t="shared" si="256"/>
        <v>Trabajadora por cuenta propia</v>
      </c>
      <c r="AL120" s="5" t="s">
        <v>239</v>
      </c>
      <c r="AP120" s="5" t="s">
        <v>365</v>
      </c>
      <c r="AR120" s="5" t="s">
        <v>276</v>
      </c>
      <c r="AS120" s="5" t="s">
        <v>294</v>
      </c>
      <c r="AT120" s="5" t="s">
        <v>294</v>
      </c>
      <c r="AU120" s="5" t="s">
        <v>276</v>
      </c>
      <c r="AV120" s="5" t="s">
        <v>269</v>
      </c>
      <c r="AW120" s="5" t="s">
        <v>204</v>
      </c>
      <c r="AX120" s="5" t="s">
        <v>206</v>
      </c>
      <c r="BF120" s="5" t="s">
        <v>204</v>
      </c>
      <c r="BG120" s="5" t="s">
        <v>271</v>
      </c>
      <c r="BH120" s="5" t="s">
        <v>242</v>
      </c>
      <c r="BI120" s="5" t="s">
        <v>278</v>
      </c>
      <c r="BJ120" s="5" t="s">
        <v>242</v>
      </c>
      <c r="BK120" s="5" t="s">
        <v>244</v>
      </c>
      <c r="BL120" s="5" t="s">
        <v>244</v>
      </c>
      <c r="BM120" s="5" t="s">
        <v>246</v>
      </c>
      <c r="BN120" s="5" t="s">
        <v>244</v>
      </c>
      <c r="BO120" s="5" t="s">
        <v>216</v>
      </c>
      <c r="BP120" s="5" t="s">
        <v>244</v>
      </c>
      <c r="BQ120" s="5" t="s">
        <v>216</v>
      </c>
      <c r="BR120" s="5" t="s">
        <v>244</v>
      </c>
      <c r="BS120" s="5" t="s">
        <v>247</v>
      </c>
      <c r="BT120" s="5" t="s">
        <v>247</v>
      </c>
      <c r="BU120" s="5" t="s">
        <v>232</v>
      </c>
      <c r="BV120" s="5" t="s">
        <v>247</v>
      </c>
      <c r="BW120" s="5" t="s">
        <v>248</v>
      </c>
      <c r="BX120" s="5" t="s">
        <v>248</v>
      </c>
      <c r="BY120" s="5" t="s">
        <v>248</v>
      </c>
      <c r="BZ120" s="5" t="s">
        <v>244</v>
      </c>
      <c r="CA120" s="5" t="s">
        <v>244</v>
      </c>
      <c r="CB120" s="5" t="s">
        <v>244</v>
      </c>
      <c r="CC120" s="5" t="s">
        <v>244</v>
      </c>
      <c r="CD120" s="5" t="s">
        <v>206</v>
      </c>
      <c r="CH120" s="5" t="s">
        <v>465</v>
      </c>
      <c r="CI120" s="5" t="s">
        <v>347</v>
      </c>
      <c r="CJ120" s="5">
        <v>3</v>
      </c>
      <c r="CK120" s="5" t="s">
        <v>223</v>
      </c>
      <c r="CU120" s="5" t="s">
        <v>206</v>
      </c>
      <c r="DA120" s="5" t="s">
        <v>231</v>
      </c>
      <c r="DB120" s="5">
        <f t="shared" si="257"/>
        <v>2</v>
      </c>
      <c r="DC120" s="5" t="s">
        <v>251</v>
      </c>
      <c r="DD120" s="5">
        <f t="shared" si="258"/>
        <v>1</v>
      </c>
      <c r="DE120" s="5" t="s">
        <v>230</v>
      </c>
      <c r="DF120" s="5">
        <f t="shared" si="259"/>
        <v>2</v>
      </c>
      <c r="DG120" s="5" t="s">
        <v>280</v>
      </c>
      <c r="DH120" s="5">
        <f t="shared" si="260"/>
        <v>4</v>
      </c>
      <c r="DI120" s="5" t="s">
        <v>230</v>
      </c>
      <c r="DJ120" s="5">
        <f t="shared" si="261"/>
        <v>2</v>
      </c>
      <c r="DK120" s="5" t="s">
        <v>250</v>
      </c>
      <c r="DL120" s="5">
        <f t="shared" si="262"/>
        <v>3</v>
      </c>
      <c r="DM120" s="5" t="s">
        <v>251</v>
      </c>
      <c r="DN120" s="5">
        <f t="shared" si="263"/>
        <v>1</v>
      </c>
      <c r="DO120" s="5" t="s">
        <v>231</v>
      </c>
      <c r="DP120" s="5">
        <f t="shared" si="264"/>
        <v>2</v>
      </c>
      <c r="DQ120" s="5" t="s">
        <v>281</v>
      </c>
      <c r="DR120" s="5">
        <f t="shared" si="265"/>
        <v>1</v>
      </c>
      <c r="DS120" s="5" t="s">
        <v>281</v>
      </c>
      <c r="DT120" s="5">
        <f t="shared" si="266"/>
        <v>1</v>
      </c>
      <c r="DU120" s="5" t="s">
        <v>281</v>
      </c>
      <c r="DV120" s="5">
        <f t="shared" si="267"/>
        <v>1</v>
      </c>
      <c r="DW120" s="5" t="s">
        <v>281</v>
      </c>
      <c r="DX120" s="5">
        <f t="shared" si="268"/>
        <v>1</v>
      </c>
      <c r="DY120" s="5">
        <f t="shared" si="269"/>
        <v>21</v>
      </c>
      <c r="DZ120" s="5" t="str">
        <f t="shared" si="270"/>
        <v>Nivel de riesgo medio</v>
      </c>
      <c r="EA120" s="5" t="s">
        <v>254</v>
      </c>
      <c r="EB120" s="5">
        <f t="shared" si="271"/>
        <v>4</v>
      </c>
      <c r="EC120" s="5" t="s">
        <v>232</v>
      </c>
      <c r="ED120" s="5">
        <f t="shared" si="272"/>
        <v>3</v>
      </c>
      <c r="EE120" s="5" t="s">
        <v>232</v>
      </c>
      <c r="EF120" s="5">
        <f t="shared" si="273"/>
        <v>3</v>
      </c>
      <c r="EG120" s="5">
        <f t="shared" si="274"/>
        <v>10</v>
      </c>
      <c r="EH120" s="5" t="str">
        <f t="shared" si="275"/>
        <v>Nivel de riesgo alto</v>
      </c>
      <c r="EI120" s="5" t="s">
        <v>232</v>
      </c>
      <c r="EJ120" s="5">
        <f t="shared" si="276"/>
        <v>3</v>
      </c>
      <c r="EK120" s="5" t="s">
        <v>254</v>
      </c>
      <c r="EL120" s="5">
        <f t="shared" si="277"/>
        <v>4</v>
      </c>
      <c r="EM120" s="5" t="s">
        <v>232</v>
      </c>
      <c r="EN120" s="5">
        <f t="shared" si="278"/>
        <v>3</v>
      </c>
      <c r="EO120" s="5">
        <f t="shared" si="279"/>
        <v>10</v>
      </c>
      <c r="EP120" s="5" t="str">
        <f t="shared" si="280"/>
        <v>Nivel de riesgo alto</v>
      </c>
      <c r="EQ120" s="5" t="s">
        <v>232</v>
      </c>
      <c r="ER120" s="5">
        <f t="shared" si="281"/>
        <v>1</v>
      </c>
      <c r="ES120" s="5" t="s">
        <v>247</v>
      </c>
      <c r="ET120" s="5">
        <f t="shared" si="282"/>
        <v>2</v>
      </c>
      <c r="EU120" s="5" t="s">
        <v>232</v>
      </c>
      <c r="EV120" s="5">
        <f t="shared" si="283"/>
        <v>1</v>
      </c>
      <c r="EW120" s="5" t="s">
        <v>232</v>
      </c>
      <c r="EX120" s="5">
        <f t="shared" si="284"/>
        <v>1</v>
      </c>
      <c r="EY120" s="5">
        <f t="shared" si="285"/>
        <v>5</v>
      </c>
      <c r="EZ120" s="5" t="str">
        <f t="shared" si="286"/>
        <v>Nivel de riesgo alto</v>
      </c>
      <c r="FA120" s="5" t="s">
        <v>232</v>
      </c>
      <c r="FB120" s="5">
        <f t="shared" si="287"/>
        <v>3</v>
      </c>
      <c r="FC120" s="5" t="s">
        <v>232</v>
      </c>
      <c r="FD120" s="5">
        <f t="shared" si="288"/>
        <v>3</v>
      </c>
      <c r="FE120" s="5" t="s">
        <v>232</v>
      </c>
      <c r="FF120" s="5">
        <f t="shared" si="289"/>
        <v>3</v>
      </c>
      <c r="FG120" s="5">
        <f t="shared" si="290"/>
        <v>9</v>
      </c>
      <c r="FH120" s="5" t="str">
        <f t="shared" si="291"/>
        <v>Nivel de riesgo alto</v>
      </c>
      <c r="FI120" s="5" t="s">
        <v>232</v>
      </c>
      <c r="FJ120" s="5">
        <f t="shared" si="292"/>
        <v>3</v>
      </c>
      <c r="FK120" s="5" t="s">
        <v>232</v>
      </c>
      <c r="FL120" s="5">
        <f t="shared" si="293"/>
        <v>3</v>
      </c>
      <c r="FM120" s="5" t="s">
        <v>232</v>
      </c>
      <c r="FN120" s="5">
        <f t="shared" si="294"/>
        <v>3</v>
      </c>
      <c r="FO120" s="5">
        <f t="shared" si="295"/>
        <v>9</v>
      </c>
      <c r="FP120" s="5" t="str">
        <f t="shared" si="296"/>
        <v>Nivel de riesgo alto</v>
      </c>
      <c r="FQ120" s="5" t="s">
        <v>206</v>
      </c>
      <c r="FR120" s="5">
        <f t="shared" si="297"/>
        <v>0</v>
      </c>
      <c r="FS120" s="5" t="s">
        <v>265</v>
      </c>
      <c r="FT120" s="5">
        <f t="shared" si="298"/>
        <v>1</v>
      </c>
      <c r="FU120" s="5" t="s">
        <v>206</v>
      </c>
      <c r="FV120" s="5">
        <f t="shared" si="299"/>
        <v>0</v>
      </c>
      <c r="FW120" s="5" t="s">
        <v>206</v>
      </c>
      <c r="FX120" s="5">
        <f t="shared" si="300"/>
        <v>0</v>
      </c>
      <c r="FY120" s="5" t="s">
        <v>206</v>
      </c>
      <c r="FZ120" s="5">
        <f t="shared" si="301"/>
        <v>0</v>
      </c>
      <c r="GA120" s="5" t="s">
        <v>206</v>
      </c>
      <c r="GB120" s="5">
        <f t="shared" si="302"/>
        <v>0</v>
      </c>
      <c r="GC120" s="5" t="s">
        <v>206</v>
      </c>
      <c r="GD120" s="5">
        <f t="shared" si="303"/>
        <v>0</v>
      </c>
      <c r="GE120" s="5">
        <f t="shared" si="304"/>
        <v>1</v>
      </c>
      <c r="GF120" s="5" t="str">
        <f t="shared" si="305"/>
        <v>Nivel de riesgo medio</v>
      </c>
      <c r="GG120" s="5" t="s">
        <v>266</v>
      </c>
      <c r="GH120" s="5" t="s">
        <v>266</v>
      </c>
      <c r="GI120" s="5" t="s">
        <v>266</v>
      </c>
      <c r="GJ120" s="5" t="s">
        <v>266</v>
      </c>
      <c r="GK120" s="5" t="s">
        <v>266</v>
      </c>
      <c r="GL120" s="5" t="s">
        <v>266</v>
      </c>
      <c r="GM120" s="5" t="s">
        <v>266</v>
      </c>
      <c r="GN120" s="5" t="s">
        <v>234</v>
      </c>
      <c r="GO120" s="5" t="s">
        <v>234</v>
      </c>
      <c r="GP120" s="5" t="s">
        <v>244</v>
      </c>
      <c r="GQ120" s="5" t="s">
        <v>244</v>
      </c>
      <c r="GR120" s="5" t="s">
        <v>234</v>
      </c>
      <c r="GS120" s="5" t="s">
        <v>244</v>
      </c>
      <c r="GT120" s="5" t="s">
        <v>234</v>
      </c>
      <c r="GU120" s="5" t="s">
        <v>466</v>
      </c>
      <c r="GV120" s="5" t="str">
        <f>TEXT("6278850381523212835","0")</f>
        <v>6278850381523210000</v>
      </c>
    </row>
    <row r="121" spans="1:204" ht="15.75" customHeight="1" x14ac:dyDescent="0.15">
      <c r="A121" s="1">
        <f t="shared" si="255"/>
        <v>121</v>
      </c>
      <c r="B121" s="4">
        <v>45847.489305555559</v>
      </c>
      <c r="C121" s="5" t="s">
        <v>204</v>
      </c>
      <c r="D121" s="5" t="s">
        <v>204</v>
      </c>
      <c r="E121" s="5" t="s">
        <v>335</v>
      </c>
      <c r="F121" s="5" t="s">
        <v>204</v>
      </c>
      <c r="G121" s="5" t="s">
        <v>206</v>
      </c>
      <c r="H121" s="5" t="s">
        <v>206</v>
      </c>
      <c r="K121" s="5" t="s">
        <v>237</v>
      </c>
      <c r="O121" s="5" t="s">
        <v>209</v>
      </c>
      <c r="S121" s="5" t="s">
        <v>208</v>
      </c>
      <c r="X121" s="5" t="s">
        <v>208</v>
      </c>
      <c r="AC121" s="5" t="s">
        <v>208</v>
      </c>
      <c r="AH121" s="5" t="s">
        <v>210</v>
      </c>
      <c r="AI121" s="5">
        <v>2022</v>
      </c>
      <c r="AJ121" s="5" t="s">
        <v>238</v>
      </c>
      <c r="AK121" s="5" t="str">
        <f t="shared" si="256"/>
        <v>Trabajadora por cuenta propia</v>
      </c>
      <c r="AN121" s="5" t="s">
        <v>288</v>
      </c>
      <c r="AP121" s="5" t="s">
        <v>240</v>
      </c>
      <c r="AR121" s="5" t="s">
        <v>276</v>
      </c>
      <c r="AS121" s="5" t="s">
        <v>276</v>
      </c>
      <c r="AT121" s="5" t="s">
        <v>276</v>
      </c>
      <c r="AU121" s="5" t="s">
        <v>276</v>
      </c>
      <c r="AV121" s="5" t="s">
        <v>285</v>
      </c>
      <c r="AW121" s="5" t="s">
        <v>204</v>
      </c>
      <c r="AX121" s="5" t="s">
        <v>204</v>
      </c>
      <c r="AY121" s="5" t="s">
        <v>214</v>
      </c>
      <c r="AZ121" s="5" t="s">
        <v>204</v>
      </c>
      <c r="BA121" s="5" t="s">
        <v>289</v>
      </c>
      <c r="BB121" s="5" t="s">
        <v>204</v>
      </c>
      <c r="BC121" s="5" t="s">
        <v>204</v>
      </c>
      <c r="BD121" s="5" t="s">
        <v>290</v>
      </c>
      <c r="BE121" s="5" t="s">
        <v>204</v>
      </c>
      <c r="BF121" s="5" t="s">
        <v>204</v>
      </c>
      <c r="BG121" s="5" t="s">
        <v>278</v>
      </c>
      <c r="BH121" s="5" t="s">
        <v>278</v>
      </c>
      <c r="BI121" s="5" t="s">
        <v>278</v>
      </c>
      <c r="BJ121" s="5" t="s">
        <v>278</v>
      </c>
      <c r="BK121" s="5" t="s">
        <v>243</v>
      </c>
      <c r="BL121" s="5" t="s">
        <v>244</v>
      </c>
      <c r="BM121" s="5" t="s">
        <v>244</v>
      </c>
      <c r="BN121" s="5" t="s">
        <v>244</v>
      </c>
      <c r="BO121" s="5" t="s">
        <v>216</v>
      </c>
      <c r="BP121" s="5" t="s">
        <v>216</v>
      </c>
      <c r="BQ121" s="5" t="s">
        <v>216</v>
      </c>
      <c r="BR121" s="5" t="s">
        <v>216</v>
      </c>
      <c r="BS121" s="5" t="s">
        <v>248</v>
      </c>
      <c r="BT121" s="5" t="s">
        <v>248</v>
      </c>
      <c r="BU121" s="5" t="s">
        <v>247</v>
      </c>
      <c r="BV121" s="5" t="s">
        <v>248</v>
      </c>
      <c r="BW121" s="5" t="s">
        <v>217</v>
      </c>
      <c r="BX121" s="5" t="s">
        <v>217</v>
      </c>
      <c r="BY121" s="5" t="s">
        <v>217</v>
      </c>
      <c r="BZ121" s="5" t="s">
        <v>216</v>
      </c>
      <c r="CA121" s="5" t="s">
        <v>216</v>
      </c>
      <c r="CB121" s="5" t="s">
        <v>216</v>
      </c>
      <c r="CC121" s="5" t="s">
        <v>244</v>
      </c>
      <c r="CD121" s="5" t="s">
        <v>204</v>
      </c>
      <c r="CE121" s="5" t="s">
        <v>286</v>
      </c>
      <c r="CF121" s="5" t="s">
        <v>219</v>
      </c>
      <c r="CG121" s="5" t="s">
        <v>220</v>
      </c>
      <c r="CH121" s="5" t="s">
        <v>206</v>
      </c>
      <c r="CI121" s="5" t="s">
        <v>206</v>
      </c>
      <c r="CJ121" s="5">
        <v>0</v>
      </c>
      <c r="CK121" s="5" t="s">
        <v>223</v>
      </c>
      <c r="CU121" s="5" t="s">
        <v>206</v>
      </c>
      <c r="DA121" s="5" t="s">
        <v>272</v>
      </c>
      <c r="DB121" s="5">
        <f t="shared" si="257"/>
        <v>1</v>
      </c>
      <c r="DC121" s="5" t="s">
        <v>251</v>
      </c>
      <c r="DD121" s="5">
        <f t="shared" si="258"/>
        <v>1</v>
      </c>
      <c r="DE121" s="5" t="s">
        <v>251</v>
      </c>
      <c r="DF121" s="5">
        <f t="shared" si="259"/>
        <v>1</v>
      </c>
      <c r="DG121" s="5" t="s">
        <v>251</v>
      </c>
      <c r="DH121" s="5">
        <f t="shared" si="260"/>
        <v>1</v>
      </c>
      <c r="DI121" s="5" t="s">
        <v>251</v>
      </c>
      <c r="DJ121" s="5">
        <f t="shared" si="261"/>
        <v>1</v>
      </c>
      <c r="DK121" s="5" t="s">
        <v>251</v>
      </c>
      <c r="DL121" s="5">
        <f t="shared" si="262"/>
        <v>1</v>
      </c>
      <c r="DM121" s="5" t="s">
        <v>251</v>
      </c>
      <c r="DN121" s="5">
        <f t="shared" si="263"/>
        <v>1</v>
      </c>
      <c r="DO121" s="5" t="s">
        <v>281</v>
      </c>
      <c r="DP121" s="5">
        <f t="shared" si="264"/>
        <v>1</v>
      </c>
      <c r="DQ121" s="5" t="s">
        <v>281</v>
      </c>
      <c r="DR121" s="5">
        <f t="shared" si="265"/>
        <v>1</v>
      </c>
      <c r="DS121" s="5" t="s">
        <v>281</v>
      </c>
      <c r="DT121" s="5">
        <f t="shared" si="266"/>
        <v>1</v>
      </c>
      <c r="DU121" s="5" t="s">
        <v>281</v>
      </c>
      <c r="DV121" s="5">
        <f t="shared" si="267"/>
        <v>1</v>
      </c>
      <c r="DW121" s="5" t="s">
        <v>281</v>
      </c>
      <c r="DX121" s="5">
        <f t="shared" si="268"/>
        <v>1</v>
      </c>
      <c r="DY121" s="5">
        <f t="shared" si="269"/>
        <v>12</v>
      </c>
      <c r="DZ121" s="5" t="str">
        <f t="shared" si="270"/>
        <v>Nivel de riesgo bajo</v>
      </c>
      <c r="EA121" s="5" t="s">
        <v>253</v>
      </c>
      <c r="EB121" s="5">
        <f t="shared" si="271"/>
        <v>0</v>
      </c>
      <c r="EC121" s="5" t="s">
        <v>248</v>
      </c>
      <c r="ED121" s="5">
        <f t="shared" si="272"/>
        <v>1</v>
      </c>
      <c r="EE121" s="5" t="s">
        <v>253</v>
      </c>
      <c r="EF121" s="5">
        <f t="shared" si="273"/>
        <v>0</v>
      </c>
      <c r="EG121" s="5">
        <f t="shared" si="274"/>
        <v>1</v>
      </c>
      <c r="EH121" s="5" t="str">
        <f t="shared" si="275"/>
        <v>Nivel de riesgo bajo</v>
      </c>
      <c r="EI121" s="5" t="s">
        <v>253</v>
      </c>
      <c r="EJ121" s="5">
        <f t="shared" si="276"/>
        <v>0</v>
      </c>
      <c r="EK121" s="5" t="s">
        <v>247</v>
      </c>
      <c r="EL121" s="5">
        <f t="shared" si="277"/>
        <v>2</v>
      </c>
      <c r="EM121" s="5" t="s">
        <v>253</v>
      </c>
      <c r="EN121" s="5">
        <f t="shared" si="278"/>
        <v>0</v>
      </c>
      <c r="EO121" s="5">
        <f t="shared" si="279"/>
        <v>2</v>
      </c>
      <c r="EP121" s="5" t="str">
        <f t="shared" si="280"/>
        <v>Nivel de riesgo medio</v>
      </c>
      <c r="EQ121" s="5" t="s">
        <v>248</v>
      </c>
      <c r="ER121" s="5">
        <f t="shared" si="281"/>
        <v>3</v>
      </c>
      <c r="ES121" s="5" t="s">
        <v>254</v>
      </c>
      <c r="ET121" s="5">
        <f t="shared" si="282"/>
        <v>0</v>
      </c>
      <c r="EU121" s="5" t="s">
        <v>254</v>
      </c>
      <c r="EV121" s="5">
        <f t="shared" si="283"/>
        <v>0</v>
      </c>
      <c r="EW121" s="5" t="s">
        <v>254</v>
      </c>
      <c r="EX121" s="5">
        <f t="shared" si="284"/>
        <v>0</v>
      </c>
      <c r="EY121" s="5">
        <f t="shared" si="285"/>
        <v>3</v>
      </c>
      <c r="EZ121" s="5" t="str">
        <f t="shared" si="286"/>
        <v>Nivel de riesgo medio</v>
      </c>
      <c r="FA121" s="5" t="s">
        <v>253</v>
      </c>
      <c r="FB121" s="5">
        <f t="shared" si="287"/>
        <v>0</v>
      </c>
      <c r="FC121" s="5" t="s">
        <v>253</v>
      </c>
      <c r="FD121" s="5">
        <f t="shared" si="288"/>
        <v>0</v>
      </c>
      <c r="FE121" s="5" t="s">
        <v>248</v>
      </c>
      <c r="FF121" s="5">
        <f t="shared" si="289"/>
        <v>1</v>
      </c>
      <c r="FG121" s="5">
        <f t="shared" si="290"/>
        <v>1</v>
      </c>
      <c r="FH121" s="5" t="str">
        <f t="shared" si="291"/>
        <v>Nivel de riesgo bajo</v>
      </c>
      <c r="FI121" s="5" t="s">
        <v>253</v>
      </c>
      <c r="FJ121" s="5">
        <f t="shared" si="292"/>
        <v>0</v>
      </c>
      <c r="FK121" s="5" t="s">
        <v>253</v>
      </c>
      <c r="FL121" s="5">
        <f t="shared" si="293"/>
        <v>0</v>
      </c>
      <c r="FM121" s="5" t="s">
        <v>253</v>
      </c>
      <c r="FN121" s="5">
        <f t="shared" si="294"/>
        <v>0</v>
      </c>
      <c r="FO121" s="5">
        <f t="shared" si="295"/>
        <v>0</v>
      </c>
      <c r="FP121" s="5" t="str">
        <f t="shared" si="296"/>
        <v>Nivel de riesgo bajo</v>
      </c>
      <c r="FQ121" s="5" t="s">
        <v>206</v>
      </c>
      <c r="FR121" s="5">
        <f t="shared" si="297"/>
        <v>0</v>
      </c>
      <c r="FS121" s="5" t="s">
        <v>206</v>
      </c>
      <c r="FT121" s="5">
        <f t="shared" si="298"/>
        <v>0</v>
      </c>
      <c r="FU121" s="5" t="s">
        <v>206</v>
      </c>
      <c r="FV121" s="5">
        <f t="shared" si="299"/>
        <v>0</v>
      </c>
      <c r="FW121" s="5" t="s">
        <v>206</v>
      </c>
      <c r="FX121" s="5">
        <f t="shared" si="300"/>
        <v>0</v>
      </c>
      <c r="FY121" s="5" t="s">
        <v>206</v>
      </c>
      <c r="FZ121" s="5">
        <f t="shared" si="301"/>
        <v>0</v>
      </c>
      <c r="GA121" s="5" t="s">
        <v>206</v>
      </c>
      <c r="GB121" s="5">
        <f t="shared" si="302"/>
        <v>0</v>
      </c>
      <c r="GC121" s="5" t="s">
        <v>206</v>
      </c>
      <c r="GD121" s="5">
        <f t="shared" si="303"/>
        <v>0</v>
      </c>
      <c r="GE121" s="5">
        <f t="shared" si="304"/>
        <v>0</v>
      </c>
      <c r="GF121" s="5" t="str">
        <f t="shared" si="305"/>
        <v>Nivel de riesgo bajo</v>
      </c>
      <c r="GG121" s="5" t="s">
        <v>273</v>
      </c>
      <c r="GH121" s="5" t="s">
        <v>273</v>
      </c>
      <c r="GI121" s="5" t="s">
        <v>273</v>
      </c>
      <c r="GJ121" s="5" t="s">
        <v>273</v>
      </c>
      <c r="GK121" s="5" t="s">
        <v>233</v>
      </c>
      <c r="GL121" s="5" t="s">
        <v>233</v>
      </c>
      <c r="GM121" s="5" t="s">
        <v>266</v>
      </c>
      <c r="GN121" s="5" t="s">
        <v>234</v>
      </c>
      <c r="GO121" s="5" t="s">
        <v>234</v>
      </c>
      <c r="GP121" s="5" t="s">
        <v>234</v>
      </c>
      <c r="GQ121" s="5" t="s">
        <v>234</v>
      </c>
      <c r="GR121" s="5" t="s">
        <v>234</v>
      </c>
      <c r="GS121" s="5" t="s">
        <v>234</v>
      </c>
      <c r="GT121" s="5" t="s">
        <v>234</v>
      </c>
      <c r="GU121" s="5" t="s">
        <v>467</v>
      </c>
      <c r="GV121" s="5" t="str">
        <f>TEXT("6278850765312871259","0")</f>
        <v>6278850765312870000</v>
      </c>
    </row>
    <row r="122" spans="1:204" ht="15.75" customHeight="1" x14ac:dyDescent="0.15">
      <c r="A122" s="1">
        <f t="shared" si="255"/>
        <v>122</v>
      </c>
      <c r="B122" s="4">
        <v>45847.489918981482</v>
      </c>
      <c r="C122" s="5" t="s">
        <v>204</v>
      </c>
      <c r="D122" s="5" t="s">
        <v>204</v>
      </c>
      <c r="E122" s="5" t="s">
        <v>335</v>
      </c>
      <c r="F122" s="5" t="s">
        <v>206</v>
      </c>
      <c r="G122" s="5" t="s">
        <v>206</v>
      </c>
      <c r="H122" s="5" t="s">
        <v>206</v>
      </c>
      <c r="J122" s="5" t="s">
        <v>209</v>
      </c>
      <c r="N122" s="5" t="s">
        <v>208</v>
      </c>
      <c r="S122" s="5" t="s">
        <v>208</v>
      </c>
      <c r="X122" s="5" t="s">
        <v>208</v>
      </c>
      <c r="AE122" s="5" t="s">
        <v>237</v>
      </c>
      <c r="AH122" s="5" t="s">
        <v>275</v>
      </c>
      <c r="AI122" s="5">
        <v>2017</v>
      </c>
      <c r="AJ122" s="5" t="s">
        <v>238</v>
      </c>
      <c r="AK122" s="5" t="str">
        <f t="shared" si="256"/>
        <v>Trabajadora por cuenta propia</v>
      </c>
      <c r="AL122" s="5" t="s">
        <v>239</v>
      </c>
      <c r="AP122" s="5" t="s">
        <v>284</v>
      </c>
      <c r="AR122" s="5" t="s">
        <v>241</v>
      </c>
      <c r="AS122" s="5" t="s">
        <v>241</v>
      </c>
      <c r="AT122" s="5" t="s">
        <v>261</v>
      </c>
      <c r="AU122" s="5" t="s">
        <v>261</v>
      </c>
      <c r="AV122" s="5" t="s">
        <v>213</v>
      </c>
      <c r="AW122" s="5" t="s">
        <v>206</v>
      </c>
      <c r="BF122" s="5" t="s">
        <v>204</v>
      </c>
      <c r="BG122" s="5" t="s">
        <v>278</v>
      </c>
      <c r="BH122" s="5" t="s">
        <v>264</v>
      </c>
      <c r="BI122" s="5" t="s">
        <v>207</v>
      </c>
      <c r="BJ122" s="5" t="s">
        <v>264</v>
      </c>
      <c r="BK122" s="5" t="s">
        <v>243</v>
      </c>
      <c r="BL122" s="5" t="s">
        <v>243</v>
      </c>
      <c r="BM122" s="5" t="s">
        <v>243</v>
      </c>
      <c r="BN122" s="5" t="s">
        <v>243</v>
      </c>
      <c r="BO122" s="5" t="s">
        <v>243</v>
      </c>
      <c r="BP122" s="5" t="s">
        <v>243</v>
      </c>
      <c r="BQ122" s="5" t="s">
        <v>243</v>
      </c>
      <c r="BR122" s="5" t="s">
        <v>243</v>
      </c>
      <c r="BS122" s="5" t="s">
        <v>247</v>
      </c>
      <c r="BT122" s="5" t="s">
        <v>217</v>
      </c>
      <c r="BU122" s="5" t="s">
        <v>247</v>
      </c>
      <c r="BV122" s="5" t="s">
        <v>247</v>
      </c>
      <c r="BW122" s="5" t="s">
        <v>247</v>
      </c>
      <c r="BX122" s="5" t="s">
        <v>247</v>
      </c>
      <c r="BY122" s="5" t="s">
        <v>247</v>
      </c>
      <c r="CD122" s="5" t="s">
        <v>206</v>
      </c>
      <c r="CH122" s="5" t="s">
        <v>310</v>
      </c>
      <c r="CI122" s="5" t="s">
        <v>307</v>
      </c>
      <c r="CJ122" s="5">
        <v>2</v>
      </c>
      <c r="CK122" s="5" t="s">
        <v>223</v>
      </c>
      <c r="CU122" s="5" t="s">
        <v>206</v>
      </c>
      <c r="DA122" s="5" t="s">
        <v>231</v>
      </c>
      <c r="DB122" s="5">
        <f t="shared" si="257"/>
        <v>2</v>
      </c>
      <c r="DC122" s="5" t="s">
        <v>251</v>
      </c>
      <c r="DD122" s="5">
        <f t="shared" si="258"/>
        <v>1</v>
      </c>
      <c r="DE122" s="5" t="s">
        <v>251</v>
      </c>
      <c r="DF122" s="5">
        <f t="shared" si="259"/>
        <v>1</v>
      </c>
      <c r="DG122" s="5" t="s">
        <v>251</v>
      </c>
      <c r="DH122" s="5">
        <f t="shared" si="260"/>
        <v>1</v>
      </c>
      <c r="DI122" s="5" t="s">
        <v>251</v>
      </c>
      <c r="DJ122" s="5">
        <f t="shared" si="261"/>
        <v>1</v>
      </c>
      <c r="DK122" s="5" t="s">
        <v>251</v>
      </c>
      <c r="DL122" s="5">
        <f t="shared" si="262"/>
        <v>1</v>
      </c>
      <c r="DM122" s="5" t="s">
        <v>251</v>
      </c>
      <c r="DN122" s="5">
        <f t="shared" si="263"/>
        <v>1</v>
      </c>
      <c r="DO122" s="5" t="s">
        <v>229</v>
      </c>
      <c r="DP122" s="5">
        <f t="shared" si="264"/>
        <v>4</v>
      </c>
      <c r="DQ122" s="5" t="s">
        <v>281</v>
      </c>
      <c r="DR122" s="5">
        <f t="shared" si="265"/>
        <v>1</v>
      </c>
      <c r="DS122" s="5" t="s">
        <v>281</v>
      </c>
      <c r="DT122" s="5">
        <f t="shared" si="266"/>
        <v>1</v>
      </c>
      <c r="DU122" s="5" t="s">
        <v>281</v>
      </c>
      <c r="DV122" s="5">
        <f t="shared" si="267"/>
        <v>1</v>
      </c>
      <c r="DW122" s="5" t="s">
        <v>281</v>
      </c>
      <c r="DX122" s="5">
        <f t="shared" si="268"/>
        <v>1</v>
      </c>
      <c r="DY122" s="5">
        <f t="shared" si="269"/>
        <v>16</v>
      </c>
      <c r="DZ122" s="5" t="str">
        <f t="shared" si="270"/>
        <v>Nivel de riesgo bajo</v>
      </c>
      <c r="EA122" s="5" t="s">
        <v>248</v>
      </c>
      <c r="EB122" s="5">
        <f t="shared" si="271"/>
        <v>1</v>
      </c>
      <c r="EC122" s="5" t="s">
        <v>248</v>
      </c>
      <c r="ED122" s="5">
        <f t="shared" si="272"/>
        <v>1</v>
      </c>
      <c r="EE122" s="5" t="s">
        <v>248</v>
      </c>
      <c r="EF122" s="5">
        <f t="shared" si="273"/>
        <v>1</v>
      </c>
      <c r="EG122" s="5">
        <f t="shared" si="274"/>
        <v>3</v>
      </c>
      <c r="EH122" s="5" t="str">
        <f t="shared" si="275"/>
        <v>Nivel de riesgo medio</v>
      </c>
      <c r="EI122" s="5" t="s">
        <v>248</v>
      </c>
      <c r="EJ122" s="5">
        <f t="shared" si="276"/>
        <v>1</v>
      </c>
      <c r="EK122" s="5" t="s">
        <v>248</v>
      </c>
      <c r="EL122" s="5">
        <f t="shared" si="277"/>
        <v>1</v>
      </c>
      <c r="EM122" s="5" t="s">
        <v>248</v>
      </c>
      <c r="EN122" s="5">
        <f t="shared" si="278"/>
        <v>1</v>
      </c>
      <c r="EO122" s="5">
        <f t="shared" si="279"/>
        <v>3</v>
      </c>
      <c r="EP122" s="5" t="str">
        <f t="shared" si="280"/>
        <v>Nivel de riesgo medio</v>
      </c>
      <c r="EQ122" s="5" t="s">
        <v>248</v>
      </c>
      <c r="ER122" s="5">
        <f t="shared" si="281"/>
        <v>3</v>
      </c>
      <c r="ES122" s="5" t="s">
        <v>248</v>
      </c>
      <c r="ET122" s="5">
        <f t="shared" si="282"/>
        <v>3</v>
      </c>
      <c r="EU122" s="5" t="s">
        <v>248</v>
      </c>
      <c r="EV122" s="5">
        <f t="shared" si="283"/>
        <v>3</v>
      </c>
      <c r="EW122" s="5" t="s">
        <v>248</v>
      </c>
      <c r="EX122" s="5">
        <f t="shared" si="284"/>
        <v>3</v>
      </c>
      <c r="EY122" s="5">
        <f t="shared" si="285"/>
        <v>12</v>
      </c>
      <c r="EZ122" s="5" t="str">
        <f t="shared" si="286"/>
        <v>Nivel de riesgo alto</v>
      </c>
      <c r="FA122" s="5" t="s">
        <v>248</v>
      </c>
      <c r="FB122" s="5">
        <f t="shared" si="287"/>
        <v>1</v>
      </c>
      <c r="FC122" s="5" t="s">
        <v>248</v>
      </c>
      <c r="FD122" s="5">
        <f t="shared" si="288"/>
        <v>1</v>
      </c>
      <c r="FE122" s="5" t="s">
        <v>248</v>
      </c>
      <c r="FF122" s="5">
        <f t="shared" si="289"/>
        <v>1</v>
      </c>
      <c r="FG122" s="5">
        <f t="shared" si="290"/>
        <v>3</v>
      </c>
      <c r="FH122" s="5" t="str">
        <f t="shared" si="291"/>
        <v>Nivel de riesgo medio</v>
      </c>
      <c r="FI122" s="5" t="s">
        <v>248</v>
      </c>
      <c r="FJ122" s="5">
        <f t="shared" si="292"/>
        <v>1</v>
      </c>
      <c r="FK122" s="5" t="s">
        <v>248</v>
      </c>
      <c r="FL122" s="5">
        <f t="shared" si="293"/>
        <v>1</v>
      </c>
      <c r="FM122" s="5" t="s">
        <v>248</v>
      </c>
      <c r="FN122" s="5">
        <f t="shared" si="294"/>
        <v>1</v>
      </c>
      <c r="FO122" s="5">
        <f t="shared" si="295"/>
        <v>3</v>
      </c>
      <c r="FP122" s="5" t="str">
        <f t="shared" si="296"/>
        <v>Nivel de riesgo medio</v>
      </c>
      <c r="FQ122" s="5" t="s">
        <v>206</v>
      </c>
      <c r="FR122" s="5">
        <f t="shared" si="297"/>
        <v>0</v>
      </c>
      <c r="FS122" s="5" t="s">
        <v>206</v>
      </c>
      <c r="FT122" s="5">
        <f t="shared" si="298"/>
        <v>0</v>
      </c>
      <c r="FU122" s="5" t="s">
        <v>206</v>
      </c>
      <c r="FV122" s="5">
        <f t="shared" si="299"/>
        <v>0</v>
      </c>
      <c r="FW122" s="5" t="s">
        <v>206</v>
      </c>
      <c r="FX122" s="5">
        <f t="shared" si="300"/>
        <v>0</v>
      </c>
      <c r="FY122" s="5" t="s">
        <v>206</v>
      </c>
      <c r="FZ122" s="5">
        <f t="shared" si="301"/>
        <v>0</v>
      </c>
      <c r="GA122" s="5" t="s">
        <v>206</v>
      </c>
      <c r="GB122" s="5">
        <f t="shared" si="302"/>
        <v>0</v>
      </c>
      <c r="GC122" s="5" t="s">
        <v>206</v>
      </c>
      <c r="GD122" s="5">
        <f t="shared" si="303"/>
        <v>0</v>
      </c>
      <c r="GE122" s="5">
        <f t="shared" si="304"/>
        <v>0</v>
      </c>
      <c r="GF122" s="5" t="str">
        <f t="shared" si="305"/>
        <v>Nivel de riesgo bajo</v>
      </c>
      <c r="GG122" s="5" t="s">
        <v>255</v>
      </c>
      <c r="GH122" s="5" t="s">
        <v>255</v>
      </c>
      <c r="GI122" s="5" t="s">
        <v>255</v>
      </c>
      <c r="GJ122" s="5" t="s">
        <v>255</v>
      </c>
      <c r="GK122" s="5" t="s">
        <v>255</v>
      </c>
      <c r="GL122" s="5" t="s">
        <v>255</v>
      </c>
      <c r="GM122" s="5" t="s">
        <v>255</v>
      </c>
      <c r="GN122" s="5" t="s">
        <v>256</v>
      </c>
      <c r="GO122" s="5" t="s">
        <v>257</v>
      </c>
      <c r="GP122" s="5" t="s">
        <v>257</v>
      </c>
      <c r="GQ122" s="5" t="s">
        <v>257</v>
      </c>
      <c r="GR122" s="5" t="s">
        <v>257</v>
      </c>
      <c r="GS122" s="5" t="s">
        <v>257</v>
      </c>
      <c r="GT122" s="5" t="s">
        <v>257</v>
      </c>
      <c r="GU122" s="5" t="s">
        <v>468</v>
      </c>
      <c r="GV122" s="5" t="str">
        <f>TEXT("6278851297777362478","0")</f>
        <v>6278851297777360000</v>
      </c>
    </row>
    <row r="123" spans="1:204" ht="15.75" customHeight="1" x14ac:dyDescent="0.15">
      <c r="A123" s="1">
        <f t="shared" si="255"/>
        <v>123</v>
      </c>
      <c r="B123" s="4">
        <v>45847.491331018522</v>
      </c>
      <c r="C123" s="5" t="s">
        <v>204</v>
      </c>
      <c r="D123" s="5" t="s">
        <v>204</v>
      </c>
      <c r="E123" s="5" t="s">
        <v>335</v>
      </c>
      <c r="F123" s="5" t="s">
        <v>204</v>
      </c>
      <c r="G123" s="5" t="s">
        <v>204</v>
      </c>
      <c r="H123" s="5" t="s">
        <v>206</v>
      </c>
      <c r="J123" s="5" t="s">
        <v>209</v>
      </c>
      <c r="O123" s="5" t="s">
        <v>209</v>
      </c>
      <c r="S123" s="5" t="s">
        <v>208</v>
      </c>
      <c r="X123" s="5" t="s">
        <v>208</v>
      </c>
      <c r="AC123" s="5" t="s">
        <v>208</v>
      </c>
      <c r="AH123" s="5" t="s">
        <v>259</v>
      </c>
      <c r="AI123" s="5">
        <v>1998</v>
      </c>
      <c r="AJ123" s="5" t="s">
        <v>238</v>
      </c>
      <c r="AK123" s="5" t="str">
        <f t="shared" si="256"/>
        <v>Trabajadora por cuenta propia</v>
      </c>
      <c r="AL123" s="5" t="s">
        <v>239</v>
      </c>
      <c r="AP123" s="5" t="s">
        <v>469</v>
      </c>
      <c r="AR123" s="5" t="s">
        <v>241</v>
      </c>
      <c r="AS123" s="5" t="s">
        <v>241</v>
      </c>
      <c r="AT123" s="5" t="s">
        <v>241</v>
      </c>
      <c r="AU123" s="5" t="s">
        <v>241</v>
      </c>
      <c r="AV123" s="5" t="s">
        <v>213</v>
      </c>
      <c r="AW123" s="5" t="s">
        <v>206</v>
      </c>
      <c r="BF123" s="5" t="s">
        <v>204</v>
      </c>
      <c r="BG123" s="5" t="s">
        <v>278</v>
      </c>
      <c r="BH123" s="5" t="s">
        <v>278</v>
      </c>
      <c r="BI123" s="5" t="s">
        <v>271</v>
      </c>
      <c r="BJ123" s="5" t="s">
        <v>271</v>
      </c>
      <c r="BK123" s="5" t="s">
        <v>243</v>
      </c>
      <c r="BL123" s="5" t="s">
        <v>243</v>
      </c>
      <c r="BM123" s="5" t="s">
        <v>243</v>
      </c>
      <c r="BN123" s="5" t="s">
        <v>245</v>
      </c>
      <c r="BO123" s="5" t="s">
        <v>243</v>
      </c>
      <c r="BP123" s="5" t="s">
        <v>243</v>
      </c>
      <c r="BQ123" s="5" t="s">
        <v>245</v>
      </c>
      <c r="BR123" s="5" t="s">
        <v>245</v>
      </c>
      <c r="BS123" s="5" t="s">
        <v>232</v>
      </c>
      <c r="BT123" s="5" t="s">
        <v>232</v>
      </c>
      <c r="BU123" s="5" t="s">
        <v>254</v>
      </c>
      <c r="BV123" s="5" t="s">
        <v>232</v>
      </c>
      <c r="BW123" s="5" t="s">
        <v>254</v>
      </c>
      <c r="BX123" s="5" t="s">
        <v>254</v>
      </c>
      <c r="BY123" s="5" t="s">
        <v>254</v>
      </c>
      <c r="CD123" s="5" t="s">
        <v>206</v>
      </c>
      <c r="CH123" s="5" t="s">
        <v>470</v>
      </c>
      <c r="CI123" s="5" t="s">
        <v>332</v>
      </c>
      <c r="CJ123" s="5">
        <v>2</v>
      </c>
      <c r="CK123" s="5" t="s">
        <v>223</v>
      </c>
      <c r="CU123" s="5" t="s">
        <v>206</v>
      </c>
      <c r="DA123" s="5" t="s">
        <v>252</v>
      </c>
      <c r="DB123" s="5">
        <f t="shared" si="257"/>
        <v>3</v>
      </c>
      <c r="DC123" s="5" t="s">
        <v>250</v>
      </c>
      <c r="DD123" s="5">
        <f t="shared" si="258"/>
        <v>3</v>
      </c>
      <c r="DE123" s="5" t="s">
        <v>250</v>
      </c>
      <c r="DF123" s="5">
        <f t="shared" si="259"/>
        <v>3</v>
      </c>
      <c r="DG123" s="5" t="s">
        <v>250</v>
      </c>
      <c r="DH123" s="5">
        <f t="shared" si="260"/>
        <v>3</v>
      </c>
      <c r="DI123" s="5" t="s">
        <v>250</v>
      </c>
      <c r="DJ123" s="5">
        <f t="shared" si="261"/>
        <v>3</v>
      </c>
      <c r="DK123" s="5" t="s">
        <v>250</v>
      </c>
      <c r="DL123" s="5">
        <f t="shared" si="262"/>
        <v>3</v>
      </c>
      <c r="DM123" s="5" t="s">
        <v>251</v>
      </c>
      <c r="DN123" s="5">
        <f t="shared" si="263"/>
        <v>1</v>
      </c>
      <c r="DO123" s="5" t="s">
        <v>281</v>
      </c>
      <c r="DP123" s="5">
        <f t="shared" si="264"/>
        <v>1</v>
      </c>
      <c r="DQ123" s="5" t="s">
        <v>281</v>
      </c>
      <c r="DR123" s="5">
        <f t="shared" si="265"/>
        <v>1</v>
      </c>
      <c r="DS123" s="5" t="s">
        <v>229</v>
      </c>
      <c r="DT123" s="5">
        <f t="shared" si="266"/>
        <v>4</v>
      </c>
      <c r="DU123" s="5" t="s">
        <v>281</v>
      </c>
      <c r="DV123" s="5">
        <f t="shared" si="267"/>
        <v>1</v>
      </c>
      <c r="DW123" s="5" t="s">
        <v>229</v>
      </c>
      <c r="DX123" s="5">
        <f t="shared" si="268"/>
        <v>4</v>
      </c>
      <c r="DY123" s="5">
        <f t="shared" si="269"/>
        <v>30</v>
      </c>
      <c r="DZ123" s="5" t="str">
        <f t="shared" si="270"/>
        <v>Nivel de riesgo alto</v>
      </c>
      <c r="EA123" s="5" t="s">
        <v>232</v>
      </c>
      <c r="EB123" s="5">
        <f t="shared" si="271"/>
        <v>3</v>
      </c>
      <c r="EC123" s="5" t="s">
        <v>232</v>
      </c>
      <c r="ED123" s="5">
        <f t="shared" si="272"/>
        <v>3</v>
      </c>
      <c r="EE123" s="5" t="s">
        <v>248</v>
      </c>
      <c r="EF123" s="5">
        <f t="shared" si="273"/>
        <v>1</v>
      </c>
      <c r="EG123" s="5">
        <f t="shared" si="274"/>
        <v>7</v>
      </c>
      <c r="EH123" s="5" t="str">
        <f t="shared" si="275"/>
        <v>Nivel de riesgo alto</v>
      </c>
      <c r="EI123" s="5" t="s">
        <v>248</v>
      </c>
      <c r="EJ123" s="5">
        <f t="shared" si="276"/>
        <v>1</v>
      </c>
      <c r="EK123" s="5" t="s">
        <v>248</v>
      </c>
      <c r="EL123" s="5">
        <f t="shared" si="277"/>
        <v>1</v>
      </c>
      <c r="EM123" s="5" t="s">
        <v>254</v>
      </c>
      <c r="EN123" s="5">
        <f t="shared" si="278"/>
        <v>4</v>
      </c>
      <c r="EO123" s="5">
        <f t="shared" si="279"/>
        <v>6</v>
      </c>
      <c r="EP123" s="5" t="str">
        <f t="shared" si="280"/>
        <v>Nivel de riesgo alto</v>
      </c>
      <c r="EQ123" s="5" t="s">
        <v>247</v>
      </c>
      <c r="ER123" s="5">
        <f t="shared" si="281"/>
        <v>2</v>
      </c>
      <c r="ES123" s="5" t="s">
        <v>248</v>
      </c>
      <c r="ET123" s="5">
        <f t="shared" si="282"/>
        <v>3</v>
      </c>
      <c r="EU123" s="5" t="s">
        <v>253</v>
      </c>
      <c r="EV123" s="5">
        <f t="shared" si="283"/>
        <v>4</v>
      </c>
      <c r="EW123" s="5" t="s">
        <v>254</v>
      </c>
      <c r="EX123" s="5">
        <f t="shared" si="284"/>
        <v>0</v>
      </c>
      <c r="EY123" s="5">
        <f t="shared" si="285"/>
        <v>9</v>
      </c>
      <c r="EZ123" s="5" t="str">
        <f t="shared" si="286"/>
        <v>Nivel de riesgo alto</v>
      </c>
      <c r="FA123" s="5" t="s">
        <v>248</v>
      </c>
      <c r="FB123" s="5">
        <f t="shared" si="287"/>
        <v>1</v>
      </c>
      <c r="FC123" s="5" t="s">
        <v>248</v>
      </c>
      <c r="FD123" s="5">
        <f t="shared" si="288"/>
        <v>1</v>
      </c>
      <c r="FE123" s="5" t="s">
        <v>253</v>
      </c>
      <c r="FF123" s="5">
        <f t="shared" si="289"/>
        <v>0</v>
      </c>
      <c r="FG123" s="5">
        <f t="shared" si="290"/>
        <v>2</v>
      </c>
      <c r="FH123" s="5" t="str">
        <f t="shared" si="291"/>
        <v>Nivel de riesgo bajo</v>
      </c>
      <c r="FI123" s="5" t="s">
        <v>253</v>
      </c>
      <c r="FJ123" s="5">
        <f t="shared" si="292"/>
        <v>0</v>
      </c>
      <c r="FK123" s="5" t="s">
        <v>254</v>
      </c>
      <c r="FL123" s="5">
        <f t="shared" si="293"/>
        <v>4</v>
      </c>
      <c r="FM123" s="5" t="s">
        <v>254</v>
      </c>
      <c r="FN123" s="5">
        <f t="shared" si="294"/>
        <v>4</v>
      </c>
      <c r="FO123" s="5">
        <f t="shared" si="295"/>
        <v>8</v>
      </c>
      <c r="FP123" s="5" t="str">
        <f t="shared" si="296"/>
        <v>Nivel de riesgo alto</v>
      </c>
      <c r="FQ123" s="5" t="s">
        <v>206</v>
      </c>
      <c r="FR123" s="5">
        <f t="shared" si="297"/>
        <v>0</v>
      </c>
      <c r="FS123" s="5" t="s">
        <v>206</v>
      </c>
      <c r="FT123" s="5">
        <f t="shared" si="298"/>
        <v>0</v>
      </c>
      <c r="FU123" s="5" t="s">
        <v>206</v>
      </c>
      <c r="FV123" s="5">
        <f t="shared" si="299"/>
        <v>0</v>
      </c>
      <c r="FW123" s="5" t="s">
        <v>206</v>
      </c>
      <c r="FX123" s="5">
        <f t="shared" si="300"/>
        <v>0</v>
      </c>
      <c r="FY123" s="5" t="s">
        <v>206</v>
      </c>
      <c r="FZ123" s="5">
        <f t="shared" si="301"/>
        <v>0</v>
      </c>
      <c r="GA123" s="5" t="s">
        <v>206</v>
      </c>
      <c r="GB123" s="5">
        <f t="shared" si="302"/>
        <v>0</v>
      </c>
      <c r="GC123" s="5" t="s">
        <v>206</v>
      </c>
      <c r="GD123" s="5">
        <f t="shared" si="303"/>
        <v>0</v>
      </c>
      <c r="GE123" s="5">
        <f t="shared" si="304"/>
        <v>0</v>
      </c>
      <c r="GF123" s="5" t="str">
        <f t="shared" si="305"/>
        <v>Nivel de riesgo bajo</v>
      </c>
      <c r="GG123" s="5" t="s">
        <v>255</v>
      </c>
      <c r="GH123" s="5" t="s">
        <v>255</v>
      </c>
      <c r="GI123" s="5" t="s">
        <v>255</v>
      </c>
      <c r="GJ123" s="5" t="s">
        <v>298</v>
      </c>
      <c r="GK123" s="5" t="s">
        <v>233</v>
      </c>
      <c r="GL123" s="5" t="s">
        <v>298</v>
      </c>
      <c r="GM123" s="5" t="s">
        <v>298</v>
      </c>
      <c r="GN123" s="5" t="s">
        <v>256</v>
      </c>
      <c r="GO123" s="5" t="s">
        <v>257</v>
      </c>
      <c r="GP123" s="5" t="s">
        <v>234</v>
      </c>
      <c r="GQ123" s="5" t="s">
        <v>234</v>
      </c>
      <c r="GR123" s="5" t="s">
        <v>234</v>
      </c>
      <c r="GS123" s="5" t="s">
        <v>234</v>
      </c>
      <c r="GT123" s="5" t="s">
        <v>257</v>
      </c>
      <c r="GU123" s="5" t="s">
        <v>471</v>
      </c>
      <c r="GV123" s="5" t="str">
        <f>TEXT("6278852519321138653","0")</f>
        <v>6278852519321130000</v>
      </c>
    </row>
    <row r="124" spans="1:204" ht="15.75" customHeight="1" x14ac:dyDescent="0.15">
      <c r="A124" s="1">
        <f t="shared" si="255"/>
        <v>124</v>
      </c>
      <c r="B124" s="4">
        <v>45847.495439814818</v>
      </c>
      <c r="C124" s="5" t="s">
        <v>204</v>
      </c>
      <c r="D124" s="5" t="s">
        <v>206</v>
      </c>
      <c r="F124" s="5" t="s">
        <v>204</v>
      </c>
      <c r="G124" s="5" t="s">
        <v>206</v>
      </c>
      <c r="H124" s="5" t="s">
        <v>206</v>
      </c>
      <c r="K124" s="5" t="s">
        <v>237</v>
      </c>
      <c r="P124" s="5" t="s">
        <v>237</v>
      </c>
      <c r="U124" s="5" t="s">
        <v>237</v>
      </c>
      <c r="Y124" s="5" t="s">
        <v>209</v>
      </c>
      <c r="AE124" s="5" t="s">
        <v>237</v>
      </c>
      <c r="AH124" s="5" t="s">
        <v>268</v>
      </c>
      <c r="AI124" s="5">
        <v>2002</v>
      </c>
      <c r="AJ124" s="5" t="s">
        <v>337</v>
      </c>
      <c r="AK124" s="5" t="str">
        <f t="shared" si="256"/>
        <v>Asalariada</v>
      </c>
      <c r="AQ124" s="5" t="s">
        <v>204</v>
      </c>
      <c r="AR124" s="5" t="s">
        <v>241</v>
      </c>
      <c r="AS124" s="5" t="s">
        <v>241</v>
      </c>
      <c r="AT124" s="5" t="s">
        <v>261</v>
      </c>
      <c r="AU124" s="5" t="s">
        <v>261</v>
      </c>
      <c r="AV124" s="5" t="s">
        <v>269</v>
      </c>
      <c r="AW124" s="5" t="s">
        <v>204</v>
      </c>
      <c r="AX124" s="5" t="s">
        <v>204</v>
      </c>
      <c r="AY124" s="5" t="s">
        <v>214</v>
      </c>
      <c r="AZ124" s="5" t="s">
        <v>204</v>
      </c>
      <c r="BA124" s="5" t="s">
        <v>295</v>
      </c>
      <c r="BB124" s="5" t="s">
        <v>204</v>
      </c>
      <c r="BC124" s="5" t="s">
        <v>204</v>
      </c>
      <c r="BD124" s="5" t="s">
        <v>290</v>
      </c>
      <c r="BE124" s="5" t="s">
        <v>204</v>
      </c>
      <c r="BF124" s="5" t="s">
        <v>204</v>
      </c>
      <c r="BG124" s="5" t="s">
        <v>278</v>
      </c>
      <c r="BH124" s="5" t="s">
        <v>278</v>
      </c>
      <c r="BI124" s="5" t="s">
        <v>278</v>
      </c>
      <c r="BJ124" s="5" t="s">
        <v>278</v>
      </c>
      <c r="BK124" s="5" t="s">
        <v>243</v>
      </c>
      <c r="BL124" s="5" t="s">
        <v>243</v>
      </c>
      <c r="BM124" s="5" t="s">
        <v>243</v>
      </c>
      <c r="BN124" s="5" t="s">
        <v>244</v>
      </c>
      <c r="BO124" s="5" t="s">
        <v>244</v>
      </c>
      <c r="BP124" s="5" t="s">
        <v>244</v>
      </c>
      <c r="BQ124" s="5" t="s">
        <v>216</v>
      </c>
      <c r="BR124" s="5" t="s">
        <v>216</v>
      </c>
      <c r="BS124" s="5" t="s">
        <v>232</v>
      </c>
      <c r="BT124" s="5" t="s">
        <v>232</v>
      </c>
      <c r="BU124" s="5" t="s">
        <v>247</v>
      </c>
      <c r="BV124" s="5" t="s">
        <v>247</v>
      </c>
      <c r="BW124" s="5" t="s">
        <v>232</v>
      </c>
      <c r="BX124" s="5" t="s">
        <v>232</v>
      </c>
      <c r="BY124" s="5" t="s">
        <v>248</v>
      </c>
      <c r="BZ124" s="5" t="s">
        <v>244</v>
      </c>
      <c r="CA124" s="5" t="s">
        <v>244</v>
      </c>
      <c r="CB124" s="5" t="s">
        <v>244</v>
      </c>
      <c r="CC124" s="5" t="s">
        <v>244</v>
      </c>
      <c r="CD124" s="5" t="s">
        <v>204</v>
      </c>
      <c r="CE124" s="5" t="s">
        <v>218</v>
      </c>
      <c r="CF124" s="5" t="s">
        <v>279</v>
      </c>
      <c r="CG124" s="5" t="s">
        <v>206</v>
      </c>
      <c r="CH124" s="5" t="s">
        <v>206</v>
      </c>
      <c r="CI124" s="5" t="s">
        <v>332</v>
      </c>
      <c r="CJ124" s="5">
        <v>4</v>
      </c>
      <c r="CK124" s="5" t="s">
        <v>223</v>
      </c>
      <c r="CU124" s="5" t="s">
        <v>206</v>
      </c>
      <c r="DA124" s="5" t="s">
        <v>231</v>
      </c>
      <c r="DB124" s="5">
        <f t="shared" si="257"/>
        <v>2</v>
      </c>
      <c r="DC124" s="5" t="s">
        <v>251</v>
      </c>
      <c r="DD124" s="5">
        <f t="shared" si="258"/>
        <v>1</v>
      </c>
      <c r="DE124" s="5" t="s">
        <v>251</v>
      </c>
      <c r="DF124" s="5">
        <f t="shared" si="259"/>
        <v>1</v>
      </c>
      <c r="DG124" s="5" t="s">
        <v>251</v>
      </c>
      <c r="DH124" s="5">
        <f t="shared" si="260"/>
        <v>1</v>
      </c>
      <c r="DI124" s="5" t="s">
        <v>251</v>
      </c>
      <c r="DJ124" s="5">
        <f t="shared" si="261"/>
        <v>1</v>
      </c>
      <c r="DK124" s="5" t="s">
        <v>251</v>
      </c>
      <c r="DL124" s="5">
        <f t="shared" si="262"/>
        <v>1</v>
      </c>
      <c r="DM124" s="5" t="s">
        <v>251</v>
      </c>
      <c r="DN124" s="5">
        <f t="shared" si="263"/>
        <v>1</v>
      </c>
      <c r="DO124" s="5" t="s">
        <v>281</v>
      </c>
      <c r="DP124" s="5">
        <f t="shared" si="264"/>
        <v>1</v>
      </c>
      <c r="DQ124" s="5" t="s">
        <v>281</v>
      </c>
      <c r="DR124" s="5">
        <f t="shared" si="265"/>
        <v>1</v>
      </c>
      <c r="DS124" s="5" t="s">
        <v>281</v>
      </c>
      <c r="DT124" s="5">
        <f t="shared" si="266"/>
        <v>1</v>
      </c>
      <c r="DU124" s="5" t="s">
        <v>281</v>
      </c>
      <c r="DV124" s="5">
        <f t="shared" si="267"/>
        <v>1</v>
      </c>
      <c r="DW124" s="5" t="s">
        <v>281</v>
      </c>
      <c r="DX124" s="5">
        <f t="shared" si="268"/>
        <v>1</v>
      </c>
      <c r="DY124" s="5">
        <f t="shared" si="269"/>
        <v>13</v>
      </c>
      <c r="DZ124" s="5" t="str">
        <f t="shared" si="270"/>
        <v>Nivel de riesgo bajo</v>
      </c>
      <c r="EA124" s="5" t="s">
        <v>232</v>
      </c>
      <c r="EB124" s="5">
        <f t="shared" si="271"/>
        <v>3</v>
      </c>
      <c r="EC124" s="5" t="s">
        <v>247</v>
      </c>
      <c r="ED124" s="5">
        <f t="shared" si="272"/>
        <v>2</v>
      </c>
      <c r="EE124" s="5" t="s">
        <v>248</v>
      </c>
      <c r="EF124" s="5">
        <f t="shared" si="273"/>
        <v>1</v>
      </c>
      <c r="EG124" s="5">
        <f t="shared" si="274"/>
        <v>6</v>
      </c>
      <c r="EH124" s="5" t="str">
        <f t="shared" si="275"/>
        <v>Nivel de riesgo alto</v>
      </c>
      <c r="EI124" s="5" t="s">
        <v>232</v>
      </c>
      <c r="EJ124" s="5">
        <f t="shared" si="276"/>
        <v>3</v>
      </c>
      <c r="EK124" s="5" t="s">
        <v>232</v>
      </c>
      <c r="EL124" s="5">
        <f t="shared" si="277"/>
        <v>3</v>
      </c>
      <c r="EM124" s="5" t="s">
        <v>232</v>
      </c>
      <c r="EN124" s="5">
        <f t="shared" si="278"/>
        <v>3</v>
      </c>
      <c r="EO124" s="5">
        <f t="shared" si="279"/>
        <v>9</v>
      </c>
      <c r="EP124" s="5" t="str">
        <f t="shared" si="280"/>
        <v>Nivel de riesgo alto</v>
      </c>
      <c r="EQ124" s="5" t="s">
        <v>248</v>
      </c>
      <c r="ER124" s="5">
        <f t="shared" si="281"/>
        <v>3</v>
      </c>
      <c r="ES124" s="5" t="s">
        <v>248</v>
      </c>
      <c r="ET124" s="5">
        <f t="shared" si="282"/>
        <v>3</v>
      </c>
      <c r="EU124" s="5" t="s">
        <v>247</v>
      </c>
      <c r="EV124" s="5">
        <f t="shared" si="283"/>
        <v>2</v>
      </c>
      <c r="EW124" s="5" t="s">
        <v>232</v>
      </c>
      <c r="EX124" s="5">
        <f t="shared" si="284"/>
        <v>1</v>
      </c>
      <c r="EY124" s="5">
        <f t="shared" si="285"/>
        <v>9</v>
      </c>
      <c r="EZ124" s="5" t="str">
        <f t="shared" si="286"/>
        <v>Nivel de riesgo alto</v>
      </c>
      <c r="FA124" s="5" t="s">
        <v>247</v>
      </c>
      <c r="FB124" s="5">
        <f t="shared" si="287"/>
        <v>2</v>
      </c>
      <c r="FC124" s="5" t="s">
        <v>247</v>
      </c>
      <c r="FD124" s="5">
        <f t="shared" si="288"/>
        <v>2</v>
      </c>
      <c r="FE124" s="5" t="s">
        <v>247</v>
      </c>
      <c r="FF124" s="5">
        <f t="shared" si="289"/>
        <v>2</v>
      </c>
      <c r="FG124" s="5">
        <f t="shared" si="290"/>
        <v>6</v>
      </c>
      <c r="FH124" s="5" t="str">
        <f t="shared" si="291"/>
        <v>Nivel de riesgo alto</v>
      </c>
      <c r="FI124" s="5" t="s">
        <v>247</v>
      </c>
      <c r="FJ124" s="5">
        <f t="shared" si="292"/>
        <v>2</v>
      </c>
      <c r="FK124" s="5" t="s">
        <v>247</v>
      </c>
      <c r="FL124" s="5">
        <f t="shared" si="293"/>
        <v>2</v>
      </c>
      <c r="FM124" s="5" t="s">
        <v>247</v>
      </c>
      <c r="FN124" s="5">
        <f t="shared" si="294"/>
        <v>2</v>
      </c>
      <c r="FO124" s="5">
        <f t="shared" si="295"/>
        <v>6</v>
      </c>
      <c r="FP124" s="5" t="str">
        <f t="shared" si="296"/>
        <v>Nivel de riesgo alto</v>
      </c>
      <c r="FQ124" s="5" t="s">
        <v>206</v>
      </c>
      <c r="FR124" s="5">
        <f t="shared" si="297"/>
        <v>0</v>
      </c>
      <c r="FS124" s="5" t="s">
        <v>206</v>
      </c>
      <c r="FT124" s="5">
        <f t="shared" si="298"/>
        <v>0</v>
      </c>
      <c r="FU124" s="5" t="s">
        <v>206</v>
      </c>
      <c r="FV124" s="5">
        <f t="shared" si="299"/>
        <v>0</v>
      </c>
      <c r="FW124" s="5" t="s">
        <v>206</v>
      </c>
      <c r="FX124" s="5">
        <f t="shared" si="300"/>
        <v>0</v>
      </c>
      <c r="FY124" s="5" t="s">
        <v>206</v>
      </c>
      <c r="FZ124" s="5">
        <f t="shared" si="301"/>
        <v>0</v>
      </c>
      <c r="GA124" s="5" t="s">
        <v>206</v>
      </c>
      <c r="GB124" s="5">
        <f t="shared" si="302"/>
        <v>0</v>
      </c>
      <c r="GC124" s="5" t="s">
        <v>206</v>
      </c>
      <c r="GD124" s="5">
        <f t="shared" si="303"/>
        <v>0</v>
      </c>
      <c r="GE124" s="5">
        <f t="shared" si="304"/>
        <v>0</v>
      </c>
      <c r="GF124" s="5" t="str">
        <f t="shared" si="305"/>
        <v>Nivel de riesgo bajo</v>
      </c>
      <c r="GG124" s="5" t="s">
        <v>255</v>
      </c>
      <c r="GH124" s="5" t="s">
        <v>255</v>
      </c>
      <c r="GI124" s="5" t="s">
        <v>255</v>
      </c>
      <c r="GJ124" s="5" t="s">
        <v>255</v>
      </c>
      <c r="GK124" s="5" t="s">
        <v>233</v>
      </c>
      <c r="GL124" s="5" t="s">
        <v>273</v>
      </c>
      <c r="GM124" s="5" t="s">
        <v>233</v>
      </c>
      <c r="GN124" s="5" t="s">
        <v>256</v>
      </c>
      <c r="GO124" s="5" t="s">
        <v>256</v>
      </c>
      <c r="GP124" s="5" t="s">
        <v>256</v>
      </c>
      <c r="GQ124" s="5" t="s">
        <v>256</v>
      </c>
      <c r="GR124" s="5" t="s">
        <v>256</v>
      </c>
      <c r="GS124" s="5" t="s">
        <v>256</v>
      </c>
      <c r="GT124" s="5" t="s">
        <v>256</v>
      </c>
      <c r="GU124" s="5" t="s">
        <v>472</v>
      </c>
      <c r="GV124" s="5" t="str">
        <f>TEXT("6278856066919758574","0")</f>
        <v>6278856066919750000</v>
      </c>
    </row>
    <row r="125" spans="1:204" ht="15.75" customHeight="1" x14ac:dyDescent="0.15">
      <c r="A125" s="1">
        <f t="shared" si="255"/>
        <v>125</v>
      </c>
      <c r="B125" s="4">
        <v>45847.496770833335</v>
      </c>
      <c r="C125" s="5" t="s">
        <v>204</v>
      </c>
      <c r="D125" s="5" t="s">
        <v>206</v>
      </c>
      <c r="F125" s="5" t="s">
        <v>204</v>
      </c>
      <c r="G125" s="5" t="s">
        <v>204</v>
      </c>
      <c r="H125" s="5" t="s">
        <v>206</v>
      </c>
      <c r="L125" s="5" t="s">
        <v>236</v>
      </c>
      <c r="O125" s="5" t="s">
        <v>209</v>
      </c>
      <c r="T125" s="5" t="s">
        <v>209</v>
      </c>
      <c r="Y125" s="5" t="s">
        <v>209</v>
      </c>
      <c r="AG125" s="5" t="s">
        <v>207</v>
      </c>
      <c r="AH125" s="5" t="s">
        <v>275</v>
      </c>
      <c r="AI125" s="5">
        <v>2022</v>
      </c>
      <c r="AJ125" s="5" t="s">
        <v>238</v>
      </c>
      <c r="AK125" s="5" t="str">
        <f t="shared" si="256"/>
        <v>Trabajadora por cuenta propia</v>
      </c>
      <c r="AL125" s="5" t="s">
        <v>239</v>
      </c>
      <c r="AP125" s="5" t="s">
        <v>240</v>
      </c>
      <c r="AR125" s="5" t="s">
        <v>241</v>
      </c>
      <c r="AS125" s="5" t="s">
        <v>301</v>
      </c>
      <c r="AT125" s="5" t="s">
        <v>301</v>
      </c>
      <c r="AU125" s="5" t="s">
        <v>261</v>
      </c>
      <c r="AV125" s="5" t="s">
        <v>269</v>
      </c>
      <c r="AW125" s="5" t="s">
        <v>204</v>
      </c>
      <c r="AX125" s="5" t="s">
        <v>204</v>
      </c>
      <c r="AY125" s="5" t="s">
        <v>406</v>
      </c>
      <c r="AZ125" s="5" t="s">
        <v>204</v>
      </c>
      <c r="BA125" s="5" t="s">
        <v>263</v>
      </c>
      <c r="BF125" s="5" t="s">
        <v>204</v>
      </c>
      <c r="BG125" s="5" t="s">
        <v>278</v>
      </c>
      <c r="BH125" s="5" t="s">
        <v>278</v>
      </c>
      <c r="BI125" s="5" t="s">
        <v>278</v>
      </c>
      <c r="BJ125" s="5" t="s">
        <v>278</v>
      </c>
      <c r="BK125" s="5" t="s">
        <v>243</v>
      </c>
      <c r="BL125" s="5" t="s">
        <v>246</v>
      </c>
      <c r="BM125" s="5" t="s">
        <v>245</v>
      </c>
      <c r="BN125" s="5" t="s">
        <v>245</v>
      </c>
      <c r="BO125" s="5" t="s">
        <v>243</v>
      </c>
      <c r="BP125" s="5" t="s">
        <v>244</v>
      </c>
      <c r="BQ125" s="5" t="s">
        <v>243</v>
      </c>
      <c r="BR125" s="5" t="s">
        <v>243</v>
      </c>
      <c r="BS125" s="5" t="s">
        <v>247</v>
      </c>
      <c r="BT125" s="5" t="s">
        <v>248</v>
      </c>
      <c r="BU125" s="5" t="s">
        <v>217</v>
      </c>
      <c r="BV125" s="5" t="s">
        <v>217</v>
      </c>
      <c r="BW125" s="5" t="s">
        <v>248</v>
      </c>
      <c r="BX125" s="5" t="s">
        <v>248</v>
      </c>
      <c r="BY125" s="5" t="s">
        <v>248</v>
      </c>
      <c r="BZ125" s="5" t="s">
        <v>244</v>
      </c>
      <c r="CA125" s="5" t="s">
        <v>243</v>
      </c>
      <c r="CB125" s="5" t="s">
        <v>216</v>
      </c>
      <c r="CC125" s="5" t="s">
        <v>216</v>
      </c>
      <c r="CD125" s="5" t="s">
        <v>204</v>
      </c>
      <c r="CE125" s="5" t="s">
        <v>218</v>
      </c>
      <c r="CF125" s="5" t="s">
        <v>219</v>
      </c>
      <c r="CG125" s="5" t="s">
        <v>206</v>
      </c>
      <c r="CH125" s="5" t="s">
        <v>206</v>
      </c>
      <c r="CI125" s="5" t="s">
        <v>307</v>
      </c>
      <c r="CJ125" s="5">
        <v>2</v>
      </c>
      <c r="CK125" s="5" t="s">
        <v>223</v>
      </c>
      <c r="CU125" s="5" t="s">
        <v>206</v>
      </c>
      <c r="DA125" s="5" t="s">
        <v>272</v>
      </c>
      <c r="DB125" s="5">
        <f t="shared" si="257"/>
        <v>1</v>
      </c>
      <c r="DC125" s="5" t="s">
        <v>251</v>
      </c>
      <c r="DD125" s="5">
        <f t="shared" si="258"/>
        <v>1</v>
      </c>
      <c r="DE125" s="5" t="s">
        <v>230</v>
      </c>
      <c r="DF125" s="5">
        <f t="shared" si="259"/>
        <v>2</v>
      </c>
      <c r="DG125" s="5" t="s">
        <v>251</v>
      </c>
      <c r="DH125" s="5">
        <f t="shared" si="260"/>
        <v>1</v>
      </c>
      <c r="DI125" s="5" t="s">
        <v>251</v>
      </c>
      <c r="DJ125" s="5">
        <f t="shared" si="261"/>
        <v>1</v>
      </c>
      <c r="DK125" s="5" t="s">
        <v>251</v>
      </c>
      <c r="DL125" s="5">
        <f t="shared" si="262"/>
        <v>1</v>
      </c>
      <c r="DM125" s="5" t="s">
        <v>251</v>
      </c>
      <c r="DN125" s="5">
        <f t="shared" si="263"/>
        <v>1</v>
      </c>
      <c r="DO125" s="5" t="s">
        <v>231</v>
      </c>
      <c r="DP125" s="5">
        <f t="shared" si="264"/>
        <v>2</v>
      </c>
      <c r="DQ125" s="5" t="s">
        <v>231</v>
      </c>
      <c r="DR125" s="5">
        <f t="shared" si="265"/>
        <v>2</v>
      </c>
      <c r="DS125" s="5" t="s">
        <v>231</v>
      </c>
      <c r="DT125" s="5">
        <f t="shared" si="266"/>
        <v>2</v>
      </c>
      <c r="DU125" s="5" t="s">
        <v>231</v>
      </c>
      <c r="DV125" s="5">
        <f t="shared" si="267"/>
        <v>2</v>
      </c>
      <c r="DW125" s="5" t="s">
        <v>231</v>
      </c>
      <c r="DX125" s="5">
        <f t="shared" si="268"/>
        <v>2</v>
      </c>
      <c r="DY125" s="5">
        <f t="shared" si="269"/>
        <v>18</v>
      </c>
      <c r="DZ125" s="5" t="str">
        <f t="shared" si="270"/>
        <v>Nivel de riesgo bajo</v>
      </c>
      <c r="EA125" s="5" t="s">
        <v>253</v>
      </c>
      <c r="EB125" s="5">
        <f t="shared" si="271"/>
        <v>0</v>
      </c>
      <c r="EC125" s="5" t="s">
        <v>253</v>
      </c>
      <c r="ED125" s="5">
        <f t="shared" si="272"/>
        <v>0</v>
      </c>
      <c r="EE125" s="5" t="s">
        <v>253</v>
      </c>
      <c r="EF125" s="5">
        <f t="shared" si="273"/>
        <v>0</v>
      </c>
      <c r="EG125" s="5">
        <f t="shared" si="274"/>
        <v>0</v>
      </c>
      <c r="EH125" s="5" t="str">
        <f t="shared" si="275"/>
        <v>Nivel de riesgo bajo</v>
      </c>
      <c r="EI125" s="5" t="s">
        <v>253</v>
      </c>
      <c r="EJ125" s="5">
        <f t="shared" si="276"/>
        <v>0</v>
      </c>
      <c r="EK125" s="5" t="s">
        <v>253</v>
      </c>
      <c r="EL125" s="5">
        <f t="shared" si="277"/>
        <v>0</v>
      </c>
      <c r="EM125" s="5" t="s">
        <v>253</v>
      </c>
      <c r="EN125" s="5">
        <f t="shared" si="278"/>
        <v>0</v>
      </c>
      <c r="EO125" s="5">
        <f t="shared" si="279"/>
        <v>0</v>
      </c>
      <c r="EP125" s="5" t="str">
        <f t="shared" si="280"/>
        <v>Nivel de riesgo bajo</v>
      </c>
      <c r="EQ125" s="5" t="s">
        <v>253</v>
      </c>
      <c r="ER125" s="5">
        <f t="shared" si="281"/>
        <v>4</v>
      </c>
      <c r="ES125" s="5" t="s">
        <v>253</v>
      </c>
      <c r="ET125" s="5">
        <f t="shared" si="282"/>
        <v>4</v>
      </c>
      <c r="EU125" s="5" t="s">
        <v>253</v>
      </c>
      <c r="EV125" s="5">
        <f t="shared" si="283"/>
        <v>4</v>
      </c>
      <c r="EW125" s="5" t="s">
        <v>253</v>
      </c>
      <c r="EX125" s="5">
        <f t="shared" si="284"/>
        <v>4</v>
      </c>
      <c r="EY125" s="5">
        <f t="shared" si="285"/>
        <v>16</v>
      </c>
      <c r="EZ125" s="5" t="str">
        <f t="shared" si="286"/>
        <v>Nivel de riesgo alto</v>
      </c>
      <c r="FA125" s="5" t="s">
        <v>253</v>
      </c>
      <c r="FB125" s="5">
        <f t="shared" si="287"/>
        <v>0</v>
      </c>
      <c r="FC125" s="5" t="s">
        <v>253</v>
      </c>
      <c r="FD125" s="5">
        <f t="shared" si="288"/>
        <v>0</v>
      </c>
      <c r="FE125" s="5" t="s">
        <v>253</v>
      </c>
      <c r="FF125" s="5">
        <f t="shared" si="289"/>
        <v>0</v>
      </c>
      <c r="FG125" s="5">
        <f t="shared" si="290"/>
        <v>0</v>
      </c>
      <c r="FH125" s="5" t="str">
        <f t="shared" si="291"/>
        <v>Nivel de riesgo bajo</v>
      </c>
      <c r="FI125" s="5" t="s">
        <v>253</v>
      </c>
      <c r="FJ125" s="5">
        <f t="shared" si="292"/>
        <v>0</v>
      </c>
      <c r="FK125" s="5" t="s">
        <v>253</v>
      </c>
      <c r="FL125" s="5">
        <f t="shared" si="293"/>
        <v>0</v>
      </c>
      <c r="FM125" s="5" t="s">
        <v>253</v>
      </c>
      <c r="FN125" s="5">
        <f t="shared" si="294"/>
        <v>0</v>
      </c>
      <c r="FO125" s="5">
        <f t="shared" si="295"/>
        <v>0</v>
      </c>
      <c r="FP125" s="5" t="str">
        <f t="shared" si="296"/>
        <v>Nivel de riesgo bajo</v>
      </c>
      <c r="FQ125" s="5" t="s">
        <v>206</v>
      </c>
      <c r="FR125" s="5">
        <f t="shared" si="297"/>
        <v>0</v>
      </c>
      <c r="FS125" s="5" t="s">
        <v>206</v>
      </c>
      <c r="FT125" s="5">
        <f t="shared" si="298"/>
        <v>0</v>
      </c>
      <c r="FU125" s="5" t="s">
        <v>206</v>
      </c>
      <c r="FV125" s="5">
        <f t="shared" si="299"/>
        <v>0</v>
      </c>
      <c r="FW125" s="5" t="s">
        <v>206</v>
      </c>
      <c r="FX125" s="5">
        <f t="shared" si="300"/>
        <v>0</v>
      </c>
      <c r="FY125" s="5" t="s">
        <v>206</v>
      </c>
      <c r="FZ125" s="5">
        <f t="shared" si="301"/>
        <v>0</v>
      </c>
      <c r="GA125" s="5" t="s">
        <v>206</v>
      </c>
      <c r="GB125" s="5">
        <f t="shared" si="302"/>
        <v>0</v>
      </c>
      <c r="GC125" s="5" t="s">
        <v>206</v>
      </c>
      <c r="GD125" s="5">
        <f t="shared" si="303"/>
        <v>0</v>
      </c>
      <c r="GE125" s="5">
        <f t="shared" si="304"/>
        <v>0</v>
      </c>
      <c r="GF125" s="5" t="str">
        <f t="shared" si="305"/>
        <v>Nivel de riesgo bajo</v>
      </c>
      <c r="GG125" s="5" t="s">
        <v>255</v>
      </c>
      <c r="GH125" s="5" t="s">
        <v>255</v>
      </c>
      <c r="GI125" s="5" t="s">
        <v>273</v>
      </c>
      <c r="GJ125" s="5" t="s">
        <v>266</v>
      </c>
      <c r="GK125" s="5" t="s">
        <v>233</v>
      </c>
      <c r="GL125" s="5" t="s">
        <v>233</v>
      </c>
      <c r="GM125" s="5" t="s">
        <v>233</v>
      </c>
      <c r="GN125" s="5" t="s">
        <v>256</v>
      </c>
      <c r="GO125" s="5" t="s">
        <v>243</v>
      </c>
      <c r="GP125" s="5" t="s">
        <v>243</v>
      </c>
      <c r="GQ125" s="5" t="s">
        <v>243</v>
      </c>
      <c r="GR125" s="5" t="s">
        <v>257</v>
      </c>
      <c r="GS125" s="5" t="s">
        <v>257</v>
      </c>
      <c r="GT125" s="5" t="s">
        <v>256</v>
      </c>
      <c r="GU125" s="5" t="s">
        <v>473</v>
      </c>
      <c r="GV125" s="5" t="str">
        <f>TEXT("6278857216122830557","0")</f>
        <v>6278857216122830000</v>
      </c>
    </row>
    <row r="126" spans="1:204" ht="15.75" customHeight="1" x14ac:dyDescent="0.15">
      <c r="A126" s="1">
        <f t="shared" si="255"/>
        <v>126</v>
      </c>
      <c r="B126" s="4">
        <v>45847.497245370374</v>
      </c>
      <c r="C126" s="5" t="s">
        <v>204</v>
      </c>
      <c r="D126" s="5" t="s">
        <v>206</v>
      </c>
      <c r="F126" s="5" t="s">
        <v>206</v>
      </c>
      <c r="G126" s="5" t="s">
        <v>206</v>
      </c>
      <c r="H126" s="5" t="s">
        <v>206</v>
      </c>
      <c r="L126" s="5" t="s">
        <v>236</v>
      </c>
      <c r="O126" s="5" t="s">
        <v>209</v>
      </c>
      <c r="V126" s="5" t="s">
        <v>236</v>
      </c>
      <c r="Y126" s="5" t="s">
        <v>209</v>
      </c>
      <c r="AG126" s="5" t="s">
        <v>207</v>
      </c>
      <c r="AH126" s="5" t="s">
        <v>268</v>
      </c>
      <c r="AI126" s="5">
        <v>2011</v>
      </c>
      <c r="AJ126" s="5" t="s">
        <v>330</v>
      </c>
      <c r="AK126" s="5" t="str">
        <f t="shared" si="256"/>
        <v>Asalariada</v>
      </c>
      <c r="AQ126" s="5" t="s">
        <v>204</v>
      </c>
      <c r="AR126" s="5" t="s">
        <v>241</v>
      </c>
      <c r="AS126" s="5" t="s">
        <v>301</v>
      </c>
      <c r="AT126" s="5" t="s">
        <v>261</v>
      </c>
      <c r="AU126" s="5" t="s">
        <v>261</v>
      </c>
      <c r="AV126" s="5" t="s">
        <v>285</v>
      </c>
      <c r="AW126" s="5" t="s">
        <v>204</v>
      </c>
      <c r="AX126" s="5" t="s">
        <v>204</v>
      </c>
      <c r="AY126" s="5" t="s">
        <v>214</v>
      </c>
      <c r="AZ126" s="5" t="s">
        <v>204</v>
      </c>
      <c r="BA126" s="5" t="s">
        <v>474</v>
      </c>
      <c r="BF126" s="5" t="s">
        <v>204</v>
      </c>
      <c r="BG126" s="5" t="s">
        <v>207</v>
      </c>
      <c r="BH126" s="5" t="s">
        <v>215</v>
      </c>
      <c r="BI126" s="5" t="s">
        <v>207</v>
      </c>
      <c r="BJ126" s="5" t="s">
        <v>242</v>
      </c>
      <c r="BK126" s="5" t="s">
        <v>245</v>
      </c>
      <c r="BL126" s="5" t="s">
        <v>244</v>
      </c>
      <c r="BM126" s="5" t="s">
        <v>243</v>
      </c>
      <c r="BN126" s="5" t="s">
        <v>244</v>
      </c>
      <c r="BO126" s="5" t="s">
        <v>246</v>
      </c>
      <c r="BP126" s="5" t="s">
        <v>246</v>
      </c>
      <c r="BQ126" s="5" t="s">
        <v>244</v>
      </c>
      <c r="BR126" s="5" t="s">
        <v>246</v>
      </c>
      <c r="BS126" s="5" t="s">
        <v>232</v>
      </c>
      <c r="BT126" s="5" t="s">
        <v>247</v>
      </c>
      <c r="BU126" s="5" t="s">
        <v>247</v>
      </c>
      <c r="BV126" s="5" t="s">
        <v>248</v>
      </c>
      <c r="BW126" s="5" t="s">
        <v>247</v>
      </c>
      <c r="BX126" s="5" t="s">
        <v>248</v>
      </c>
      <c r="BY126" s="5" t="s">
        <v>217</v>
      </c>
      <c r="BZ126" s="5" t="s">
        <v>244</v>
      </c>
      <c r="CA126" s="5" t="s">
        <v>246</v>
      </c>
      <c r="CB126" s="5" t="s">
        <v>244</v>
      </c>
      <c r="CC126" s="5" t="s">
        <v>243</v>
      </c>
      <c r="CD126" s="5" t="s">
        <v>206</v>
      </c>
      <c r="CH126" s="5" t="s">
        <v>206</v>
      </c>
      <c r="CI126" s="5" t="s">
        <v>307</v>
      </c>
      <c r="CJ126" s="5">
        <v>3</v>
      </c>
      <c r="CK126" s="5" t="s">
        <v>223</v>
      </c>
      <c r="CU126" s="5" t="s">
        <v>206</v>
      </c>
      <c r="DA126" s="5" t="s">
        <v>231</v>
      </c>
      <c r="DB126" s="5">
        <f t="shared" si="257"/>
        <v>2</v>
      </c>
      <c r="DC126" s="5" t="s">
        <v>230</v>
      </c>
      <c r="DD126" s="5">
        <f t="shared" si="258"/>
        <v>2</v>
      </c>
      <c r="DE126" s="5" t="s">
        <v>230</v>
      </c>
      <c r="DF126" s="5">
        <f t="shared" si="259"/>
        <v>2</v>
      </c>
      <c r="DG126" s="5" t="s">
        <v>250</v>
      </c>
      <c r="DH126" s="5">
        <f t="shared" si="260"/>
        <v>3</v>
      </c>
      <c r="DI126" s="5" t="s">
        <v>251</v>
      </c>
      <c r="DJ126" s="5">
        <f t="shared" si="261"/>
        <v>1</v>
      </c>
      <c r="DK126" s="5" t="s">
        <v>230</v>
      </c>
      <c r="DL126" s="5">
        <f t="shared" si="262"/>
        <v>2</v>
      </c>
      <c r="DM126" s="5" t="s">
        <v>251</v>
      </c>
      <c r="DN126" s="5">
        <f t="shared" si="263"/>
        <v>1</v>
      </c>
      <c r="DO126" s="5" t="s">
        <v>231</v>
      </c>
      <c r="DP126" s="5">
        <f t="shared" si="264"/>
        <v>2</v>
      </c>
      <c r="DQ126" s="5" t="s">
        <v>231</v>
      </c>
      <c r="DR126" s="5">
        <f t="shared" si="265"/>
        <v>2</v>
      </c>
      <c r="DS126" s="5" t="s">
        <v>229</v>
      </c>
      <c r="DT126" s="5">
        <f t="shared" si="266"/>
        <v>4</v>
      </c>
      <c r="DU126" s="5" t="s">
        <v>231</v>
      </c>
      <c r="DV126" s="5">
        <f t="shared" si="267"/>
        <v>2</v>
      </c>
      <c r="DW126" s="5" t="s">
        <v>229</v>
      </c>
      <c r="DX126" s="5">
        <f t="shared" si="268"/>
        <v>4</v>
      </c>
      <c r="DY126" s="5">
        <f t="shared" si="269"/>
        <v>27</v>
      </c>
      <c r="DZ126" s="5" t="str">
        <f t="shared" si="270"/>
        <v>Nivel de riesgo alto</v>
      </c>
      <c r="EA126" s="5" t="s">
        <v>247</v>
      </c>
      <c r="EB126" s="5">
        <f t="shared" si="271"/>
        <v>2</v>
      </c>
      <c r="EC126" s="5" t="s">
        <v>248</v>
      </c>
      <c r="ED126" s="5">
        <f t="shared" si="272"/>
        <v>1</v>
      </c>
      <c r="EE126" s="5" t="s">
        <v>248</v>
      </c>
      <c r="EF126" s="5">
        <f t="shared" si="273"/>
        <v>1</v>
      </c>
      <c r="EG126" s="5">
        <f t="shared" si="274"/>
        <v>4</v>
      </c>
      <c r="EH126" s="5" t="str">
        <f t="shared" si="275"/>
        <v>Nivel de riesgo medio</v>
      </c>
      <c r="EI126" s="5" t="s">
        <v>247</v>
      </c>
      <c r="EJ126" s="5">
        <f t="shared" si="276"/>
        <v>2</v>
      </c>
      <c r="EK126" s="5" t="s">
        <v>248</v>
      </c>
      <c r="EL126" s="5">
        <f t="shared" si="277"/>
        <v>1</v>
      </c>
      <c r="EM126" s="5" t="s">
        <v>247</v>
      </c>
      <c r="EN126" s="5">
        <f t="shared" si="278"/>
        <v>2</v>
      </c>
      <c r="EO126" s="5">
        <f t="shared" si="279"/>
        <v>5</v>
      </c>
      <c r="EP126" s="5" t="str">
        <f t="shared" si="280"/>
        <v>Nivel de riesgo medio</v>
      </c>
      <c r="EQ126" s="5" t="s">
        <v>254</v>
      </c>
      <c r="ER126" s="5">
        <f t="shared" si="281"/>
        <v>0</v>
      </c>
      <c r="ES126" s="5" t="s">
        <v>254</v>
      </c>
      <c r="ET126" s="5">
        <f t="shared" si="282"/>
        <v>0</v>
      </c>
      <c r="EU126" s="5" t="s">
        <v>247</v>
      </c>
      <c r="EV126" s="5">
        <f t="shared" si="283"/>
        <v>2</v>
      </c>
      <c r="EW126" s="5" t="s">
        <v>247</v>
      </c>
      <c r="EX126" s="5">
        <f t="shared" si="284"/>
        <v>2</v>
      </c>
      <c r="EY126" s="5">
        <f t="shared" si="285"/>
        <v>4</v>
      </c>
      <c r="EZ126" s="5" t="str">
        <f t="shared" si="286"/>
        <v>Nivel de riesgo medio</v>
      </c>
      <c r="FA126" s="5" t="s">
        <v>248</v>
      </c>
      <c r="FB126" s="5">
        <f t="shared" si="287"/>
        <v>1</v>
      </c>
      <c r="FC126" s="5" t="s">
        <v>253</v>
      </c>
      <c r="FD126" s="5">
        <f t="shared" si="288"/>
        <v>0</v>
      </c>
      <c r="FE126" s="5" t="s">
        <v>253</v>
      </c>
      <c r="FF126" s="5">
        <f t="shared" si="289"/>
        <v>0</v>
      </c>
      <c r="FG126" s="5">
        <f t="shared" si="290"/>
        <v>1</v>
      </c>
      <c r="FH126" s="5" t="str">
        <f t="shared" si="291"/>
        <v>Nivel de riesgo bajo</v>
      </c>
      <c r="FI126" s="5" t="s">
        <v>248</v>
      </c>
      <c r="FJ126" s="5">
        <f t="shared" si="292"/>
        <v>1</v>
      </c>
      <c r="FK126" s="5" t="s">
        <v>248</v>
      </c>
      <c r="FL126" s="5">
        <f t="shared" si="293"/>
        <v>1</v>
      </c>
      <c r="FM126" s="5" t="s">
        <v>253</v>
      </c>
      <c r="FN126" s="5">
        <f t="shared" si="294"/>
        <v>0</v>
      </c>
      <c r="FO126" s="5">
        <f t="shared" si="295"/>
        <v>2</v>
      </c>
      <c r="FP126" s="5" t="str">
        <f t="shared" si="296"/>
        <v>Nivel de riesgo bajo</v>
      </c>
      <c r="FQ126" s="5" t="s">
        <v>206</v>
      </c>
      <c r="FR126" s="5">
        <f t="shared" si="297"/>
        <v>0</v>
      </c>
      <c r="FS126" s="5" t="s">
        <v>206</v>
      </c>
      <c r="FT126" s="5">
        <f t="shared" si="298"/>
        <v>0</v>
      </c>
      <c r="FU126" s="5" t="s">
        <v>206</v>
      </c>
      <c r="FV126" s="5">
        <f t="shared" si="299"/>
        <v>0</v>
      </c>
      <c r="FW126" s="5" t="s">
        <v>206</v>
      </c>
      <c r="FX126" s="5">
        <f t="shared" si="300"/>
        <v>0</v>
      </c>
      <c r="FY126" s="5" t="s">
        <v>206</v>
      </c>
      <c r="FZ126" s="5">
        <f t="shared" si="301"/>
        <v>0</v>
      </c>
      <c r="GA126" s="5" t="s">
        <v>206</v>
      </c>
      <c r="GB126" s="5">
        <f t="shared" si="302"/>
        <v>0</v>
      </c>
      <c r="GC126" s="5" t="s">
        <v>206</v>
      </c>
      <c r="GD126" s="5">
        <f t="shared" si="303"/>
        <v>0</v>
      </c>
      <c r="GE126" s="5">
        <f t="shared" si="304"/>
        <v>0</v>
      </c>
      <c r="GF126" s="5" t="str">
        <f t="shared" si="305"/>
        <v>Nivel de riesgo bajo</v>
      </c>
      <c r="GG126" s="5" t="s">
        <v>255</v>
      </c>
      <c r="GH126" s="5" t="s">
        <v>298</v>
      </c>
      <c r="GI126" s="5" t="s">
        <v>255</v>
      </c>
      <c r="GJ126" s="5" t="s">
        <v>266</v>
      </c>
      <c r="GK126" s="5" t="s">
        <v>233</v>
      </c>
      <c r="GL126" s="5" t="s">
        <v>273</v>
      </c>
      <c r="GM126" s="5" t="s">
        <v>266</v>
      </c>
      <c r="GN126" s="5" t="s">
        <v>243</v>
      </c>
      <c r="GO126" s="5" t="s">
        <v>257</v>
      </c>
      <c r="GP126" s="5" t="s">
        <v>257</v>
      </c>
      <c r="GQ126" s="5" t="s">
        <v>244</v>
      </c>
      <c r="GR126" s="5" t="s">
        <v>244</v>
      </c>
      <c r="GS126" s="5" t="s">
        <v>244</v>
      </c>
      <c r="GT126" s="5" t="s">
        <v>243</v>
      </c>
      <c r="GU126" s="5" t="s">
        <v>475</v>
      </c>
      <c r="GV126" s="5" t="str">
        <f>TEXT("6278857627953292989","0")</f>
        <v>6278857627953290000</v>
      </c>
    </row>
    <row r="127" spans="1:204" ht="15.75" hidden="1" customHeight="1" x14ac:dyDescent="0.15">
      <c r="B127" s="4">
        <v>45847.49796296296</v>
      </c>
      <c r="C127" s="5" t="s">
        <v>206</v>
      </c>
      <c r="GV127" s="5" t="str">
        <f>TEXT("6278858244027390224","0")</f>
        <v>6278858244027390000</v>
      </c>
    </row>
    <row r="128" spans="1:204" ht="15.75" customHeight="1" x14ac:dyDescent="0.15">
      <c r="A128" s="1">
        <f t="shared" ref="A128:A135" si="306">ROW(A128)</f>
        <v>128</v>
      </c>
      <c r="B128" s="4">
        <v>45847.499467592592</v>
      </c>
      <c r="C128" s="5" t="s">
        <v>204</v>
      </c>
      <c r="D128" s="5" t="s">
        <v>206</v>
      </c>
      <c r="F128" s="5" t="s">
        <v>206</v>
      </c>
      <c r="G128" s="5" t="s">
        <v>206</v>
      </c>
      <c r="H128" s="5" t="s">
        <v>206</v>
      </c>
      <c r="K128" s="5" t="s">
        <v>237</v>
      </c>
      <c r="O128" s="5" t="s">
        <v>209</v>
      </c>
      <c r="U128" s="5" t="s">
        <v>237</v>
      </c>
      <c r="X128" s="5" t="s">
        <v>208</v>
      </c>
      <c r="AG128" s="5" t="s">
        <v>207</v>
      </c>
      <c r="AH128" s="5" t="s">
        <v>275</v>
      </c>
      <c r="AI128" s="5">
        <v>2005</v>
      </c>
      <c r="AJ128" s="5" t="s">
        <v>238</v>
      </c>
      <c r="AK128" s="5" t="str">
        <f t="shared" ref="AK128:AK135" si="307">IF(OR(AJ128="Empleada del sector privado",AJ128="Empleada del sector público"),"Asalariada",
IF(AJ128="Trabajadora por cuenta propia","Trabajadora por cuenta propia",""))</f>
        <v>Trabajadora por cuenta propia</v>
      </c>
      <c r="AO128" s="5" t="s">
        <v>323</v>
      </c>
      <c r="AP128" s="5" t="s">
        <v>297</v>
      </c>
      <c r="AR128" s="5" t="s">
        <v>301</v>
      </c>
      <c r="AS128" s="5" t="s">
        <v>301</v>
      </c>
      <c r="AT128" s="5" t="s">
        <v>301</v>
      </c>
      <c r="AU128" s="5" t="s">
        <v>301</v>
      </c>
      <c r="AV128" s="5" t="s">
        <v>213</v>
      </c>
      <c r="AW128" s="5" t="s">
        <v>204</v>
      </c>
      <c r="AX128" s="5" t="s">
        <v>206</v>
      </c>
      <c r="BF128" s="5" t="s">
        <v>204</v>
      </c>
      <c r="BG128" s="5" t="s">
        <v>207</v>
      </c>
      <c r="BH128" s="5" t="s">
        <v>207</v>
      </c>
      <c r="BI128" s="5" t="s">
        <v>207</v>
      </c>
      <c r="BJ128" s="5" t="s">
        <v>264</v>
      </c>
      <c r="BK128" s="5" t="s">
        <v>246</v>
      </c>
      <c r="BL128" s="5" t="s">
        <v>246</v>
      </c>
      <c r="BM128" s="5" t="s">
        <v>246</v>
      </c>
      <c r="BN128" s="5" t="s">
        <v>246</v>
      </c>
      <c r="BO128" s="5" t="s">
        <v>246</v>
      </c>
      <c r="BP128" s="5" t="s">
        <v>246</v>
      </c>
      <c r="BQ128" s="5" t="s">
        <v>246</v>
      </c>
      <c r="BR128" s="5" t="s">
        <v>246</v>
      </c>
      <c r="BS128" s="5" t="s">
        <v>217</v>
      </c>
      <c r="BT128" s="5" t="s">
        <v>217</v>
      </c>
      <c r="BU128" s="5" t="s">
        <v>217</v>
      </c>
      <c r="BV128" s="5" t="s">
        <v>217</v>
      </c>
      <c r="BW128" s="5" t="s">
        <v>217</v>
      </c>
      <c r="BX128" s="5" t="s">
        <v>217</v>
      </c>
      <c r="BY128" s="5" t="s">
        <v>217</v>
      </c>
      <c r="BZ128" s="5" t="s">
        <v>246</v>
      </c>
      <c r="CA128" s="5" t="s">
        <v>246</v>
      </c>
      <c r="CB128" s="5" t="s">
        <v>246</v>
      </c>
      <c r="CC128" s="5" t="s">
        <v>246</v>
      </c>
      <c r="CD128" s="5" t="s">
        <v>206</v>
      </c>
      <c r="CH128" s="5" t="s">
        <v>206</v>
      </c>
      <c r="CI128" s="5" t="s">
        <v>206</v>
      </c>
      <c r="CJ128" s="5">
        <v>0</v>
      </c>
      <c r="CK128" s="5" t="s">
        <v>223</v>
      </c>
      <c r="CU128" s="5" t="s">
        <v>206</v>
      </c>
      <c r="DA128" s="5" t="s">
        <v>272</v>
      </c>
      <c r="DB128" s="5">
        <f t="shared" ref="DB128:DB135" si="308">IF(DA128="Mejor que lo habitual",1,
IF(DA128="Igual que lo habitual",2,
IF(DA128="Menos que lo habitual",3,
IF(DA128="Mucho menos que lo habitual",4,""))))</f>
        <v>1</v>
      </c>
      <c r="DC128" s="5" t="s">
        <v>251</v>
      </c>
      <c r="DD128" s="5">
        <f t="shared" ref="DD128:DD135" si="309">IF(DC128="No, en absoluto",1,
IF(DC128="No más que lo habitual",2,
IF(DC128="Bastante más que lo habitual",3,
IF(DC128="Mucho más que lo habitual",4,""))))</f>
        <v>1</v>
      </c>
      <c r="DE128" s="5" t="s">
        <v>251</v>
      </c>
      <c r="DF128" s="5">
        <f t="shared" ref="DF128:DF135" si="310">IF(DE128="No, en absoluto",1,
IF(DE128="No más que lo habitual",2,
IF(DE128="Bastante más que lo habitual",3,
IF(DE128="Mucho más que lo habitual",4,""))))</f>
        <v>1</v>
      </c>
      <c r="DG128" s="5" t="s">
        <v>251</v>
      </c>
      <c r="DH128" s="5">
        <f t="shared" ref="DH128:DH135" si="311">IF(DG128="No, en absoluto",1,
IF(DG128="No más que lo habitual",2,
IF(DG128="Bastante más que lo habitual",3,
IF(DG128="Mucho más que lo habitual",4,""))))</f>
        <v>1</v>
      </c>
      <c r="DI128" s="5" t="s">
        <v>251</v>
      </c>
      <c r="DJ128" s="5">
        <f t="shared" ref="DJ128:DJ135" si="312">IF(DI128="No, en absoluto",1,
IF(DI128="No más que lo habitual",2,
IF(DI128="Bastante más que lo habitual",3,
IF(DI128="Mucho más que lo habitual",4,""))))</f>
        <v>1</v>
      </c>
      <c r="DK128" s="5" t="s">
        <v>251</v>
      </c>
      <c r="DL128" s="5">
        <f t="shared" ref="DL128:DL135" si="313">IF(DK128="No, en absoluto",1,
IF(DK128="No más que lo habitual",2,
IF(DK128="Bastante más que lo habitual",3,
IF(DK128="Mucho más que lo habitual",4,""))))</f>
        <v>1</v>
      </c>
      <c r="DM128" s="5" t="s">
        <v>251</v>
      </c>
      <c r="DN128" s="5">
        <f t="shared" ref="DN128:DN135" si="314">IF(DM128="No, en absoluto",1,
IF(DM128="No más que lo habitual",2,
IF(DM128="Bastante más que lo habitual",3,
IF(DM128="Mucho más que lo habitual",4,""))))</f>
        <v>1</v>
      </c>
      <c r="DO128" s="5" t="s">
        <v>281</v>
      </c>
      <c r="DP128" s="5">
        <f t="shared" ref="DP128:DP135" si="315">IF(DO128="Más que lo habitual",1,
IF(DO128="Igual que lo habitual",2,
IF(DO128="Menos que lo habitual",3,
IF(DO128="Mucho menos que lo habitual",4,""))))</f>
        <v>1</v>
      </c>
      <c r="DQ128" s="5" t="s">
        <v>281</v>
      </c>
      <c r="DR128" s="5">
        <f t="shared" ref="DR128:DR135" si="316">IF(DQ128="Más que lo habitual",1,
IF(DQ128="Igual que lo habitual",2,
IF(DQ128="Menos que lo habitual",3,
IF(DQ128="Mucho menos que lo habitual",4,""))))</f>
        <v>1</v>
      </c>
      <c r="DS128" s="5" t="s">
        <v>281</v>
      </c>
      <c r="DT128" s="5">
        <f t="shared" ref="DT128:DT135" si="317">IF(DS128="Más que lo habitual",1,
IF(DS128="Igual que lo habitual",2,
IF(DS128="Menos que lo habitual",3,
IF(DS128="Mucho menos que lo habitual",4,""))))</f>
        <v>1</v>
      </c>
      <c r="DU128" s="5" t="s">
        <v>281</v>
      </c>
      <c r="DV128" s="5">
        <f t="shared" ref="DV128:DV135" si="318">IF(DU128="Más que lo habitual",1,
IF(DU128="Igual que lo habitual",2,
IF(DU128="Menos que lo habitual",3,
IF(DU128="Mucho menos que lo habitual",4,""))))</f>
        <v>1</v>
      </c>
      <c r="DW128" s="5" t="s">
        <v>281</v>
      </c>
      <c r="DX128" s="5">
        <f t="shared" ref="DX128:DX135" si="319">IF(DW128="Más que lo habitual",1,
IF(DW128="Igual que lo habitual",2,
IF(DW128="Menos que lo habitual",3,
IF(DW128="Mucho menos que lo habitual",4,""))))</f>
        <v>1</v>
      </c>
      <c r="DY128" s="5">
        <f t="shared" ref="DY128:DY135" si="320">SUM(DB128,DD128,DF128,DH128,DJ128,DL128,DN128,DP128,DR128,DT128,DV128,DX128)</f>
        <v>12</v>
      </c>
      <c r="DZ128" s="5" t="str">
        <f t="shared" ref="DZ128:DZ135" si="321">IF(DY128&lt;=18,"Nivel de riesgo bajo",
IF(DY128&lt;=23,"Nivel de riesgo medio",
"Nivel de riesgo alto"))</f>
        <v>Nivel de riesgo bajo</v>
      </c>
      <c r="EA128" s="5" t="s">
        <v>248</v>
      </c>
      <c r="EB128" s="5">
        <f t="shared" ref="EB128:EB135" si="322">IF(EA128="Nunca/ casi nunca",0,
IF(EA128="Rara vez",1,
IF(EA128="A veces",2,
IF(EA128="A menudo",3,
IF(EA128="Siempre",4,"")))))</f>
        <v>1</v>
      </c>
      <c r="EC128" s="5" t="s">
        <v>248</v>
      </c>
      <c r="ED128" s="5">
        <f t="shared" ref="ED128:ED135" si="323">IF(EC128="Nunca/ casi nunca",0,
IF(EC128="Rara vez",1,
IF(EC128="A veces",2,
IF(EC128="A menudo",3,
IF(EC128="Siempre",4,"")))))</f>
        <v>1</v>
      </c>
      <c r="EE128" s="5" t="s">
        <v>248</v>
      </c>
      <c r="EF128" s="5">
        <f t="shared" ref="EF128:EF135" si="324">IF(EE128="Nunca/ casi nunca",0,
IF(EE128="Rara vez",1,
IF(EE128="A veces",2,
IF(EE128="A menudo",3,
IF(EE128="Siempre",4,"")))))</f>
        <v>1</v>
      </c>
      <c r="EG128" s="5">
        <f t="shared" ref="EG128:EG135" si="325">SUM(EB128,ED128,EF128)</f>
        <v>3</v>
      </c>
      <c r="EH128" s="5" t="str">
        <f t="shared" ref="EH128:EH135" si="326">IF(EG128&lt;=1,"Nivel de riesgo bajo",
IF(EG128&lt;=4,"Nivel de riesgo medio",
"Nivel de riesgo alto"))</f>
        <v>Nivel de riesgo medio</v>
      </c>
      <c r="EI128" s="5" t="s">
        <v>248</v>
      </c>
      <c r="EJ128" s="5">
        <f t="shared" ref="EJ128:EJ135" si="327">IF(EI128="Nunca/ casi nunca",0,
IF(EI128="Rara vez",1,
IF(EI128="A veces",2,
IF(EI128="A menudo",3,
IF(EI128="Siempre",4,"")))))</f>
        <v>1</v>
      </c>
      <c r="EK128" s="5" t="s">
        <v>248</v>
      </c>
      <c r="EL128" s="5">
        <f t="shared" ref="EL128:EL135" si="328">IF(EK128="Nunca/ casi nunca",0,
IF(EK128="Rara vez",1,
IF(EK128="A veces",2,
IF(EK128="A menudo",3,
IF(EK128="Siempre",4,"")))))</f>
        <v>1</v>
      </c>
      <c r="EM128" s="5" t="s">
        <v>248</v>
      </c>
      <c r="EN128" s="5">
        <f t="shared" ref="EN128:EN135" si="329">IF(EM128="Nunca/ casi nunca",0,
IF(EM128="Rara vez",1,
IF(EM128="A veces",2,
IF(EM128="A menudo",3,
IF(EM128="Siempre",4,"")))))</f>
        <v>1</v>
      </c>
      <c r="EO128" s="5">
        <f t="shared" ref="EO128:EO135" si="330">SUM(EJ128,EL128,EN128)</f>
        <v>3</v>
      </c>
      <c r="EP128" s="5" t="str">
        <f t="shared" ref="EP128:EP135" si="331">IF(EO128&lt;=1,"Nivel de riesgo bajo",
IF(EO128&lt;=5,"Nivel de riesgo medio",
"Nivel de riesgo alto"))</f>
        <v>Nivel de riesgo medio</v>
      </c>
      <c r="EQ128" s="5" t="s">
        <v>248</v>
      </c>
      <c r="ER128" s="5">
        <f t="shared" ref="ER128:ER135" si="332">IF(EQ128="Nunca/ casi nunca",4,
IF(EQ128="Rara vez",3,
IF(EQ128="A veces",2,
IF(EQ128="A menudo",1,
IF(EQ128="Siempre",0,"")))))</f>
        <v>3</v>
      </c>
      <c r="ES128" s="5" t="s">
        <v>248</v>
      </c>
      <c r="ET128" s="5">
        <f t="shared" ref="ET128:ET135" si="333">IF(ES128="Nunca/ casi nunca",4,
IF(ES128="Rara vez",3,
IF(ES128="A veces",2,
IF(ES128="A menudo",1,
IF(ES128="Siempre",0,"")))))</f>
        <v>3</v>
      </c>
      <c r="EU128" s="5" t="s">
        <v>248</v>
      </c>
      <c r="EV128" s="5">
        <f t="shared" ref="EV128:EV135" si="334">IF(EU128="Nunca/ casi nunca",4,
IF(EU128="Rara vez",3,
IF(EU128="A veces",2,
IF(EU128="A menudo",1,
IF(EU128="Siempre",0,"")))))</f>
        <v>3</v>
      </c>
      <c r="EW128" s="5" t="s">
        <v>248</v>
      </c>
      <c r="EX128" s="5">
        <f t="shared" ref="EX128:EX135" si="335">IF(EW128="Nunca/ casi nunca",4,
IF(EW128="Rara vez",3,
IF(EW128="A veces",2,
IF(EW128="A menudo",1,
IF(EW128="Siempre",0,"")))))</f>
        <v>3</v>
      </c>
      <c r="EY128" s="5">
        <f t="shared" ref="EY128:EY135" si="336">SUM(ER128,ET128,EV128,EX128)</f>
        <v>12</v>
      </c>
      <c r="EZ128" s="5" t="str">
        <f t="shared" ref="EZ128:EZ135" si="337">IF(EY128&lt;=0,"Nivel de riesgo bajo",
IF(EY128&lt;=4,"Nivel de riesgo medio",
"Nivel de riesgo alto"))</f>
        <v>Nivel de riesgo alto</v>
      </c>
      <c r="FA128" s="5" t="s">
        <v>248</v>
      </c>
      <c r="FB128" s="5">
        <f t="shared" ref="FB128:FB135" si="338">IF(FA128="Nunca/ casi nunca",0,
IF(FA128="Rara vez",1,
IF(FA128="A veces",2,
IF(FA128="A menudo",3,
IF(FA128="Siempre",4,"")))))</f>
        <v>1</v>
      </c>
      <c r="FC128" s="5" t="s">
        <v>248</v>
      </c>
      <c r="FD128" s="5">
        <f t="shared" ref="FD128:FD135" si="339">IF(FC128="Nunca/ casi nunca",0,
IF(FC128="Rara vez",1,
IF(FC128="A veces",2,
IF(FC128="A menudo",3,
IF(FC128="Siempre",4,"")))))</f>
        <v>1</v>
      </c>
      <c r="FE128" s="5" t="s">
        <v>248</v>
      </c>
      <c r="FF128" s="5">
        <f t="shared" ref="FF128:FF135" si="340">IF(FE128="Nunca/ casi nunca",0,
IF(FE128="Rara vez",1,
IF(FE128="A veces",2,
IF(FE128="A menudo",3,
IF(FE128="Siempre",4,"")))))</f>
        <v>1</v>
      </c>
      <c r="FG128" s="5">
        <f t="shared" ref="FG128:FG135" si="341">SUM(FB128,FD128,FF128)</f>
        <v>3</v>
      </c>
      <c r="FH128" s="5" t="str">
        <f t="shared" ref="FH128:FH135" si="342">IF(FG128&lt;=2,"Nivel de riesgo bajo",
IF(FG128&lt;=5,"Nivel de riesgo medio",
"Nivel de riesgo alto"))</f>
        <v>Nivel de riesgo medio</v>
      </c>
      <c r="FI128" s="5" t="s">
        <v>248</v>
      </c>
      <c r="FJ128" s="5">
        <f t="shared" ref="FJ128:FJ135" si="343">IF(FI128="Nunca/ casi nunca",0,
IF(FI128="Rara vez",1,
IF(FI128="A veces",2,
IF(FI128="A menudo",3,
IF(FI128="Siempre",4,"")))))</f>
        <v>1</v>
      </c>
      <c r="FK128" s="5" t="s">
        <v>248</v>
      </c>
      <c r="FL128" s="5">
        <f t="shared" ref="FL128:FL135" si="344">IF(FK128="Nunca/ casi nunca",0,
IF(FK128="Rara vez",1,
IF(FK128="A veces",2,
IF(FK128="A menudo",3,
IF(FK128="Siempre",4,"")))))</f>
        <v>1</v>
      </c>
      <c r="FM128" s="5" t="s">
        <v>248</v>
      </c>
      <c r="FN128" s="5">
        <f t="shared" ref="FN128:FN135" si="345">IF(FM128="Nunca/ casi nunca",0,
IF(FM128="Rara vez",1,
IF(FM128="A veces",2,
IF(FM128="A menudo",3,
IF(FM128="Siempre",4,"")))))</f>
        <v>1</v>
      </c>
      <c r="FO128" s="5">
        <f t="shared" ref="FO128:FO135" si="346">SUM(FJ128,FL128,FN128)</f>
        <v>3</v>
      </c>
      <c r="FP128" s="5" t="str">
        <f t="shared" ref="FP128:FP135" si="347">IF(FO128&lt;=2,"Nivel de riesgo bajo",
IF(FO128&lt;=5,"Nivel de riesgo medio",
"Nivel de riesgo alto"))</f>
        <v>Nivel de riesgo medio</v>
      </c>
      <c r="FQ128" s="5" t="s">
        <v>206</v>
      </c>
      <c r="FR128" s="5">
        <f t="shared" ref="FR128:FR135" si="348">IF(FQ128="No",0,
IF(FQ128="Sí, unas pocas veces",1,
IF(FQ128="Sí, mensualmente",2,
IF(FQ128="Sí, semanalmente",3,
IF(FQ128="Sí, diariamente",4,"")))))</f>
        <v>0</v>
      </c>
      <c r="FS128" s="5" t="s">
        <v>206</v>
      </c>
      <c r="FT128" s="5">
        <f t="shared" ref="FT128:FT135" si="349">IF(FS128="No",0,
IF(FS128="Sí, unas pocas veces",1,
IF(FS128="Sí, mensualmente",2,
IF(FS128="Sí, semanalmente",3,
IF(FS128="Sí, diariamente",4,"")))))</f>
        <v>0</v>
      </c>
      <c r="FU128" s="5" t="s">
        <v>206</v>
      </c>
      <c r="FV128" s="5">
        <f t="shared" ref="FV128:FV135" si="350">IF(FU128="No",0,
IF(FU128="Sí, unas pocas veces",1,
IF(FU128="Sí, mensualmente",2,
IF(FU128="Sí, semanalmente",3,
IF(FU128="Sí, diariamente",4,"")))))</f>
        <v>0</v>
      </c>
      <c r="FW128" s="5" t="s">
        <v>206</v>
      </c>
      <c r="FX128" s="5">
        <f t="shared" ref="FX128:FX135" si="351">IF(FW128="No",0,
IF(FW128="Sí, unas pocas veces",1,
IF(FW128="Sí, mensualmente",2,
IF(FW128="Sí, semanalmente",3,
IF(FW128="Sí, diariamente",4,"")))))</f>
        <v>0</v>
      </c>
      <c r="FY128" s="5" t="s">
        <v>206</v>
      </c>
      <c r="FZ128" s="5">
        <f t="shared" ref="FZ128:FZ135" si="352">IF(FY128="No",0,
IF(FY128="Sí, unas pocas veces",1,
IF(FY128="Sí, mensualmente",2,
IF(FY128="Sí, semanalmente",3,
IF(FY128="Sí, diariamente",4,"")))))</f>
        <v>0</v>
      </c>
      <c r="GA128" s="5" t="s">
        <v>206</v>
      </c>
      <c r="GB128" s="5">
        <f t="shared" ref="GB128:GB135" si="353">IF(GA128="No",0,
IF(GA128="Sí, unas pocas veces",1,
IF(GA128="Sí, mensualmente",2,
IF(GA128="Sí, semanalmente",3,
IF(GA128="Sí, diariamente",4,"")))))</f>
        <v>0</v>
      </c>
      <c r="GC128" s="5" t="s">
        <v>206</v>
      </c>
      <c r="GD128" s="5">
        <f t="shared" ref="GD128:GD135" si="354">IF(GC128="No",0,
IF(GC128="Sí, unas pocas veces",1,
IF(GC128="Sí, mensualmente",2,
IF(GC128="Sí, semanalmente",3,
IF(GC128="Sí, diariamente",4,"")))))</f>
        <v>0</v>
      </c>
      <c r="GE128" s="5">
        <f t="shared" ref="GE128:GE135" si="355">SUM(FR128,FT128,FV128,FX128,FZ128,GB128,GD128)</f>
        <v>0</v>
      </c>
      <c r="GF128" s="5" t="str">
        <f t="shared" ref="GF128:GF135" si="356">IF(GE128&lt;=0,"Nivel de riesgo bajo",
IF(GE128&lt;=14,"Nivel de riesgo medio",
"Nivel de riesgo alto"))</f>
        <v>Nivel de riesgo bajo</v>
      </c>
      <c r="GG128" s="5" t="s">
        <v>273</v>
      </c>
      <c r="GH128" s="5" t="s">
        <v>273</v>
      </c>
      <c r="GI128" s="5" t="s">
        <v>273</v>
      </c>
      <c r="GJ128" s="5" t="s">
        <v>273</v>
      </c>
      <c r="GK128" s="5" t="s">
        <v>266</v>
      </c>
      <c r="GL128" s="5" t="s">
        <v>266</v>
      </c>
      <c r="GM128" s="5" t="s">
        <v>273</v>
      </c>
      <c r="GN128" s="5" t="s">
        <v>257</v>
      </c>
      <c r="GO128" s="5" t="s">
        <v>257</v>
      </c>
      <c r="GP128" s="5" t="s">
        <v>257</v>
      </c>
      <c r="GQ128" s="5" t="s">
        <v>257</v>
      </c>
      <c r="GR128" s="5" t="s">
        <v>257</v>
      </c>
      <c r="GS128" s="5" t="s">
        <v>257</v>
      </c>
      <c r="GT128" s="5" t="s">
        <v>257</v>
      </c>
      <c r="GU128" s="5" t="s">
        <v>476</v>
      </c>
      <c r="GV128" s="5" t="str">
        <f>TEXT("6278859545124244606","0")</f>
        <v>6278859545124240000</v>
      </c>
    </row>
    <row r="129" spans="1:204" ht="15.75" customHeight="1" x14ac:dyDescent="0.15">
      <c r="A129" s="1">
        <f t="shared" si="306"/>
        <v>129</v>
      </c>
      <c r="B129" s="4">
        <v>45847.500173611108</v>
      </c>
      <c r="C129" s="5" t="s">
        <v>204</v>
      </c>
      <c r="D129" s="5" t="s">
        <v>206</v>
      </c>
      <c r="F129" s="5" t="s">
        <v>206</v>
      </c>
      <c r="G129" s="5" t="s">
        <v>206</v>
      </c>
      <c r="H129" s="5" t="s">
        <v>206</v>
      </c>
      <c r="J129" s="5" t="s">
        <v>209</v>
      </c>
      <c r="P129" s="5" t="s">
        <v>237</v>
      </c>
      <c r="U129" s="5" t="s">
        <v>237</v>
      </c>
      <c r="Z129" s="5" t="s">
        <v>237</v>
      </c>
      <c r="AC129" s="5" t="s">
        <v>208</v>
      </c>
      <c r="AH129" s="5" t="s">
        <v>210</v>
      </c>
      <c r="AI129" s="5">
        <v>2019</v>
      </c>
      <c r="AJ129" s="5" t="s">
        <v>330</v>
      </c>
      <c r="AK129" s="5" t="str">
        <f t="shared" si="307"/>
        <v>Asalariada</v>
      </c>
      <c r="AQ129" s="5" t="s">
        <v>204</v>
      </c>
      <c r="AR129" s="5" t="s">
        <v>241</v>
      </c>
      <c r="AS129" s="5" t="s">
        <v>241</v>
      </c>
      <c r="AT129" s="5" t="s">
        <v>241</v>
      </c>
      <c r="AU129" s="5" t="s">
        <v>261</v>
      </c>
      <c r="AV129" s="5" t="s">
        <v>269</v>
      </c>
      <c r="AW129" s="5" t="s">
        <v>204</v>
      </c>
      <c r="AX129" s="5" t="s">
        <v>206</v>
      </c>
      <c r="BF129" s="5" t="s">
        <v>204</v>
      </c>
      <c r="BG129" s="5" t="s">
        <v>207</v>
      </c>
      <c r="BH129" s="5" t="s">
        <v>242</v>
      </c>
      <c r="BI129" s="5" t="s">
        <v>207</v>
      </c>
      <c r="BJ129" s="5" t="s">
        <v>242</v>
      </c>
      <c r="BK129" s="5" t="s">
        <v>243</v>
      </c>
      <c r="BL129" s="5" t="s">
        <v>246</v>
      </c>
      <c r="BM129" s="5" t="s">
        <v>246</v>
      </c>
      <c r="BN129" s="5" t="s">
        <v>243</v>
      </c>
      <c r="BO129" s="5" t="s">
        <v>244</v>
      </c>
      <c r="BP129" s="5" t="s">
        <v>244</v>
      </c>
      <c r="BQ129" s="5" t="s">
        <v>244</v>
      </c>
      <c r="BR129" s="5" t="s">
        <v>244</v>
      </c>
      <c r="BS129" s="5" t="s">
        <v>232</v>
      </c>
      <c r="BT129" s="5" t="s">
        <v>247</v>
      </c>
      <c r="BU129" s="5" t="s">
        <v>247</v>
      </c>
      <c r="BV129" s="5" t="s">
        <v>247</v>
      </c>
      <c r="BW129" s="5" t="s">
        <v>254</v>
      </c>
      <c r="BX129" s="5" t="s">
        <v>247</v>
      </c>
      <c r="BY129" s="5" t="s">
        <v>247</v>
      </c>
      <c r="BZ129" s="5" t="s">
        <v>246</v>
      </c>
      <c r="CA129" s="5" t="s">
        <v>243</v>
      </c>
      <c r="CB129" s="5" t="s">
        <v>246</v>
      </c>
      <c r="CC129" s="5" t="s">
        <v>243</v>
      </c>
      <c r="CD129" s="5" t="s">
        <v>206</v>
      </c>
      <c r="CH129" s="5" t="s">
        <v>331</v>
      </c>
      <c r="CI129" s="5" t="s">
        <v>318</v>
      </c>
      <c r="CJ129" s="5">
        <v>3</v>
      </c>
      <c r="CK129" s="5" t="s">
        <v>223</v>
      </c>
      <c r="CU129" s="5" t="s">
        <v>206</v>
      </c>
      <c r="DA129" s="5" t="s">
        <v>229</v>
      </c>
      <c r="DB129" s="5">
        <f t="shared" si="308"/>
        <v>4</v>
      </c>
      <c r="DC129" s="5" t="s">
        <v>280</v>
      </c>
      <c r="DD129" s="5">
        <f t="shared" si="309"/>
        <v>4</v>
      </c>
      <c r="DE129" s="5" t="s">
        <v>280</v>
      </c>
      <c r="DF129" s="5">
        <f t="shared" si="310"/>
        <v>4</v>
      </c>
      <c r="DG129" s="5" t="s">
        <v>280</v>
      </c>
      <c r="DH129" s="5">
        <f t="shared" si="311"/>
        <v>4</v>
      </c>
      <c r="DI129" s="5" t="s">
        <v>280</v>
      </c>
      <c r="DJ129" s="5">
        <f t="shared" si="312"/>
        <v>4</v>
      </c>
      <c r="DK129" s="5" t="s">
        <v>250</v>
      </c>
      <c r="DL129" s="5">
        <f t="shared" si="313"/>
        <v>3</v>
      </c>
      <c r="DM129" s="5" t="s">
        <v>250</v>
      </c>
      <c r="DN129" s="5">
        <f t="shared" si="314"/>
        <v>3</v>
      </c>
      <c r="DO129" s="5" t="s">
        <v>252</v>
      </c>
      <c r="DP129" s="5">
        <f t="shared" si="315"/>
        <v>3</v>
      </c>
      <c r="DQ129" s="5" t="s">
        <v>252</v>
      </c>
      <c r="DR129" s="5">
        <f t="shared" si="316"/>
        <v>3</v>
      </c>
      <c r="DS129" s="5" t="s">
        <v>229</v>
      </c>
      <c r="DT129" s="5">
        <f t="shared" si="317"/>
        <v>4</v>
      </c>
      <c r="DU129" s="5" t="s">
        <v>252</v>
      </c>
      <c r="DV129" s="5">
        <f t="shared" si="318"/>
        <v>3</v>
      </c>
      <c r="DW129" s="5" t="s">
        <v>252</v>
      </c>
      <c r="DX129" s="5">
        <f t="shared" si="319"/>
        <v>3</v>
      </c>
      <c r="DY129" s="5">
        <f t="shared" si="320"/>
        <v>42</v>
      </c>
      <c r="DZ129" s="5" t="str">
        <f t="shared" si="321"/>
        <v>Nivel de riesgo alto</v>
      </c>
      <c r="EA129" s="5" t="s">
        <v>248</v>
      </c>
      <c r="EB129" s="5">
        <f t="shared" si="322"/>
        <v>1</v>
      </c>
      <c r="EC129" s="5" t="s">
        <v>248</v>
      </c>
      <c r="ED129" s="5">
        <f t="shared" si="323"/>
        <v>1</v>
      </c>
      <c r="EE129" s="5" t="s">
        <v>247</v>
      </c>
      <c r="EF129" s="5">
        <f t="shared" si="324"/>
        <v>2</v>
      </c>
      <c r="EG129" s="5">
        <f t="shared" si="325"/>
        <v>4</v>
      </c>
      <c r="EH129" s="5" t="str">
        <f t="shared" si="326"/>
        <v>Nivel de riesgo medio</v>
      </c>
      <c r="EI129" s="5" t="s">
        <v>232</v>
      </c>
      <c r="EJ129" s="5">
        <f t="shared" si="327"/>
        <v>3</v>
      </c>
      <c r="EK129" s="5" t="s">
        <v>254</v>
      </c>
      <c r="EL129" s="5">
        <f t="shared" si="328"/>
        <v>4</v>
      </c>
      <c r="EM129" s="5" t="s">
        <v>247</v>
      </c>
      <c r="EN129" s="5">
        <f t="shared" si="329"/>
        <v>2</v>
      </c>
      <c r="EO129" s="5">
        <f t="shared" si="330"/>
        <v>9</v>
      </c>
      <c r="EP129" s="5" t="str">
        <f t="shared" si="331"/>
        <v>Nivel de riesgo alto</v>
      </c>
      <c r="EQ129" s="5" t="s">
        <v>247</v>
      </c>
      <c r="ER129" s="5">
        <f t="shared" si="332"/>
        <v>2</v>
      </c>
      <c r="ES129" s="5" t="s">
        <v>247</v>
      </c>
      <c r="ET129" s="5">
        <f t="shared" si="333"/>
        <v>2</v>
      </c>
      <c r="EU129" s="5" t="s">
        <v>248</v>
      </c>
      <c r="EV129" s="5">
        <f t="shared" si="334"/>
        <v>3</v>
      </c>
      <c r="EW129" s="5" t="s">
        <v>254</v>
      </c>
      <c r="EX129" s="5">
        <f t="shared" si="335"/>
        <v>0</v>
      </c>
      <c r="EY129" s="5">
        <f t="shared" si="336"/>
        <v>7</v>
      </c>
      <c r="EZ129" s="5" t="str">
        <f t="shared" si="337"/>
        <v>Nivel de riesgo alto</v>
      </c>
      <c r="FA129" s="5" t="s">
        <v>232</v>
      </c>
      <c r="FB129" s="5">
        <f t="shared" si="338"/>
        <v>3</v>
      </c>
      <c r="FC129" s="5" t="s">
        <v>254</v>
      </c>
      <c r="FD129" s="5">
        <f t="shared" si="339"/>
        <v>4</v>
      </c>
      <c r="FE129" s="5" t="s">
        <v>254</v>
      </c>
      <c r="FF129" s="5">
        <f t="shared" si="340"/>
        <v>4</v>
      </c>
      <c r="FG129" s="5">
        <f t="shared" si="341"/>
        <v>11</v>
      </c>
      <c r="FH129" s="5" t="str">
        <f t="shared" si="342"/>
        <v>Nivel de riesgo alto</v>
      </c>
      <c r="FI129" s="5" t="s">
        <v>232</v>
      </c>
      <c r="FJ129" s="5">
        <f t="shared" si="343"/>
        <v>3</v>
      </c>
      <c r="FK129" s="5" t="s">
        <v>232</v>
      </c>
      <c r="FL129" s="5">
        <f t="shared" si="344"/>
        <v>3</v>
      </c>
      <c r="FM129" s="5" t="s">
        <v>248</v>
      </c>
      <c r="FN129" s="5">
        <f t="shared" si="345"/>
        <v>1</v>
      </c>
      <c r="FO129" s="5">
        <f t="shared" si="346"/>
        <v>7</v>
      </c>
      <c r="FP129" s="5" t="str">
        <f t="shared" si="347"/>
        <v>Nivel de riesgo alto</v>
      </c>
      <c r="FQ129" s="5" t="s">
        <v>265</v>
      </c>
      <c r="FR129" s="5">
        <f t="shared" si="348"/>
        <v>1</v>
      </c>
      <c r="FS129" s="5" t="s">
        <v>206</v>
      </c>
      <c r="FT129" s="5">
        <f t="shared" si="349"/>
        <v>0</v>
      </c>
      <c r="FU129" s="5" t="s">
        <v>206</v>
      </c>
      <c r="FV129" s="5">
        <f t="shared" si="350"/>
        <v>0</v>
      </c>
      <c r="FW129" s="5" t="s">
        <v>206</v>
      </c>
      <c r="FX129" s="5">
        <f t="shared" si="351"/>
        <v>0</v>
      </c>
      <c r="FY129" s="5" t="s">
        <v>206</v>
      </c>
      <c r="FZ129" s="5">
        <f t="shared" si="352"/>
        <v>0</v>
      </c>
      <c r="GA129" s="5" t="s">
        <v>206</v>
      </c>
      <c r="GB129" s="5">
        <f t="shared" si="353"/>
        <v>0</v>
      </c>
      <c r="GC129" s="5" t="s">
        <v>206</v>
      </c>
      <c r="GD129" s="5">
        <f t="shared" si="354"/>
        <v>0</v>
      </c>
      <c r="GE129" s="5">
        <f t="shared" si="355"/>
        <v>1</v>
      </c>
      <c r="GF129" s="5" t="str">
        <f t="shared" si="356"/>
        <v>Nivel de riesgo medio</v>
      </c>
      <c r="GG129" s="5" t="s">
        <v>255</v>
      </c>
      <c r="GH129" s="5" t="s">
        <v>266</v>
      </c>
      <c r="GI129" s="5" t="s">
        <v>255</v>
      </c>
      <c r="GJ129" s="5" t="s">
        <v>255</v>
      </c>
      <c r="GK129" s="5" t="s">
        <v>298</v>
      </c>
      <c r="GL129" s="5" t="s">
        <v>255</v>
      </c>
      <c r="GM129" s="5" t="s">
        <v>298</v>
      </c>
      <c r="GN129" s="5" t="s">
        <v>256</v>
      </c>
      <c r="GO129" s="5" t="s">
        <v>243</v>
      </c>
      <c r="GP129" s="5" t="s">
        <v>243</v>
      </c>
      <c r="GQ129" s="5" t="s">
        <v>257</v>
      </c>
      <c r="GR129" s="5" t="s">
        <v>257</v>
      </c>
      <c r="GS129" s="5" t="s">
        <v>257</v>
      </c>
      <c r="GT129" s="5" t="s">
        <v>256</v>
      </c>
      <c r="GU129" s="5" t="s">
        <v>477</v>
      </c>
      <c r="GV129" s="5" t="str">
        <f>TEXT("6278860159117821786","0")</f>
        <v>6278860159117820000</v>
      </c>
    </row>
    <row r="130" spans="1:204" ht="15.75" customHeight="1" x14ac:dyDescent="0.15">
      <c r="A130" s="1">
        <f t="shared" si="306"/>
        <v>130</v>
      </c>
      <c r="B130" s="4">
        <v>45847.502187500002</v>
      </c>
      <c r="C130" s="5" t="s">
        <v>204</v>
      </c>
      <c r="D130" s="5" t="s">
        <v>206</v>
      </c>
      <c r="F130" s="5" t="s">
        <v>206</v>
      </c>
      <c r="G130" s="5" t="s">
        <v>206</v>
      </c>
      <c r="H130" s="5" t="s">
        <v>206</v>
      </c>
      <c r="L130" s="5" t="s">
        <v>236</v>
      </c>
      <c r="P130" s="5" t="s">
        <v>237</v>
      </c>
      <c r="V130" s="5" t="s">
        <v>236</v>
      </c>
      <c r="AA130" s="5" t="s">
        <v>236</v>
      </c>
      <c r="AE130" s="5" t="s">
        <v>237</v>
      </c>
      <c r="AH130" s="5" t="s">
        <v>275</v>
      </c>
      <c r="AI130" s="5">
        <v>2021</v>
      </c>
      <c r="AJ130" s="5" t="s">
        <v>238</v>
      </c>
      <c r="AK130" s="5" t="str">
        <f t="shared" si="307"/>
        <v>Trabajadora por cuenta propia</v>
      </c>
      <c r="AL130" s="5" t="s">
        <v>239</v>
      </c>
      <c r="AP130" s="5" t="s">
        <v>284</v>
      </c>
      <c r="AR130" s="5" t="s">
        <v>301</v>
      </c>
      <c r="AS130" s="5" t="s">
        <v>301</v>
      </c>
      <c r="AT130" s="5" t="s">
        <v>301</v>
      </c>
      <c r="AU130" s="5" t="s">
        <v>301</v>
      </c>
      <c r="AV130" s="5" t="s">
        <v>285</v>
      </c>
      <c r="AW130" s="5" t="s">
        <v>204</v>
      </c>
      <c r="AX130" s="5" t="s">
        <v>204</v>
      </c>
      <c r="AY130" s="5" t="s">
        <v>270</v>
      </c>
      <c r="AZ130" s="5" t="s">
        <v>204</v>
      </c>
      <c r="BA130" s="5" t="s">
        <v>263</v>
      </c>
      <c r="BF130" s="5" t="s">
        <v>204</v>
      </c>
      <c r="BG130" s="5" t="s">
        <v>278</v>
      </c>
      <c r="BH130" s="5" t="s">
        <v>271</v>
      </c>
      <c r="BI130" s="5" t="s">
        <v>278</v>
      </c>
      <c r="BJ130" s="5" t="s">
        <v>271</v>
      </c>
      <c r="BK130" s="5" t="s">
        <v>245</v>
      </c>
      <c r="BL130" s="5" t="s">
        <v>245</v>
      </c>
      <c r="BM130" s="5" t="s">
        <v>245</v>
      </c>
      <c r="BN130" s="5" t="s">
        <v>245</v>
      </c>
      <c r="BO130" s="5" t="s">
        <v>243</v>
      </c>
      <c r="BP130" s="5" t="s">
        <v>245</v>
      </c>
      <c r="BQ130" s="5" t="s">
        <v>245</v>
      </c>
      <c r="BR130" s="5" t="s">
        <v>246</v>
      </c>
      <c r="BS130" s="5" t="s">
        <v>217</v>
      </c>
      <c r="BT130" s="5" t="s">
        <v>232</v>
      </c>
      <c r="BU130" s="5" t="s">
        <v>248</v>
      </c>
      <c r="BV130" s="5" t="s">
        <v>248</v>
      </c>
      <c r="BW130" s="5" t="s">
        <v>248</v>
      </c>
      <c r="BX130" s="5" t="s">
        <v>248</v>
      </c>
      <c r="BY130" s="5" t="s">
        <v>217</v>
      </c>
      <c r="BZ130" s="5" t="s">
        <v>245</v>
      </c>
      <c r="CA130" s="5" t="s">
        <v>245</v>
      </c>
      <c r="CB130" s="5" t="s">
        <v>243</v>
      </c>
      <c r="CC130" s="5" t="s">
        <v>243</v>
      </c>
      <c r="CD130" s="5" t="s">
        <v>204</v>
      </c>
      <c r="CE130" s="5" t="s">
        <v>218</v>
      </c>
      <c r="CF130" s="5" t="s">
        <v>279</v>
      </c>
      <c r="CG130" s="5" t="s">
        <v>206</v>
      </c>
      <c r="CH130" s="5" t="s">
        <v>206</v>
      </c>
      <c r="CI130" s="5" t="s">
        <v>206</v>
      </c>
      <c r="CJ130" s="5">
        <v>2</v>
      </c>
      <c r="CK130" s="5" t="s">
        <v>223</v>
      </c>
      <c r="CL130" s="5" t="s">
        <v>414</v>
      </c>
      <c r="CU130" s="5" t="s">
        <v>206</v>
      </c>
      <c r="DA130" s="5" t="s">
        <v>252</v>
      </c>
      <c r="DB130" s="5">
        <f t="shared" si="308"/>
        <v>3</v>
      </c>
      <c r="DC130" s="5" t="s">
        <v>280</v>
      </c>
      <c r="DD130" s="5">
        <f t="shared" si="309"/>
        <v>4</v>
      </c>
      <c r="DE130" s="5" t="s">
        <v>250</v>
      </c>
      <c r="DF130" s="5">
        <f t="shared" si="310"/>
        <v>3</v>
      </c>
      <c r="DG130" s="5" t="s">
        <v>230</v>
      </c>
      <c r="DH130" s="5">
        <f t="shared" si="311"/>
        <v>2</v>
      </c>
      <c r="DI130" s="5" t="s">
        <v>251</v>
      </c>
      <c r="DJ130" s="5">
        <f t="shared" si="312"/>
        <v>1</v>
      </c>
      <c r="DK130" s="5" t="s">
        <v>230</v>
      </c>
      <c r="DL130" s="5">
        <f t="shared" si="313"/>
        <v>2</v>
      </c>
      <c r="DM130" s="5" t="s">
        <v>230</v>
      </c>
      <c r="DN130" s="5">
        <f t="shared" si="314"/>
        <v>2</v>
      </c>
      <c r="DO130" s="5" t="s">
        <v>231</v>
      </c>
      <c r="DP130" s="5">
        <f t="shared" si="315"/>
        <v>2</v>
      </c>
      <c r="DQ130" s="5" t="s">
        <v>252</v>
      </c>
      <c r="DR130" s="5">
        <f t="shared" si="316"/>
        <v>3</v>
      </c>
      <c r="DS130" s="5" t="s">
        <v>252</v>
      </c>
      <c r="DT130" s="5">
        <f t="shared" si="317"/>
        <v>3</v>
      </c>
      <c r="DU130" s="5" t="s">
        <v>252</v>
      </c>
      <c r="DV130" s="5">
        <f t="shared" si="318"/>
        <v>3</v>
      </c>
      <c r="DW130" s="5" t="s">
        <v>231</v>
      </c>
      <c r="DX130" s="5">
        <f t="shared" si="319"/>
        <v>2</v>
      </c>
      <c r="DY130" s="5">
        <f t="shared" si="320"/>
        <v>30</v>
      </c>
      <c r="DZ130" s="5" t="str">
        <f t="shared" si="321"/>
        <v>Nivel de riesgo alto</v>
      </c>
      <c r="EA130" s="5" t="s">
        <v>248</v>
      </c>
      <c r="EB130" s="5">
        <f t="shared" si="322"/>
        <v>1</v>
      </c>
      <c r="EC130" s="5" t="s">
        <v>232</v>
      </c>
      <c r="ED130" s="5">
        <f t="shared" si="323"/>
        <v>3</v>
      </c>
      <c r="EE130" s="5" t="s">
        <v>247</v>
      </c>
      <c r="EF130" s="5">
        <f t="shared" si="324"/>
        <v>2</v>
      </c>
      <c r="EG130" s="5">
        <f t="shared" si="325"/>
        <v>6</v>
      </c>
      <c r="EH130" s="5" t="str">
        <f t="shared" si="326"/>
        <v>Nivel de riesgo alto</v>
      </c>
      <c r="EI130" s="5" t="s">
        <v>248</v>
      </c>
      <c r="EJ130" s="5">
        <f t="shared" si="327"/>
        <v>1</v>
      </c>
      <c r="EK130" s="5" t="s">
        <v>253</v>
      </c>
      <c r="EL130" s="5">
        <f t="shared" si="328"/>
        <v>0</v>
      </c>
      <c r="EM130" s="5" t="s">
        <v>248</v>
      </c>
      <c r="EN130" s="5">
        <f t="shared" si="329"/>
        <v>1</v>
      </c>
      <c r="EO130" s="5">
        <f t="shared" si="330"/>
        <v>2</v>
      </c>
      <c r="EP130" s="5" t="str">
        <f t="shared" si="331"/>
        <v>Nivel de riesgo medio</v>
      </c>
      <c r="EQ130" s="5" t="s">
        <v>253</v>
      </c>
      <c r="ER130" s="5">
        <f t="shared" si="332"/>
        <v>4</v>
      </c>
      <c r="ES130" s="5" t="s">
        <v>253</v>
      </c>
      <c r="ET130" s="5">
        <f t="shared" si="333"/>
        <v>4</v>
      </c>
      <c r="EU130" s="5" t="s">
        <v>254</v>
      </c>
      <c r="EV130" s="5">
        <f t="shared" si="334"/>
        <v>0</v>
      </c>
      <c r="EW130" s="5" t="s">
        <v>254</v>
      </c>
      <c r="EX130" s="5">
        <f t="shared" si="335"/>
        <v>0</v>
      </c>
      <c r="EY130" s="5">
        <f t="shared" si="336"/>
        <v>8</v>
      </c>
      <c r="EZ130" s="5" t="str">
        <f t="shared" si="337"/>
        <v>Nivel de riesgo alto</v>
      </c>
      <c r="FA130" s="5" t="s">
        <v>232</v>
      </c>
      <c r="FB130" s="5">
        <f t="shared" si="338"/>
        <v>3</v>
      </c>
      <c r="FC130" s="5" t="s">
        <v>253</v>
      </c>
      <c r="FD130" s="5">
        <f t="shared" si="339"/>
        <v>0</v>
      </c>
      <c r="FE130" s="5" t="s">
        <v>253</v>
      </c>
      <c r="FF130" s="5">
        <f t="shared" si="340"/>
        <v>0</v>
      </c>
      <c r="FG130" s="5">
        <f t="shared" si="341"/>
        <v>3</v>
      </c>
      <c r="FH130" s="5" t="str">
        <f t="shared" si="342"/>
        <v>Nivel de riesgo medio</v>
      </c>
      <c r="FI130" s="5" t="s">
        <v>253</v>
      </c>
      <c r="FJ130" s="5">
        <f t="shared" si="343"/>
        <v>0</v>
      </c>
      <c r="FK130" s="5" t="s">
        <v>253</v>
      </c>
      <c r="FL130" s="5">
        <f t="shared" si="344"/>
        <v>0</v>
      </c>
      <c r="FM130" s="5" t="s">
        <v>253</v>
      </c>
      <c r="FN130" s="5">
        <f t="shared" si="345"/>
        <v>0</v>
      </c>
      <c r="FO130" s="5">
        <f t="shared" si="346"/>
        <v>0</v>
      </c>
      <c r="FP130" s="5" t="str">
        <f t="shared" si="347"/>
        <v>Nivel de riesgo bajo</v>
      </c>
      <c r="FQ130" s="5" t="s">
        <v>206</v>
      </c>
      <c r="FR130" s="5">
        <f t="shared" si="348"/>
        <v>0</v>
      </c>
      <c r="FS130" s="5" t="s">
        <v>206</v>
      </c>
      <c r="FT130" s="5">
        <f t="shared" si="349"/>
        <v>0</v>
      </c>
      <c r="FU130" s="5" t="s">
        <v>206</v>
      </c>
      <c r="FV130" s="5">
        <f t="shared" si="350"/>
        <v>0</v>
      </c>
      <c r="FW130" s="5" t="s">
        <v>206</v>
      </c>
      <c r="FX130" s="5">
        <f t="shared" si="351"/>
        <v>0</v>
      </c>
      <c r="FY130" s="5" t="s">
        <v>206</v>
      </c>
      <c r="FZ130" s="5">
        <f t="shared" si="352"/>
        <v>0</v>
      </c>
      <c r="GA130" s="5" t="s">
        <v>206</v>
      </c>
      <c r="GB130" s="5">
        <f t="shared" si="353"/>
        <v>0</v>
      </c>
      <c r="GC130" s="5" t="s">
        <v>206</v>
      </c>
      <c r="GD130" s="5">
        <f t="shared" si="354"/>
        <v>0</v>
      </c>
      <c r="GE130" s="5">
        <f t="shared" si="355"/>
        <v>0</v>
      </c>
      <c r="GF130" s="5" t="str">
        <f t="shared" si="356"/>
        <v>Nivel de riesgo bajo</v>
      </c>
      <c r="GG130" s="5" t="s">
        <v>255</v>
      </c>
      <c r="GH130" s="5" t="s">
        <v>255</v>
      </c>
      <c r="GI130" s="5" t="s">
        <v>255</v>
      </c>
      <c r="GJ130" s="5" t="s">
        <v>273</v>
      </c>
      <c r="GK130" s="5" t="s">
        <v>233</v>
      </c>
      <c r="GL130" s="5" t="s">
        <v>266</v>
      </c>
      <c r="GM130" s="5" t="s">
        <v>255</v>
      </c>
      <c r="GN130" s="5" t="s">
        <v>256</v>
      </c>
      <c r="GO130" s="5" t="s">
        <v>256</v>
      </c>
      <c r="GP130" s="5" t="s">
        <v>243</v>
      </c>
      <c r="GQ130" s="5" t="s">
        <v>243</v>
      </c>
      <c r="GR130" s="5" t="s">
        <v>243</v>
      </c>
      <c r="GS130" s="5" t="s">
        <v>243</v>
      </c>
      <c r="GT130" s="5" t="s">
        <v>256</v>
      </c>
      <c r="GU130" s="5" t="s">
        <v>478</v>
      </c>
      <c r="GV130" s="5" t="str">
        <f>TEXT("6278861894325791479","0")</f>
        <v>6278861894325790000</v>
      </c>
    </row>
    <row r="131" spans="1:204" ht="15.75" customHeight="1" x14ac:dyDescent="0.15">
      <c r="A131" s="1">
        <f t="shared" si="306"/>
        <v>131</v>
      </c>
      <c r="B131" s="4">
        <v>45847.502291666664</v>
      </c>
      <c r="C131" s="5" t="s">
        <v>204</v>
      </c>
      <c r="D131" s="5" t="s">
        <v>206</v>
      </c>
      <c r="F131" s="5" t="s">
        <v>204</v>
      </c>
      <c r="G131" s="5" t="s">
        <v>206</v>
      </c>
      <c r="H131" s="5" t="s">
        <v>206</v>
      </c>
      <c r="L131" s="5" t="s">
        <v>236</v>
      </c>
      <c r="P131" s="5" t="s">
        <v>237</v>
      </c>
      <c r="T131" s="5" t="s">
        <v>209</v>
      </c>
      <c r="Z131" s="5" t="s">
        <v>237</v>
      </c>
      <c r="AG131" s="5" t="s">
        <v>207</v>
      </c>
      <c r="AH131" s="5" t="s">
        <v>210</v>
      </c>
      <c r="AI131" s="5">
        <v>2021</v>
      </c>
      <c r="AJ131" s="5" t="s">
        <v>238</v>
      </c>
      <c r="AK131" s="5" t="str">
        <f t="shared" si="307"/>
        <v>Trabajadora por cuenta propia</v>
      </c>
      <c r="AM131" s="5" t="s">
        <v>309</v>
      </c>
      <c r="AO131" s="5" t="s">
        <v>390</v>
      </c>
      <c r="AP131" s="5" t="s">
        <v>240</v>
      </c>
      <c r="AR131" s="5" t="s">
        <v>241</v>
      </c>
      <c r="AS131" s="5" t="s">
        <v>241</v>
      </c>
      <c r="AT131" s="5" t="s">
        <v>241</v>
      </c>
      <c r="AU131" s="5" t="s">
        <v>241</v>
      </c>
      <c r="AV131" s="5" t="s">
        <v>285</v>
      </c>
      <c r="AW131" s="5" t="s">
        <v>204</v>
      </c>
      <c r="AX131" s="5" t="s">
        <v>206</v>
      </c>
      <c r="BF131" s="5" t="s">
        <v>204</v>
      </c>
      <c r="BG131" s="5" t="s">
        <v>242</v>
      </c>
      <c r="BH131" s="5" t="s">
        <v>215</v>
      </c>
      <c r="BI131" s="5" t="s">
        <v>207</v>
      </c>
      <c r="BJ131" s="5" t="s">
        <v>271</v>
      </c>
      <c r="BK131" s="5" t="s">
        <v>245</v>
      </c>
      <c r="BL131" s="5" t="s">
        <v>245</v>
      </c>
      <c r="BM131" s="5" t="s">
        <v>245</v>
      </c>
      <c r="BN131" s="5" t="s">
        <v>245</v>
      </c>
      <c r="BO131" s="5" t="s">
        <v>245</v>
      </c>
      <c r="BP131" s="5" t="s">
        <v>245</v>
      </c>
      <c r="BQ131" s="5" t="s">
        <v>245</v>
      </c>
      <c r="BR131" s="5" t="s">
        <v>245</v>
      </c>
      <c r="BS131" s="5" t="s">
        <v>254</v>
      </c>
      <c r="BT131" s="5" t="s">
        <v>232</v>
      </c>
      <c r="BU131" s="5" t="s">
        <v>254</v>
      </c>
      <c r="BV131" s="5" t="s">
        <v>254</v>
      </c>
      <c r="BW131" s="5" t="s">
        <v>232</v>
      </c>
      <c r="BX131" s="5" t="s">
        <v>254</v>
      </c>
      <c r="BY131" s="5" t="s">
        <v>232</v>
      </c>
      <c r="BZ131" s="5" t="s">
        <v>245</v>
      </c>
      <c r="CA131" s="5" t="s">
        <v>245</v>
      </c>
      <c r="CB131" s="5" t="s">
        <v>245</v>
      </c>
      <c r="CC131" s="5" t="s">
        <v>245</v>
      </c>
      <c r="CD131" s="5" t="s">
        <v>206</v>
      </c>
      <c r="CH131" s="5" t="s">
        <v>206</v>
      </c>
      <c r="CI131" s="5" t="s">
        <v>206</v>
      </c>
      <c r="CJ131" s="5">
        <v>0</v>
      </c>
      <c r="CK131" s="5" t="s">
        <v>223</v>
      </c>
      <c r="CU131" s="5" t="s">
        <v>206</v>
      </c>
      <c r="DA131" s="5" t="s">
        <v>231</v>
      </c>
      <c r="DB131" s="5">
        <f t="shared" si="308"/>
        <v>2</v>
      </c>
      <c r="DC131" s="5" t="s">
        <v>250</v>
      </c>
      <c r="DD131" s="5">
        <f t="shared" si="309"/>
        <v>3</v>
      </c>
      <c r="DE131" s="5" t="s">
        <v>250</v>
      </c>
      <c r="DF131" s="5">
        <f t="shared" si="310"/>
        <v>3</v>
      </c>
      <c r="DG131" s="5" t="s">
        <v>250</v>
      </c>
      <c r="DH131" s="5">
        <f t="shared" si="311"/>
        <v>3</v>
      </c>
      <c r="DI131" s="5" t="s">
        <v>250</v>
      </c>
      <c r="DJ131" s="5">
        <f t="shared" si="312"/>
        <v>3</v>
      </c>
      <c r="DK131" s="5" t="s">
        <v>250</v>
      </c>
      <c r="DL131" s="5">
        <f t="shared" si="313"/>
        <v>3</v>
      </c>
      <c r="DM131" s="5" t="s">
        <v>251</v>
      </c>
      <c r="DN131" s="5">
        <f t="shared" si="314"/>
        <v>1</v>
      </c>
      <c r="DO131" s="5" t="s">
        <v>281</v>
      </c>
      <c r="DP131" s="5">
        <f t="shared" si="315"/>
        <v>1</v>
      </c>
      <c r="DQ131" s="5" t="s">
        <v>281</v>
      </c>
      <c r="DR131" s="5">
        <f t="shared" si="316"/>
        <v>1</v>
      </c>
      <c r="DS131" s="5" t="s">
        <v>252</v>
      </c>
      <c r="DT131" s="5">
        <f t="shared" si="317"/>
        <v>3</v>
      </c>
      <c r="DU131" s="5" t="s">
        <v>252</v>
      </c>
      <c r="DV131" s="5">
        <f t="shared" si="318"/>
        <v>3</v>
      </c>
      <c r="DW131" s="5" t="s">
        <v>281</v>
      </c>
      <c r="DX131" s="5">
        <f t="shared" si="319"/>
        <v>1</v>
      </c>
      <c r="DY131" s="5">
        <f t="shared" si="320"/>
        <v>27</v>
      </c>
      <c r="DZ131" s="5" t="str">
        <f t="shared" si="321"/>
        <v>Nivel de riesgo alto</v>
      </c>
      <c r="EA131" s="5" t="s">
        <v>254</v>
      </c>
      <c r="EB131" s="5">
        <f t="shared" si="322"/>
        <v>4</v>
      </c>
      <c r="EC131" s="5" t="s">
        <v>253</v>
      </c>
      <c r="ED131" s="5">
        <f t="shared" si="323"/>
        <v>0</v>
      </c>
      <c r="EE131" s="5" t="s">
        <v>253</v>
      </c>
      <c r="EF131" s="5">
        <f t="shared" si="324"/>
        <v>0</v>
      </c>
      <c r="EG131" s="5">
        <f t="shared" si="325"/>
        <v>4</v>
      </c>
      <c r="EH131" s="5" t="str">
        <f t="shared" si="326"/>
        <v>Nivel de riesgo medio</v>
      </c>
      <c r="EI131" s="5" t="s">
        <v>247</v>
      </c>
      <c r="EJ131" s="5">
        <f t="shared" si="327"/>
        <v>2</v>
      </c>
      <c r="EK131" s="5" t="s">
        <v>247</v>
      </c>
      <c r="EL131" s="5">
        <f t="shared" si="328"/>
        <v>2</v>
      </c>
      <c r="EM131" s="5" t="s">
        <v>247</v>
      </c>
      <c r="EN131" s="5">
        <f t="shared" si="329"/>
        <v>2</v>
      </c>
      <c r="EO131" s="5">
        <f t="shared" si="330"/>
        <v>6</v>
      </c>
      <c r="EP131" s="5" t="str">
        <f t="shared" si="331"/>
        <v>Nivel de riesgo alto</v>
      </c>
      <c r="EQ131" s="5" t="s">
        <v>247</v>
      </c>
      <c r="ER131" s="5">
        <f t="shared" si="332"/>
        <v>2</v>
      </c>
      <c r="ES131" s="5" t="s">
        <v>247</v>
      </c>
      <c r="ET131" s="5">
        <f t="shared" si="333"/>
        <v>2</v>
      </c>
      <c r="EU131" s="5" t="s">
        <v>232</v>
      </c>
      <c r="EV131" s="5">
        <f t="shared" si="334"/>
        <v>1</v>
      </c>
      <c r="EW131" s="5" t="s">
        <v>232</v>
      </c>
      <c r="EX131" s="5">
        <f t="shared" si="335"/>
        <v>1</v>
      </c>
      <c r="EY131" s="5">
        <f t="shared" si="336"/>
        <v>6</v>
      </c>
      <c r="EZ131" s="5" t="str">
        <f t="shared" si="337"/>
        <v>Nivel de riesgo alto</v>
      </c>
      <c r="FA131" s="5" t="s">
        <v>247</v>
      </c>
      <c r="FB131" s="5">
        <f t="shared" si="338"/>
        <v>2</v>
      </c>
      <c r="FC131" s="5" t="s">
        <v>247</v>
      </c>
      <c r="FD131" s="5">
        <f t="shared" si="339"/>
        <v>2</v>
      </c>
      <c r="FE131" s="5" t="s">
        <v>247</v>
      </c>
      <c r="FF131" s="5">
        <f t="shared" si="340"/>
        <v>2</v>
      </c>
      <c r="FG131" s="5">
        <f t="shared" si="341"/>
        <v>6</v>
      </c>
      <c r="FH131" s="5" t="str">
        <f t="shared" si="342"/>
        <v>Nivel de riesgo alto</v>
      </c>
      <c r="FI131" s="5" t="s">
        <v>254</v>
      </c>
      <c r="FJ131" s="5">
        <f t="shared" si="343"/>
        <v>4</v>
      </c>
      <c r="FK131" s="5" t="s">
        <v>254</v>
      </c>
      <c r="FL131" s="5">
        <f t="shared" si="344"/>
        <v>4</v>
      </c>
      <c r="FM131" s="5" t="s">
        <v>254</v>
      </c>
      <c r="FN131" s="5">
        <f t="shared" si="345"/>
        <v>4</v>
      </c>
      <c r="FO131" s="5">
        <f t="shared" si="346"/>
        <v>12</v>
      </c>
      <c r="FP131" s="5" t="str">
        <f t="shared" si="347"/>
        <v>Nivel de riesgo alto</v>
      </c>
      <c r="FQ131" s="5" t="s">
        <v>206</v>
      </c>
      <c r="FR131" s="5">
        <f t="shared" si="348"/>
        <v>0</v>
      </c>
      <c r="FS131" s="5" t="s">
        <v>265</v>
      </c>
      <c r="FT131" s="5">
        <f t="shared" si="349"/>
        <v>1</v>
      </c>
      <c r="FU131" s="5" t="s">
        <v>206</v>
      </c>
      <c r="FV131" s="5">
        <f t="shared" si="350"/>
        <v>0</v>
      </c>
      <c r="FW131" s="5" t="s">
        <v>206</v>
      </c>
      <c r="FX131" s="5">
        <f t="shared" si="351"/>
        <v>0</v>
      </c>
      <c r="FY131" s="5" t="s">
        <v>206</v>
      </c>
      <c r="FZ131" s="5">
        <f t="shared" si="352"/>
        <v>0</v>
      </c>
      <c r="GA131" s="5" t="s">
        <v>206</v>
      </c>
      <c r="GB131" s="5">
        <f t="shared" si="353"/>
        <v>0</v>
      </c>
      <c r="GC131" s="5" t="s">
        <v>206</v>
      </c>
      <c r="GD131" s="5">
        <f t="shared" si="354"/>
        <v>0</v>
      </c>
      <c r="GE131" s="5">
        <f t="shared" si="355"/>
        <v>1</v>
      </c>
      <c r="GF131" s="5" t="str">
        <f t="shared" si="356"/>
        <v>Nivel de riesgo medio</v>
      </c>
      <c r="GG131" s="5" t="s">
        <v>255</v>
      </c>
      <c r="GH131" s="5" t="s">
        <v>255</v>
      </c>
      <c r="GI131" s="5" t="s">
        <v>255</v>
      </c>
      <c r="GJ131" s="5" t="s">
        <v>255</v>
      </c>
      <c r="GK131" s="5" t="s">
        <v>255</v>
      </c>
      <c r="GL131" s="5" t="s">
        <v>255</v>
      </c>
      <c r="GM131" s="5" t="s">
        <v>255</v>
      </c>
      <c r="GN131" s="5" t="s">
        <v>256</v>
      </c>
      <c r="GO131" s="5" t="s">
        <v>243</v>
      </c>
      <c r="GP131" s="5" t="s">
        <v>243</v>
      </c>
      <c r="GQ131" s="5" t="s">
        <v>243</v>
      </c>
      <c r="GR131" s="5" t="s">
        <v>243</v>
      </c>
      <c r="GS131" s="5" t="s">
        <v>243</v>
      </c>
      <c r="GT131" s="5" t="s">
        <v>256</v>
      </c>
      <c r="GU131" s="5" t="s">
        <v>479</v>
      </c>
      <c r="GV131" s="5" t="str">
        <f>TEXT("6278861989301890060","0")</f>
        <v>6278861989301890000</v>
      </c>
    </row>
    <row r="132" spans="1:204" ht="15.75" customHeight="1" x14ac:dyDescent="0.15">
      <c r="A132" s="1">
        <f t="shared" si="306"/>
        <v>132</v>
      </c>
      <c r="B132" s="4">
        <v>45847.502708333333</v>
      </c>
      <c r="C132" s="5" t="s">
        <v>204</v>
      </c>
      <c r="D132" s="5" t="s">
        <v>206</v>
      </c>
      <c r="F132" s="5" t="s">
        <v>206</v>
      </c>
      <c r="G132" s="5" t="s">
        <v>204</v>
      </c>
      <c r="H132" s="5" t="s">
        <v>204</v>
      </c>
      <c r="K132" s="5" t="s">
        <v>237</v>
      </c>
      <c r="O132" s="5" t="s">
        <v>209</v>
      </c>
      <c r="S132" s="5" t="s">
        <v>208</v>
      </c>
      <c r="Y132" s="5" t="s">
        <v>209</v>
      </c>
      <c r="AD132" s="5" t="s">
        <v>209</v>
      </c>
      <c r="AH132" s="5" t="s">
        <v>210</v>
      </c>
      <c r="AI132" s="5">
        <v>2025</v>
      </c>
      <c r="AJ132" s="5" t="s">
        <v>238</v>
      </c>
      <c r="AK132" s="5" t="str">
        <f t="shared" si="307"/>
        <v>Trabajadora por cuenta propia</v>
      </c>
      <c r="AM132" s="5" t="s">
        <v>309</v>
      </c>
      <c r="AO132" s="5" t="s">
        <v>390</v>
      </c>
      <c r="AP132" s="5" t="s">
        <v>297</v>
      </c>
      <c r="AR132" s="5" t="s">
        <v>241</v>
      </c>
      <c r="AS132" s="5" t="s">
        <v>261</v>
      </c>
      <c r="AT132" s="5" t="s">
        <v>301</v>
      </c>
      <c r="AU132" s="5" t="s">
        <v>241</v>
      </c>
      <c r="AV132" s="5" t="s">
        <v>213</v>
      </c>
      <c r="AW132" s="5" t="s">
        <v>206</v>
      </c>
      <c r="BF132" s="5" t="s">
        <v>204</v>
      </c>
      <c r="BG132" s="5" t="s">
        <v>264</v>
      </c>
      <c r="BH132" s="5" t="s">
        <v>242</v>
      </c>
      <c r="BI132" s="5" t="s">
        <v>207</v>
      </c>
      <c r="BJ132" s="5" t="s">
        <v>264</v>
      </c>
      <c r="BK132" s="5" t="s">
        <v>245</v>
      </c>
      <c r="BL132" s="5" t="s">
        <v>243</v>
      </c>
      <c r="BM132" s="5" t="s">
        <v>243</v>
      </c>
      <c r="BN132" s="5" t="s">
        <v>244</v>
      </c>
      <c r="BO132" s="5" t="s">
        <v>246</v>
      </c>
      <c r="BP132" s="5" t="s">
        <v>216</v>
      </c>
      <c r="BQ132" s="5" t="s">
        <v>246</v>
      </c>
      <c r="BR132" s="5" t="s">
        <v>244</v>
      </c>
      <c r="BS132" s="5" t="s">
        <v>254</v>
      </c>
      <c r="BT132" s="5" t="s">
        <v>254</v>
      </c>
      <c r="BU132" s="5" t="s">
        <v>247</v>
      </c>
      <c r="BV132" s="5" t="s">
        <v>232</v>
      </c>
      <c r="BW132" s="5" t="s">
        <v>248</v>
      </c>
      <c r="BX132" s="5" t="s">
        <v>247</v>
      </c>
      <c r="BY132" s="5" t="s">
        <v>247</v>
      </c>
      <c r="CD132" s="5" t="s">
        <v>204</v>
      </c>
      <c r="CE132" s="5" t="s">
        <v>218</v>
      </c>
      <c r="CF132" s="5" t="s">
        <v>219</v>
      </c>
      <c r="CG132" s="5" t="s">
        <v>206</v>
      </c>
      <c r="CH132" s="5" t="s">
        <v>206</v>
      </c>
      <c r="CI132" s="5" t="s">
        <v>206</v>
      </c>
      <c r="CJ132" s="5">
        <v>0</v>
      </c>
      <c r="CK132" s="5" t="s">
        <v>223</v>
      </c>
      <c r="CU132" s="5" t="s">
        <v>206</v>
      </c>
      <c r="DA132" s="5" t="s">
        <v>231</v>
      </c>
      <c r="DB132" s="5">
        <f t="shared" si="308"/>
        <v>2</v>
      </c>
      <c r="DC132" s="5" t="s">
        <v>250</v>
      </c>
      <c r="DD132" s="5">
        <f t="shared" si="309"/>
        <v>3</v>
      </c>
      <c r="DE132" s="5" t="s">
        <v>250</v>
      </c>
      <c r="DF132" s="5">
        <f t="shared" si="310"/>
        <v>3</v>
      </c>
      <c r="DG132" s="5" t="s">
        <v>250</v>
      </c>
      <c r="DH132" s="5">
        <f t="shared" si="311"/>
        <v>3</v>
      </c>
      <c r="DI132" s="5" t="s">
        <v>250</v>
      </c>
      <c r="DJ132" s="5">
        <f t="shared" si="312"/>
        <v>3</v>
      </c>
      <c r="DK132" s="5" t="s">
        <v>250</v>
      </c>
      <c r="DL132" s="5">
        <f t="shared" si="313"/>
        <v>3</v>
      </c>
      <c r="DM132" s="5" t="s">
        <v>250</v>
      </c>
      <c r="DN132" s="5">
        <f t="shared" si="314"/>
        <v>3</v>
      </c>
      <c r="DO132" s="5" t="s">
        <v>252</v>
      </c>
      <c r="DP132" s="5">
        <f t="shared" si="315"/>
        <v>3</v>
      </c>
      <c r="DQ132" s="5" t="s">
        <v>252</v>
      </c>
      <c r="DR132" s="5">
        <f t="shared" si="316"/>
        <v>3</v>
      </c>
      <c r="DS132" s="5" t="s">
        <v>231</v>
      </c>
      <c r="DT132" s="5">
        <f t="shared" si="317"/>
        <v>2</v>
      </c>
      <c r="DU132" s="5" t="s">
        <v>231</v>
      </c>
      <c r="DV132" s="5">
        <f t="shared" si="318"/>
        <v>2</v>
      </c>
      <c r="DW132" s="5" t="s">
        <v>231</v>
      </c>
      <c r="DX132" s="5">
        <f t="shared" si="319"/>
        <v>2</v>
      </c>
      <c r="DY132" s="5">
        <f t="shared" si="320"/>
        <v>32</v>
      </c>
      <c r="DZ132" s="5" t="str">
        <f t="shared" si="321"/>
        <v>Nivel de riesgo alto</v>
      </c>
      <c r="EA132" s="5" t="s">
        <v>232</v>
      </c>
      <c r="EB132" s="5">
        <f t="shared" si="322"/>
        <v>3</v>
      </c>
      <c r="EC132" s="5" t="s">
        <v>247</v>
      </c>
      <c r="ED132" s="5">
        <f t="shared" si="323"/>
        <v>2</v>
      </c>
      <c r="EE132" s="5" t="s">
        <v>247</v>
      </c>
      <c r="EF132" s="5">
        <f t="shared" si="324"/>
        <v>2</v>
      </c>
      <c r="EG132" s="5">
        <f t="shared" si="325"/>
        <v>7</v>
      </c>
      <c r="EH132" s="5" t="str">
        <f t="shared" si="326"/>
        <v>Nivel de riesgo alto</v>
      </c>
      <c r="EI132" s="5" t="s">
        <v>253</v>
      </c>
      <c r="EJ132" s="5">
        <f t="shared" si="327"/>
        <v>0</v>
      </c>
      <c r="EK132" s="5" t="s">
        <v>253</v>
      </c>
      <c r="EL132" s="5">
        <f t="shared" si="328"/>
        <v>0</v>
      </c>
      <c r="EM132" s="5" t="s">
        <v>247</v>
      </c>
      <c r="EN132" s="5">
        <f t="shared" si="329"/>
        <v>2</v>
      </c>
      <c r="EO132" s="5">
        <f t="shared" si="330"/>
        <v>2</v>
      </c>
      <c r="EP132" s="5" t="str">
        <f t="shared" si="331"/>
        <v>Nivel de riesgo medio</v>
      </c>
      <c r="EQ132" s="5" t="s">
        <v>248</v>
      </c>
      <c r="ER132" s="5">
        <f t="shared" si="332"/>
        <v>3</v>
      </c>
      <c r="ES132" s="5" t="s">
        <v>247</v>
      </c>
      <c r="ET132" s="5">
        <f t="shared" si="333"/>
        <v>2</v>
      </c>
      <c r="EU132" s="5" t="s">
        <v>247</v>
      </c>
      <c r="EV132" s="5">
        <f t="shared" si="334"/>
        <v>2</v>
      </c>
      <c r="EW132" s="5" t="s">
        <v>232</v>
      </c>
      <c r="EX132" s="5">
        <f t="shared" si="335"/>
        <v>1</v>
      </c>
      <c r="EY132" s="5">
        <f t="shared" si="336"/>
        <v>8</v>
      </c>
      <c r="EZ132" s="5" t="str">
        <f t="shared" si="337"/>
        <v>Nivel de riesgo alto</v>
      </c>
      <c r="FA132" s="5" t="s">
        <v>254</v>
      </c>
      <c r="FB132" s="5">
        <f t="shared" si="338"/>
        <v>4</v>
      </c>
      <c r="FC132" s="5" t="s">
        <v>253</v>
      </c>
      <c r="FD132" s="5">
        <f t="shared" si="339"/>
        <v>0</v>
      </c>
      <c r="FE132" s="5" t="s">
        <v>254</v>
      </c>
      <c r="FF132" s="5">
        <f t="shared" si="340"/>
        <v>4</v>
      </c>
      <c r="FG132" s="5">
        <f t="shared" si="341"/>
        <v>8</v>
      </c>
      <c r="FH132" s="5" t="str">
        <f t="shared" si="342"/>
        <v>Nivel de riesgo alto</v>
      </c>
      <c r="FI132" s="5" t="s">
        <v>247</v>
      </c>
      <c r="FJ132" s="5">
        <f t="shared" si="343"/>
        <v>2</v>
      </c>
      <c r="FK132" s="5" t="s">
        <v>232</v>
      </c>
      <c r="FL132" s="5">
        <f t="shared" si="344"/>
        <v>3</v>
      </c>
      <c r="FM132" s="5" t="s">
        <v>247</v>
      </c>
      <c r="FN132" s="5">
        <f t="shared" si="345"/>
        <v>2</v>
      </c>
      <c r="FO132" s="5">
        <f t="shared" si="346"/>
        <v>7</v>
      </c>
      <c r="FP132" s="5" t="str">
        <f t="shared" si="347"/>
        <v>Nivel de riesgo alto</v>
      </c>
      <c r="FQ132" s="5" t="s">
        <v>265</v>
      </c>
      <c r="FR132" s="5">
        <f t="shared" si="348"/>
        <v>1</v>
      </c>
      <c r="FS132" s="5" t="s">
        <v>206</v>
      </c>
      <c r="FT132" s="5">
        <f t="shared" si="349"/>
        <v>0</v>
      </c>
      <c r="FU132" s="5" t="s">
        <v>206</v>
      </c>
      <c r="FV132" s="5">
        <f t="shared" si="350"/>
        <v>0</v>
      </c>
      <c r="FW132" s="5" t="s">
        <v>206</v>
      </c>
      <c r="FX132" s="5">
        <f t="shared" si="351"/>
        <v>0</v>
      </c>
      <c r="FY132" s="5" t="s">
        <v>206</v>
      </c>
      <c r="FZ132" s="5">
        <f t="shared" si="352"/>
        <v>0</v>
      </c>
      <c r="GA132" s="5" t="s">
        <v>206</v>
      </c>
      <c r="GB132" s="5">
        <f t="shared" si="353"/>
        <v>0</v>
      </c>
      <c r="GC132" s="5" t="s">
        <v>265</v>
      </c>
      <c r="GD132" s="5">
        <f t="shared" si="354"/>
        <v>1</v>
      </c>
      <c r="GE132" s="5">
        <f t="shared" si="355"/>
        <v>2</v>
      </c>
      <c r="GF132" s="5" t="str">
        <f t="shared" si="356"/>
        <v>Nivel de riesgo medio</v>
      </c>
      <c r="GG132" s="5" t="s">
        <v>255</v>
      </c>
      <c r="GH132" s="5" t="s">
        <v>255</v>
      </c>
      <c r="GI132" s="5" t="s">
        <v>255</v>
      </c>
      <c r="GJ132" s="5" t="s">
        <v>255</v>
      </c>
      <c r="GK132" s="5" t="s">
        <v>233</v>
      </c>
      <c r="GL132" s="5" t="s">
        <v>233</v>
      </c>
      <c r="GM132" s="5" t="s">
        <v>233</v>
      </c>
      <c r="GN132" s="5" t="s">
        <v>256</v>
      </c>
      <c r="GO132" s="5" t="s">
        <v>256</v>
      </c>
      <c r="GP132" s="5" t="s">
        <v>256</v>
      </c>
      <c r="GQ132" s="5" t="s">
        <v>256</v>
      </c>
      <c r="GR132" s="5" t="s">
        <v>256</v>
      </c>
      <c r="GS132" s="5" t="s">
        <v>256</v>
      </c>
      <c r="GT132" s="5" t="s">
        <v>256</v>
      </c>
      <c r="GU132" s="5" t="s">
        <v>480</v>
      </c>
      <c r="GV132" s="5" t="str">
        <f>TEXT("6278862349331791765","0")</f>
        <v>6278862349331790000</v>
      </c>
    </row>
    <row r="133" spans="1:204" ht="15.75" customHeight="1" x14ac:dyDescent="0.15">
      <c r="A133" s="1">
        <f t="shared" si="306"/>
        <v>133</v>
      </c>
      <c r="B133" s="4">
        <v>45847.503055555557</v>
      </c>
      <c r="C133" s="5" t="s">
        <v>204</v>
      </c>
      <c r="D133" s="5" t="s">
        <v>206</v>
      </c>
      <c r="F133" s="5" t="s">
        <v>206</v>
      </c>
      <c r="G133" s="5" t="s">
        <v>204</v>
      </c>
      <c r="H133" s="5" t="s">
        <v>206</v>
      </c>
      <c r="L133" s="5" t="s">
        <v>236</v>
      </c>
      <c r="P133" s="5" t="s">
        <v>237</v>
      </c>
      <c r="T133" s="5" t="s">
        <v>209</v>
      </c>
      <c r="X133" s="5" t="s">
        <v>208</v>
      </c>
      <c r="AD133" s="5" t="s">
        <v>209</v>
      </c>
      <c r="AH133" s="5" t="s">
        <v>268</v>
      </c>
      <c r="AI133" s="5">
        <v>2020</v>
      </c>
      <c r="AJ133" s="5" t="s">
        <v>238</v>
      </c>
      <c r="AK133" s="5" t="str">
        <f t="shared" si="307"/>
        <v>Trabajadora por cuenta propia</v>
      </c>
      <c r="AN133" s="5" t="s">
        <v>288</v>
      </c>
      <c r="AP133" s="5" t="s">
        <v>240</v>
      </c>
      <c r="AR133" s="5" t="s">
        <v>294</v>
      </c>
      <c r="AS133" s="5" t="s">
        <v>241</v>
      </c>
      <c r="AT133" s="5" t="s">
        <v>241</v>
      </c>
      <c r="AU133" s="5" t="s">
        <v>301</v>
      </c>
      <c r="AV133" s="5" t="s">
        <v>213</v>
      </c>
      <c r="AW133" s="5" t="s">
        <v>206</v>
      </c>
      <c r="BF133" s="5" t="s">
        <v>204</v>
      </c>
      <c r="BG133" s="5" t="s">
        <v>278</v>
      </c>
      <c r="BH133" s="5" t="s">
        <v>278</v>
      </c>
      <c r="BI133" s="5" t="s">
        <v>278</v>
      </c>
      <c r="BJ133" s="5" t="s">
        <v>278</v>
      </c>
      <c r="BK133" s="5" t="s">
        <v>245</v>
      </c>
      <c r="BL133" s="5" t="s">
        <v>243</v>
      </c>
      <c r="BM133" s="5" t="s">
        <v>245</v>
      </c>
      <c r="BN133" s="5" t="s">
        <v>243</v>
      </c>
      <c r="BO133" s="5" t="s">
        <v>243</v>
      </c>
      <c r="BP133" s="5" t="s">
        <v>243</v>
      </c>
      <c r="BQ133" s="5" t="s">
        <v>245</v>
      </c>
      <c r="BR133" s="5" t="s">
        <v>246</v>
      </c>
      <c r="BS133" s="5" t="s">
        <v>232</v>
      </c>
      <c r="BT133" s="5" t="s">
        <v>254</v>
      </c>
      <c r="BU133" s="5" t="s">
        <v>247</v>
      </c>
      <c r="BV133" s="5" t="s">
        <v>247</v>
      </c>
      <c r="BW133" s="5" t="s">
        <v>247</v>
      </c>
      <c r="BX133" s="5" t="s">
        <v>247</v>
      </c>
      <c r="BY133" s="5" t="s">
        <v>232</v>
      </c>
      <c r="CD133" s="5" t="s">
        <v>206</v>
      </c>
      <c r="CH133" s="5" t="s">
        <v>206</v>
      </c>
      <c r="CI133" s="5" t="s">
        <v>206</v>
      </c>
      <c r="CJ133" s="5">
        <v>3</v>
      </c>
      <c r="CK133" s="5" t="s">
        <v>223</v>
      </c>
      <c r="CU133" s="5" t="s">
        <v>206</v>
      </c>
      <c r="DA133" s="5" t="s">
        <v>231</v>
      </c>
      <c r="DB133" s="5">
        <f t="shared" si="308"/>
        <v>2</v>
      </c>
      <c r="DC133" s="5" t="s">
        <v>250</v>
      </c>
      <c r="DD133" s="5">
        <f t="shared" si="309"/>
        <v>3</v>
      </c>
      <c r="DE133" s="5" t="s">
        <v>230</v>
      </c>
      <c r="DF133" s="5">
        <f t="shared" si="310"/>
        <v>2</v>
      </c>
      <c r="DG133" s="5" t="s">
        <v>230</v>
      </c>
      <c r="DH133" s="5">
        <f t="shared" si="311"/>
        <v>2</v>
      </c>
      <c r="DI133" s="5" t="s">
        <v>230</v>
      </c>
      <c r="DJ133" s="5">
        <f t="shared" si="312"/>
        <v>2</v>
      </c>
      <c r="DK133" s="5" t="s">
        <v>230</v>
      </c>
      <c r="DL133" s="5">
        <f t="shared" si="313"/>
        <v>2</v>
      </c>
      <c r="DM133" s="5" t="s">
        <v>251</v>
      </c>
      <c r="DN133" s="5">
        <f t="shared" si="314"/>
        <v>1</v>
      </c>
      <c r="DO133" s="5" t="s">
        <v>229</v>
      </c>
      <c r="DP133" s="5">
        <f t="shared" si="315"/>
        <v>4</v>
      </c>
      <c r="DQ133" s="5" t="s">
        <v>229</v>
      </c>
      <c r="DR133" s="5">
        <f t="shared" si="316"/>
        <v>4</v>
      </c>
      <c r="DS133" s="5" t="s">
        <v>231</v>
      </c>
      <c r="DT133" s="5">
        <f t="shared" si="317"/>
        <v>2</v>
      </c>
      <c r="DU133" s="5" t="s">
        <v>231</v>
      </c>
      <c r="DV133" s="5">
        <f t="shared" si="318"/>
        <v>2</v>
      </c>
      <c r="DW133" s="5" t="s">
        <v>231</v>
      </c>
      <c r="DX133" s="5">
        <f t="shared" si="319"/>
        <v>2</v>
      </c>
      <c r="DY133" s="5">
        <f t="shared" si="320"/>
        <v>28</v>
      </c>
      <c r="DZ133" s="5" t="str">
        <f t="shared" si="321"/>
        <v>Nivel de riesgo alto</v>
      </c>
      <c r="EA133" s="5" t="s">
        <v>247</v>
      </c>
      <c r="EB133" s="5">
        <f t="shared" si="322"/>
        <v>2</v>
      </c>
      <c r="EC133" s="5" t="s">
        <v>247</v>
      </c>
      <c r="ED133" s="5">
        <f t="shared" si="323"/>
        <v>2</v>
      </c>
      <c r="EE133" s="5" t="s">
        <v>248</v>
      </c>
      <c r="EF133" s="5">
        <f t="shared" si="324"/>
        <v>1</v>
      </c>
      <c r="EG133" s="5">
        <f t="shared" si="325"/>
        <v>5</v>
      </c>
      <c r="EH133" s="5" t="str">
        <f t="shared" si="326"/>
        <v>Nivel de riesgo alto</v>
      </c>
      <c r="EI133" s="5" t="s">
        <v>248</v>
      </c>
      <c r="EJ133" s="5">
        <f t="shared" si="327"/>
        <v>1</v>
      </c>
      <c r="EK133" s="5" t="s">
        <v>248</v>
      </c>
      <c r="EL133" s="5">
        <f t="shared" si="328"/>
        <v>1</v>
      </c>
      <c r="EM133" s="5" t="s">
        <v>248</v>
      </c>
      <c r="EN133" s="5">
        <f t="shared" si="329"/>
        <v>1</v>
      </c>
      <c r="EO133" s="5">
        <f t="shared" si="330"/>
        <v>3</v>
      </c>
      <c r="EP133" s="5" t="str">
        <f t="shared" si="331"/>
        <v>Nivel de riesgo medio</v>
      </c>
      <c r="EQ133" s="5" t="s">
        <v>253</v>
      </c>
      <c r="ER133" s="5">
        <f t="shared" si="332"/>
        <v>4</v>
      </c>
      <c r="ES133" s="5" t="s">
        <v>253</v>
      </c>
      <c r="ET133" s="5">
        <f t="shared" si="333"/>
        <v>4</v>
      </c>
      <c r="EU133" s="5" t="s">
        <v>254</v>
      </c>
      <c r="EV133" s="5">
        <f t="shared" si="334"/>
        <v>0</v>
      </c>
      <c r="EW133" s="5" t="s">
        <v>253</v>
      </c>
      <c r="EX133" s="5">
        <f t="shared" si="335"/>
        <v>4</v>
      </c>
      <c r="EY133" s="5">
        <f t="shared" si="336"/>
        <v>12</v>
      </c>
      <c r="EZ133" s="5" t="str">
        <f t="shared" si="337"/>
        <v>Nivel de riesgo alto</v>
      </c>
      <c r="FA133" s="5" t="s">
        <v>248</v>
      </c>
      <c r="FB133" s="5">
        <f t="shared" si="338"/>
        <v>1</v>
      </c>
      <c r="FC133" s="5" t="s">
        <v>248</v>
      </c>
      <c r="FD133" s="5">
        <f t="shared" si="339"/>
        <v>1</v>
      </c>
      <c r="FE133" s="5" t="s">
        <v>248</v>
      </c>
      <c r="FF133" s="5">
        <f t="shared" si="340"/>
        <v>1</v>
      </c>
      <c r="FG133" s="5">
        <f t="shared" si="341"/>
        <v>3</v>
      </c>
      <c r="FH133" s="5" t="str">
        <f t="shared" si="342"/>
        <v>Nivel de riesgo medio</v>
      </c>
      <c r="FI133" s="5" t="s">
        <v>253</v>
      </c>
      <c r="FJ133" s="5">
        <f t="shared" si="343"/>
        <v>0</v>
      </c>
      <c r="FK133" s="5" t="s">
        <v>253</v>
      </c>
      <c r="FL133" s="5">
        <f t="shared" si="344"/>
        <v>0</v>
      </c>
      <c r="FM133" s="5" t="s">
        <v>247</v>
      </c>
      <c r="FN133" s="5">
        <f t="shared" si="345"/>
        <v>2</v>
      </c>
      <c r="FO133" s="5">
        <f t="shared" si="346"/>
        <v>2</v>
      </c>
      <c r="FP133" s="5" t="str">
        <f t="shared" si="347"/>
        <v>Nivel de riesgo bajo</v>
      </c>
      <c r="FQ133" s="5" t="s">
        <v>206</v>
      </c>
      <c r="FR133" s="5">
        <f t="shared" si="348"/>
        <v>0</v>
      </c>
      <c r="FS133" s="5" t="s">
        <v>206</v>
      </c>
      <c r="FT133" s="5">
        <f t="shared" si="349"/>
        <v>0</v>
      </c>
      <c r="FU133" s="5" t="s">
        <v>206</v>
      </c>
      <c r="FV133" s="5">
        <f t="shared" si="350"/>
        <v>0</v>
      </c>
      <c r="FW133" s="5" t="s">
        <v>206</v>
      </c>
      <c r="FX133" s="5">
        <f t="shared" si="351"/>
        <v>0</v>
      </c>
      <c r="FY133" s="5" t="s">
        <v>206</v>
      </c>
      <c r="FZ133" s="5">
        <f t="shared" si="352"/>
        <v>0</v>
      </c>
      <c r="GA133" s="5" t="s">
        <v>206</v>
      </c>
      <c r="GB133" s="5">
        <f t="shared" si="353"/>
        <v>0</v>
      </c>
      <c r="GC133" s="5" t="s">
        <v>206</v>
      </c>
      <c r="GD133" s="5">
        <f t="shared" si="354"/>
        <v>0</v>
      </c>
      <c r="GE133" s="5">
        <f t="shared" si="355"/>
        <v>0</v>
      </c>
      <c r="GF133" s="5" t="str">
        <f t="shared" si="356"/>
        <v>Nivel de riesgo bajo</v>
      </c>
      <c r="GG133" s="5" t="s">
        <v>273</v>
      </c>
      <c r="GH133" s="5" t="s">
        <v>273</v>
      </c>
      <c r="GI133" s="5" t="s">
        <v>273</v>
      </c>
      <c r="GJ133" s="5" t="s">
        <v>266</v>
      </c>
      <c r="GK133" s="5" t="s">
        <v>233</v>
      </c>
      <c r="GL133" s="5" t="s">
        <v>233</v>
      </c>
      <c r="GM133" s="5" t="s">
        <v>298</v>
      </c>
      <c r="GN133" s="5" t="s">
        <v>243</v>
      </c>
      <c r="GO133" s="5" t="s">
        <v>243</v>
      </c>
      <c r="GP133" s="5" t="s">
        <v>257</v>
      </c>
      <c r="GQ133" s="5" t="s">
        <v>257</v>
      </c>
      <c r="GR133" s="5" t="s">
        <v>257</v>
      </c>
      <c r="GS133" s="5" t="s">
        <v>257</v>
      </c>
      <c r="GT133" s="5" t="s">
        <v>257</v>
      </c>
      <c r="GU133" s="5" t="s">
        <v>481</v>
      </c>
      <c r="GV133" s="5" t="str">
        <f>TEXT("6278862643524753232","0")</f>
        <v>6278862643524750000</v>
      </c>
    </row>
    <row r="134" spans="1:204" ht="15.75" customHeight="1" x14ac:dyDescent="0.15">
      <c r="A134" s="1">
        <f t="shared" si="306"/>
        <v>134</v>
      </c>
      <c r="B134" s="4">
        <v>45847.509259259263</v>
      </c>
      <c r="C134" s="5" t="s">
        <v>204</v>
      </c>
      <c r="D134" s="5" t="s">
        <v>206</v>
      </c>
      <c r="F134" s="5" t="s">
        <v>206</v>
      </c>
      <c r="G134" s="5" t="s">
        <v>206</v>
      </c>
      <c r="H134" s="5" t="s">
        <v>206</v>
      </c>
      <c r="K134" s="5" t="s">
        <v>237</v>
      </c>
      <c r="P134" s="5" t="s">
        <v>237</v>
      </c>
      <c r="U134" s="5" t="s">
        <v>237</v>
      </c>
      <c r="Z134" s="5" t="s">
        <v>237</v>
      </c>
      <c r="AE134" s="5" t="s">
        <v>237</v>
      </c>
      <c r="AH134" s="5" t="s">
        <v>275</v>
      </c>
      <c r="AI134" s="5">
        <v>2009</v>
      </c>
      <c r="AJ134" s="5" t="s">
        <v>337</v>
      </c>
      <c r="AK134" s="5" t="str">
        <f t="shared" si="307"/>
        <v>Asalariada</v>
      </c>
      <c r="AQ134" s="5" t="s">
        <v>204</v>
      </c>
      <c r="AR134" s="5" t="s">
        <v>241</v>
      </c>
      <c r="AS134" s="5" t="s">
        <v>241</v>
      </c>
      <c r="AT134" s="5" t="s">
        <v>241</v>
      </c>
      <c r="AU134" s="5" t="s">
        <v>241</v>
      </c>
      <c r="AV134" s="5" t="s">
        <v>213</v>
      </c>
      <c r="AW134" s="5" t="s">
        <v>204</v>
      </c>
      <c r="AX134" s="5" t="s">
        <v>204</v>
      </c>
      <c r="AY134" s="5" t="s">
        <v>406</v>
      </c>
      <c r="AZ134" s="5" t="s">
        <v>204</v>
      </c>
      <c r="BA134" s="5" t="s">
        <v>344</v>
      </c>
      <c r="BF134" s="5" t="s">
        <v>204</v>
      </c>
      <c r="BG134" s="5" t="s">
        <v>278</v>
      </c>
      <c r="BH134" s="5" t="s">
        <v>242</v>
      </c>
      <c r="BI134" s="5" t="s">
        <v>278</v>
      </c>
      <c r="BJ134" s="5" t="s">
        <v>278</v>
      </c>
      <c r="BK134" s="5" t="s">
        <v>216</v>
      </c>
      <c r="BL134" s="5" t="s">
        <v>216</v>
      </c>
      <c r="BM134" s="5" t="s">
        <v>216</v>
      </c>
      <c r="BN134" s="5" t="s">
        <v>216</v>
      </c>
      <c r="BO134" s="5" t="s">
        <v>216</v>
      </c>
      <c r="BP134" s="5" t="s">
        <v>216</v>
      </c>
      <c r="BQ134" s="5" t="s">
        <v>216</v>
      </c>
      <c r="BR134" s="5" t="s">
        <v>244</v>
      </c>
      <c r="BS134" s="5" t="s">
        <v>247</v>
      </c>
      <c r="BT134" s="5" t="s">
        <v>247</v>
      </c>
      <c r="BU134" s="5" t="s">
        <v>247</v>
      </c>
      <c r="BV134" s="5" t="s">
        <v>248</v>
      </c>
      <c r="BW134" s="5" t="s">
        <v>247</v>
      </c>
      <c r="BX134" s="5" t="s">
        <v>248</v>
      </c>
      <c r="BY134" s="5" t="s">
        <v>248</v>
      </c>
      <c r="BZ134" s="5" t="s">
        <v>244</v>
      </c>
      <c r="CA134" s="5" t="s">
        <v>244</v>
      </c>
      <c r="CB134" s="5" t="s">
        <v>244</v>
      </c>
      <c r="CC134" s="5" t="s">
        <v>244</v>
      </c>
      <c r="CD134" s="5" t="s">
        <v>206</v>
      </c>
      <c r="CH134" s="5" t="s">
        <v>206</v>
      </c>
      <c r="CI134" s="5" t="s">
        <v>206</v>
      </c>
      <c r="CJ134" s="5">
        <v>0</v>
      </c>
      <c r="CK134" s="5" t="s">
        <v>223</v>
      </c>
      <c r="CU134" s="5" t="s">
        <v>206</v>
      </c>
      <c r="DA134" s="5" t="s">
        <v>231</v>
      </c>
      <c r="DB134" s="5">
        <f t="shared" si="308"/>
        <v>2</v>
      </c>
      <c r="DC134" s="5" t="s">
        <v>250</v>
      </c>
      <c r="DD134" s="5">
        <f t="shared" si="309"/>
        <v>3</v>
      </c>
      <c r="DE134" s="5" t="s">
        <v>250</v>
      </c>
      <c r="DF134" s="5">
        <f t="shared" si="310"/>
        <v>3</v>
      </c>
      <c r="DG134" s="5" t="s">
        <v>230</v>
      </c>
      <c r="DH134" s="5">
        <f t="shared" si="311"/>
        <v>2</v>
      </c>
      <c r="DI134" s="5" t="s">
        <v>250</v>
      </c>
      <c r="DJ134" s="5">
        <f t="shared" si="312"/>
        <v>3</v>
      </c>
      <c r="DK134" s="5" t="s">
        <v>250</v>
      </c>
      <c r="DL134" s="5">
        <f t="shared" si="313"/>
        <v>3</v>
      </c>
      <c r="DM134" s="5" t="s">
        <v>250</v>
      </c>
      <c r="DN134" s="5">
        <f t="shared" si="314"/>
        <v>3</v>
      </c>
      <c r="DO134" s="5" t="s">
        <v>231</v>
      </c>
      <c r="DP134" s="5">
        <f t="shared" si="315"/>
        <v>2</v>
      </c>
      <c r="DQ134" s="5" t="s">
        <v>231</v>
      </c>
      <c r="DR134" s="5">
        <f t="shared" si="316"/>
        <v>2</v>
      </c>
      <c r="DS134" s="5" t="s">
        <v>231</v>
      </c>
      <c r="DT134" s="5">
        <f t="shared" si="317"/>
        <v>2</v>
      </c>
      <c r="DU134" s="5" t="s">
        <v>231</v>
      </c>
      <c r="DV134" s="5">
        <f t="shared" si="318"/>
        <v>2</v>
      </c>
      <c r="DW134" s="5" t="s">
        <v>231</v>
      </c>
      <c r="DX134" s="5">
        <f t="shared" si="319"/>
        <v>2</v>
      </c>
      <c r="DY134" s="5">
        <f t="shared" si="320"/>
        <v>29</v>
      </c>
      <c r="DZ134" s="5" t="str">
        <f t="shared" si="321"/>
        <v>Nivel de riesgo alto</v>
      </c>
      <c r="EA134" s="5" t="s">
        <v>247</v>
      </c>
      <c r="EB134" s="5">
        <f t="shared" si="322"/>
        <v>2</v>
      </c>
      <c r="EC134" s="5" t="s">
        <v>247</v>
      </c>
      <c r="ED134" s="5">
        <f t="shared" si="323"/>
        <v>2</v>
      </c>
      <c r="EE134" s="5" t="s">
        <v>248</v>
      </c>
      <c r="EF134" s="5">
        <f t="shared" si="324"/>
        <v>1</v>
      </c>
      <c r="EG134" s="5">
        <f t="shared" si="325"/>
        <v>5</v>
      </c>
      <c r="EH134" s="5" t="str">
        <f t="shared" si="326"/>
        <v>Nivel de riesgo alto</v>
      </c>
      <c r="EI134" s="5" t="s">
        <v>253</v>
      </c>
      <c r="EJ134" s="5">
        <f t="shared" si="327"/>
        <v>0</v>
      </c>
      <c r="EK134" s="5" t="s">
        <v>247</v>
      </c>
      <c r="EL134" s="5">
        <f t="shared" si="328"/>
        <v>2</v>
      </c>
      <c r="EM134" s="5" t="s">
        <v>253</v>
      </c>
      <c r="EN134" s="5">
        <f t="shared" si="329"/>
        <v>0</v>
      </c>
      <c r="EO134" s="5">
        <f t="shared" si="330"/>
        <v>2</v>
      </c>
      <c r="EP134" s="5" t="str">
        <f t="shared" si="331"/>
        <v>Nivel de riesgo medio</v>
      </c>
      <c r="EQ134" s="5" t="s">
        <v>247</v>
      </c>
      <c r="ER134" s="5">
        <f t="shared" si="332"/>
        <v>2</v>
      </c>
      <c r="ES134" s="5" t="s">
        <v>247</v>
      </c>
      <c r="ET134" s="5">
        <f t="shared" si="333"/>
        <v>2</v>
      </c>
      <c r="EU134" s="5" t="s">
        <v>253</v>
      </c>
      <c r="EV134" s="5">
        <f t="shared" si="334"/>
        <v>4</v>
      </c>
      <c r="EW134" s="5" t="s">
        <v>247</v>
      </c>
      <c r="EX134" s="5">
        <f t="shared" si="335"/>
        <v>2</v>
      </c>
      <c r="EY134" s="5">
        <f t="shared" si="336"/>
        <v>10</v>
      </c>
      <c r="EZ134" s="5" t="str">
        <f t="shared" si="337"/>
        <v>Nivel de riesgo alto</v>
      </c>
      <c r="FA134" s="5" t="s">
        <v>247</v>
      </c>
      <c r="FB134" s="5">
        <f t="shared" si="338"/>
        <v>2</v>
      </c>
      <c r="FC134" s="5" t="s">
        <v>247</v>
      </c>
      <c r="FD134" s="5">
        <f t="shared" si="339"/>
        <v>2</v>
      </c>
      <c r="FE134" s="5" t="s">
        <v>247</v>
      </c>
      <c r="FF134" s="5">
        <f t="shared" si="340"/>
        <v>2</v>
      </c>
      <c r="FG134" s="5">
        <f t="shared" si="341"/>
        <v>6</v>
      </c>
      <c r="FH134" s="5" t="str">
        <f t="shared" si="342"/>
        <v>Nivel de riesgo alto</v>
      </c>
      <c r="FI134" s="5" t="s">
        <v>247</v>
      </c>
      <c r="FJ134" s="5">
        <f t="shared" si="343"/>
        <v>2</v>
      </c>
      <c r="FK134" s="5" t="s">
        <v>247</v>
      </c>
      <c r="FL134" s="5">
        <f t="shared" si="344"/>
        <v>2</v>
      </c>
      <c r="FM134" s="5" t="s">
        <v>247</v>
      </c>
      <c r="FN134" s="5">
        <f t="shared" si="345"/>
        <v>2</v>
      </c>
      <c r="FO134" s="5">
        <f t="shared" si="346"/>
        <v>6</v>
      </c>
      <c r="FP134" s="5" t="str">
        <f t="shared" si="347"/>
        <v>Nivel de riesgo alto</v>
      </c>
      <c r="FQ134" s="5" t="s">
        <v>206</v>
      </c>
      <c r="FR134" s="5">
        <f t="shared" si="348"/>
        <v>0</v>
      </c>
      <c r="FS134" s="5" t="s">
        <v>206</v>
      </c>
      <c r="FT134" s="5">
        <f t="shared" si="349"/>
        <v>0</v>
      </c>
      <c r="FU134" s="5" t="s">
        <v>206</v>
      </c>
      <c r="FV134" s="5">
        <f t="shared" si="350"/>
        <v>0</v>
      </c>
      <c r="FW134" s="5" t="s">
        <v>206</v>
      </c>
      <c r="FX134" s="5">
        <f t="shared" si="351"/>
        <v>0</v>
      </c>
      <c r="FY134" s="5" t="s">
        <v>206</v>
      </c>
      <c r="FZ134" s="5">
        <f t="shared" si="352"/>
        <v>0</v>
      </c>
      <c r="GA134" s="5" t="s">
        <v>206</v>
      </c>
      <c r="GB134" s="5">
        <f t="shared" si="353"/>
        <v>0</v>
      </c>
      <c r="GC134" s="5" t="s">
        <v>206</v>
      </c>
      <c r="GD134" s="5">
        <f t="shared" si="354"/>
        <v>0</v>
      </c>
      <c r="GE134" s="5">
        <f t="shared" si="355"/>
        <v>0</v>
      </c>
      <c r="GF134" s="5" t="str">
        <f t="shared" si="356"/>
        <v>Nivel de riesgo bajo</v>
      </c>
      <c r="GG134" s="5" t="s">
        <v>255</v>
      </c>
      <c r="GH134" s="5" t="s">
        <v>255</v>
      </c>
      <c r="GI134" s="5" t="s">
        <v>255</v>
      </c>
      <c r="GJ134" s="5" t="s">
        <v>255</v>
      </c>
      <c r="GK134" s="5" t="s">
        <v>233</v>
      </c>
      <c r="GL134" s="5" t="s">
        <v>266</v>
      </c>
      <c r="GM134" s="5" t="s">
        <v>266</v>
      </c>
      <c r="GN134" s="5" t="s">
        <v>243</v>
      </c>
      <c r="GO134" s="5" t="s">
        <v>243</v>
      </c>
      <c r="GP134" s="5" t="s">
        <v>243</v>
      </c>
      <c r="GQ134" s="5" t="s">
        <v>243</v>
      </c>
      <c r="GR134" s="5" t="s">
        <v>243</v>
      </c>
      <c r="GS134" s="5" t="s">
        <v>243</v>
      </c>
      <c r="GT134" s="5" t="s">
        <v>243</v>
      </c>
      <c r="GU134" s="5" t="s">
        <v>308</v>
      </c>
      <c r="GV134" s="5" t="str">
        <f>TEXT("6278868005705706983","0")</f>
        <v>6278868005705700000</v>
      </c>
    </row>
    <row r="135" spans="1:204" ht="15.75" customHeight="1" x14ac:dyDescent="0.15">
      <c r="A135" s="1">
        <f t="shared" si="306"/>
        <v>135</v>
      </c>
      <c r="B135" s="4">
        <v>45847.509606481479</v>
      </c>
      <c r="C135" s="5" t="s">
        <v>204</v>
      </c>
      <c r="D135" s="5" t="s">
        <v>206</v>
      </c>
      <c r="F135" s="5" t="s">
        <v>204</v>
      </c>
      <c r="G135" s="5" t="s">
        <v>206</v>
      </c>
      <c r="H135" s="5" t="s">
        <v>206</v>
      </c>
      <c r="J135" s="5" t="s">
        <v>209</v>
      </c>
      <c r="O135" s="5" t="s">
        <v>209</v>
      </c>
      <c r="W135" s="5" t="s">
        <v>207</v>
      </c>
      <c r="X135" s="5" t="s">
        <v>208</v>
      </c>
      <c r="AG135" s="5" t="s">
        <v>207</v>
      </c>
      <c r="AH135" s="5" t="s">
        <v>275</v>
      </c>
      <c r="AI135" s="5">
        <v>2023</v>
      </c>
      <c r="AJ135" s="5" t="s">
        <v>238</v>
      </c>
      <c r="AK135" s="5" t="str">
        <f t="shared" si="307"/>
        <v>Trabajadora por cuenta propia</v>
      </c>
      <c r="AL135" s="5" t="s">
        <v>239</v>
      </c>
      <c r="AP135" s="5" t="s">
        <v>240</v>
      </c>
      <c r="AR135" s="5" t="s">
        <v>301</v>
      </c>
      <c r="AS135" s="5" t="s">
        <v>301</v>
      </c>
      <c r="AT135" s="5" t="s">
        <v>301</v>
      </c>
      <c r="AU135" s="5" t="s">
        <v>301</v>
      </c>
      <c r="AV135" s="5" t="s">
        <v>285</v>
      </c>
      <c r="AW135" s="5" t="s">
        <v>204</v>
      </c>
      <c r="AX135" s="5" t="s">
        <v>204</v>
      </c>
      <c r="AY135" s="5" t="s">
        <v>214</v>
      </c>
      <c r="AZ135" s="5" t="s">
        <v>204</v>
      </c>
      <c r="BA135" s="5" t="s">
        <v>263</v>
      </c>
      <c r="BF135" s="5" t="s">
        <v>204</v>
      </c>
      <c r="BG135" s="5" t="s">
        <v>278</v>
      </c>
      <c r="BH135" s="5" t="s">
        <v>271</v>
      </c>
      <c r="BI135" s="5" t="s">
        <v>278</v>
      </c>
      <c r="BJ135" s="5" t="s">
        <v>271</v>
      </c>
      <c r="BK135" s="5" t="s">
        <v>245</v>
      </c>
      <c r="BL135" s="5" t="s">
        <v>246</v>
      </c>
      <c r="BM135" s="5" t="s">
        <v>245</v>
      </c>
      <c r="BN135" s="5" t="s">
        <v>245</v>
      </c>
      <c r="BO135" s="5" t="s">
        <v>245</v>
      </c>
      <c r="BP135" s="5" t="s">
        <v>245</v>
      </c>
      <c r="BQ135" s="5" t="s">
        <v>245</v>
      </c>
      <c r="BR135" s="5" t="s">
        <v>216</v>
      </c>
      <c r="BS135" s="5" t="s">
        <v>254</v>
      </c>
      <c r="BT135" s="5" t="s">
        <v>254</v>
      </c>
      <c r="BU135" s="5" t="s">
        <v>217</v>
      </c>
      <c r="BV135" s="5" t="s">
        <v>217</v>
      </c>
      <c r="BW135" s="5" t="s">
        <v>217</v>
      </c>
      <c r="BX135" s="5" t="s">
        <v>217</v>
      </c>
      <c r="BY135" s="5" t="s">
        <v>217</v>
      </c>
      <c r="BZ135" s="5" t="s">
        <v>245</v>
      </c>
      <c r="CA135" s="5" t="s">
        <v>245</v>
      </c>
      <c r="CB135" s="5" t="s">
        <v>245</v>
      </c>
      <c r="CC135" s="5" t="s">
        <v>245</v>
      </c>
      <c r="CD135" s="5" t="s">
        <v>206</v>
      </c>
      <c r="CH135" s="5" t="s">
        <v>206</v>
      </c>
      <c r="CI135" s="5" t="s">
        <v>307</v>
      </c>
      <c r="CJ135" s="5">
        <v>6</v>
      </c>
      <c r="CK135" s="5" t="s">
        <v>223</v>
      </c>
      <c r="CU135" s="5" t="s">
        <v>206</v>
      </c>
      <c r="DA135" s="5" t="s">
        <v>272</v>
      </c>
      <c r="DB135" s="5">
        <f t="shared" si="308"/>
        <v>1</v>
      </c>
      <c r="DC135" s="5" t="s">
        <v>280</v>
      </c>
      <c r="DD135" s="5">
        <f t="shared" si="309"/>
        <v>4</v>
      </c>
      <c r="DE135" s="5" t="s">
        <v>280</v>
      </c>
      <c r="DF135" s="5">
        <f t="shared" si="310"/>
        <v>4</v>
      </c>
      <c r="DG135" s="5" t="s">
        <v>280</v>
      </c>
      <c r="DH135" s="5">
        <f t="shared" si="311"/>
        <v>4</v>
      </c>
      <c r="DI135" s="5" t="s">
        <v>280</v>
      </c>
      <c r="DJ135" s="5">
        <f t="shared" si="312"/>
        <v>4</v>
      </c>
      <c r="DK135" s="5" t="s">
        <v>280</v>
      </c>
      <c r="DL135" s="5">
        <f t="shared" si="313"/>
        <v>4</v>
      </c>
      <c r="DM135" s="5" t="s">
        <v>280</v>
      </c>
      <c r="DN135" s="5">
        <f t="shared" si="314"/>
        <v>4</v>
      </c>
      <c r="DO135" s="5" t="s">
        <v>281</v>
      </c>
      <c r="DP135" s="5">
        <f t="shared" si="315"/>
        <v>1</v>
      </c>
      <c r="DQ135" s="5" t="s">
        <v>229</v>
      </c>
      <c r="DR135" s="5">
        <f t="shared" si="316"/>
        <v>4</v>
      </c>
      <c r="DS135" s="5" t="s">
        <v>281</v>
      </c>
      <c r="DT135" s="5">
        <f t="shared" si="317"/>
        <v>1</v>
      </c>
      <c r="DU135" s="5" t="s">
        <v>229</v>
      </c>
      <c r="DV135" s="5">
        <f t="shared" si="318"/>
        <v>4</v>
      </c>
      <c r="DW135" s="5" t="s">
        <v>281</v>
      </c>
      <c r="DX135" s="5">
        <f t="shared" si="319"/>
        <v>1</v>
      </c>
      <c r="DY135" s="5">
        <f t="shared" si="320"/>
        <v>36</v>
      </c>
      <c r="DZ135" s="5" t="str">
        <f t="shared" si="321"/>
        <v>Nivel de riesgo alto</v>
      </c>
      <c r="EA135" s="5" t="s">
        <v>253</v>
      </c>
      <c r="EB135" s="5">
        <f t="shared" si="322"/>
        <v>0</v>
      </c>
      <c r="EC135" s="5" t="s">
        <v>253</v>
      </c>
      <c r="ED135" s="5">
        <f t="shared" si="323"/>
        <v>0</v>
      </c>
      <c r="EE135" s="5" t="s">
        <v>253</v>
      </c>
      <c r="EF135" s="5">
        <f t="shared" si="324"/>
        <v>0</v>
      </c>
      <c r="EG135" s="5">
        <f t="shared" si="325"/>
        <v>0</v>
      </c>
      <c r="EH135" s="5" t="str">
        <f t="shared" si="326"/>
        <v>Nivel de riesgo bajo</v>
      </c>
      <c r="EI135" s="5" t="s">
        <v>253</v>
      </c>
      <c r="EJ135" s="5">
        <f t="shared" si="327"/>
        <v>0</v>
      </c>
      <c r="EK135" s="5" t="s">
        <v>253</v>
      </c>
      <c r="EL135" s="5">
        <f t="shared" si="328"/>
        <v>0</v>
      </c>
      <c r="EM135" s="5" t="s">
        <v>254</v>
      </c>
      <c r="EN135" s="5">
        <f t="shared" si="329"/>
        <v>4</v>
      </c>
      <c r="EO135" s="5">
        <f t="shared" si="330"/>
        <v>4</v>
      </c>
      <c r="EP135" s="5" t="str">
        <f t="shared" si="331"/>
        <v>Nivel de riesgo medio</v>
      </c>
      <c r="EQ135" s="5" t="s">
        <v>253</v>
      </c>
      <c r="ER135" s="5">
        <f t="shared" si="332"/>
        <v>4</v>
      </c>
      <c r="ES135" s="5" t="s">
        <v>253</v>
      </c>
      <c r="ET135" s="5">
        <f t="shared" si="333"/>
        <v>4</v>
      </c>
      <c r="EU135" s="5" t="s">
        <v>254</v>
      </c>
      <c r="EV135" s="5">
        <f t="shared" si="334"/>
        <v>0</v>
      </c>
      <c r="EW135" s="5" t="s">
        <v>254</v>
      </c>
      <c r="EX135" s="5">
        <f t="shared" si="335"/>
        <v>0</v>
      </c>
      <c r="EY135" s="5">
        <f t="shared" si="336"/>
        <v>8</v>
      </c>
      <c r="EZ135" s="5" t="str">
        <f t="shared" si="337"/>
        <v>Nivel de riesgo alto</v>
      </c>
      <c r="FA135" s="5" t="s">
        <v>253</v>
      </c>
      <c r="FB135" s="5">
        <f t="shared" si="338"/>
        <v>0</v>
      </c>
      <c r="FC135" s="5" t="s">
        <v>253</v>
      </c>
      <c r="FD135" s="5">
        <f t="shared" si="339"/>
        <v>0</v>
      </c>
      <c r="FE135" s="5" t="s">
        <v>253</v>
      </c>
      <c r="FF135" s="5">
        <f t="shared" si="340"/>
        <v>0</v>
      </c>
      <c r="FG135" s="5">
        <f t="shared" si="341"/>
        <v>0</v>
      </c>
      <c r="FH135" s="5" t="str">
        <f t="shared" si="342"/>
        <v>Nivel de riesgo bajo</v>
      </c>
      <c r="FI135" s="5" t="s">
        <v>254</v>
      </c>
      <c r="FJ135" s="5">
        <f t="shared" si="343"/>
        <v>4</v>
      </c>
      <c r="FK135" s="5" t="s">
        <v>254</v>
      </c>
      <c r="FL135" s="5">
        <f t="shared" si="344"/>
        <v>4</v>
      </c>
      <c r="FM135" s="5" t="s">
        <v>253</v>
      </c>
      <c r="FN135" s="5">
        <f t="shared" si="345"/>
        <v>0</v>
      </c>
      <c r="FO135" s="5">
        <f t="shared" si="346"/>
        <v>8</v>
      </c>
      <c r="FP135" s="5" t="str">
        <f t="shared" si="347"/>
        <v>Nivel de riesgo alto</v>
      </c>
      <c r="FQ135" s="5" t="s">
        <v>206</v>
      </c>
      <c r="FR135" s="5">
        <f t="shared" si="348"/>
        <v>0</v>
      </c>
      <c r="FS135" s="5" t="s">
        <v>206</v>
      </c>
      <c r="FT135" s="5">
        <f t="shared" si="349"/>
        <v>0</v>
      </c>
      <c r="FU135" s="5" t="s">
        <v>206</v>
      </c>
      <c r="FV135" s="5">
        <f t="shared" si="350"/>
        <v>0</v>
      </c>
      <c r="FW135" s="5" t="s">
        <v>206</v>
      </c>
      <c r="FX135" s="5">
        <f t="shared" si="351"/>
        <v>0</v>
      </c>
      <c r="FY135" s="5" t="s">
        <v>206</v>
      </c>
      <c r="FZ135" s="5">
        <f t="shared" si="352"/>
        <v>0</v>
      </c>
      <c r="GA135" s="5" t="s">
        <v>206</v>
      </c>
      <c r="GB135" s="5">
        <f t="shared" si="353"/>
        <v>0</v>
      </c>
      <c r="GC135" s="5" t="s">
        <v>206</v>
      </c>
      <c r="GD135" s="5">
        <f t="shared" si="354"/>
        <v>0</v>
      </c>
      <c r="GE135" s="5">
        <f t="shared" si="355"/>
        <v>0</v>
      </c>
      <c r="GF135" s="5" t="str">
        <f t="shared" si="356"/>
        <v>Nivel de riesgo bajo</v>
      </c>
      <c r="GG135" s="5" t="s">
        <v>255</v>
      </c>
      <c r="GH135" s="5" t="s">
        <v>255</v>
      </c>
      <c r="GI135" s="5" t="s">
        <v>273</v>
      </c>
      <c r="GJ135" s="5" t="s">
        <v>233</v>
      </c>
      <c r="GK135" s="5" t="s">
        <v>233</v>
      </c>
      <c r="GL135" s="5" t="s">
        <v>233</v>
      </c>
      <c r="GM135" s="5" t="s">
        <v>255</v>
      </c>
      <c r="GN135" s="5" t="s">
        <v>256</v>
      </c>
      <c r="GO135" s="5" t="s">
        <v>257</v>
      </c>
      <c r="GP135" s="5" t="s">
        <v>234</v>
      </c>
      <c r="GQ135" s="5" t="s">
        <v>256</v>
      </c>
      <c r="GR135" s="5" t="s">
        <v>256</v>
      </c>
      <c r="GS135" s="5" t="s">
        <v>234</v>
      </c>
      <c r="GT135" s="5" t="s">
        <v>256</v>
      </c>
      <c r="GU135" s="5" t="s">
        <v>482</v>
      </c>
      <c r="GV135" s="5" t="str">
        <f>TEXT("6278868308515773609","0")</f>
        <v>6278868308515770000</v>
      </c>
    </row>
    <row r="136" spans="1:204" ht="15.75" hidden="1" customHeight="1" x14ac:dyDescent="0.15">
      <c r="B136" s="4">
        <v>45847.509953703702</v>
      </c>
      <c r="C136" s="5" t="s">
        <v>206</v>
      </c>
      <c r="GV136" s="5" t="str">
        <f>TEXT("6278868606263825055","0")</f>
        <v>6278868606263820000</v>
      </c>
    </row>
    <row r="137" spans="1:204" ht="15.75" customHeight="1" x14ac:dyDescent="0.15">
      <c r="A137" s="1">
        <f>ROW(A137)</f>
        <v>137</v>
      </c>
      <c r="B137" s="4">
        <v>45847.51054398148</v>
      </c>
      <c r="C137" s="5" t="s">
        <v>204</v>
      </c>
      <c r="D137" s="5" t="s">
        <v>206</v>
      </c>
      <c r="F137" s="5" t="s">
        <v>206</v>
      </c>
      <c r="G137" s="5" t="s">
        <v>206</v>
      </c>
      <c r="H137" s="5" t="s">
        <v>206</v>
      </c>
      <c r="J137" s="5" t="s">
        <v>209</v>
      </c>
      <c r="N137" s="5" t="s">
        <v>208</v>
      </c>
      <c r="S137" s="5" t="s">
        <v>208</v>
      </c>
      <c r="AB137" s="5" t="s">
        <v>207</v>
      </c>
      <c r="AC137" s="5" t="s">
        <v>208</v>
      </c>
      <c r="AH137" s="5" t="s">
        <v>483</v>
      </c>
      <c r="AI137" s="5">
        <v>2024</v>
      </c>
      <c r="AJ137" s="5" t="s">
        <v>330</v>
      </c>
      <c r="AK137" s="5" t="str">
        <f>IF(OR(AJ137="Empleada del sector privado",AJ137="Empleada del sector público"),"Asalariada",
IF(AJ137="Trabajadora por cuenta propia","Trabajadora por cuenta propia",""))</f>
        <v>Asalariada</v>
      </c>
      <c r="AQ137" s="5" t="s">
        <v>204</v>
      </c>
      <c r="AR137" s="5" t="s">
        <v>241</v>
      </c>
      <c r="AS137" s="5" t="s">
        <v>294</v>
      </c>
      <c r="AT137" s="5" t="s">
        <v>294</v>
      </c>
      <c r="AU137" s="5" t="s">
        <v>261</v>
      </c>
      <c r="AV137" s="5" t="s">
        <v>213</v>
      </c>
      <c r="AW137" s="5" t="s">
        <v>206</v>
      </c>
      <c r="BF137" s="5" t="s">
        <v>204</v>
      </c>
      <c r="BG137" s="5" t="s">
        <v>242</v>
      </c>
      <c r="BH137" s="5" t="s">
        <v>242</v>
      </c>
      <c r="BI137" s="5" t="s">
        <v>242</v>
      </c>
      <c r="BJ137" s="5" t="s">
        <v>271</v>
      </c>
      <c r="BK137" s="5" t="s">
        <v>245</v>
      </c>
      <c r="BL137" s="5" t="s">
        <v>243</v>
      </c>
      <c r="BM137" s="5" t="s">
        <v>245</v>
      </c>
      <c r="BN137" s="5" t="s">
        <v>245</v>
      </c>
      <c r="BO137" s="5" t="s">
        <v>243</v>
      </c>
      <c r="BP137" s="5" t="s">
        <v>245</v>
      </c>
      <c r="BQ137" s="5" t="s">
        <v>243</v>
      </c>
      <c r="BR137" s="5" t="s">
        <v>245</v>
      </c>
      <c r="BS137" s="5" t="s">
        <v>254</v>
      </c>
      <c r="BT137" s="5" t="s">
        <v>232</v>
      </c>
      <c r="BU137" s="5" t="s">
        <v>254</v>
      </c>
      <c r="BV137" s="5" t="s">
        <v>247</v>
      </c>
      <c r="BW137" s="5" t="s">
        <v>254</v>
      </c>
      <c r="BX137" s="5" t="s">
        <v>254</v>
      </c>
      <c r="BY137" s="5" t="s">
        <v>232</v>
      </c>
      <c r="CD137" s="5" t="s">
        <v>206</v>
      </c>
      <c r="CH137" s="5" t="s">
        <v>310</v>
      </c>
      <c r="CI137" s="5" t="s">
        <v>291</v>
      </c>
      <c r="CJ137" s="5">
        <v>1</v>
      </c>
      <c r="CK137" s="5" t="s">
        <v>223</v>
      </c>
      <c r="CU137" s="5" t="s">
        <v>206</v>
      </c>
      <c r="DA137" s="5" t="s">
        <v>229</v>
      </c>
      <c r="DB137" s="5">
        <f>IF(DA137="Mejor que lo habitual",1,
IF(DA137="Igual que lo habitual",2,
IF(DA137="Menos que lo habitual",3,
IF(DA137="Mucho menos que lo habitual",4,""))))</f>
        <v>4</v>
      </c>
      <c r="DC137" s="5" t="s">
        <v>280</v>
      </c>
      <c r="DD137" s="5">
        <f>IF(DC137="No, en absoluto",1,
IF(DC137="No más que lo habitual",2,
IF(DC137="Bastante más que lo habitual",3,
IF(DC137="Mucho más que lo habitual",4,""))))</f>
        <v>4</v>
      </c>
      <c r="DE137" s="5" t="s">
        <v>280</v>
      </c>
      <c r="DF137" s="5">
        <f>IF(DE137="No, en absoluto",1,
IF(DE137="No más que lo habitual",2,
IF(DE137="Bastante más que lo habitual",3,
IF(DE137="Mucho más que lo habitual",4,""))))</f>
        <v>4</v>
      </c>
      <c r="DG137" s="5" t="s">
        <v>250</v>
      </c>
      <c r="DH137" s="5">
        <f>IF(DG137="No, en absoluto",1,
IF(DG137="No más que lo habitual",2,
IF(DG137="Bastante más que lo habitual",3,
IF(DG137="Mucho más que lo habitual",4,""))))</f>
        <v>3</v>
      </c>
      <c r="DI137" s="5" t="s">
        <v>250</v>
      </c>
      <c r="DJ137" s="5">
        <f>IF(DI137="No, en absoluto",1,
IF(DI137="No más que lo habitual",2,
IF(DI137="Bastante más que lo habitual",3,
IF(DI137="Mucho más que lo habitual",4,""))))</f>
        <v>3</v>
      </c>
      <c r="DK137" s="5" t="s">
        <v>280</v>
      </c>
      <c r="DL137" s="5">
        <f>IF(DK137="No, en absoluto",1,
IF(DK137="No más que lo habitual",2,
IF(DK137="Bastante más que lo habitual",3,
IF(DK137="Mucho más que lo habitual",4,""))))</f>
        <v>4</v>
      </c>
      <c r="DM137" s="5" t="s">
        <v>250</v>
      </c>
      <c r="DN137" s="5">
        <f>IF(DM137="No, en absoluto",1,
IF(DM137="No más que lo habitual",2,
IF(DM137="Bastante más que lo habitual",3,
IF(DM137="Mucho más que lo habitual",4,""))))</f>
        <v>3</v>
      </c>
      <c r="DO137" s="5" t="s">
        <v>281</v>
      </c>
      <c r="DP137" s="5">
        <f>IF(DO137="Más que lo habitual",1,
IF(DO137="Igual que lo habitual",2,
IF(DO137="Menos que lo habitual",3,
IF(DO137="Mucho menos que lo habitual",4,""))))</f>
        <v>1</v>
      </c>
      <c r="DQ137" s="5" t="s">
        <v>231</v>
      </c>
      <c r="DR137" s="5">
        <f>IF(DQ137="Más que lo habitual",1,
IF(DQ137="Igual que lo habitual",2,
IF(DQ137="Menos que lo habitual",3,
IF(DQ137="Mucho menos que lo habitual",4,""))))</f>
        <v>2</v>
      </c>
      <c r="DS137" s="5" t="s">
        <v>229</v>
      </c>
      <c r="DT137" s="5">
        <f>IF(DS137="Más que lo habitual",1,
IF(DS137="Igual que lo habitual",2,
IF(DS137="Menos que lo habitual",3,
IF(DS137="Mucho menos que lo habitual",4,""))))</f>
        <v>4</v>
      </c>
      <c r="DU137" s="5" t="s">
        <v>252</v>
      </c>
      <c r="DV137" s="5">
        <f>IF(DU137="Más que lo habitual",1,
IF(DU137="Igual que lo habitual",2,
IF(DU137="Menos que lo habitual",3,
IF(DU137="Mucho menos que lo habitual",4,""))))</f>
        <v>3</v>
      </c>
      <c r="DW137" s="5" t="s">
        <v>281</v>
      </c>
      <c r="DX137" s="5">
        <f>IF(DW137="Más que lo habitual",1,
IF(DW137="Igual que lo habitual",2,
IF(DW137="Menos que lo habitual",3,
IF(DW137="Mucho menos que lo habitual",4,""))))</f>
        <v>1</v>
      </c>
      <c r="DY137" s="5">
        <f>SUM(DB137,DD137,DF137,DH137,DJ137,DL137,DN137,DP137,DR137,DT137,DV137,DX137)</f>
        <v>36</v>
      </c>
      <c r="DZ137" s="5" t="str">
        <f>IF(DY137&lt;=18,"Nivel de riesgo bajo",
IF(DY137&lt;=23,"Nivel de riesgo medio",
"Nivel de riesgo alto"))</f>
        <v>Nivel de riesgo alto</v>
      </c>
      <c r="EA137" s="5" t="s">
        <v>248</v>
      </c>
      <c r="EB137" s="5">
        <f>IF(EA137="Nunca/ casi nunca",0,
IF(EA137="Rara vez",1,
IF(EA137="A veces",2,
IF(EA137="A menudo",3,
IF(EA137="Siempre",4,"")))))</f>
        <v>1</v>
      </c>
      <c r="EC137" s="5" t="s">
        <v>253</v>
      </c>
      <c r="ED137" s="5">
        <f>IF(EC137="Nunca/ casi nunca",0,
IF(EC137="Rara vez",1,
IF(EC137="A veces",2,
IF(EC137="A menudo",3,
IF(EC137="Siempre",4,"")))))</f>
        <v>0</v>
      </c>
      <c r="EE137" s="5" t="s">
        <v>253</v>
      </c>
      <c r="EF137" s="5">
        <f>IF(EE137="Nunca/ casi nunca",0,
IF(EE137="Rara vez",1,
IF(EE137="A veces",2,
IF(EE137="A menudo",3,
IF(EE137="Siempre",4,"")))))</f>
        <v>0</v>
      </c>
      <c r="EG137" s="5">
        <f>SUM(EB137,ED137,EF137)</f>
        <v>1</v>
      </c>
      <c r="EH137" s="5" t="str">
        <f>IF(EG137&lt;=1,"Nivel de riesgo bajo",
IF(EG137&lt;=4,"Nivel de riesgo medio",
"Nivel de riesgo alto"))</f>
        <v>Nivel de riesgo bajo</v>
      </c>
      <c r="EI137" s="5" t="s">
        <v>253</v>
      </c>
      <c r="EJ137" s="5">
        <f>IF(EI137="Nunca/ casi nunca",0,
IF(EI137="Rara vez",1,
IF(EI137="A veces",2,
IF(EI137="A menudo",3,
IF(EI137="Siempre",4,"")))))</f>
        <v>0</v>
      </c>
      <c r="EK137" s="5" t="s">
        <v>254</v>
      </c>
      <c r="EL137" s="5">
        <f>IF(EK137="Nunca/ casi nunca",0,
IF(EK137="Rara vez",1,
IF(EK137="A veces",2,
IF(EK137="A menudo",3,
IF(EK137="Siempre",4,"")))))</f>
        <v>4</v>
      </c>
      <c r="EM137" s="5" t="s">
        <v>254</v>
      </c>
      <c r="EN137" s="5">
        <f>IF(EM137="Nunca/ casi nunca",0,
IF(EM137="Rara vez",1,
IF(EM137="A veces",2,
IF(EM137="A menudo",3,
IF(EM137="Siempre",4,"")))))</f>
        <v>4</v>
      </c>
      <c r="EO137" s="5">
        <f>SUM(EJ137,EL137,EN137)</f>
        <v>8</v>
      </c>
      <c r="EP137" s="5" t="str">
        <f>IF(EO137&lt;=1,"Nivel de riesgo bajo",
IF(EO137&lt;=5,"Nivel de riesgo medio",
"Nivel de riesgo alto"))</f>
        <v>Nivel de riesgo alto</v>
      </c>
      <c r="EQ137" s="5" t="s">
        <v>232</v>
      </c>
      <c r="ER137" s="5">
        <f>IF(EQ137="Nunca/ casi nunca",4,
IF(EQ137="Rara vez",3,
IF(EQ137="A veces",2,
IF(EQ137="A menudo",1,
IF(EQ137="Siempre",0,"")))))</f>
        <v>1</v>
      </c>
      <c r="ES137" s="5" t="s">
        <v>254</v>
      </c>
      <c r="ET137" s="5">
        <f>IF(ES137="Nunca/ casi nunca",4,
IF(ES137="Rara vez",3,
IF(ES137="A veces",2,
IF(ES137="A menudo",1,
IF(ES137="Siempre",0,"")))))</f>
        <v>0</v>
      </c>
      <c r="EU137" s="5" t="s">
        <v>254</v>
      </c>
      <c r="EV137" s="5">
        <f>IF(EU137="Nunca/ casi nunca",4,
IF(EU137="Rara vez",3,
IF(EU137="A veces",2,
IF(EU137="A menudo",1,
IF(EU137="Siempre",0,"")))))</f>
        <v>0</v>
      </c>
      <c r="EW137" s="5" t="s">
        <v>254</v>
      </c>
      <c r="EX137" s="5">
        <f>IF(EW137="Nunca/ casi nunca",4,
IF(EW137="Rara vez",3,
IF(EW137="A veces",2,
IF(EW137="A menudo",1,
IF(EW137="Siempre",0,"")))))</f>
        <v>0</v>
      </c>
      <c r="EY137" s="5">
        <f>SUM(ER137,ET137,EV137,EX137)</f>
        <v>1</v>
      </c>
      <c r="EZ137" s="5" t="str">
        <f>IF(EY137&lt;=0,"Nivel de riesgo bajo",
IF(EY137&lt;=4,"Nivel de riesgo medio",
"Nivel de riesgo alto"))</f>
        <v>Nivel de riesgo medio</v>
      </c>
      <c r="FA137" s="5" t="s">
        <v>232</v>
      </c>
      <c r="FB137" s="5">
        <f>IF(FA137="Nunca/ casi nunca",0,
IF(FA137="Rara vez",1,
IF(FA137="A veces",2,
IF(FA137="A menudo",3,
IF(FA137="Siempre",4,"")))))</f>
        <v>3</v>
      </c>
      <c r="FC137" s="5" t="s">
        <v>253</v>
      </c>
      <c r="FD137" s="5">
        <f>IF(FC137="Nunca/ casi nunca",0,
IF(FC137="Rara vez",1,
IF(FC137="A veces",2,
IF(FC137="A menudo",3,
IF(FC137="Siempre",4,"")))))</f>
        <v>0</v>
      </c>
      <c r="FE137" s="5" t="s">
        <v>254</v>
      </c>
      <c r="FF137" s="5">
        <f>IF(FE137="Nunca/ casi nunca",0,
IF(FE137="Rara vez",1,
IF(FE137="A veces",2,
IF(FE137="A menudo",3,
IF(FE137="Siempre",4,"")))))</f>
        <v>4</v>
      </c>
      <c r="FG137" s="5">
        <f>SUM(FB137,FD137,FF137)</f>
        <v>7</v>
      </c>
      <c r="FH137" s="5" t="str">
        <f>IF(FG137&lt;=2,"Nivel de riesgo bajo",
IF(FG137&lt;=5,"Nivel de riesgo medio",
"Nivel de riesgo alto"))</f>
        <v>Nivel de riesgo alto</v>
      </c>
      <c r="FI137" s="5" t="s">
        <v>232</v>
      </c>
      <c r="FJ137" s="5">
        <f>IF(FI137="Nunca/ casi nunca",0,
IF(FI137="Rara vez",1,
IF(FI137="A veces",2,
IF(FI137="A menudo",3,
IF(FI137="Siempre",4,"")))))</f>
        <v>3</v>
      </c>
      <c r="FK137" s="5" t="s">
        <v>247</v>
      </c>
      <c r="FL137" s="5">
        <f>IF(FK137="Nunca/ casi nunca",0,
IF(FK137="Rara vez",1,
IF(FK137="A veces",2,
IF(FK137="A menudo",3,
IF(FK137="Siempre",4,"")))))</f>
        <v>2</v>
      </c>
      <c r="FM137" s="5" t="s">
        <v>247</v>
      </c>
      <c r="FN137" s="5">
        <f>IF(FM137="Nunca/ casi nunca",0,
IF(FM137="Rara vez",1,
IF(FM137="A veces",2,
IF(FM137="A menudo",3,
IF(FM137="Siempre",4,"")))))</f>
        <v>2</v>
      </c>
      <c r="FO137" s="5">
        <f>SUM(FJ137,FL137,FN137)</f>
        <v>7</v>
      </c>
      <c r="FP137" s="5" t="str">
        <f>IF(FO137&lt;=2,"Nivel de riesgo bajo",
IF(FO137&lt;=5,"Nivel de riesgo medio",
"Nivel de riesgo alto"))</f>
        <v>Nivel de riesgo alto</v>
      </c>
      <c r="FQ137" s="5" t="s">
        <v>206</v>
      </c>
      <c r="FR137" s="5">
        <f>IF(FQ137="No",0,
IF(FQ137="Sí, unas pocas veces",1,
IF(FQ137="Sí, mensualmente",2,
IF(FQ137="Sí, semanalmente",3,
IF(FQ137="Sí, diariamente",4,"")))))</f>
        <v>0</v>
      </c>
      <c r="FS137" s="5" t="s">
        <v>265</v>
      </c>
      <c r="FT137" s="5">
        <f>IF(FS137="No",0,
IF(FS137="Sí, unas pocas veces",1,
IF(FS137="Sí, mensualmente",2,
IF(FS137="Sí, semanalmente",3,
IF(FS137="Sí, diariamente",4,"")))))</f>
        <v>1</v>
      </c>
      <c r="FU137" s="5" t="s">
        <v>206</v>
      </c>
      <c r="FV137" s="5">
        <f>IF(FU137="No",0,
IF(FU137="Sí, unas pocas veces",1,
IF(FU137="Sí, mensualmente",2,
IF(FU137="Sí, semanalmente",3,
IF(FU137="Sí, diariamente",4,"")))))</f>
        <v>0</v>
      </c>
      <c r="FW137" s="5" t="s">
        <v>206</v>
      </c>
      <c r="FX137" s="5">
        <f>IF(FW137="No",0,
IF(FW137="Sí, unas pocas veces",1,
IF(FW137="Sí, mensualmente",2,
IF(FW137="Sí, semanalmente",3,
IF(FW137="Sí, diariamente",4,"")))))</f>
        <v>0</v>
      </c>
      <c r="FY137" s="5" t="s">
        <v>206</v>
      </c>
      <c r="FZ137" s="5">
        <f>IF(FY137="No",0,
IF(FY137="Sí, unas pocas veces",1,
IF(FY137="Sí, mensualmente",2,
IF(FY137="Sí, semanalmente",3,
IF(FY137="Sí, diariamente",4,"")))))</f>
        <v>0</v>
      </c>
      <c r="GA137" s="5" t="s">
        <v>206</v>
      </c>
      <c r="GB137" s="5">
        <f>IF(GA137="No",0,
IF(GA137="Sí, unas pocas veces",1,
IF(GA137="Sí, mensualmente",2,
IF(GA137="Sí, semanalmente",3,
IF(GA137="Sí, diariamente",4,"")))))</f>
        <v>0</v>
      </c>
      <c r="GC137" s="5" t="s">
        <v>206</v>
      </c>
      <c r="GD137" s="5">
        <f>IF(GC137="No",0,
IF(GC137="Sí, unas pocas veces",1,
IF(GC137="Sí, mensualmente",2,
IF(GC137="Sí, semanalmente",3,
IF(GC137="Sí, diariamente",4,"")))))</f>
        <v>0</v>
      </c>
      <c r="GE137" s="5">
        <f>SUM(FR137,FT137,FV137,FX137,FZ137,GB137,GD137)</f>
        <v>1</v>
      </c>
      <c r="GF137" s="5" t="str">
        <f>IF(GE137&lt;=0,"Nivel de riesgo bajo",
IF(GE137&lt;=14,"Nivel de riesgo medio",
"Nivel de riesgo alto"))</f>
        <v>Nivel de riesgo medio</v>
      </c>
      <c r="GG137" s="5" t="s">
        <v>255</v>
      </c>
      <c r="GH137" s="5" t="s">
        <v>255</v>
      </c>
      <c r="GI137" s="5" t="s">
        <v>266</v>
      </c>
      <c r="GJ137" s="5" t="s">
        <v>233</v>
      </c>
      <c r="GK137" s="5" t="s">
        <v>233</v>
      </c>
      <c r="GL137" s="5" t="s">
        <v>233</v>
      </c>
      <c r="GM137" s="5" t="s">
        <v>255</v>
      </c>
      <c r="GN137" s="5" t="s">
        <v>257</v>
      </c>
      <c r="GO137" s="5" t="s">
        <v>234</v>
      </c>
      <c r="GP137" s="5" t="s">
        <v>234</v>
      </c>
      <c r="GQ137" s="5" t="s">
        <v>234</v>
      </c>
      <c r="GR137" s="5" t="s">
        <v>234</v>
      </c>
      <c r="GS137" s="5" t="s">
        <v>234</v>
      </c>
      <c r="GT137" s="5" t="s">
        <v>257</v>
      </c>
      <c r="GU137" s="5" t="s">
        <v>484</v>
      </c>
      <c r="GV137" s="5" t="str">
        <f>TEXT("6278869114562401745","0")</f>
        <v>6278869114562400000</v>
      </c>
    </row>
    <row r="138" spans="1:204" ht="15.75" customHeight="1" x14ac:dyDescent="0.15">
      <c r="A138" s="1">
        <f>ROW(A138)</f>
        <v>138</v>
      </c>
      <c r="B138" s="4">
        <v>45847.510636574072</v>
      </c>
      <c r="C138" s="5" t="s">
        <v>204</v>
      </c>
      <c r="D138" s="5" t="s">
        <v>206</v>
      </c>
      <c r="F138" s="5" t="s">
        <v>204</v>
      </c>
      <c r="G138" s="5" t="s">
        <v>206</v>
      </c>
      <c r="H138" s="5" t="s">
        <v>206</v>
      </c>
      <c r="K138" s="5" t="s">
        <v>237</v>
      </c>
      <c r="O138" s="5" t="s">
        <v>209</v>
      </c>
      <c r="T138" s="5" t="s">
        <v>209</v>
      </c>
      <c r="Y138" s="5" t="s">
        <v>209</v>
      </c>
      <c r="AC138" s="5" t="s">
        <v>208</v>
      </c>
      <c r="AH138" s="5" t="s">
        <v>268</v>
      </c>
      <c r="AI138" s="5">
        <v>2018</v>
      </c>
      <c r="AJ138" s="5" t="s">
        <v>337</v>
      </c>
      <c r="AK138" s="5" t="str">
        <f>IF(OR(AJ138="Empleada del sector privado",AJ138="Empleada del sector público"),"Asalariada",
IF(AJ138="Trabajadora por cuenta propia","Trabajadora por cuenta propia",""))</f>
        <v>Asalariada</v>
      </c>
      <c r="AQ138" s="5" t="s">
        <v>204</v>
      </c>
      <c r="AR138" s="5" t="s">
        <v>241</v>
      </c>
      <c r="AS138" s="5" t="s">
        <v>241</v>
      </c>
      <c r="AT138" s="5" t="s">
        <v>241</v>
      </c>
      <c r="AU138" s="5" t="s">
        <v>241</v>
      </c>
      <c r="AV138" s="5" t="s">
        <v>269</v>
      </c>
      <c r="AW138" s="5" t="s">
        <v>204</v>
      </c>
      <c r="AX138" s="5" t="s">
        <v>206</v>
      </c>
      <c r="BF138" s="5" t="s">
        <v>204</v>
      </c>
      <c r="BG138" s="5" t="s">
        <v>215</v>
      </c>
      <c r="BH138" s="5" t="s">
        <v>215</v>
      </c>
      <c r="BI138" s="5" t="s">
        <v>278</v>
      </c>
      <c r="BJ138" s="5" t="s">
        <v>242</v>
      </c>
      <c r="BK138" s="5" t="s">
        <v>246</v>
      </c>
      <c r="BL138" s="5" t="s">
        <v>246</v>
      </c>
      <c r="BM138" s="5" t="s">
        <v>246</v>
      </c>
      <c r="BN138" s="5" t="s">
        <v>246</v>
      </c>
      <c r="BO138" s="5" t="s">
        <v>246</v>
      </c>
      <c r="BP138" s="5" t="s">
        <v>246</v>
      </c>
      <c r="BQ138" s="5" t="s">
        <v>246</v>
      </c>
      <c r="BR138" s="5" t="s">
        <v>246</v>
      </c>
      <c r="BS138" s="5" t="s">
        <v>247</v>
      </c>
      <c r="BT138" s="5" t="s">
        <v>247</v>
      </c>
      <c r="BU138" s="5" t="s">
        <v>248</v>
      </c>
      <c r="BV138" s="5" t="s">
        <v>248</v>
      </c>
      <c r="BW138" s="5" t="s">
        <v>248</v>
      </c>
      <c r="BX138" s="5" t="s">
        <v>248</v>
      </c>
      <c r="BY138" s="5" t="s">
        <v>248</v>
      </c>
      <c r="BZ138" s="5" t="s">
        <v>246</v>
      </c>
      <c r="CA138" s="5" t="s">
        <v>246</v>
      </c>
      <c r="CB138" s="5" t="s">
        <v>246</v>
      </c>
      <c r="CC138" s="5" t="s">
        <v>246</v>
      </c>
      <c r="CD138" s="5" t="s">
        <v>206</v>
      </c>
      <c r="CH138" s="5" t="s">
        <v>206</v>
      </c>
      <c r="CI138" s="5" t="s">
        <v>206</v>
      </c>
      <c r="CJ138" s="5">
        <v>0</v>
      </c>
      <c r="CK138" s="5" t="s">
        <v>223</v>
      </c>
      <c r="CU138" s="5" t="s">
        <v>206</v>
      </c>
      <c r="DA138" s="5" t="s">
        <v>231</v>
      </c>
      <c r="DB138" s="5">
        <f>IF(DA138="Mejor que lo habitual",1,
IF(DA138="Igual que lo habitual",2,
IF(DA138="Menos que lo habitual",3,
IF(DA138="Mucho menos que lo habitual",4,""))))</f>
        <v>2</v>
      </c>
      <c r="DC138" s="5" t="s">
        <v>230</v>
      </c>
      <c r="DD138" s="5">
        <f>IF(DC138="No, en absoluto",1,
IF(DC138="No más que lo habitual",2,
IF(DC138="Bastante más que lo habitual",3,
IF(DC138="Mucho más que lo habitual",4,""))))</f>
        <v>2</v>
      </c>
      <c r="DE138" s="5" t="s">
        <v>230</v>
      </c>
      <c r="DF138" s="5">
        <f>IF(DE138="No, en absoluto",1,
IF(DE138="No más que lo habitual",2,
IF(DE138="Bastante más que lo habitual",3,
IF(DE138="Mucho más que lo habitual",4,""))))</f>
        <v>2</v>
      </c>
      <c r="DG138" s="5" t="s">
        <v>230</v>
      </c>
      <c r="DH138" s="5">
        <f>IF(DG138="No, en absoluto",1,
IF(DG138="No más que lo habitual",2,
IF(DG138="Bastante más que lo habitual",3,
IF(DG138="Mucho más que lo habitual",4,""))))</f>
        <v>2</v>
      </c>
      <c r="DI138" s="5" t="s">
        <v>251</v>
      </c>
      <c r="DJ138" s="5">
        <f>IF(DI138="No, en absoluto",1,
IF(DI138="No más que lo habitual",2,
IF(DI138="Bastante más que lo habitual",3,
IF(DI138="Mucho más que lo habitual",4,""))))</f>
        <v>1</v>
      </c>
      <c r="DK138" s="5" t="s">
        <v>251</v>
      </c>
      <c r="DL138" s="5">
        <f>IF(DK138="No, en absoluto",1,
IF(DK138="No más que lo habitual",2,
IF(DK138="Bastante más que lo habitual",3,
IF(DK138="Mucho más que lo habitual",4,""))))</f>
        <v>1</v>
      </c>
      <c r="DM138" s="5" t="s">
        <v>251</v>
      </c>
      <c r="DN138" s="5">
        <f>IF(DM138="No, en absoluto",1,
IF(DM138="No más que lo habitual",2,
IF(DM138="Bastante más que lo habitual",3,
IF(DM138="Mucho más que lo habitual",4,""))))</f>
        <v>1</v>
      </c>
      <c r="DO138" s="5" t="s">
        <v>231</v>
      </c>
      <c r="DP138" s="5">
        <f>IF(DO138="Más que lo habitual",1,
IF(DO138="Igual que lo habitual",2,
IF(DO138="Menos que lo habitual",3,
IF(DO138="Mucho menos que lo habitual",4,""))))</f>
        <v>2</v>
      </c>
      <c r="DQ138" s="5" t="s">
        <v>231</v>
      </c>
      <c r="DR138" s="5">
        <f>IF(DQ138="Más que lo habitual",1,
IF(DQ138="Igual que lo habitual",2,
IF(DQ138="Menos que lo habitual",3,
IF(DQ138="Mucho menos que lo habitual",4,""))))</f>
        <v>2</v>
      </c>
      <c r="DS138" s="5" t="s">
        <v>231</v>
      </c>
      <c r="DT138" s="5">
        <f>IF(DS138="Más que lo habitual",1,
IF(DS138="Igual que lo habitual",2,
IF(DS138="Menos que lo habitual",3,
IF(DS138="Mucho menos que lo habitual",4,""))))</f>
        <v>2</v>
      </c>
      <c r="DU138" s="5" t="s">
        <v>231</v>
      </c>
      <c r="DV138" s="5">
        <f>IF(DU138="Más que lo habitual",1,
IF(DU138="Igual que lo habitual",2,
IF(DU138="Menos que lo habitual",3,
IF(DU138="Mucho menos que lo habitual",4,""))))</f>
        <v>2</v>
      </c>
      <c r="DW138" s="5" t="s">
        <v>231</v>
      </c>
      <c r="DX138" s="5">
        <f>IF(DW138="Más que lo habitual",1,
IF(DW138="Igual que lo habitual",2,
IF(DW138="Menos que lo habitual",3,
IF(DW138="Mucho menos que lo habitual",4,""))))</f>
        <v>2</v>
      </c>
      <c r="DY138" s="5">
        <f>SUM(DB138,DD138,DF138,DH138,DJ138,DL138,DN138,DP138,DR138,DT138,DV138,DX138)</f>
        <v>21</v>
      </c>
      <c r="DZ138" s="5" t="str">
        <f>IF(DY138&lt;=18,"Nivel de riesgo bajo",
IF(DY138&lt;=23,"Nivel de riesgo medio",
"Nivel de riesgo alto"))</f>
        <v>Nivel de riesgo medio</v>
      </c>
      <c r="EA138" s="5" t="s">
        <v>232</v>
      </c>
      <c r="EB138" s="5">
        <f>IF(EA138="Nunca/ casi nunca",0,
IF(EA138="Rara vez",1,
IF(EA138="A veces",2,
IF(EA138="A menudo",3,
IF(EA138="Siempre",4,"")))))</f>
        <v>3</v>
      </c>
      <c r="EC138" s="5" t="s">
        <v>247</v>
      </c>
      <c r="ED138" s="5">
        <f>IF(EC138="Nunca/ casi nunca",0,
IF(EC138="Rara vez",1,
IF(EC138="A veces",2,
IF(EC138="A menudo",3,
IF(EC138="Siempre",4,"")))))</f>
        <v>2</v>
      </c>
      <c r="EE138" s="5" t="s">
        <v>247</v>
      </c>
      <c r="EF138" s="5">
        <f>IF(EE138="Nunca/ casi nunca",0,
IF(EE138="Rara vez",1,
IF(EE138="A veces",2,
IF(EE138="A menudo",3,
IF(EE138="Siempre",4,"")))))</f>
        <v>2</v>
      </c>
      <c r="EG138" s="5">
        <f>SUM(EB138,ED138,EF138)</f>
        <v>7</v>
      </c>
      <c r="EH138" s="5" t="str">
        <f>IF(EG138&lt;=1,"Nivel de riesgo bajo",
IF(EG138&lt;=4,"Nivel de riesgo medio",
"Nivel de riesgo alto"))</f>
        <v>Nivel de riesgo alto</v>
      </c>
      <c r="EI138" s="5" t="s">
        <v>248</v>
      </c>
      <c r="EJ138" s="5">
        <f>IF(EI138="Nunca/ casi nunca",0,
IF(EI138="Rara vez",1,
IF(EI138="A veces",2,
IF(EI138="A menudo",3,
IF(EI138="Siempre",4,"")))))</f>
        <v>1</v>
      </c>
      <c r="EK138" s="5" t="s">
        <v>248</v>
      </c>
      <c r="EL138" s="5">
        <f>IF(EK138="Nunca/ casi nunca",0,
IF(EK138="Rara vez",1,
IF(EK138="A veces",2,
IF(EK138="A menudo",3,
IF(EK138="Siempre",4,"")))))</f>
        <v>1</v>
      </c>
      <c r="EM138" s="5" t="s">
        <v>253</v>
      </c>
      <c r="EN138" s="5">
        <f>IF(EM138="Nunca/ casi nunca",0,
IF(EM138="Rara vez",1,
IF(EM138="A veces",2,
IF(EM138="A menudo",3,
IF(EM138="Siempre",4,"")))))</f>
        <v>0</v>
      </c>
      <c r="EO138" s="5">
        <f>SUM(EJ138,EL138,EN138)</f>
        <v>2</v>
      </c>
      <c r="EP138" s="5" t="str">
        <f>IF(EO138&lt;=1,"Nivel de riesgo bajo",
IF(EO138&lt;=5,"Nivel de riesgo medio",
"Nivel de riesgo alto"))</f>
        <v>Nivel de riesgo medio</v>
      </c>
      <c r="EQ138" s="5" t="s">
        <v>232</v>
      </c>
      <c r="ER138" s="5">
        <f>IF(EQ138="Nunca/ casi nunca",4,
IF(EQ138="Rara vez",3,
IF(EQ138="A veces",2,
IF(EQ138="A menudo",1,
IF(EQ138="Siempre",0,"")))))</f>
        <v>1</v>
      </c>
      <c r="ES138" s="5" t="s">
        <v>232</v>
      </c>
      <c r="ET138" s="5">
        <f>IF(ES138="Nunca/ casi nunca",4,
IF(ES138="Rara vez",3,
IF(ES138="A veces",2,
IF(ES138="A menudo",1,
IF(ES138="Siempre",0,"")))))</f>
        <v>1</v>
      </c>
      <c r="EU138" s="5" t="s">
        <v>232</v>
      </c>
      <c r="EV138" s="5">
        <f>IF(EU138="Nunca/ casi nunca",4,
IF(EU138="Rara vez",3,
IF(EU138="A veces",2,
IF(EU138="A menudo",1,
IF(EU138="Siempre",0,"")))))</f>
        <v>1</v>
      </c>
      <c r="EW138" s="5" t="s">
        <v>254</v>
      </c>
      <c r="EX138" s="5">
        <f>IF(EW138="Nunca/ casi nunca",4,
IF(EW138="Rara vez",3,
IF(EW138="A veces",2,
IF(EW138="A menudo",1,
IF(EW138="Siempre",0,"")))))</f>
        <v>0</v>
      </c>
      <c r="EY138" s="5">
        <f>SUM(ER138,ET138,EV138,EX138)</f>
        <v>3</v>
      </c>
      <c r="EZ138" s="5" t="str">
        <f>IF(EY138&lt;=0,"Nivel de riesgo bajo",
IF(EY138&lt;=4,"Nivel de riesgo medio",
"Nivel de riesgo alto"))</f>
        <v>Nivel de riesgo medio</v>
      </c>
      <c r="FA138" s="5" t="s">
        <v>248</v>
      </c>
      <c r="FB138" s="5">
        <f>IF(FA138="Nunca/ casi nunca",0,
IF(FA138="Rara vez",1,
IF(FA138="A veces",2,
IF(FA138="A menudo",3,
IF(FA138="Siempre",4,"")))))</f>
        <v>1</v>
      </c>
      <c r="FC138" s="5" t="s">
        <v>248</v>
      </c>
      <c r="FD138" s="5">
        <f>IF(FC138="Nunca/ casi nunca",0,
IF(FC138="Rara vez",1,
IF(FC138="A veces",2,
IF(FC138="A menudo",3,
IF(FC138="Siempre",4,"")))))</f>
        <v>1</v>
      </c>
      <c r="FE138" s="5" t="s">
        <v>253</v>
      </c>
      <c r="FF138" s="5">
        <f>IF(FE138="Nunca/ casi nunca",0,
IF(FE138="Rara vez",1,
IF(FE138="A veces",2,
IF(FE138="A menudo",3,
IF(FE138="Siempre",4,"")))))</f>
        <v>0</v>
      </c>
      <c r="FG138" s="5">
        <f>SUM(FB138,FD138,FF138)</f>
        <v>2</v>
      </c>
      <c r="FH138" s="5" t="str">
        <f>IF(FG138&lt;=2,"Nivel de riesgo bajo",
IF(FG138&lt;=5,"Nivel de riesgo medio",
"Nivel de riesgo alto"))</f>
        <v>Nivel de riesgo bajo</v>
      </c>
      <c r="FI138" s="5" t="s">
        <v>248</v>
      </c>
      <c r="FJ138" s="5">
        <f>IF(FI138="Nunca/ casi nunca",0,
IF(FI138="Rara vez",1,
IF(FI138="A veces",2,
IF(FI138="A menudo",3,
IF(FI138="Siempre",4,"")))))</f>
        <v>1</v>
      </c>
      <c r="FK138" s="5" t="s">
        <v>248</v>
      </c>
      <c r="FL138" s="5">
        <f>IF(FK138="Nunca/ casi nunca",0,
IF(FK138="Rara vez",1,
IF(FK138="A veces",2,
IF(FK138="A menudo",3,
IF(FK138="Siempre",4,"")))))</f>
        <v>1</v>
      </c>
      <c r="FM138" s="5" t="s">
        <v>248</v>
      </c>
      <c r="FN138" s="5">
        <f>IF(FM138="Nunca/ casi nunca",0,
IF(FM138="Rara vez",1,
IF(FM138="A veces",2,
IF(FM138="A menudo",3,
IF(FM138="Siempre",4,"")))))</f>
        <v>1</v>
      </c>
      <c r="FO138" s="5">
        <f>SUM(FJ138,FL138,FN138)</f>
        <v>3</v>
      </c>
      <c r="FP138" s="5" t="str">
        <f>IF(FO138&lt;=2,"Nivel de riesgo bajo",
IF(FO138&lt;=5,"Nivel de riesgo medio",
"Nivel de riesgo alto"))</f>
        <v>Nivel de riesgo medio</v>
      </c>
      <c r="FQ138" s="5" t="s">
        <v>206</v>
      </c>
      <c r="FR138" s="5">
        <f>IF(FQ138="No",0,
IF(FQ138="Sí, unas pocas veces",1,
IF(FQ138="Sí, mensualmente",2,
IF(FQ138="Sí, semanalmente",3,
IF(FQ138="Sí, diariamente",4,"")))))</f>
        <v>0</v>
      </c>
      <c r="FS138" s="5" t="s">
        <v>206</v>
      </c>
      <c r="FT138" s="5">
        <f>IF(FS138="No",0,
IF(FS138="Sí, unas pocas veces",1,
IF(FS138="Sí, mensualmente",2,
IF(FS138="Sí, semanalmente",3,
IF(FS138="Sí, diariamente",4,"")))))</f>
        <v>0</v>
      </c>
      <c r="FU138" s="5" t="s">
        <v>206</v>
      </c>
      <c r="FV138" s="5">
        <f>IF(FU138="No",0,
IF(FU138="Sí, unas pocas veces",1,
IF(FU138="Sí, mensualmente",2,
IF(FU138="Sí, semanalmente",3,
IF(FU138="Sí, diariamente",4,"")))))</f>
        <v>0</v>
      </c>
      <c r="FW138" s="5" t="s">
        <v>206</v>
      </c>
      <c r="FX138" s="5">
        <f>IF(FW138="No",0,
IF(FW138="Sí, unas pocas veces",1,
IF(FW138="Sí, mensualmente",2,
IF(FW138="Sí, semanalmente",3,
IF(FW138="Sí, diariamente",4,"")))))</f>
        <v>0</v>
      </c>
      <c r="FY138" s="5" t="s">
        <v>206</v>
      </c>
      <c r="FZ138" s="5">
        <f>IF(FY138="No",0,
IF(FY138="Sí, unas pocas veces",1,
IF(FY138="Sí, mensualmente",2,
IF(FY138="Sí, semanalmente",3,
IF(FY138="Sí, diariamente",4,"")))))</f>
        <v>0</v>
      </c>
      <c r="GA138" s="5" t="s">
        <v>206</v>
      </c>
      <c r="GB138" s="5">
        <f>IF(GA138="No",0,
IF(GA138="Sí, unas pocas veces",1,
IF(GA138="Sí, mensualmente",2,
IF(GA138="Sí, semanalmente",3,
IF(GA138="Sí, diariamente",4,"")))))</f>
        <v>0</v>
      </c>
      <c r="GC138" s="5" t="s">
        <v>206</v>
      </c>
      <c r="GD138" s="5">
        <f>IF(GC138="No",0,
IF(GC138="Sí, unas pocas veces",1,
IF(GC138="Sí, mensualmente",2,
IF(GC138="Sí, semanalmente",3,
IF(GC138="Sí, diariamente",4,"")))))</f>
        <v>0</v>
      </c>
      <c r="GE138" s="5">
        <f>SUM(FR138,FT138,FV138,FX138,FZ138,GB138,GD138)</f>
        <v>0</v>
      </c>
      <c r="GF138" s="5" t="str">
        <f>IF(GE138&lt;=0,"Nivel de riesgo bajo",
IF(GE138&lt;=14,"Nivel de riesgo medio",
"Nivel de riesgo alto"))</f>
        <v>Nivel de riesgo bajo</v>
      </c>
      <c r="GG138" s="5" t="s">
        <v>255</v>
      </c>
      <c r="GH138" s="5" t="s">
        <v>273</v>
      </c>
      <c r="GI138" s="5" t="s">
        <v>273</v>
      </c>
      <c r="GJ138" s="5" t="s">
        <v>255</v>
      </c>
      <c r="GK138" s="5" t="s">
        <v>233</v>
      </c>
      <c r="GL138" s="5" t="s">
        <v>255</v>
      </c>
      <c r="GM138" s="5" t="s">
        <v>266</v>
      </c>
      <c r="GN138" s="5" t="s">
        <v>256</v>
      </c>
      <c r="GO138" s="5" t="s">
        <v>243</v>
      </c>
      <c r="GP138" s="5" t="s">
        <v>243</v>
      </c>
      <c r="GQ138" s="5" t="s">
        <v>257</v>
      </c>
      <c r="GR138" s="5" t="s">
        <v>257</v>
      </c>
      <c r="GS138" s="5" t="s">
        <v>257</v>
      </c>
      <c r="GT138" s="5" t="s">
        <v>243</v>
      </c>
      <c r="GU138" s="5" t="s">
        <v>485</v>
      </c>
      <c r="GV138" s="5" t="str">
        <f>TEXT("6278869198127783409","0")</f>
        <v>6278869198127780000</v>
      </c>
    </row>
    <row r="139" spans="1:204" ht="15.75" customHeight="1" x14ac:dyDescent="0.15">
      <c r="A139" s="1">
        <f>ROW(A139)</f>
        <v>139</v>
      </c>
      <c r="B139" s="4">
        <v>45847.514398148145</v>
      </c>
      <c r="C139" s="5" t="s">
        <v>204</v>
      </c>
      <c r="D139" s="5" t="s">
        <v>206</v>
      </c>
      <c r="F139" s="5" t="s">
        <v>206</v>
      </c>
      <c r="G139" s="5" t="s">
        <v>204</v>
      </c>
      <c r="H139" s="5" t="s">
        <v>206</v>
      </c>
      <c r="J139" s="5" t="s">
        <v>209</v>
      </c>
      <c r="O139" s="5" t="s">
        <v>209</v>
      </c>
      <c r="T139" s="5" t="s">
        <v>209</v>
      </c>
      <c r="Y139" s="5" t="s">
        <v>209</v>
      </c>
      <c r="AD139" s="5" t="s">
        <v>209</v>
      </c>
      <c r="AH139" s="5" t="s">
        <v>210</v>
      </c>
      <c r="AI139" s="5">
        <v>2022</v>
      </c>
      <c r="AJ139" s="5" t="s">
        <v>238</v>
      </c>
      <c r="AK139" s="5" t="str">
        <f>IF(OR(AJ139="Empleada del sector privado",AJ139="Empleada del sector público"),"Asalariada",
IF(AJ139="Trabajadora por cuenta propia","Trabajadora por cuenta propia",""))</f>
        <v>Trabajadora por cuenta propia</v>
      </c>
      <c r="AL139" s="5" t="s">
        <v>239</v>
      </c>
      <c r="AP139" s="5" t="s">
        <v>486</v>
      </c>
      <c r="AR139" s="5" t="s">
        <v>301</v>
      </c>
      <c r="AS139" s="5" t="s">
        <v>301</v>
      </c>
      <c r="AT139" s="5" t="s">
        <v>241</v>
      </c>
      <c r="AU139" s="5" t="s">
        <v>241</v>
      </c>
      <c r="AV139" s="5" t="s">
        <v>269</v>
      </c>
      <c r="AW139" s="5" t="s">
        <v>204</v>
      </c>
      <c r="AX139" s="5" t="s">
        <v>206</v>
      </c>
      <c r="BF139" s="5" t="s">
        <v>204</v>
      </c>
      <c r="BG139" s="5" t="s">
        <v>271</v>
      </c>
      <c r="BH139" s="5" t="s">
        <v>242</v>
      </c>
      <c r="BI139" s="5" t="s">
        <v>271</v>
      </c>
      <c r="BJ139" s="5" t="s">
        <v>242</v>
      </c>
      <c r="BK139" s="5" t="s">
        <v>243</v>
      </c>
      <c r="BL139" s="5" t="s">
        <v>246</v>
      </c>
      <c r="BM139" s="5" t="s">
        <v>243</v>
      </c>
      <c r="BN139" s="5" t="s">
        <v>243</v>
      </c>
      <c r="BO139" s="5" t="s">
        <v>246</v>
      </c>
      <c r="BP139" s="5" t="s">
        <v>246</v>
      </c>
      <c r="BQ139" s="5" t="s">
        <v>246</v>
      </c>
      <c r="BR139" s="5" t="s">
        <v>244</v>
      </c>
      <c r="BS139" s="5" t="s">
        <v>232</v>
      </c>
      <c r="BT139" s="5" t="s">
        <v>247</v>
      </c>
      <c r="BU139" s="5" t="s">
        <v>248</v>
      </c>
      <c r="BV139" s="5" t="s">
        <v>247</v>
      </c>
      <c r="BW139" s="5" t="s">
        <v>248</v>
      </c>
      <c r="BX139" s="5" t="s">
        <v>248</v>
      </c>
      <c r="BY139" s="5" t="s">
        <v>217</v>
      </c>
      <c r="BZ139" s="5" t="s">
        <v>244</v>
      </c>
      <c r="CA139" s="5" t="s">
        <v>246</v>
      </c>
      <c r="CB139" s="5" t="s">
        <v>243</v>
      </c>
      <c r="CC139" s="5" t="s">
        <v>246</v>
      </c>
      <c r="CD139" s="5" t="s">
        <v>206</v>
      </c>
      <c r="CH139" s="5" t="s">
        <v>206</v>
      </c>
      <c r="CI139" s="5" t="s">
        <v>206</v>
      </c>
      <c r="CJ139" s="5">
        <v>0</v>
      </c>
      <c r="CK139" s="5" t="s">
        <v>223</v>
      </c>
      <c r="CU139" s="5" t="s">
        <v>206</v>
      </c>
      <c r="DA139" s="5" t="s">
        <v>231</v>
      </c>
      <c r="DB139" s="5">
        <f>IF(DA139="Mejor que lo habitual",1,
IF(DA139="Igual que lo habitual",2,
IF(DA139="Menos que lo habitual",3,
IF(DA139="Mucho menos que lo habitual",4,""))))</f>
        <v>2</v>
      </c>
      <c r="DC139" s="5" t="s">
        <v>230</v>
      </c>
      <c r="DD139" s="5">
        <f>IF(DC139="No, en absoluto",1,
IF(DC139="No más que lo habitual",2,
IF(DC139="Bastante más que lo habitual",3,
IF(DC139="Mucho más que lo habitual",4,""))))</f>
        <v>2</v>
      </c>
      <c r="DE139" s="5" t="s">
        <v>230</v>
      </c>
      <c r="DF139" s="5">
        <f>IF(DE139="No, en absoluto",1,
IF(DE139="No más que lo habitual",2,
IF(DE139="Bastante más que lo habitual",3,
IF(DE139="Mucho más que lo habitual",4,""))))</f>
        <v>2</v>
      </c>
      <c r="DG139" s="5" t="s">
        <v>251</v>
      </c>
      <c r="DH139" s="5">
        <f>IF(DG139="No, en absoluto",1,
IF(DG139="No más que lo habitual",2,
IF(DG139="Bastante más que lo habitual",3,
IF(DG139="Mucho más que lo habitual",4,""))))</f>
        <v>1</v>
      </c>
      <c r="DI139" s="5" t="s">
        <v>251</v>
      </c>
      <c r="DJ139" s="5">
        <f>IF(DI139="No, en absoluto",1,
IF(DI139="No más que lo habitual",2,
IF(DI139="Bastante más que lo habitual",3,
IF(DI139="Mucho más que lo habitual",4,""))))</f>
        <v>1</v>
      </c>
      <c r="DK139" s="5" t="s">
        <v>251</v>
      </c>
      <c r="DL139" s="5">
        <f>IF(DK139="No, en absoluto",1,
IF(DK139="No más que lo habitual",2,
IF(DK139="Bastante más que lo habitual",3,
IF(DK139="Mucho más que lo habitual",4,""))))</f>
        <v>1</v>
      </c>
      <c r="DM139" s="5" t="s">
        <v>251</v>
      </c>
      <c r="DN139" s="5">
        <f>IF(DM139="No, en absoluto",1,
IF(DM139="No más que lo habitual",2,
IF(DM139="Bastante más que lo habitual",3,
IF(DM139="Mucho más que lo habitual",4,""))))</f>
        <v>1</v>
      </c>
      <c r="DO139" s="5" t="s">
        <v>231</v>
      </c>
      <c r="DP139" s="5">
        <f>IF(DO139="Más que lo habitual",1,
IF(DO139="Igual que lo habitual",2,
IF(DO139="Menos que lo habitual",3,
IF(DO139="Mucho menos que lo habitual",4,""))))</f>
        <v>2</v>
      </c>
      <c r="DQ139" s="5" t="s">
        <v>231</v>
      </c>
      <c r="DR139" s="5">
        <f>IF(DQ139="Más que lo habitual",1,
IF(DQ139="Igual que lo habitual",2,
IF(DQ139="Menos que lo habitual",3,
IF(DQ139="Mucho menos que lo habitual",4,""))))</f>
        <v>2</v>
      </c>
      <c r="DS139" s="5" t="s">
        <v>231</v>
      </c>
      <c r="DT139" s="5">
        <f>IF(DS139="Más que lo habitual",1,
IF(DS139="Igual que lo habitual",2,
IF(DS139="Menos que lo habitual",3,
IF(DS139="Mucho menos que lo habitual",4,""))))</f>
        <v>2</v>
      </c>
      <c r="DU139" s="5" t="s">
        <v>231</v>
      </c>
      <c r="DV139" s="5">
        <f>IF(DU139="Más que lo habitual",1,
IF(DU139="Igual que lo habitual",2,
IF(DU139="Menos que lo habitual",3,
IF(DU139="Mucho menos que lo habitual",4,""))))</f>
        <v>2</v>
      </c>
      <c r="DW139" s="5" t="s">
        <v>281</v>
      </c>
      <c r="DX139" s="5">
        <f>IF(DW139="Más que lo habitual",1,
IF(DW139="Igual que lo habitual",2,
IF(DW139="Menos que lo habitual",3,
IF(DW139="Mucho menos que lo habitual",4,""))))</f>
        <v>1</v>
      </c>
      <c r="DY139" s="5">
        <f>SUM(DB139,DD139,DF139,DH139,DJ139,DL139,DN139,DP139,DR139,DT139,DV139,DX139)</f>
        <v>19</v>
      </c>
      <c r="DZ139" s="5" t="str">
        <f>IF(DY139&lt;=18,"Nivel de riesgo bajo",
IF(DY139&lt;=23,"Nivel de riesgo medio",
"Nivel de riesgo alto"))</f>
        <v>Nivel de riesgo medio</v>
      </c>
      <c r="EA139" s="5" t="s">
        <v>253</v>
      </c>
      <c r="EB139" s="5">
        <f>IF(EA139="Nunca/ casi nunca",0,
IF(EA139="Rara vez",1,
IF(EA139="A veces",2,
IF(EA139="A menudo",3,
IF(EA139="Siempre",4,"")))))</f>
        <v>0</v>
      </c>
      <c r="EC139" s="5" t="s">
        <v>248</v>
      </c>
      <c r="ED139" s="5">
        <f>IF(EC139="Nunca/ casi nunca",0,
IF(EC139="Rara vez",1,
IF(EC139="A veces",2,
IF(EC139="A menudo",3,
IF(EC139="Siempre",4,"")))))</f>
        <v>1</v>
      </c>
      <c r="EE139" s="5" t="s">
        <v>253</v>
      </c>
      <c r="EF139" s="5">
        <f>IF(EE139="Nunca/ casi nunca",0,
IF(EE139="Rara vez",1,
IF(EE139="A veces",2,
IF(EE139="A menudo",3,
IF(EE139="Siempre",4,"")))))</f>
        <v>0</v>
      </c>
      <c r="EG139" s="5">
        <f>SUM(EB139,ED139,EF139)</f>
        <v>1</v>
      </c>
      <c r="EH139" s="5" t="str">
        <f>IF(EG139&lt;=1,"Nivel de riesgo bajo",
IF(EG139&lt;=4,"Nivel de riesgo medio",
"Nivel de riesgo alto"))</f>
        <v>Nivel de riesgo bajo</v>
      </c>
      <c r="EI139" s="5" t="s">
        <v>253</v>
      </c>
      <c r="EJ139" s="5">
        <f>IF(EI139="Nunca/ casi nunca",0,
IF(EI139="Rara vez",1,
IF(EI139="A veces",2,
IF(EI139="A menudo",3,
IF(EI139="Siempre",4,"")))))</f>
        <v>0</v>
      </c>
      <c r="EK139" s="5" t="s">
        <v>253</v>
      </c>
      <c r="EL139" s="5">
        <f>IF(EK139="Nunca/ casi nunca",0,
IF(EK139="Rara vez",1,
IF(EK139="A veces",2,
IF(EK139="A menudo",3,
IF(EK139="Siempre",4,"")))))</f>
        <v>0</v>
      </c>
      <c r="EM139" s="5" t="s">
        <v>253</v>
      </c>
      <c r="EN139" s="5">
        <f>IF(EM139="Nunca/ casi nunca",0,
IF(EM139="Rara vez",1,
IF(EM139="A veces",2,
IF(EM139="A menudo",3,
IF(EM139="Siempre",4,"")))))</f>
        <v>0</v>
      </c>
      <c r="EO139" s="5">
        <f>SUM(EJ139,EL139,EN139)</f>
        <v>0</v>
      </c>
      <c r="EP139" s="5" t="str">
        <f>IF(EO139&lt;=1,"Nivel de riesgo bajo",
IF(EO139&lt;=5,"Nivel de riesgo medio",
"Nivel de riesgo alto"))</f>
        <v>Nivel de riesgo bajo</v>
      </c>
      <c r="EQ139" s="5" t="s">
        <v>253</v>
      </c>
      <c r="ER139" s="5">
        <f>IF(EQ139="Nunca/ casi nunca",4,
IF(EQ139="Rara vez",3,
IF(EQ139="A veces",2,
IF(EQ139="A menudo",1,
IF(EQ139="Siempre",0,"")))))</f>
        <v>4</v>
      </c>
      <c r="ES139" s="5" t="s">
        <v>253</v>
      </c>
      <c r="ET139" s="5">
        <f>IF(ES139="Nunca/ casi nunca",4,
IF(ES139="Rara vez",3,
IF(ES139="A veces",2,
IF(ES139="A menudo",1,
IF(ES139="Siempre",0,"")))))</f>
        <v>4</v>
      </c>
      <c r="EU139" s="5" t="s">
        <v>253</v>
      </c>
      <c r="EV139" s="5">
        <f>IF(EU139="Nunca/ casi nunca",4,
IF(EU139="Rara vez",3,
IF(EU139="A veces",2,
IF(EU139="A menudo",1,
IF(EU139="Siempre",0,"")))))</f>
        <v>4</v>
      </c>
      <c r="EW139" s="5" t="s">
        <v>253</v>
      </c>
      <c r="EX139" s="5">
        <f>IF(EW139="Nunca/ casi nunca",4,
IF(EW139="Rara vez",3,
IF(EW139="A veces",2,
IF(EW139="A menudo",1,
IF(EW139="Siempre",0,"")))))</f>
        <v>4</v>
      </c>
      <c r="EY139" s="5">
        <f>SUM(ER139,ET139,EV139,EX139)</f>
        <v>16</v>
      </c>
      <c r="EZ139" s="5" t="str">
        <f>IF(EY139&lt;=0,"Nivel de riesgo bajo",
IF(EY139&lt;=4,"Nivel de riesgo medio",
"Nivel de riesgo alto"))</f>
        <v>Nivel de riesgo alto</v>
      </c>
      <c r="FA139" s="5" t="s">
        <v>253</v>
      </c>
      <c r="FB139" s="5">
        <f>IF(FA139="Nunca/ casi nunca",0,
IF(FA139="Rara vez",1,
IF(FA139="A veces",2,
IF(FA139="A menudo",3,
IF(FA139="Siempre",4,"")))))</f>
        <v>0</v>
      </c>
      <c r="FC139" s="5" t="s">
        <v>253</v>
      </c>
      <c r="FD139" s="5">
        <f>IF(FC139="Nunca/ casi nunca",0,
IF(FC139="Rara vez",1,
IF(FC139="A veces",2,
IF(FC139="A menudo",3,
IF(FC139="Siempre",4,"")))))</f>
        <v>0</v>
      </c>
      <c r="FE139" s="5" t="s">
        <v>253</v>
      </c>
      <c r="FF139" s="5">
        <f>IF(FE139="Nunca/ casi nunca",0,
IF(FE139="Rara vez",1,
IF(FE139="A veces",2,
IF(FE139="A menudo",3,
IF(FE139="Siempre",4,"")))))</f>
        <v>0</v>
      </c>
      <c r="FG139" s="5">
        <f>SUM(FB139,FD139,FF139)</f>
        <v>0</v>
      </c>
      <c r="FH139" s="5" t="str">
        <f>IF(FG139&lt;=2,"Nivel de riesgo bajo",
IF(FG139&lt;=5,"Nivel de riesgo medio",
"Nivel de riesgo alto"))</f>
        <v>Nivel de riesgo bajo</v>
      </c>
      <c r="FI139" s="5" t="s">
        <v>253</v>
      </c>
      <c r="FJ139" s="5">
        <f>IF(FI139="Nunca/ casi nunca",0,
IF(FI139="Rara vez",1,
IF(FI139="A veces",2,
IF(FI139="A menudo",3,
IF(FI139="Siempre",4,"")))))</f>
        <v>0</v>
      </c>
      <c r="FK139" s="5" t="s">
        <v>253</v>
      </c>
      <c r="FL139" s="5">
        <f>IF(FK139="Nunca/ casi nunca",0,
IF(FK139="Rara vez",1,
IF(FK139="A veces",2,
IF(FK139="A menudo",3,
IF(FK139="Siempre",4,"")))))</f>
        <v>0</v>
      </c>
      <c r="FM139" s="5" t="s">
        <v>253</v>
      </c>
      <c r="FN139" s="5">
        <f>IF(FM139="Nunca/ casi nunca",0,
IF(FM139="Rara vez",1,
IF(FM139="A veces",2,
IF(FM139="A menudo",3,
IF(FM139="Siempre",4,"")))))</f>
        <v>0</v>
      </c>
      <c r="FO139" s="5">
        <f>SUM(FJ139,FL139,FN139)</f>
        <v>0</v>
      </c>
      <c r="FP139" s="5" t="str">
        <f>IF(FO139&lt;=2,"Nivel de riesgo bajo",
IF(FO139&lt;=5,"Nivel de riesgo medio",
"Nivel de riesgo alto"))</f>
        <v>Nivel de riesgo bajo</v>
      </c>
      <c r="FQ139" s="5" t="s">
        <v>206</v>
      </c>
      <c r="FR139" s="5">
        <f>IF(FQ139="No",0,
IF(FQ139="Sí, unas pocas veces",1,
IF(FQ139="Sí, mensualmente",2,
IF(FQ139="Sí, semanalmente",3,
IF(FQ139="Sí, diariamente",4,"")))))</f>
        <v>0</v>
      </c>
      <c r="FS139" s="5" t="s">
        <v>206</v>
      </c>
      <c r="FT139" s="5">
        <f>IF(FS139="No",0,
IF(FS139="Sí, unas pocas veces",1,
IF(FS139="Sí, mensualmente",2,
IF(FS139="Sí, semanalmente",3,
IF(FS139="Sí, diariamente",4,"")))))</f>
        <v>0</v>
      </c>
      <c r="FU139" s="5" t="s">
        <v>206</v>
      </c>
      <c r="FV139" s="5">
        <f>IF(FU139="No",0,
IF(FU139="Sí, unas pocas veces",1,
IF(FU139="Sí, mensualmente",2,
IF(FU139="Sí, semanalmente",3,
IF(FU139="Sí, diariamente",4,"")))))</f>
        <v>0</v>
      </c>
      <c r="FW139" s="5" t="s">
        <v>206</v>
      </c>
      <c r="FX139" s="5">
        <f>IF(FW139="No",0,
IF(FW139="Sí, unas pocas veces",1,
IF(FW139="Sí, mensualmente",2,
IF(FW139="Sí, semanalmente",3,
IF(FW139="Sí, diariamente",4,"")))))</f>
        <v>0</v>
      </c>
      <c r="FY139" s="5" t="s">
        <v>206</v>
      </c>
      <c r="FZ139" s="5">
        <f>IF(FY139="No",0,
IF(FY139="Sí, unas pocas veces",1,
IF(FY139="Sí, mensualmente",2,
IF(FY139="Sí, semanalmente",3,
IF(FY139="Sí, diariamente",4,"")))))</f>
        <v>0</v>
      </c>
      <c r="GA139" s="5" t="s">
        <v>206</v>
      </c>
      <c r="GB139" s="5">
        <f>IF(GA139="No",0,
IF(GA139="Sí, unas pocas veces",1,
IF(GA139="Sí, mensualmente",2,
IF(GA139="Sí, semanalmente",3,
IF(GA139="Sí, diariamente",4,"")))))</f>
        <v>0</v>
      </c>
      <c r="GC139" s="5" t="s">
        <v>206</v>
      </c>
      <c r="GD139" s="5">
        <f>IF(GC139="No",0,
IF(GC139="Sí, unas pocas veces",1,
IF(GC139="Sí, mensualmente",2,
IF(GC139="Sí, semanalmente",3,
IF(GC139="Sí, diariamente",4,"")))))</f>
        <v>0</v>
      </c>
      <c r="GE139" s="5">
        <f>SUM(FR139,FT139,FV139,FX139,FZ139,GB139,GD139)</f>
        <v>0</v>
      </c>
      <c r="GF139" s="5" t="str">
        <f>IF(GE139&lt;=0,"Nivel de riesgo bajo",
IF(GE139&lt;=14,"Nivel de riesgo medio",
"Nivel de riesgo alto"))</f>
        <v>Nivel de riesgo bajo</v>
      </c>
      <c r="GG139" s="5" t="s">
        <v>255</v>
      </c>
      <c r="GH139" s="5" t="s">
        <v>266</v>
      </c>
      <c r="GI139" s="5" t="s">
        <v>255</v>
      </c>
      <c r="GJ139" s="5" t="s">
        <v>266</v>
      </c>
      <c r="GK139" s="5" t="s">
        <v>233</v>
      </c>
      <c r="GL139" s="5" t="s">
        <v>255</v>
      </c>
      <c r="GM139" s="5" t="s">
        <v>255</v>
      </c>
      <c r="GN139" s="5" t="s">
        <v>256</v>
      </c>
      <c r="GO139" s="5" t="s">
        <v>243</v>
      </c>
      <c r="GP139" s="5" t="s">
        <v>243</v>
      </c>
      <c r="GQ139" s="5" t="s">
        <v>257</v>
      </c>
      <c r="GR139" s="5" t="s">
        <v>257</v>
      </c>
      <c r="GS139" s="5" t="s">
        <v>257</v>
      </c>
      <c r="GT139" s="5" t="s">
        <v>256</v>
      </c>
      <c r="GU139" s="5" t="s">
        <v>487</v>
      </c>
      <c r="GV139" s="5" t="str">
        <f>TEXT("6278872448214063089","0")</f>
        <v>6278872448214060000</v>
      </c>
    </row>
    <row r="140" spans="1:204" ht="15.75" hidden="1" customHeight="1" x14ac:dyDescent="0.15">
      <c r="B140" s="4">
        <v>45847.515150462961</v>
      </c>
      <c r="C140" s="5" t="s">
        <v>204</v>
      </c>
      <c r="D140" s="5" t="s">
        <v>206</v>
      </c>
      <c r="F140" s="5" t="s">
        <v>206</v>
      </c>
      <c r="G140" s="5" t="s">
        <v>204</v>
      </c>
      <c r="H140" s="5" t="s">
        <v>204</v>
      </c>
      <c r="K140" s="5" t="s">
        <v>237</v>
      </c>
      <c r="O140" s="5" t="s">
        <v>209</v>
      </c>
      <c r="S140" s="5" t="s">
        <v>208</v>
      </c>
      <c r="X140" s="5" t="s">
        <v>208</v>
      </c>
      <c r="AC140" s="5" t="s">
        <v>208</v>
      </c>
      <c r="AH140" s="5" t="s">
        <v>210</v>
      </c>
      <c r="AI140" s="5">
        <v>2022</v>
      </c>
      <c r="AJ140" s="5" t="s">
        <v>304</v>
      </c>
      <c r="AK140" s="5"/>
      <c r="AR140" s="5" t="s">
        <v>241</v>
      </c>
      <c r="AS140" s="5" t="s">
        <v>241</v>
      </c>
      <c r="AT140" s="5" t="s">
        <v>241</v>
      </c>
      <c r="AU140" s="5" t="s">
        <v>241</v>
      </c>
      <c r="AV140" s="5" t="s">
        <v>213</v>
      </c>
      <c r="AW140" s="5" t="s">
        <v>206</v>
      </c>
      <c r="BF140" s="5" t="s">
        <v>204</v>
      </c>
      <c r="BG140" s="5" t="s">
        <v>278</v>
      </c>
      <c r="BH140" s="5" t="s">
        <v>271</v>
      </c>
      <c r="BI140" s="5" t="s">
        <v>278</v>
      </c>
      <c r="BJ140" s="5" t="s">
        <v>278</v>
      </c>
      <c r="BK140" s="5" t="s">
        <v>243</v>
      </c>
      <c r="BL140" s="5" t="s">
        <v>243</v>
      </c>
      <c r="BM140" s="5" t="s">
        <v>243</v>
      </c>
      <c r="BN140" s="5" t="s">
        <v>243</v>
      </c>
      <c r="BO140" s="5" t="s">
        <v>243</v>
      </c>
      <c r="BP140" s="5" t="s">
        <v>243</v>
      </c>
      <c r="BQ140" s="5" t="s">
        <v>246</v>
      </c>
      <c r="BR140" s="5" t="s">
        <v>243</v>
      </c>
      <c r="BS140" s="5" t="s">
        <v>232</v>
      </c>
      <c r="BT140" s="5" t="s">
        <v>232</v>
      </c>
      <c r="BU140" s="5" t="s">
        <v>247</v>
      </c>
      <c r="BV140" s="5" t="s">
        <v>232</v>
      </c>
      <c r="BW140" s="5" t="s">
        <v>232</v>
      </c>
      <c r="BX140" s="5" t="s">
        <v>232</v>
      </c>
      <c r="BY140" s="5" t="s">
        <v>232</v>
      </c>
      <c r="CD140" s="5" t="s">
        <v>206</v>
      </c>
      <c r="CH140" s="5" t="s">
        <v>206</v>
      </c>
      <c r="CI140" s="5" t="s">
        <v>206</v>
      </c>
      <c r="CJ140" s="5">
        <v>0</v>
      </c>
      <c r="CK140" s="5" t="s">
        <v>223</v>
      </c>
      <c r="CU140" s="5" t="s">
        <v>206</v>
      </c>
      <c r="DA140" s="5" t="s">
        <v>252</v>
      </c>
      <c r="DB140" s="5"/>
      <c r="DC140" s="5" t="s">
        <v>250</v>
      </c>
      <c r="DD140" s="5"/>
      <c r="DE140" s="5" t="s">
        <v>250</v>
      </c>
      <c r="DF140" s="5"/>
      <c r="DG140" s="5" t="s">
        <v>251</v>
      </c>
      <c r="DH140" s="5"/>
      <c r="DI140" s="5" t="s">
        <v>251</v>
      </c>
      <c r="DJ140" s="5"/>
      <c r="DK140" s="5" t="s">
        <v>251</v>
      </c>
      <c r="DL140" s="5"/>
      <c r="DM140" s="5" t="s">
        <v>251</v>
      </c>
      <c r="DN140" s="5"/>
      <c r="DO140" s="5" t="s">
        <v>281</v>
      </c>
      <c r="DP140" s="5"/>
      <c r="DQ140" s="5" t="s">
        <v>281</v>
      </c>
      <c r="DR140" s="5"/>
      <c r="DS140" s="5" t="s">
        <v>231</v>
      </c>
      <c r="DT140" s="5"/>
      <c r="DU140" s="5" t="s">
        <v>281</v>
      </c>
      <c r="DV140" s="5"/>
      <c r="DW140" s="5" t="s">
        <v>281</v>
      </c>
      <c r="DX140" s="5"/>
      <c r="DY140" s="5"/>
      <c r="DZ140" s="5"/>
      <c r="EA140" s="5" t="s">
        <v>247</v>
      </c>
      <c r="EB140" s="5"/>
      <c r="EC140" s="5" t="s">
        <v>248</v>
      </c>
      <c r="ED140" s="5"/>
      <c r="EE140" s="5" t="s">
        <v>253</v>
      </c>
      <c r="EF140" s="5"/>
      <c r="EG140" s="5"/>
      <c r="EH140" s="5"/>
      <c r="EI140" s="5" t="s">
        <v>247</v>
      </c>
      <c r="EJ140" s="5"/>
      <c r="EK140" s="5" t="s">
        <v>254</v>
      </c>
      <c r="EL140" s="5"/>
      <c r="EM140" s="5" t="s">
        <v>254</v>
      </c>
      <c r="EN140" s="5"/>
      <c r="EO140" s="5"/>
      <c r="EP140" s="5"/>
      <c r="EQ140" s="5" t="s">
        <v>248</v>
      </c>
      <c r="ER140" s="5"/>
      <c r="ES140" s="5" t="s">
        <v>253</v>
      </c>
      <c r="ET140" s="5"/>
      <c r="EU140" s="5" t="s">
        <v>247</v>
      </c>
      <c r="EV140" s="5"/>
      <c r="EW140" s="5" t="s">
        <v>248</v>
      </c>
      <c r="EX140" s="5"/>
      <c r="EY140" s="5"/>
      <c r="EZ140" s="5"/>
      <c r="FA140" s="5" t="s">
        <v>247</v>
      </c>
      <c r="FB140" s="5"/>
      <c r="FC140" s="5" t="s">
        <v>247</v>
      </c>
      <c r="FD140" s="5"/>
      <c r="FE140" s="5" t="s">
        <v>247</v>
      </c>
      <c r="FF140" s="5"/>
      <c r="FG140" s="5"/>
      <c r="FH140" s="5"/>
      <c r="FI140" s="5" t="s">
        <v>247</v>
      </c>
      <c r="FJ140" s="5"/>
      <c r="FK140" s="5" t="s">
        <v>247</v>
      </c>
      <c r="FL140" s="5"/>
      <c r="FM140" s="5" t="s">
        <v>247</v>
      </c>
      <c r="FN140" s="5"/>
      <c r="FO140" s="5"/>
      <c r="FP140" s="5"/>
      <c r="FQ140" s="5" t="s">
        <v>206</v>
      </c>
      <c r="FR140" s="5"/>
      <c r="FS140" s="5" t="s">
        <v>206</v>
      </c>
      <c r="FT140" s="5"/>
      <c r="FU140" s="5" t="s">
        <v>206</v>
      </c>
      <c r="FV140" s="5"/>
      <c r="FW140" s="5" t="s">
        <v>206</v>
      </c>
      <c r="FX140" s="5"/>
      <c r="FY140" s="5" t="s">
        <v>206</v>
      </c>
      <c r="FZ140" s="5"/>
      <c r="GA140" s="5" t="s">
        <v>206</v>
      </c>
      <c r="GB140" s="5"/>
      <c r="GC140" s="5" t="s">
        <v>265</v>
      </c>
      <c r="GD140" s="5"/>
      <c r="GE140" s="5"/>
      <c r="GF140" s="5"/>
      <c r="GG140" s="5" t="s">
        <v>266</v>
      </c>
      <c r="GH140" s="5" t="s">
        <v>266</v>
      </c>
      <c r="GI140" s="5" t="s">
        <v>273</v>
      </c>
      <c r="GJ140" s="5" t="s">
        <v>273</v>
      </c>
      <c r="GK140" s="5" t="s">
        <v>233</v>
      </c>
      <c r="GL140" s="5" t="s">
        <v>273</v>
      </c>
      <c r="GM140" s="5" t="s">
        <v>273</v>
      </c>
      <c r="GN140" s="5" t="s">
        <v>243</v>
      </c>
      <c r="GO140" s="5" t="s">
        <v>257</v>
      </c>
      <c r="GP140" s="5" t="s">
        <v>257</v>
      </c>
      <c r="GQ140" s="5" t="s">
        <v>244</v>
      </c>
      <c r="GR140" s="5" t="s">
        <v>244</v>
      </c>
      <c r="GS140" s="5" t="s">
        <v>257</v>
      </c>
      <c r="GT140" s="5" t="s">
        <v>257</v>
      </c>
      <c r="GU140" s="5" t="s">
        <v>488</v>
      </c>
      <c r="GV140" s="5" t="str">
        <f>TEXT("6278873092226350093","0")</f>
        <v>6278873092226350000</v>
      </c>
    </row>
    <row r="141" spans="1:204" ht="15.75" hidden="1" customHeight="1" x14ac:dyDescent="0.15">
      <c r="B141" s="4">
        <v>45847.515925925924</v>
      </c>
      <c r="C141" s="5" t="s">
        <v>204</v>
      </c>
      <c r="D141" s="5" t="s">
        <v>204</v>
      </c>
      <c r="E141" s="5" t="s">
        <v>335</v>
      </c>
      <c r="F141" s="5" t="s">
        <v>206</v>
      </c>
      <c r="G141" s="5" t="s">
        <v>206</v>
      </c>
      <c r="H141" s="5" t="s">
        <v>204</v>
      </c>
      <c r="K141" s="5" t="s">
        <v>237</v>
      </c>
      <c r="O141" s="5" t="s">
        <v>209</v>
      </c>
      <c r="T141" s="5" t="s">
        <v>209</v>
      </c>
      <c r="Y141" s="5" t="s">
        <v>209</v>
      </c>
      <c r="AD141" s="5" t="s">
        <v>209</v>
      </c>
      <c r="AH141" s="5" t="s">
        <v>210</v>
      </c>
      <c r="AI141" s="5">
        <v>2019</v>
      </c>
      <c r="AJ141" s="5" t="s">
        <v>304</v>
      </c>
      <c r="AK141" s="5"/>
      <c r="AR141" s="5" t="s">
        <v>294</v>
      </c>
      <c r="AS141" s="5" t="s">
        <v>294</v>
      </c>
      <c r="AT141" s="5" t="s">
        <v>294</v>
      </c>
      <c r="AU141" s="5" t="s">
        <v>294</v>
      </c>
      <c r="AV141" s="5" t="s">
        <v>285</v>
      </c>
      <c r="AW141" s="5" t="s">
        <v>204</v>
      </c>
      <c r="AX141" s="5" t="s">
        <v>206</v>
      </c>
      <c r="BF141" s="5" t="s">
        <v>204</v>
      </c>
      <c r="BG141" s="5" t="s">
        <v>278</v>
      </c>
      <c r="BH141" s="5" t="s">
        <v>271</v>
      </c>
      <c r="BI141" s="5" t="s">
        <v>278</v>
      </c>
      <c r="BJ141" s="5" t="s">
        <v>278</v>
      </c>
      <c r="BK141" s="5" t="s">
        <v>243</v>
      </c>
      <c r="BL141" s="5" t="s">
        <v>243</v>
      </c>
      <c r="BM141" s="5" t="s">
        <v>243</v>
      </c>
      <c r="BN141" s="5" t="s">
        <v>245</v>
      </c>
      <c r="BO141" s="5" t="s">
        <v>245</v>
      </c>
      <c r="BP141" s="5" t="s">
        <v>245</v>
      </c>
      <c r="BQ141" s="5" t="s">
        <v>243</v>
      </c>
      <c r="BR141" s="5" t="s">
        <v>243</v>
      </c>
      <c r="BS141" s="5" t="s">
        <v>254</v>
      </c>
      <c r="BT141" s="5" t="s">
        <v>247</v>
      </c>
      <c r="BU141" s="5" t="s">
        <v>247</v>
      </c>
      <c r="BV141" s="5" t="s">
        <v>248</v>
      </c>
      <c r="BW141" s="5" t="s">
        <v>247</v>
      </c>
      <c r="BX141" s="5" t="s">
        <v>248</v>
      </c>
      <c r="BY141" s="5" t="s">
        <v>247</v>
      </c>
      <c r="BZ141" s="5" t="s">
        <v>246</v>
      </c>
      <c r="CA141" s="5" t="s">
        <v>246</v>
      </c>
      <c r="CB141" s="5" t="s">
        <v>243</v>
      </c>
      <c r="CC141" s="5" t="s">
        <v>243</v>
      </c>
      <c r="CD141" s="5" t="s">
        <v>206</v>
      </c>
      <c r="CH141" s="5" t="s">
        <v>221</v>
      </c>
      <c r="CI141" s="5" t="s">
        <v>249</v>
      </c>
      <c r="CJ141" s="5">
        <v>3</v>
      </c>
      <c r="CK141" s="5" t="s">
        <v>223</v>
      </c>
      <c r="CU141" s="5" t="s">
        <v>206</v>
      </c>
      <c r="DA141" s="5" t="s">
        <v>231</v>
      </c>
      <c r="DB141" s="5"/>
      <c r="DC141" s="5" t="s">
        <v>250</v>
      </c>
      <c r="DD141" s="5"/>
      <c r="DE141" s="5" t="s">
        <v>230</v>
      </c>
      <c r="DF141" s="5"/>
      <c r="DG141" s="5" t="s">
        <v>280</v>
      </c>
      <c r="DH141" s="5"/>
      <c r="DI141" s="5" t="s">
        <v>251</v>
      </c>
      <c r="DJ141" s="5"/>
      <c r="DK141" s="5" t="s">
        <v>251</v>
      </c>
      <c r="DL141" s="5"/>
      <c r="DM141" s="5" t="s">
        <v>251</v>
      </c>
      <c r="DN141" s="5"/>
      <c r="DO141" s="5" t="s">
        <v>281</v>
      </c>
      <c r="DP141" s="5"/>
      <c r="DQ141" s="5" t="s">
        <v>281</v>
      </c>
      <c r="DR141" s="5"/>
      <c r="DS141" s="5" t="s">
        <v>281</v>
      </c>
      <c r="DT141" s="5"/>
      <c r="DU141" s="5" t="s">
        <v>281</v>
      </c>
      <c r="DV141" s="5"/>
      <c r="DW141" s="5" t="s">
        <v>281</v>
      </c>
      <c r="DX141" s="5"/>
      <c r="DY141" s="5"/>
      <c r="DZ141" s="5"/>
      <c r="EA141" s="5" t="s">
        <v>247</v>
      </c>
      <c r="EB141" s="5"/>
      <c r="EC141" s="5" t="s">
        <v>247</v>
      </c>
      <c r="ED141" s="5"/>
      <c r="EE141" s="5" t="s">
        <v>247</v>
      </c>
      <c r="EF141" s="5"/>
      <c r="EG141" s="5"/>
      <c r="EH141" s="5"/>
      <c r="EI141" s="5" t="s">
        <v>247</v>
      </c>
      <c r="EJ141" s="5"/>
      <c r="EK141" s="5" t="s">
        <v>247</v>
      </c>
      <c r="EL141" s="5"/>
      <c r="EM141" s="5" t="s">
        <v>247</v>
      </c>
      <c r="EN141" s="5"/>
      <c r="EO141" s="5"/>
      <c r="EP141" s="5"/>
      <c r="EQ141" s="5" t="s">
        <v>247</v>
      </c>
      <c r="ER141" s="5"/>
      <c r="ES141" s="5" t="s">
        <v>247</v>
      </c>
      <c r="ET141" s="5"/>
      <c r="EU141" s="5" t="s">
        <v>254</v>
      </c>
      <c r="EV141" s="5"/>
      <c r="EW141" s="5" t="s">
        <v>254</v>
      </c>
      <c r="EX141" s="5"/>
      <c r="EY141" s="5"/>
      <c r="EZ141" s="5"/>
      <c r="FA141" s="5" t="s">
        <v>247</v>
      </c>
      <c r="FB141" s="5"/>
      <c r="FC141" s="5" t="s">
        <v>247</v>
      </c>
      <c r="FD141" s="5"/>
      <c r="FE141" s="5" t="s">
        <v>247</v>
      </c>
      <c r="FF141" s="5"/>
      <c r="FG141" s="5"/>
      <c r="FH141" s="5"/>
      <c r="FI141" s="5" t="s">
        <v>247</v>
      </c>
      <c r="FJ141" s="5"/>
      <c r="FK141" s="5" t="s">
        <v>247</v>
      </c>
      <c r="FL141" s="5"/>
      <c r="FM141" s="5" t="s">
        <v>247</v>
      </c>
      <c r="FN141" s="5"/>
      <c r="FO141" s="5"/>
      <c r="FP141" s="5"/>
      <c r="FQ141" s="5" t="s">
        <v>206</v>
      </c>
      <c r="FR141" s="5"/>
      <c r="FS141" s="5" t="s">
        <v>206</v>
      </c>
      <c r="FT141" s="5"/>
      <c r="FU141" s="5" t="s">
        <v>206</v>
      </c>
      <c r="FV141" s="5"/>
      <c r="FW141" s="5" t="s">
        <v>206</v>
      </c>
      <c r="FX141" s="5"/>
      <c r="FY141" s="5" t="s">
        <v>206</v>
      </c>
      <c r="FZ141" s="5"/>
      <c r="GA141" s="5" t="s">
        <v>206</v>
      </c>
      <c r="GB141" s="5"/>
      <c r="GC141" s="5" t="s">
        <v>206</v>
      </c>
      <c r="GD141" s="5"/>
      <c r="GE141" s="5"/>
      <c r="GF141" s="5"/>
      <c r="GG141" s="5" t="s">
        <v>255</v>
      </c>
      <c r="GH141" s="5" t="s">
        <v>255</v>
      </c>
      <c r="GI141" s="5" t="s">
        <v>255</v>
      </c>
      <c r="GJ141" s="5" t="s">
        <v>255</v>
      </c>
      <c r="GK141" s="5" t="s">
        <v>233</v>
      </c>
      <c r="GL141" s="5" t="s">
        <v>255</v>
      </c>
      <c r="GM141" s="5" t="s">
        <v>233</v>
      </c>
      <c r="GN141" s="5" t="s">
        <v>243</v>
      </c>
      <c r="GO141" s="5" t="s">
        <v>243</v>
      </c>
      <c r="GP141" s="5" t="s">
        <v>243</v>
      </c>
      <c r="GQ141" s="5" t="s">
        <v>243</v>
      </c>
      <c r="GR141" s="5" t="s">
        <v>243</v>
      </c>
      <c r="GS141" s="5" t="s">
        <v>243</v>
      </c>
      <c r="GT141" s="5" t="s">
        <v>243</v>
      </c>
      <c r="GU141" s="5" t="s">
        <v>489</v>
      </c>
      <c r="GV141" s="5" t="str">
        <f>TEXT("6278873764797528894","0")</f>
        <v>6278873764797520000</v>
      </c>
    </row>
    <row r="142" spans="1:204" ht="15.75" customHeight="1" x14ac:dyDescent="0.15">
      <c r="A142" s="1">
        <f t="shared" ref="A142:A147" si="357">ROW(A142)</f>
        <v>142</v>
      </c>
      <c r="B142" s="4">
        <v>45847.516331018516</v>
      </c>
      <c r="C142" s="5" t="s">
        <v>204</v>
      </c>
      <c r="D142" s="5" t="s">
        <v>206</v>
      </c>
      <c r="F142" s="5" t="s">
        <v>206</v>
      </c>
      <c r="G142" s="5" t="s">
        <v>206</v>
      </c>
      <c r="H142" s="5" t="s">
        <v>204</v>
      </c>
      <c r="J142" s="5" t="s">
        <v>209</v>
      </c>
      <c r="O142" s="5" t="s">
        <v>209</v>
      </c>
      <c r="S142" s="5" t="s">
        <v>208</v>
      </c>
      <c r="AB142" s="5" t="s">
        <v>207</v>
      </c>
      <c r="AG142" s="5" t="s">
        <v>207</v>
      </c>
      <c r="AH142" s="5" t="s">
        <v>210</v>
      </c>
      <c r="AI142" s="5">
        <v>2002</v>
      </c>
      <c r="AJ142" s="5" t="s">
        <v>238</v>
      </c>
      <c r="AK142" s="5" t="str">
        <f t="shared" ref="AK142:AK147" si="358">IF(OR(AJ142="Empleada del sector privado",AJ142="Empleada del sector público"),"Asalariada",
IF(AJ142="Trabajadora por cuenta propia","Trabajadora por cuenta propia",""))</f>
        <v>Trabajadora por cuenta propia</v>
      </c>
      <c r="AO142" s="5" t="s">
        <v>323</v>
      </c>
      <c r="AP142" s="5" t="s">
        <v>365</v>
      </c>
      <c r="AR142" s="5" t="s">
        <v>241</v>
      </c>
      <c r="AS142" s="5" t="s">
        <v>241</v>
      </c>
      <c r="AT142" s="5" t="s">
        <v>294</v>
      </c>
      <c r="AU142" s="5" t="s">
        <v>261</v>
      </c>
      <c r="AV142" s="5" t="s">
        <v>302</v>
      </c>
      <c r="AW142" s="5" t="s">
        <v>206</v>
      </c>
      <c r="BF142" s="5" t="s">
        <v>204</v>
      </c>
      <c r="BG142" s="5" t="s">
        <v>215</v>
      </c>
      <c r="BH142" s="5" t="s">
        <v>242</v>
      </c>
      <c r="BI142" s="5" t="s">
        <v>242</v>
      </c>
      <c r="BJ142" s="5" t="s">
        <v>242</v>
      </c>
      <c r="BK142" s="5" t="s">
        <v>243</v>
      </c>
      <c r="BL142" s="5" t="s">
        <v>245</v>
      </c>
      <c r="BM142" s="5" t="s">
        <v>243</v>
      </c>
      <c r="BN142" s="5" t="s">
        <v>243</v>
      </c>
      <c r="BO142" s="5" t="s">
        <v>243</v>
      </c>
      <c r="BP142" s="5" t="s">
        <v>243</v>
      </c>
      <c r="BQ142" s="5" t="s">
        <v>243</v>
      </c>
      <c r="BR142" s="5" t="s">
        <v>245</v>
      </c>
      <c r="BS142" s="5" t="s">
        <v>254</v>
      </c>
      <c r="BT142" s="5" t="s">
        <v>232</v>
      </c>
      <c r="BU142" s="5" t="s">
        <v>247</v>
      </c>
      <c r="BV142" s="5" t="s">
        <v>232</v>
      </c>
      <c r="BW142" s="5" t="s">
        <v>254</v>
      </c>
      <c r="BX142" s="5" t="s">
        <v>254</v>
      </c>
      <c r="BY142" s="5" t="s">
        <v>232</v>
      </c>
      <c r="CD142" s="5" t="s">
        <v>206</v>
      </c>
      <c r="CH142" s="5" t="s">
        <v>310</v>
      </c>
      <c r="CI142" s="5" t="s">
        <v>318</v>
      </c>
      <c r="CJ142" s="5">
        <v>2</v>
      </c>
      <c r="CK142" s="5" t="s">
        <v>223</v>
      </c>
      <c r="CU142" s="5" t="s">
        <v>206</v>
      </c>
      <c r="DA142" s="5" t="s">
        <v>231</v>
      </c>
      <c r="DB142" s="5">
        <f t="shared" ref="DB142:DB147" si="359">IF(DA142="Mejor que lo habitual",1,
IF(DA142="Igual que lo habitual",2,
IF(DA142="Menos que lo habitual",3,
IF(DA142="Mucho menos que lo habitual",4,""))))</f>
        <v>2</v>
      </c>
      <c r="DC142" s="5" t="s">
        <v>250</v>
      </c>
      <c r="DD142" s="5">
        <f t="shared" ref="DD142:DD147" si="360">IF(DC142="No, en absoluto",1,
IF(DC142="No más que lo habitual",2,
IF(DC142="Bastante más que lo habitual",3,
IF(DC142="Mucho más que lo habitual",4,""))))</f>
        <v>3</v>
      </c>
      <c r="DE142" s="5" t="s">
        <v>230</v>
      </c>
      <c r="DF142" s="5">
        <f t="shared" ref="DF142:DF147" si="361">IF(DE142="No, en absoluto",1,
IF(DE142="No más que lo habitual",2,
IF(DE142="Bastante más que lo habitual",3,
IF(DE142="Mucho más que lo habitual",4,""))))</f>
        <v>2</v>
      </c>
      <c r="DG142" s="5" t="s">
        <v>230</v>
      </c>
      <c r="DH142" s="5">
        <f t="shared" ref="DH142:DH147" si="362">IF(DG142="No, en absoluto",1,
IF(DG142="No más que lo habitual",2,
IF(DG142="Bastante más que lo habitual",3,
IF(DG142="Mucho más que lo habitual",4,""))))</f>
        <v>2</v>
      </c>
      <c r="DI142" s="5" t="s">
        <v>280</v>
      </c>
      <c r="DJ142" s="5">
        <f t="shared" ref="DJ142:DJ147" si="363">IF(DI142="No, en absoluto",1,
IF(DI142="No más que lo habitual",2,
IF(DI142="Bastante más que lo habitual",3,
IF(DI142="Mucho más que lo habitual",4,""))))</f>
        <v>4</v>
      </c>
      <c r="DK142" s="5" t="s">
        <v>250</v>
      </c>
      <c r="DL142" s="5">
        <f t="shared" ref="DL142:DL147" si="364">IF(DK142="No, en absoluto",1,
IF(DK142="No más que lo habitual",2,
IF(DK142="Bastante más que lo habitual",3,
IF(DK142="Mucho más que lo habitual",4,""))))</f>
        <v>3</v>
      </c>
      <c r="DM142" s="5" t="s">
        <v>230</v>
      </c>
      <c r="DN142" s="5">
        <f t="shared" ref="DN142:DN147" si="365">IF(DM142="No, en absoluto",1,
IF(DM142="No más que lo habitual",2,
IF(DM142="Bastante más que lo habitual",3,
IF(DM142="Mucho más que lo habitual",4,""))))</f>
        <v>2</v>
      </c>
      <c r="DO142" s="5" t="s">
        <v>252</v>
      </c>
      <c r="DP142" s="5">
        <f t="shared" ref="DP142:DP147" si="366">IF(DO142="Más que lo habitual",1,
IF(DO142="Igual que lo habitual",2,
IF(DO142="Menos que lo habitual",3,
IF(DO142="Mucho menos que lo habitual",4,""))))</f>
        <v>3</v>
      </c>
      <c r="DQ142" s="5" t="s">
        <v>231</v>
      </c>
      <c r="DR142" s="5">
        <f t="shared" ref="DR142:DR147" si="367">IF(DQ142="Más que lo habitual",1,
IF(DQ142="Igual que lo habitual",2,
IF(DQ142="Menos que lo habitual",3,
IF(DQ142="Mucho menos que lo habitual",4,""))))</f>
        <v>2</v>
      </c>
      <c r="DS142" s="5" t="s">
        <v>252</v>
      </c>
      <c r="DT142" s="5">
        <f t="shared" ref="DT142:DT147" si="368">IF(DS142="Más que lo habitual",1,
IF(DS142="Igual que lo habitual",2,
IF(DS142="Menos que lo habitual",3,
IF(DS142="Mucho menos que lo habitual",4,""))))</f>
        <v>3</v>
      </c>
      <c r="DU142" s="5" t="s">
        <v>252</v>
      </c>
      <c r="DV142" s="5">
        <f t="shared" ref="DV142:DV147" si="369">IF(DU142="Más que lo habitual",1,
IF(DU142="Igual que lo habitual",2,
IF(DU142="Menos que lo habitual",3,
IF(DU142="Mucho menos que lo habitual",4,""))))</f>
        <v>3</v>
      </c>
      <c r="DW142" s="5" t="s">
        <v>252</v>
      </c>
      <c r="DX142" s="5">
        <f t="shared" ref="DX142:DX147" si="370">IF(DW142="Más que lo habitual",1,
IF(DW142="Igual que lo habitual",2,
IF(DW142="Menos que lo habitual",3,
IF(DW142="Mucho menos que lo habitual",4,""))))</f>
        <v>3</v>
      </c>
      <c r="DY142" s="5">
        <f t="shared" ref="DY142:DY147" si="371">SUM(DB142,DD142,DF142,DH142,DJ142,DL142,DN142,DP142,DR142,DT142,DV142,DX142)</f>
        <v>32</v>
      </c>
      <c r="DZ142" s="5" t="str">
        <f t="shared" ref="DZ142:DZ147" si="372">IF(DY142&lt;=18,"Nivel de riesgo bajo",
IF(DY142&lt;=23,"Nivel de riesgo medio",
"Nivel de riesgo alto"))</f>
        <v>Nivel de riesgo alto</v>
      </c>
      <c r="EA142" s="5" t="s">
        <v>247</v>
      </c>
      <c r="EB142" s="5">
        <f t="shared" ref="EB142:EB147" si="373">IF(EA142="Nunca/ casi nunca",0,
IF(EA142="Rara vez",1,
IF(EA142="A veces",2,
IF(EA142="A menudo",3,
IF(EA142="Siempre",4,"")))))</f>
        <v>2</v>
      </c>
      <c r="EC142" s="5" t="s">
        <v>232</v>
      </c>
      <c r="ED142" s="5">
        <f t="shared" ref="ED142:ED147" si="374">IF(EC142="Nunca/ casi nunca",0,
IF(EC142="Rara vez",1,
IF(EC142="A veces",2,
IF(EC142="A menudo",3,
IF(EC142="Siempre",4,"")))))</f>
        <v>3</v>
      </c>
      <c r="EE142" s="5" t="s">
        <v>248</v>
      </c>
      <c r="EF142" s="5">
        <f t="shared" ref="EF142:EF147" si="375">IF(EE142="Nunca/ casi nunca",0,
IF(EE142="Rara vez",1,
IF(EE142="A veces",2,
IF(EE142="A menudo",3,
IF(EE142="Siempre",4,"")))))</f>
        <v>1</v>
      </c>
      <c r="EG142" s="5">
        <f t="shared" ref="EG142:EG147" si="376">SUM(EB142,ED142,EF142)</f>
        <v>6</v>
      </c>
      <c r="EH142" s="5" t="str">
        <f t="shared" ref="EH142:EH147" si="377">IF(EG142&lt;=1,"Nivel de riesgo bajo",
IF(EG142&lt;=4,"Nivel de riesgo medio",
"Nivel de riesgo alto"))</f>
        <v>Nivel de riesgo alto</v>
      </c>
      <c r="EI142" s="5" t="s">
        <v>248</v>
      </c>
      <c r="EJ142" s="5">
        <f t="shared" ref="EJ142:EJ147" si="378">IF(EI142="Nunca/ casi nunca",0,
IF(EI142="Rara vez",1,
IF(EI142="A veces",2,
IF(EI142="A menudo",3,
IF(EI142="Siempre",4,"")))))</f>
        <v>1</v>
      </c>
      <c r="EK142" s="5" t="s">
        <v>248</v>
      </c>
      <c r="EL142" s="5">
        <f t="shared" ref="EL142:EL147" si="379">IF(EK142="Nunca/ casi nunca",0,
IF(EK142="Rara vez",1,
IF(EK142="A veces",2,
IF(EK142="A menudo",3,
IF(EK142="Siempre",4,"")))))</f>
        <v>1</v>
      </c>
      <c r="EM142" s="5" t="s">
        <v>254</v>
      </c>
      <c r="EN142" s="5">
        <f t="shared" ref="EN142:EN147" si="380">IF(EM142="Nunca/ casi nunca",0,
IF(EM142="Rara vez",1,
IF(EM142="A veces",2,
IF(EM142="A menudo",3,
IF(EM142="Siempre",4,"")))))</f>
        <v>4</v>
      </c>
      <c r="EO142" s="5">
        <f t="shared" ref="EO142:EO147" si="381">SUM(EJ142,EL142,EN142)</f>
        <v>6</v>
      </c>
      <c r="EP142" s="5" t="str">
        <f t="shared" ref="EP142:EP147" si="382">IF(EO142&lt;=1,"Nivel de riesgo bajo",
IF(EO142&lt;=5,"Nivel de riesgo medio",
"Nivel de riesgo alto"))</f>
        <v>Nivel de riesgo alto</v>
      </c>
      <c r="EQ142" s="5" t="s">
        <v>253</v>
      </c>
      <c r="ER142" s="5">
        <f t="shared" ref="ER142:ER147" si="383">IF(EQ142="Nunca/ casi nunca",4,
IF(EQ142="Rara vez",3,
IF(EQ142="A veces",2,
IF(EQ142="A menudo",1,
IF(EQ142="Siempre",0,"")))))</f>
        <v>4</v>
      </c>
      <c r="ES142" s="5" t="s">
        <v>253</v>
      </c>
      <c r="ET142" s="5">
        <f t="shared" ref="ET142:ET147" si="384">IF(ES142="Nunca/ casi nunca",4,
IF(ES142="Rara vez",3,
IF(ES142="A veces",2,
IF(ES142="A menudo",1,
IF(ES142="Siempre",0,"")))))</f>
        <v>4</v>
      </c>
      <c r="EU142" s="5" t="s">
        <v>253</v>
      </c>
      <c r="EV142" s="5">
        <f t="shared" ref="EV142:EV147" si="385">IF(EU142="Nunca/ casi nunca",4,
IF(EU142="Rara vez",3,
IF(EU142="A veces",2,
IF(EU142="A menudo",1,
IF(EU142="Siempre",0,"")))))</f>
        <v>4</v>
      </c>
      <c r="EW142" s="5" t="s">
        <v>253</v>
      </c>
      <c r="EX142" s="5">
        <f t="shared" ref="EX142:EX147" si="386">IF(EW142="Nunca/ casi nunca",4,
IF(EW142="Rara vez",3,
IF(EW142="A veces",2,
IF(EW142="A menudo",1,
IF(EW142="Siempre",0,"")))))</f>
        <v>4</v>
      </c>
      <c r="EY142" s="5">
        <f t="shared" ref="EY142:EY147" si="387">SUM(ER142,ET142,EV142,EX142)</f>
        <v>16</v>
      </c>
      <c r="EZ142" s="5" t="str">
        <f t="shared" ref="EZ142:EZ147" si="388">IF(EY142&lt;=0,"Nivel de riesgo bajo",
IF(EY142&lt;=4,"Nivel de riesgo medio",
"Nivel de riesgo alto"))</f>
        <v>Nivel de riesgo alto</v>
      </c>
      <c r="FA142" s="5" t="s">
        <v>248</v>
      </c>
      <c r="FB142" s="5">
        <f t="shared" ref="FB142:FB147" si="389">IF(FA142="Nunca/ casi nunca",0,
IF(FA142="Rara vez",1,
IF(FA142="A veces",2,
IF(FA142="A menudo",3,
IF(FA142="Siempre",4,"")))))</f>
        <v>1</v>
      </c>
      <c r="FC142" s="5" t="s">
        <v>248</v>
      </c>
      <c r="FD142" s="5">
        <f t="shared" ref="FD142:FD147" si="390">IF(FC142="Nunca/ casi nunca",0,
IF(FC142="Rara vez",1,
IF(FC142="A veces",2,
IF(FC142="A menudo",3,
IF(FC142="Siempre",4,"")))))</f>
        <v>1</v>
      </c>
      <c r="FE142" s="5" t="s">
        <v>248</v>
      </c>
      <c r="FF142" s="5">
        <f t="shared" ref="FF142:FF147" si="391">IF(FE142="Nunca/ casi nunca",0,
IF(FE142="Rara vez",1,
IF(FE142="A veces",2,
IF(FE142="A menudo",3,
IF(FE142="Siempre",4,"")))))</f>
        <v>1</v>
      </c>
      <c r="FG142" s="5">
        <f t="shared" ref="FG142:FG147" si="392">SUM(FB142,FD142,FF142)</f>
        <v>3</v>
      </c>
      <c r="FH142" s="5" t="str">
        <f t="shared" ref="FH142:FH147" si="393">IF(FG142&lt;=2,"Nivel de riesgo bajo",
IF(FG142&lt;=5,"Nivel de riesgo medio",
"Nivel de riesgo alto"))</f>
        <v>Nivel de riesgo medio</v>
      </c>
      <c r="FI142" s="5" t="s">
        <v>248</v>
      </c>
      <c r="FJ142" s="5">
        <f t="shared" ref="FJ142:FJ147" si="394">IF(FI142="Nunca/ casi nunca",0,
IF(FI142="Rara vez",1,
IF(FI142="A veces",2,
IF(FI142="A menudo",3,
IF(FI142="Siempre",4,"")))))</f>
        <v>1</v>
      </c>
      <c r="FK142" s="5" t="s">
        <v>248</v>
      </c>
      <c r="FL142" s="5">
        <f t="shared" ref="FL142:FL147" si="395">IF(FK142="Nunca/ casi nunca",0,
IF(FK142="Rara vez",1,
IF(FK142="A veces",2,
IF(FK142="A menudo",3,
IF(FK142="Siempre",4,"")))))</f>
        <v>1</v>
      </c>
      <c r="FM142" s="5" t="s">
        <v>248</v>
      </c>
      <c r="FN142" s="5">
        <f t="shared" ref="FN142:FN147" si="396">IF(FM142="Nunca/ casi nunca",0,
IF(FM142="Rara vez",1,
IF(FM142="A veces",2,
IF(FM142="A menudo",3,
IF(FM142="Siempre",4,"")))))</f>
        <v>1</v>
      </c>
      <c r="FO142" s="5">
        <f t="shared" ref="FO142:FO147" si="397">SUM(FJ142,FL142,FN142)</f>
        <v>3</v>
      </c>
      <c r="FP142" s="5" t="str">
        <f t="shared" ref="FP142:FP147" si="398">IF(FO142&lt;=2,"Nivel de riesgo bajo",
IF(FO142&lt;=5,"Nivel de riesgo medio",
"Nivel de riesgo alto"))</f>
        <v>Nivel de riesgo medio</v>
      </c>
      <c r="FQ142" s="5" t="s">
        <v>206</v>
      </c>
      <c r="FR142" s="5">
        <f t="shared" ref="FR142:FR147" si="399">IF(FQ142="No",0,
IF(FQ142="Sí, unas pocas veces",1,
IF(FQ142="Sí, mensualmente",2,
IF(FQ142="Sí, semanalmente",3,
IF(FQ142="Sí, diariamente",4,"")))))</f>
        <v>0</v>
      </c>
      <c r="FS142" s="5" t="s">
        <v>206</v>
      </c>
      <c r="FT142" s="5">
        <f t="shared" ref="FT142:FT147" si="400">IF(FS142="No",0,
IF(FS142="Sí, unas pocas veces",1,
IF(FS142="Sí, mensualmente",2,
IF(FS142="Sí, semanalmente",3,
IF(FS142="Sí, diariamente",4,"")))))</f>
        <v>0</v>
      </c>
      <c r="FU142" s="5" t="s">
        <v>206</v>
      </c>
      <c r="FV142" s="5">
        <f t="shared" ref="FV142:FV147" si="401">IF(FU142="No",0,
IF(FU142="Sí, unas pocas veces",1,
IF(FU142="Sí, mensualmente",2,
IF(FU142="Sí, semanalmente",3,
IF(FU142="Sí, diariamente",4,"")))))</f>
        <v>0</v>
      </c>
      <c r="FW142" s="5" t="s">
        <v>206</v>
      </c>
      <c r="FX142" s="5">
        <f t="shared" ref="FX142:FX147" si="402">IF(FW142="No",0,
IF(FW142="Sí, unas pocas veces",1,
IF(FW142="Sí, mensualmente",2,
IF(FW142="Sí, semanalmente",3,
IF(FW142="Sí, diariamente",4,"")))))</f>
        <v>0</v>
      </c>
      <c r="FY142" s="5" t="s">
        <v>206</v>
      </c>
      <c r="FZ142" s="5">
        <f t="shared" ref="FZ142:FZ147" si="403">IF(FY142="No",0,
IF(FY142="Sí, unas pocas veces",1,
IF(FY142="Sí, mensualmente",2,
IF(FY142="Sí, semanalmente",3,
IF(FY142="Sí, diariamente",4,"")))))</f>
        <v>0</v>
      </c>
      <c r="GA142" s="5" t="s">
        <v>206</v>
      </c>
      <c r="GB142" s="5">
        <f t="shared" ref="GB142:GB147" si="404">IF(GA142="No",0,
IF(GA142="Sí, unas pocas veces",1,
IF(GA142="Sí, mensualmente",2,
IF(GA142="Sí, semanalmente",3,
IF(GA142="Sí, diariamente",4,"")))))</f>
        <v>0</v>
      </c>
      <c r="GC142" s="5" t="s">
        <v>206</v>
      </c>
      <c r="GD142" s="5">
        <f t="shared" ref="GD142:GD147" si="405">IF(GC142="No",0,
IF(GC142="Sí, unas pocas veces",1,
IF(GC142="Sí, mensualmente",2,
IF(GC142="Sí, semanalmente",3,
IF(GC142="Sí, diariamente",4,"")))))</f>
        <v>0</v>
      </c>
      <c r="GE142" s="5">
        <f t="shared" ref="GE142:GE147" si="406">SUM(FR142,FT142,FV142,FX142,FZ142,GB142,GD142)</f>
        <v>0</v>
      </c>
      <c r="GF142" s="5" t="str">
        <f t="shared" ref="GF142:GF147" si="407">IF(GE142&lt;=0,"Nivel de riesgo bajo",
IF(GE142&lt;=14,"Nivel de riesgo medio",
"Nivel de riesgo alto"))</f>
        <v>Nivel de riesgo bajo</v>
      </c>
      <c r="GG142" s="5" t="s">
        <v>255</v>
      </c>
      <c r="GH142" s="5" t="s">
        <v>266</v>
      </c>
      <c r="GI142" s="5" t="s">
        <v>255</v>
      </c>
      <c r="GJ142" s="5" t="s">
        <v>266</v>
      </c>
      <c r="GK142" s="5" t="s">
        <v>233</v>
      </c>
      <c r="GL142" s="5" t="s">
        <v>233</v>
      </c>
      <c r="GM142" s="5" t="s">
        <v>233</v>
      </c>
      <c r="GN142" s="5" t="s">
        <v>256</v>
      </c>
      <c r="GO142" s="5" t="s">
        <v>244</v>
      </c>
      <c r="GP142" s="5" t="s">
        <v>244</v>
      </c>
      <c r="GQ142" s="5" t="s">
        <v>234</v>
      </c>
      <c r="GR142" s="5" t="s">
        <v>234</v>
      </c>
      <c r="GS142" s="5" t="s">
        <v>234</v>
      </c>
      <c r="GT142" s="5" t="s">
        <v>234</v>
      </c>
      <c r="GU142" s="5" t="s">
        <v>490</v>
      </c>
      <c r="GV142" s="5" t="str">
        <f>TEXT("6278874112934248386","0")</f>
        <v>6278874112934240000</v>
      </c>
    </row>
    <row r="143" spans="1:204" ht="15.75" customHeight="1" x14ac:dyDescent="0.15">
      <c r="A143" s="1">
        <f t="shared" si="357"/>
        <v>143</v>
      </c>
      <c r="B143" s="4">
        <v>45847.516423611109</v>
      </c>
      <c r="C143" s="5" t="s">
        <v>204</v>
      </c>
      <c r="D143" s="5" t="s">
        <v>206</v>
      </c>
      <c r="F143" s="5" t="s">
        <v>206</v>
      </c>
      <c r="G143" s="5" t="s">
        <v>206</v>
      </c>
      <c r="H143" s="5" t="s">
        <v>206</v>
      </c>
      <c r="K143" s="5" t="s">
        <v>237</v>
      </c>
      <c r="P143" s="5" t="s">
        <v>237</v>
      </c>
      <c r="U143" s="5" t="s">
        <v>237</v>
      </c>
      <c r="Z143" s="5" t="s">
        <v>237</v>
      </c>
      <c r="AE143" s="5" t="s">
        <v>237</v>
      </c>
      <c r="AH143" s="5" t="s">
        <v>275</v>
      </c>
      <c r="AI143" s="5">
        <v>2022</v>
      </c>
      <c r="AJ143" s="5" t="s">
        <v>238</v>
      </c>
      <c r="AK143" s="5" t="str">
        <f t="shared" si="358"/>
        <v>Trabajadora por cuenta propia</v>
      </c>
      <c r="AL143" s="5" t="s">
        <v>239</v>
      </c>
      <c r="AP143" s="5" t="s">
        <v>284</v>
      </c>
      <c r="AR143" s="5" t="s">
        <v>301</v>
      </c>
      <c r="AS143" s="5" t="s">
        <v>301</v>
      </c>
      <c r="AT143" s="5" t="s">
        <v>301</v>
      </c>
      <c r="AU143" s="5" t="s">
        <v>301</v>
      </c>
      <c r="AV143" s="5" t="s">
        <v>213</v>
      </c>
      <c r="AW143" s="5" t="s">
        <v>204</v>
      </c>
      <c r="AX143" s="5" t="s">
        <v>204</v>
      </c>
      <c r="AY143" s="5" t="s">
        <v>214</v>
      </c>
      <c r="AZ143" s="5" t="s">
        <v>204</v>
      </c>
      <c r="BA143" s="5" t="s">
        <v>289</v>
      </c>
      <c r="BB143" s="5" t="s">
        <v>204</v>
      </c>
      <c r="BC143" s="5" t="s">
        <v>204</v>
      </c>
      <c r="BD143" s="5" t="s">
        <v>491</v>
      </c>
      <c r="BE143" s="5" t="s">
        <v>204</v>
      </c>
      <c r="BF143" s="5" t="s">
        <v>204</v>
      </c>
      <c r="BG143" s="5" t="s">
        <v>242</v>
      </c>
      <c r="BH143" s="5" t="s">
        <v>242</v>
      </c>
      <c r="BI143" s="5" t="s">
        <v>242</v>
      </c>
      <c r="BJ143" s="5" t="s">
        <v>242</v>
      </c>
      <c r="BK143" s="5" t="s">
        <v>243</v>
      </c>
      <c r="BL143" s="5" t="s">
        <v>244</v>
      </c>
      <c r="BM143" s="5" t="s">
        <v>244</v>
      </c>
      <c r="BN143" s="5" t="s">
        <v>246</v>
      </c>
      <c r="BO143" s="5" t="s">
        <v>246</v>
      </c>
      <c r="BP143" s="5" t="s">
        <v>243</v>
      </c>
      <c r="BQ143" s="5" t="s">
        <v>244</v>
      </c>
      <c r="BR143" s="5" t="s">
        <v>244</v>
      </c>
      <c r="BS143" s="5" t="s">
        <v>254</v>
      </c>
      <c r="BT143" s="5" t="s">
        <v>254</v>
      </c>
      <c r="BU143" s="5" t="s">
        <v>247</v>
      </c>
      <c r="BV143" s="5" t="s">
        <v>247</v>
      </c>
      <c r="BW143" s="5" t="s">
        <v>232</v>
      </c>
      <c r="BX143" s="5" t="s">
        <v>247</v>
      </c>
      <c r="BY143" s="5" t="s">
        <v>248</v>
      </c>
      <c r="BZ143" s="5" t="s">
        <v>244</v>
      </c>
      <c r="CA143" s="5" t="s">
        <v>244</v>
      </c>
      <c r="CB143" s="5" t="s">
        <v>244</v>
      </c>
      <c r="CC143" s="5" t="s">
        <v>246</v>
      </c>
      <c r="CD143" s="5" t="s">
        <v>206</v>
      </c>
      <c r="CH143" s="5" t="s">
        <v>206</v>
      </c>
      <c r="CI143" s="5" t="s">
        <v>291</v>
      </c>
      <c r="CJ143" s="5">
        <v>1</v>
      </c>
      <c r="CK143" s="5" t="s">
        <v>223</v>
      </c>
      <c r="CU143" s="5" t="s">
        <v>206</v>
      </c>
      <c r="DA143" s="5" t="s">
        <v>252</v>
      </c>
      <c r="DB143" s="5">
        <f t="shared" si="359"/>
        <v>3</v>
      </c>
      <c r="DC143" s="5" t="s">
        <v>250</v>
      </c>
      <c r="DD143" s="5">
        <f t="shared" si="360"/>
        <v>3</v>
      </c>
      <c r="DE143" s="5" t="s">
        <v>250</v>
      </c>
      <c r="DF143" s="5">
        <f t="shared" si="361"/>
        <v>3</v>
      </c>
      <c r="DG143" s="5" t="s">
        <v>251</v>
      </c>
      <c r="DH143" s="5">
        <f t="shared" si="362"/>
        <v>1</v>
      </c>
      <c r="DI143" s="5" t="s">
        <v>251</v>
      </c>
      <c r="DJ143" s="5">
        <f t="shared" si="363"/>
        <v>1</v>
      </c>
      <c r="DK143" s="5" t="s">
        <v>251</v>
      </c>
      <c r="DL143" s="5">
        <f t="shared" si="364"/>
        <v>1</v>
      </c>
      <c r="DM143" s="5" t="s">
        <v>251</v>
      </c>
      <c r="DN143" s="5">
        <f t="shared" si="365"/>
        <v>1</v>
      </c>
      <c r="DO143" s="5" t="s">
        <v>229</v>
      </c>
      <c r="DP143" s="5">
        <f t="shared" si="366"/>
        <v>4</v>
      </c>
      <c r="DQ143" s="5" t="s">
        <v>281</v>
      </c>
      <c r="DR143" s="5">
        <f t="shared" si="367"/>
        <v>1</v>
      </c>
      <c r="DS143" s="5" t="s">
        <v>231</v>
      </c>
      <c r="DT143" s="5">
        <f t="shared" si="368"/>
        <v>2</v>
      </c>
      <c r="DU143" s="5" t="s">
        <v>231</v>
      </c>
      <c r="DV143" s="5">
        <f t="shared" si="369"/>
        <v>2</v>
      </c>
      <c r="DW143" s="5" t="s">
        <v>281</v>
      </c>
      <c r="DX143" s="5">
        <f t="shared" si="370"/>
        <v>1</v>
      </c>
      <c r="DY143" s="5">
        <f t="shared" si="371"/>
        <v>23</v>
      </c>
      <c r="DZ143" s="5" t="str">
        <f t="shared" si="372"/>
        <v>Nivel de riesgo medio</v>
      </c>
      <c r="EA143" s="5" t="s">
        <v>232</v>
      </c>
      <c r="EB143" s="5">
        <f t="shared" si="373"/>
        <v>3</v>
      </c>
      <c r="EC143" s="5" t="s">
        <v>247</v>
      </c>
      <c r="ED143" s="5">
        <f t="shared" si="374"/>
        <v>2</v>
      </c>
      <c r="EE143" s="5" t="s">
        <v>253</v>
      </c>
      <c r="EF143" s="5">
        <f t="shared" si="375"/>
        <v>0</v>
      </c>
      <c r="EG143" s="5">
        <f t="shared" si="376"/>
        <v>5</v>
      </c>
      <c r="EH143" s="5" t="str">
        <f t="shared" si="377"/>
        <v>Nivel de riesgo alto</v>
      </c>
      <c r="EI143" s="5" t="s">
        <v>253</v>
      </c>
      <c r="EJ143" s="5">
        <f t="shared" si="378"/>
        <v>0</v>
      </c>
      <c r="EK143" s="5" t="s">
        <v>253</v>
      </c>
      <c r="EL143" s="5">
        <f t="shared" si="379"/>
        <v>0</v>
      </c>
      <c r="EM143" s="5" t="s">
        <v>248</v>
      </c>
      <c r="EN143" s="5">
        <f t="shared" si="380"/>
        <v>1</v>
      </c>
      <c r="EO143" s="5">
        <f t="shared" si="381"/>
        <v>1</v>
      </c>
      <c r="EP143" s="5" t="str">
        <f t="shared" si="382"/>
        <v>Nivel de riesgo bajo</v>
      </c>
      <c r="EQ143" s="5" t="s">
        <v>254</v>
      </c>
      <c r="ER143" s="5">
        <f t="shared" si="383"/>
        <v>0</v>
      </c>
      <c r="ES143" s="5" t="s">
        <v>254</v>
      </c>
      <c r="ET143" s="5">
        <f t="shared" si="384"/>
        <v>0</v>
      </c>
      <c r="EU143" s="5" t="s">
        <v>254</v>
      </c>
      <c r="EV143" s="5">
        <f t="shared" si="385"/>
        <v>0</v>
      </c>
      <c r="EW143" s="5" t="s">
        <v>254</v>
      </c>
      <c r="EX143" s="5">
        <f t="shared" si="386"/>
        <v>0</v>
      </c>
      <c r="EY143" s="5">
        <f t="shared" si="387"/>
        <v>0</v>
      </c>
      <c r="EZ143" s="5" t="str">
        <f t="shared" si="388"/>
        <v>Nivel de riesgo bajo</v>
      </c>
      <c r="FA143" s="5" t="s">
        <v>248</v>
      </c>
      <c r="FB143" s="5">
        <f t="shared" si="389"/>
        <v>1</v>
      </c>
      <c r="FC143" s="5" t="s">
        <v>248</v>
      </c>
      <c r="FD143" s="5">
        <f t="shared" si="390"/>
        <v>1</v>
      </c>
      <c r="FE143" s="5" t="s">
        <v>248</v>
      </c>
      <c r="FF143" s="5">
        <f t="shared" si="391"/>
        <v>1</v>
      </c>
      <c r="FG143" s="5">
        <f t="shared" si="392"/>
        <v>3</v>
      </c>
      <c r="FH143" s="5" t="str">
        <f t="shared" si="393"/>
        <v>Nivel de riesgo medio</v>
      </c>
      <c r="FI143" s="5" t="s">
        <v>248</v>
      </c>
      <c r="FJ143" s="5">
        <f t="shared" si="394"/>
        <v>1</v>
      </c>
      <c r="FK143" s="5" t="s">
        <v>248</v>
      </c>
      <c r="FL143" s="5">
        <f t="shared" si="395"/>
        <v>1</v>
      </c>
      <c r="FM143" s="5" t="s">
        <v>248</v>
      </c>
      <c r="FN143" s="5">
        <f t="shared" si="396"/>
        <v>1</v>
      </c>
      <c r="FO143" s="5">
        <f t="shared" si="397"/>
        <v>3</v>
      </c>
      <c r="FP143" s="5" t="str">
        <f t="shared" si="398"/>
        <v>Nivel de riesgo medio</v>
      </c>
      <c r="FQ143" s="5" t="s">
        <v>206</v>
      </c>
      <c r="FR143" s="5">
        <f t="shared" si="399"/>
        <v>0</v>
      </c>
      <c r="FS143" s="5" t="s">
        <v>206</v>
      </c>
      <c r="FT143" s="5">
        <f t="shared" si="400"/>
        <v>0</v>
      </c>
      <c r="FU143" s="5" t="s">
        <v>206</v>
      </c>
      <c r="FV143" s="5">
        <f t="shared" si="401"/>
        <v>0</v>
      </c>
      <c r="FW143" s="5" t="s">
        <v>206</v>
      </c>
      <c r="FX143" s="5">
        <f t="shared" si="402"/>
        <v>0</v>
      </c>
      <c r="FY143" s="5" t="s">
        <v>206</v>
      </c>
      <c r="FZ143" s="5">
        <f t="shared" si="403"/>
        <v>0</v>
      </c>
      <c r="GA143" s="5" t="s">
        <v>206</v>
      </c>
      <c r="GB143" s="5">
        <f t="shared" si="404"/>
        <v>0</v>
      </c>
      <c r="GC143" s="5" t="s">
        <v>206</v>
      </c>
      <c r="GD143" s="5">
        <f t="shared" si="405"/>
        <v>0</v>
      </c>
      <c r="GE143" s="5">
        <f t="shared" si="406"/>
        <v>0</v>
      </c>
      <c r="GF143" s="5" t="str">
        <f t="shared" si="407"/>
        <v>Nivel de riesgo bajo</v>
      </c>
      <c r="GG143" s="5" t="s">
        <v>255</v>
      </c>
      <c r="GH143" s="5" t="s">
        <v>255</v>
      </c>
      <c r="GI143" s="5" t="s">
        <v>255</v>
      </c>
      <c r="GJ143" s="5" t="s">
        <v>255</v>
      </c>
      <c r="GK143" s="5" t="s">
        <v>233</v>
      </c>
      <c r="GL143" s="5" t="s">
        <v>298</v>
      </c>
      <c r="GM143" s="5" t="s">
        <v>255</v>
      </c>
      <c r="GN143" s="5" t="s">
        <v>256</v>
      </c>
      <c r="GO143" s="5" t="s">
        <v>256</v>
      </c>
      <c r="GP143" s="5" t="s">
        <v>243</v>
      </c>
      <c r="GQ143" s="5" t="s">
        <v>243</v>
      </c>
      <c r="GR143" s="5" t="s">
        <v>256</v>
      </c>
      <c r="GS143" s="5" t="s">
        <v>243</v>
      </c>
      <c r="GT143" s="5" t="s">
        <v>256</v>
      </c>
      <c r="GU143" s="5" t="s">
        <v>492</v>
      </c>
      <c r="GV143" s="5" t="str">
        <f>TEXT("6278874191253857465","0")</f>
        <v>6278874191253850000</v>
      </c>
    </row>
    <row r="144" spans="1:204" ht="15.75" customHeight="1" x14ac:dyDescent="0.15">
      <c r="A144" s="1">
        <f t="shared" si="357"/>
        <v>144</v>
      </c>
      <c r="B144" s="4">
        <v>45847.516504629632</v>
      </c>
      <c r="C144" s="5" t="s">
        <v>204</v>
      </c>
      <c r="D144" s="5" t="s">
        <v>206</v>
      </c>
      <c r="F144" s="5" t="s">
        <v>204</v>
      </c>
      <c r="G144" s="5" t="s">
        <v>206</v>
      </c>
      <c r="H144" s="5" t="s">
        <v>206</v>
      </c>
      <c r="L144" s="5" t="s">
        <v>236</v>
      </c>
      <c r="O144" s="5" t="s">
        <v>209</v>
      </c>
      <c r="T144" s="5" t="s">
        <v>209</v>
      </c>
      <c r="Y144" s="5" t="s">
        <v>209</v>
      </c>
      <c r="AD144" s="5" t="s">
        <v>209</v>
      </c>
      <c r="AH144" s="5" t="s">
        <v>268</v>
      </c>
      <c r="AI144" s="5">
        <v>1987</v>
      </c>
      <c r="AJ144" s="5" t="s">
        <v>330</v>
      </c>
      <c r="AK144" s="5" t="str">
        <f t="shared" si="358"/>
        <v>Asalariada</v>
      </c>
      <c r="AQ144" s="5" t="s">
        <v>204</v>
      </c>
      <c r="AR144" s="5" t="s">
        <v>301</v>
      </c>
      <c r="AS144" s="5" t="s">
        <v>301</v>
      </c>
      <c r="AT144" s="5" t="s">
        <v>301</v>
      </c>
      <c r="AU144" s="5" t="s">
        <v>301</v>
      </c>
      <c r="AV144" s="5" t="s">
        <v>285</v>
      </c>
      <c r="AW144" s="5" t="s">
        <v>204</v>
      </c>
      <c r="AX144" s="5" t="s">
        <v>206</v>
      </c>
      <c r="BF144" s="5" t="s">
        <v>206</v>
      </c>
      <c r="CK144" s="5" t="s">
        <v>223</v>
      </c>
      <c r="CU144" s="5" t="s">
        <v>206</v>
      </c>
      <c r="DA144" s="5" t="s">
        <v>231</v>
      </c>
      <c r="DB144" s="5">
        <f t="shared" si="359"/>
        <v>2</v>
      </c>
      <c r="DC144" s="5" t="s">
        <v>230</v>
      </c>
      <c r="DD144" s="5">
        <f t="shared" si="360"/>
        <v>2</v>
      </c>
      <c r="DE144" s="5" t="s">
        <v>230</v>
      </c>
      <c r="DF144" s="5">
        <f t="shared" si="361"/>
        <v>2</v>
      </c>
      <c r="DG144" s="5" t="s">
        <v>251</v>
      </c>
      <c r="DH144" s="5">
        <f t="shared" si="362"/>
        <v>1</v>
      </c>
      <c r="DI144" s="5" t="s">
        <v>230</v>
      </c>
      <c r="DJ144" s="5">
        <f t="shared" si="363"/>
        <v>2</v>
      </c>
      <c r="DK144" s="5" t="s">
        <v>251</v>
      </c>
      <c r="DL144" s="5">
        <f t="shared" si="364"/>
        <v>1</v>
      </c>
      <c r="DM144" s="5" t="s">
        <v>251</v>
      </c>
      <c r="DN144" s="5">
        <f t="shared" si="365"/>
        <v>1</v>
      </c>
      <c r="DO144" s="5" t="s">
        <v>231</v>
      </c>
      <c r="DP144" s="5">
        <f t="shared" si="366"/>
        <v>2</v>
      </c>
      <c r="DQ144" s="5" t="s">
        <v>231</v>
      </c>
      <c r="DR144" s="5">
        <f t="shared" si="367"/>
        <v>2</v>
      </c>
      <c r="DS144" s="5" t="s">
        <v>231</v>
      </c>
      <c r="DT144" s="5">
        <f t="shared" si="368"/>
        <v>2</v>
      </c>
      <c r="DU144" s="5" t="s">
        <v>231</v>
      </c>
      <c r="DV144" s="5">
        <f t="shared" si="369"/>
        <v>2</v>
      </c>
      <c r="DW144" s="5" t="s">
        <v>231</v>
      </c>
      <c r="DX144" s="5">
        <f t="shared" si="370"/>
        <v>2</v>
      </c>
      <c r="DY144" s="5">
        <f t="shared" si="371"/>
        <v>21</v>
      </c>
      <c r="DZ144" s="5" t="str">
        <f t="shared" si="372"/>
        <v>Nivel de riesgo medio</v>
      </c>
      <c r="EA144" s="5" t="s">
        <v>253</v>
      </c>
      <c r="EB144" s="5">
        <f t="shared" si="373"/>
        <v>0</v>
      </c>
      <c r="EC144" s="5" t="s">
        <v>248</v>
      </c>
      <c r="ED144" s="5">
        <f t="shared" si="374"/>
        <v>1</v>
      </c>
      <c r="EE144" s="5" t="s">
        <v>248</v>
      </c>
      <c r="EF144" s="5">
        <f t="shared" si="375"/>
        <v>1</v>
      </c>
      <c r="EG144" s="5">
        <f t="shared" si="376"/>
        <v>2</v>
      </c>
      <c r="EH144" s="5" t="str">
        <f t="shared" si="377"/>
        <v>Nivel de riesgo medio</v>
      </c>
      <c r="EI144" s="5" t="s">
        <v>253</v>
      </c>
      <c r="EJ144" s="5">
        <f t="shared" si="378"/>
        <v>0</v>
      </c>
      <c r="EK144" s="5" t="s">
        <v>247</v>
      </c>
      <c r="EL144" s="5">
        <f t="shared" si="379"/>
        <v>2</v>
      </c>
      <c r="EM144" s="5" t="s">
        <v>247</v>
      </c>
      <c r="EN144" s="5">
        <f t="shared" si="380"/>
        <v>2</v>
      </c>
      <c r="EO144" s="5">
        <f t="shared" si="381"/>
        <v>4</v>
      </c>
      <c r="EP144" s="5" t="str">
        <f t="shared" si="382"/>
        <v>Nivel de riesgo medio</v>
      </c>
      <c r="EQ144" s="5" t="s">
        <v>248</v>
      </c>
      <c r="ER144" s="5">
        <f t="shared" si="383"/>
        <v>3</v>
      </c>
      <c r="ES144" s="5" t="s">
        <v>253</v>
      </c>
      <c r="ET144" s="5">
        <f t="shared" si="384"/>
        <v>4</v>
      </c>
      <c r="EU144" s="5" t="s">
        <v>232</v>
      </c>
      <c r="EV144" s="5">
        <f t="shared" si="385"/>
        <v>1</v>
      </c>
      <c r="EW144" s="5" t="s">
        <v>232</v>
      </c>
      <c r="EX144" s="5">
        <f t="shared" si="386"/>
        <v>1</v>
      </c>
      <c r="EY144" s="5">
        <f t="shared" si="387"/>
        <v>9</v>
      </c>
      <c r="EZ144" s="5" t="str">
        <f t="shared" si="388"/>
        <v>Nivel de riesgo alto</v>
      </c>
      <c r="FA144" s="5" t="s">
        <v>253</v>
      </c>
      <c r="FB144" s="5">
        <f t="shared" si="389"/>
        <v>0</v>
      </c>
      <c r="FC144" s="5" t="s">
        <v>253</v>
      </c>
      <c r="FD144" s="5">
        <f t="shared" si="390"/>
        <v>0</v>
      </c>
      <c r="FE144" s="5" t="s">
        <v>253</v>
      </c>
      <c r="FF144" s="5">
        <f t="shared" si="391"/>
        <v>0</v>
      </c>
      <c r="FG144" s="5">
        <f t="shared" si="392"/>
        <v>0</v>
      </c>
      <c r="FH144" s="5" t="str">
        <f t="shared" si="393"/>
        <v>Nivel de riesgo bajo</v>
      </c>
      <c r="FI144" s="5" t="s">
        <v>248</v>
      </c>
      <c r="FJ144" s="5">
        <f t="shared" si="394"/>
        <v>1</v>
      </c>
      <c r="FK144" s="5" t="s">
        <v>248</v>
      </c>
      <c r="FL144" s="5">
        <f t="shared" si="395"/>
        <v>1</v>
      </c>
      <c r="FM144" s="5" t="s">
        <v>253</v>
      </c>
      <c r="FN144" s="5">
        <f t="shared" si="396"/>
        <v>0</v>
      </c>
      <c r="FO144" s="5">
        <f t="shared" si="397"/>
        <v>2</v>
      </c>
      <c r="FP144" s="5" t="str">
        <f t="shared" si="398"/>
        <v>Nivel de riesgo bajo</v>
      </c>
      <c r="FQ144" s="5" t="s">
        <v>265</v>
      </c>
      <c r="FR144" s="5">
        <f t="shared" si="399"/>
        <v>1</v>
      </c>
      <c r="FS144" s="5" t="s">
        <v>206</v>
      </c>
      <c r="FT144" s="5">
        <f t="shared" si="400"/>
        <v>0</v>
      </c>
      <c r="FU144" s="5" t="s">
        <v>206</v>
      </c>
      <c r="FV144" s="5">
        <f t="shared" si="401"/>
        <v>0</v>
      </c>
      <c r="FW144" s="5" t="s">
        <v>206</v>
      </c>
      <c r="FX144" s="5">
        <f t="shared" si="402"/>
        <v>0</v>
      </c>
      <c r="FY144" s="5" t="s">
        <v>206</v>
      </c>
      <c r="FZ144" s="5">
        <f t="shared" si="403"/>
        <v>0</v>
      </c>
      <c r="GA144" s="5" t="s">
        <v>206</v>
      </c>
      <c r="GB144" s="5">
        <f t="shared" si="404"/>
        <v>0</v>
      </c>
      <c r="GC144" s="5" t="s">
        <v>206</v>
      </c>
      <c r="GD144" s="5">
        <f t="shared" si="405"/>
        <v>0</v>
      </c>
      <c r="GE144" s="5">
        <f t="shared" si="406"/>
        <v>1</v>
      </c>
      <c r="GF144" s="5" t="str">
        <f t="shared" si="407"/>
        <v>Nivel de riesgo medio</v>
      </c>
      <c r="GG144" s="5" t="s">
        <v>273</v>
      </c>
      <c r="GH144" s="5" t="s">
        <v>266</v>
      </c>
      <c r="GI144" s="5" t="s">
        <v>255</v>
      </c>
      <c r="GJ144" s="5" t="s">
        <v>255</v>
      </c>
      <c r="GK144" s="5" t="s">
        <v>255</v>
      </c>
      <c r="GL144" s="5" t="s">
        <v>255</v>
      </c>
      <c r="GM144" s="5" t="s">
        <v>266</v>
      </c>
      <c r="GN144" s="5" t="s">
        <v>256</v>
      </c>
      <c r="GO144" s="5" t="s">
        <v>256</v>
      </c>
      <c r="GP144" s="5" t="s">
        <v>256</v>
      </c>
      <c r="GQ144" s="5" t="s">
        <v>243</v>
      </c>
      <c r="GR144" s="5" t="s">
        <v>243</v>
      </c>
      <c r="GS144" s="5" t="s">
        <v>243</v>
      </c>
      <c r="GT144" s="5" t="s">
        <v>243</v>
      </c>
      <c r="GU144" s="5" t="s">
        <v>493</v>
      </c>
      <c r="GV144" s="5" t="str">
        <f>TEXT("6278874266027739155","0")</f>
        <v>6278874266027730000</v>
      </c>
    </row>
    <row r="145" spans="1:204" ht="15.75" customHeight="1" x14ac:dyDescent="0.15">
      <c r="A145" s="1">
        <f t="shared" si="357"/>
        <v>145</v>
      </c>
      <c r="B145" s="4">
        <v>45847.518611111111</v>
      </c>
      <c r="C145" s="5" t="s">
        <v>204</v>
      </c>
      <c r="D145" s="5" t="s">
        <v>206</v>
      </c>
      <c r="F145" s="5" t="s">
        <v>206</v>
      </c>
      <c r="G145" s="5" t="s">
        <v>204</v>
      </c>
      <c r="H145" s="5" t="s">
        <v>206</v>
      </c>
      <c r="L145" s="5" t="s">
        <v>236</v>
      </c>
      <c r="O145" s="5" t="s">
        <v>209</v>
      </c>
      <c r="T145" s="5" t="s">
        <v>209</v>
      </c>
      <c r="Y145" s="5" t="s">
        <v>209</v>
      </c>
      <c r="AD145" s="5" t="s">
        <v>209</v>
      </c>
      <c r="AH145" s="5" t="s">
        <v>210</v>
      </c>
      <c r="AI145" s="5">
        <v>2020</v>
      </c>
      <c r="AJ145" s="5" t="s">
        <v>238</v>
      </c>
      <c r="AK145" s="5" t="str">
        <f t="shared" si="358"/>
        <v>Trabajadora por cuenta propia</v>
      </c>
      <c r="AM145" s="5" t="s">
        <v>309</v>
      </c>
      <c r="AP145" s="5" t="s">
        <v>240</v>
      </c>
      <c r="AR145" s="5" t="s">
        <v>276</v>
      </c>
      <c r="AS145" s="5" t="s">
        <v>276</v>
      </c>
      <c r="AT145" s="5" t="s">
        <v>276</v>
      </c>
      <c r="AU145" s="5" t="s">
        <v>276</v>
      </c>
      <c r="AV145" s="5" t="s">
        <v>285</v>
      </c>
      <c r="AW145" s="5" t="s">
        <v>204</v>
      </c>
      <c r="AX145" s="5" t="s">
        <v>204</v>
      </c>
      <c r="AY145" s="5" t="s">
        <v>214</v>
      </c>
      <c r="AZ145" s="5" t="s">
        <v>204</v>
      </c>
      <c r="BA145" s="5" t="s">
        <v>289</v>
      </c>
      <c r="BB145" s="5" t="s">
        <v>206</v>
      </c>
      <c r="BC145" s="5" t="s">
        <v>206</v>
      </c>
      <c r="BD145" s="5" t="s">
        <v>290</v>
      </c>
      <c r="BE145" s="5" t="s">
        <v>204</v>
      </c>
      <c r="BF145" s="5" t="s">
        <v>204</v>
      </c>
      <c r="BG145" s="5" t="s">
        <v>264</v>
      </c>
      <c r="BH145" s="5" t="s">
        <v>215</v>
      </c>
      <c r="BI145" s="5" t="s">
        <v>264</v>
      </c>
      <c r="BJ145" s="5" t="s">
        <v>264</v>
      </c>
      <c r="BK145" s="5" t="s">
        <v>243</v>
      </c>
      <c r="BL145" s="5" t="s">
        <v>243</v>
      </c>
      <c r="BM145" s="5" t="s">
        <v>243</v>
      </c>
      <c r="BN145" s="5" t="s">
        <v>246</v>
      </c>
      <c r="BO145" s="5" t="s">
        <v>246</v>
      </c>
      <c r="BP145" s="5" t="s">
        <v>243</v>
      </c>
      <c r="BQ145" s="5" t="s">
        <v>246</v>
      </c>
      <c r="BR145" s="5" t="s">
        <v>243</v>
      </c>
      <c r="BS145" s="5" t="s">
        <v>232</v>
      </c>
      <c r="BT145" s="5" t="s">
        <v>248</v>
      </c>
      <c r="BU145" s="5" t="s">
        <v>217</v>
      </c>
      <c r="BV145" s="5" t="s">
        <v>217</v>
      </c>
      <c r="BW145" s="5" t="s">
        <v>254</v>
      </c>
      <c r="BX145" s="5" t="s">
        <v>217</v>
      </c>
      <c r="BY145" s="5" t="s">
        <v>247</v>
      </c>
      <c r="BZ145" s="5" t="s">
        <v>244</v>
      </c>
      <c r="CA145" s="5" t="s">
        <v>244</v>
      </c>
      <c r="CB145" s="5" t="s">
        <v>244</v>
      </c>
      <c r="CC145" s="5" t="s">
        <v>245</v>
      </c>
      <c r="CD145" s="5" t="s">
        <v>204</v>
      </c>
      <c r="CE145" s="5" t="s">
        <v>218</v>
      </c>
      <c r="CF145" s="5" t="s">
        <v>219</v>
      </c>
      <c r="CG145" s="5" t="s">
        <v>220</v>
      </c>
      <c r="CH145" s="5" t="s">
        <v>369</v>
      </c>
      <c r="CI145" s="5" t="s">
        <v>383</v>
      </c>
      <c r="CJ145" s="5">
        <v>3</v>
      </c>
      <c r="CK145" s="5" t="s">
        <v>223</v>
      </c>
      <c r="CU145" s="5" t="s">
        <v>206</v>
      </c>
      <c r="DA145" s="5" t="s">
        <v>272</v>
      </c>
      <c r="DB145" s="5">
        <f t="shared" si="359"/>
        <v>1</v>
      </c>
      <c r="DC145" s="5" t="s">
        <v>230</v>
      </c>
      <c r="DD145" s="5">
        <f t="shared" si="360"/>
        <v>2</v>
      </c>
      <c r="DE145" s="5" t="s">
        <v>250</v>
      </c>
      <c r="DF145" s="5">
        <f t="shared" si="361"/>
        <v>3</v>
      </c>
      <c r="DG145" s="5" t="s">
        <v>280</v>
      </c>
      <c r="DH145" s="5">
        <f t="shared" si="362"/>
        <v>4</v>
      </c>
      <c r="DI145" s="5" t="s">
        <v>230</v>
      </c>
      <c r="DJ145" s="5">
        <f t="shared" si="363"/>
        <v>2</v>
      </c>
      <c r="DK145" s="5" t="s">
        <v>230</v>
      </c>
      <c r="DL145" s="5">
        <f t="shared" si="364"/>
        <v>2</v>
      </c>
      <c r="DM145" s="5" t="s">
        <v>251</v>
      </c>
      <c r="DN145" s="5">
        <f t="shared" si="365"/>
        <v>1</v>
      </c>
      <c r="DO145" s="5" t="s">
        <v>231</v>
      </c>
      <c r="DP145" s="5">
        <f t="shared" si="366"/>
        <v>2</v>
      </c>
      <c r="DQ145" s="5" t="s">
        <v>281</v>
      </c>
      <c r="DR145" s="5">
        <f t="shared" si="367"/>
        <v>1</v>
      </c>
      <c r="DS145" s="5" t="s">
        <v>231</v>
      </c>
      <c r="DT145" s="5">
        <f t="shared" si="368"/>
        <v>2</v>
      </c>
      <c r="DU145" s="5" t="s">
        <v>231</v>
      </c>
      <c r="DV145" s="5">
        <f t="shared" si="369"/>
        <v>2</v>
      </c>
      <c r="DW145" s="5" t="s">
        <v>281</v>
      </c>
      <c r="DX145" s="5">
        <f t="shared" si="370"/>
        <v>1</v>
      </c>
      <c r="DY145" s="5">
        <f t="shared" si="371"/>
        <v>23</v>
      </c>
      <c r="DZ145" s="5" t="str">
        <f t="shared" si="372"/>
        <v>Nivel de riesgo medio</v>
      </c>
      <c r="EA145" s="5" t="s">
        <v>247</v>
      </c>
      <c r="EB145" s="5">
        <f t="shared" si="373"/>
        <v>2</v>
      </c>
      <c r="EC145" s="5" t="s">
        <v>232</v>
      </c>
      <c r="ED145" s="5">
        <f t="shared" si="374"/>
        <v>3</v>
      </c>
      <c r="EE145" s="5" t="s">
        <v>248</v>
      </c>
      <c r="EF145" s="5">
        <f t="shared" si="375"/>
        <v>1</v>
      </c>
      <c r="EG145" s="5">
        <f t="shared" si="376"/>
        <v>6</v>
      </c>
      <c r="EH145" s="5" t="str">
        <f t="shared" si="377"/>
        <v>Nivel de riesgo alto</v>
      </c>
      <c r="EI145" s="5" t="s">
        <v>248</v>
      </c>
      <c r="EJ145" s="5">
        <f t="shared" si="378"/>
        <v>1</v>
      </c>
      <c r="EK145" s="5" t="s">
        <v>247</v>
      </c>
      <c r="EL145" s="5">
        <f t="shared" si="379"/>
        <v>2</v>
      </c>
      <c r="EM145" s="5" t="s">
        <v>248</v>
      </c>
      <c r="EN145" s="5">
        <f t="shared" si="380"/>
        <v>1</v>
      </c>
      <c r="EO145" s="5">
        <f t="shared" si="381"/>
        <v>4</v>
      </c>
      <c r="EP145" s="5" t="str">
        <f t="shared" si="382"/>
        <v>Nivel de riesgo medio</v>
      </c>
      <c r="EQ145" s="5" t="s">
        <v>247</v>
      </c>
      <c r="ER145" s="5">
        <f t="shared" si="383"/>
        <v>2</v>
      </c>
      <c r="ES145" s="5" t="s">
        <v>248</v>
      </c>
      <c r="ET145" s="5">
        <f t="shared" si="384"/>
        <v>3</v>
      </c>
      <c r="EU145" s="5" t="s">
        <v>248</v>
      </c>
      <c r="EV145" s="5">
        <f t="shared" si="385"/>
        <v>3</v>
      </c>
      <c r="EW145" s="5" t="s">
        <v>248</v>
      </c>
      <c r="EX145" s="5">
        <f t="shared" si="386"/>
        <v>3</v>
      </c>
      <c r="EY145" s="5">
        <f t="shared" si="387"/>
        <v>11</v>
      </c>
      <c r="EZ145" s="5" t="str">
        <f t="shared" si="388"/>
        <v>Nivel de riesgo alto</v>
      </c>
      <c r="FA145" s="5" t="s">
        <v>247</v>
      </c>
      <c r="FB145" s="5">
        <f t="shared" si="389"/>
        <v>2</v>
      </c>
      <c r="FC145" s="5" t="s">
        <v>248</v>
      </c>
      <c r="FD145" s="5">
        <f t="shared" si="390"/>
        <v>1</v>
      </c>
      <c r="FE145" s="5" t="s">
        <v>247</v>
      </c>
      <c r="FF145" s="5">
        <f t="shared" si="391"/>
        <v>2</v>
      </c>
      <c r="FG145" s="5">
        <f t="shared" si="392"/>
        <v>5</v>
      </c>
      <c r="FH145" s="5" t="str">
        <f t="shared" si="393"/>
        <v>Nivel de riesgo medio</v>
      </c>
      <c r="FI145" s="5" t="s">
        <v>248</v>
      </c>
      <c r="FJ145" s="5">
        <f t="shared" si="394"/>
        <v>1</v>
      </c>
      <c r="FK145" s="5" t="s">
        <v>248</v>
      </c>
      <c r="FL145" s="5">
        <f t="shared" si="395"/>
        <v>1</v>
      </c>
      <c r="FM145" s="5" t="s">
        <v>247</v>
      </c>
      <c r="FN145" s="5">
        <f t="shared" si="396"/>
        <v>2</v>
      </c>
      <c r="FO145" s="5">
        <f t="shared" si="397"/>
        <v>4</v>
      </c>
      <c r="FP145" s="5" t="str">
        <f t="shared" si="398"/>
        <v>Nivel de riesgo medio</v>
      </c>
      <c r="FQ145" s="5" t="s">
        <v>206</v>
      </c>
      <c r="FR145" s="5">
        <f t="shared" si="399"/>
        <v>0</v>
      </c>
      <c r="FS145" s="5" t="s">
        <v>206</v>
      </c>
      <c r="FT145" s="5">
        <f t="shared" si="400"/>
        <v>0</v>
      </c>
      <c r="FU145" s="5" t="s">
        <v>206</v>
      </c>
      <c r="FV145" s="5">
        <f t="shared" si="401"/>
        <v>0</v>
      </c>
      <c r="FW145" s="5" t="s">
        <v>206</v>
      </c>
      <c r="FX145" s="5">
        <f t="shared" si="402"/>
        <v>0</v>
      </c>
      <c r="FY145" s="5" t="s">
        <v>206</v>
      </c>
      <c r="FZ145" s="5">
        <f t="shared" si="403"/>
        <v>0</v>
      </c>
      <c r="GA145" s="5" t="s">
        <v>206</v>
      </c>
      <c r="GB145" s="5">
        <f t="shared" si="404"/>
        <v>0</v>
      </c>
      <c r="GC145" s="5" t="s">
        <v>206</v>
      </c>
      <c r="GD145" s="5">
        <f t="shared" si="405"/>
        <v>0</v>
      </c>
      <c r="GE145" s="5">
        <f t="shared" si="406"/>
        <v>0</v>
      </c>
      <c r="GF145" s="5" t="str">
        <f t="shared" si="407"/>
        <v>Nivel de riesgo bajo</v>
      </c>
      <c r="GG145" s="5" t="s">
        <v>273</v>
      </c>
      <c r="GH145" s="5" t="s">
        <v>273</v>
      </c>
      <c r="GI145" s="5" t="s">
        <v>298</v>
      </c>
      <c r="GJ145" s="5" t="s">
        <v>298</v>
      </c>
      <c r="GK145" s="5" t="s">
        <v>233</v>
      </c>
      <c r="GL145" s="5" t="s">
        <v>233</v>
      </c>
      <c r="GM145" s="5" t="s">
        <v>233</v>
      </c>
      <c r="GN145" s="5" t="s">
        <v>243</v>
      </c>
      <c r="GO145" s="5" t="s">
        <v>257</v>
      </c>
      <c r="GP145" s="5" t="s">
        <v>243</v>
      </c>
      <c r="GQ145" s="5" t="s">
        <v>244</v>
      </c>
      <c r="GR145" s="5" t="s">
        <v>257</v>
      </c>
      <c r="GS145" s="5" t="s">
        <v>243</v>
      </c>
      <c r="GT145" s="5" t="s">
        <v>257</v>
      </c>
      <c r="GU145" s="5" t="s">
        <v>494</v>
      </c>
      <c r="GV145" s="5" t="str">
        <f>TEXT("6278876081752232564","0")</f>
        <v>6278876081752230000</v>
      </c>
    </row>
    <row r="146" spans="1:204" ht="15.75" customHeight="1" x14ac:dyDescent="0.15">
      <c r="A146" s="1">
        <f t="shared" si="357"/>
        <v>146</v>
      </c>
      <c r="B146" s="4">
        <v>45847.518680555557</v>
      </c>
      <c r="C146" s="5" t="s">
        <v>204</v>
      </c>
      <c r="D146" s="5" t="s">
        <v>204</v>
      </c>
      <c r="E146" s="5" t="s">
        <v>495</v>
      </c>
      <c r="F146" s="5" t="s">
        <v>204</v>
      </c>
      <c r="G146" s="5" t="s">
        <v>204</v>
      </c>
      <c r="H146" s="5" t="s">
        <v>206</v>
      </c>
      <c r="K146" s="5" t="s">
        <v>237</v>
      </c>
      <c r="N146" s="5" t="s">
        <v>208</v>
      </c>
      <c r="U146" s="5" t="s">
        <v>237</v>
      </c>
      <c r="Z146" s="5" t="s">
        <v>237</v>
      </c>
      <c r="AG146" s="5" t="s">
        <v>207</v>
      </c>
      <c r="AH146" s="5" t="s">
        <v>210</v>
      </c>
      <c r="AI146" s="5">
        <v>2013</v>
      </c>
      <c r="AJ146" s="5" t="s">
        <v>238</v>
      </c>
      <c r="AK146" s="5" t="str">
        <f t="shared" si="358"/>
        <v>Trabajadora por cuenta propia</v>
      </c>
      <c r="AL146" s="5" t="s">
        <v>239</v>
      </c>
      <c r="AP146" s="5" t="s">
        <v>321</v>
      </c>
      <c r="AR146" s="5" t="s">
        <v>241</v>
      </c>
      <c r="AS146" s="5" t="s">
        <v>301</v>
      </c>
      <c r="AT146" s="5" t="s">
        <v>301</v>
      </c>
      <c r="AU146" s="5" t="s">
        <v>241</v>
      </c>
      <c r="AV146" s="5" t="s">
        <v>213</v>
      </c>
      <c r="AW146" s="5" t="s">
        <v>206</v>
      </c>
      <c r="BF146" s="5" t="s">
        <v>204</v>
      </c>
      <c r="BG146" s="5" t="s">
        <v>278</v>
      </c>
      <c r="BH146" s="5" t="s">
        <v>271</v>
      </c>
      <c r="BI146" s="5" t="s">
        <v>278</v>
      </c>
      <c r="BJ146" s="5" t="s">
        <v>242</v>
      </c>
      <c r="BK146" s="5" t="s">
        <v>243</v>
      </c>
      <c r="BL146" s="5" t="s">
        <v>243</v>
      </c>
      <c r="BM146" s="5" t="s">
        <v>244</v>
      </c>
      <c r="BN146" s="5" t="s">
        <v>244</v>
      </c>
      <c r="BO146" s="5" t="s">
        <v>246</v>
      </c>
      <c r="BP146" s="5" t="s">
        <v>243</v>
      </c>
      <c r="BQ146" s="5" t="s">
        <v>244</v>
      </c>
      <c r="BR146" s="5" t="s">
        <v>246</v>
      </c>
      <c r="BS146" s="5" t="s">
        <v>247</v>
      </c>
      <c r="BT146" s="5" t="s">
        <v>248</v>
      </c>
      <c r="BU146" s="5" t="s">
        <v>232</v>
      </c>
      <c r="BV146" s="5" t="s">
        <v>248</v>
      </c>
      <c r="BW146" s="5" t="s">
        <v>248</v>
      </c>
      <c r="BX146" s="5" t="s">
        <v>248</v>
      </c>
      <c r="BY146" s="5" t="s">
        <v>248</v>
      </c>
      <c r="CD146" s="5" t="s">
        <v>206</v>
      </c>
      <c r="CH146" s="5" t="s">
        <v>206</v>
      </c>
      <c r="CI146" s="5" t="s">
        <v>318</v>
      </c>
      <c r="CJ146" s="5">
        <v>3</v>
      </c>
      <c r="CK146" s="5" t="s">
        <v>223</v>
      </c>
      <c r="CU146" s="5" t="s">
        <v>206</v>
      </c>
      <c r="DA146" s="5" t="s">
        <v>231</v>
      </c>
      <c r="DB146" s="5">
        <f t="shared" si="359"/>
        <v>2</v>
      </c>
      <c r="DC146" s="5" t="s">
        <v>230</v>
      </c>
      <c r="DD146" s="5">
        <f t="shared" si="360"/>
        <v>2</v>
      </c>
      <c r="DE146" s="5" t="s">
        <v>230</v>
      </c>
      <c r="DF146" s="5">
        <f t="shared" si="361"/>
        <v>2</v>
      </c>
      <c r="DG146" s="5" t="s">
        <v>251</v>
      </c>
      <c r="DH146" s="5">
        <f t="shared" si="362"/>
        <v>1</v>
      </c>
      <c r="DI146" s="5" t="s">
        <v>230</v>
      </c>
      <c r="DJ146" s="5">
        <f t="shared" si="363"/>
        <v>2</v>
      </c>
      <c r="DK146" s="5" t="s">
        <v>251</v>
      </c>
      <c r="DL146" s="5">
        <f t="shared" si="364"/>
        <v>1</v>
      </c>
      <c r="DM146" s="5" t="s">
        <v>251</v>
      </c>
      <c r="DN146" s="5">
        <f t="shared" si="365"/>
        <v>1</v>
      </c>
      <c r="DO146" s="5" t="s">
        <v>281</v>
      </c>
      <c r="DP146" s="5">
        <f t="shared" si="366"/>
        <v>1</v>
      </c>
      <c r="DQ146" s="5" t="s">
        <v>281</v>
      </c>
      <c r="DR146" s="5">
        <f t="shared" si="367"/>
        <v>1</v>
      </c>
      <c r="DS146" s="5" t="s">
        <v>231</v>
      </c>
      <c r="DT146" s="5">
        <f t="shared" si="368"/>
        <v>2</v>
      </c>
      <c r="DU146" s="5" t="s">
        <v>281</v>
      </c>
      <c r="DV146" s="5">
        <f t="shared" si="369"/>
        <v>1</v>
      </c>
      <c r="DW146" s="5" t="s">
        <v>281</v>
      </c>
      <c r="DX146" s="5">
        <f t="shared" si="370"/>
        <v>1</v>
      </c>
      <c r="DY146" s="5">
        <f t="shared" si="371"/>
        <v>17</v>
      </c>
      <c r="DZ146" s="5" t="str">
        <f t="shared" si="372"/>
        <v>Nivel de riesgo bajo</v>
      </c>
      <c r="EA146" s="5" t="s">
        <v>248</v>
      </c>
      <c r="EB146" s="5">
        <f t="shared" si="373"/>
        <v>1</v>
      </c>
      <c r="EC146" s="5" t="s">
        <v>248</v>
      </c>
      <c r="ED146" s="5">
        <f t="shared" si="374"/>
        <v>1</v>
      </c>
      <c r="EE146" s="5" t="s">
        <v>248</v>
      </c>
      <c r="EF146" s="5">
        <f t="shared" si="375"/>
        <v>1</v>
      </c>
      <c r="EG146" s="5">
        <f t="shared" si="376"/>
        <v>3</v>
      </c>
      <c r="EH146" s="5" t="str">
        <f t="shared" si="377"/>
        <v>Nivel de riesgo medio</v>
      </c>
      <c r="EI146" s="5" t="s">
        <v>253</v>
      </c>
      <c r="EJ146" s="5">
        <f t="shared" si="378"/>
        <v>0</v>
      </c>
      <c r="EK146" s="5" t="s">
        <v>248</v>
      </c>
      <c r="EL146" s="5">
        <f t="shared" si="379"/>
        <v>1</v>
      </c>
      <c r="EM146" s="5" t="s">
        <v>248</v>
      </c>
      <c r="EN146" s="5">
        <f t="shared" si="380"/>
        <v>1</v>
      </c>
      <c r="EO146" s="5">
        <f t="shared" si="381"/>
        <v>2</v>
      </c>
      <c r="EP146" s="5" t="str">
        <f t="shared" si="382"/>
        <v>Nivel de riesgo medio</v>
      </c>
      <c r="EQ146" s="5" t="s">
        <v>247</v>
      </c>
      <c r="ER146" s="5">
        <f t="shared" si="383"/>
        <v>2</v>
      </c>
      <c r="ES146" s="5" t="s">
        <v>247</v>
      </c>
      <c r="ET146" s="5">
        <f t="shared" si="384"/>
        <v>2</v>
      </c>
      <c r="EU146" s="5" t="s">
        <v>247</v>
      </c>
      <c r="EV146" s="5">
        <f t="shared" si="385"/>
        <v>2</v>
      </c>
      <c r="EW146" s="5" t="s">
        <v>247</v>
      </c>
      <c r="EX146" s="5">
        <f t="shared" si="386"/>
        <v>2</v>
      </c>
      <c r="EY146" s="5">
        <f t="shared" si="387"/>
        <v>8</v>
      </c>
      <c r="EZ146" s="5" t="str">
        <f t="shared" si="388"/>
        <v>Nivel de riesgo alto</v>
      </c>
      <c r="FA146" s="5" t="s">
        <v>248</v>
      </c>
      <c r="FB146" s="5">
        <f t="shared" si="389"/>
        <v>1</v>
      </c>
      <c r="FC146" s="5" t="s">
        <v>248</v>
      </c>
      <c r="FD146" s="5">
        <f t="shared" si="390"/>
        <v>1</v>
      </c>
      <c r="FE146" s="5" t="s">
        <v>248</v>
      </c>
      <c r="FF146" s="5">
        <f t="shared" si="391"/>
        <v>1</v>
      </c>
      <c r="FG146" s="5">
        <f t="shared" si="392"/>
        <v>3</v>
      </c>
      <c r="FH146" s="5" t="str">
        <f t="shared" si="393"/>
        <v>Nivel de riesgo medio</v>
      </c>
      <c r="FI146" s="5" t="s">
        <v>248</v>
      </c>
      <c r="FJ146" s="5">
        <f t="shared" si="394"/>
        <v>1</v>
      </c>
      <c r="FK146" s="5" t="s">
        <v>248</v>
      </c>
      <c r="FL146" s="5">
        <f t="shared" si="395"/>
        <v>1</v>
      </c>
      <c r="FM146" s="5" t="s">
        <v>248</v>
      </c>
      <c r="FN146" s="5">
        <f t="shared" si="396"/>
        <v>1</v>
      </c>
      <c r="FO146" s="5">
        <f t="shared" si="397"/>
        <v>3</v>
      </c>
      <c r="FP146" s="5" t="str">
        <f t="shared" si="398"/>
        <v>Nivel de riesgo medio</v>
      </c>
      <c r="FQ146" s="5" t="s">
        <v>206</v>
      </c>
      <c r="FR146" s="5">
        <f t="shared" si="399"/>
        <v>0</v>
      </c>
      <c r="FS146" s="5" t="s">
        <v>206</v>
      </c>
      <c r="FT146" s="5">
        <f t="shared" si="400"/>
        <v>0</v>
      </c>
      <c r="FU146" s="5" t="s">
        <v>206</v>
      </c>
      <c r="FV146" s="5">
        <f t="shared" si="401"/>
        <v>0</v>
      </c>
      <c r="FW146" s="5" t="s">
        <v>206</v>
      </c>
      <c r="FX146" s="5">
        <f t="shared" si="402"/>
        <v>0</v>
      </c>
      <c r="FY146" s="5" t="s">
        <v>206</v>
      </c>
      <c r="FZ146" s="5">
        <f t="shared" si="403"/>
        <v>0</v>
      </c>
      <c r="GA146" s="5" t="s">
        <v>206</v>
      </c>
      <c r="GB146" s="5">
        <f t="shared" si="404"/>
        <v>0</v>
      </c>
      <c r="GC146" s="5" t="s">
        <v>206</v>
      </c>
      <c r="GD146" s="5">
        <f t="shared" si="405"/>
        <v>0</v>
      </c>
      <c r="GE146" s="5">
        <f t="shared" si="406"/>
        <v>0</v>
      </c>
      <c r="GF146" s="5" t="str">
        <f t="shared" si="407"/>
        <v>Nivel de riesgo bajo</v>
      </c>
      <c r="GG146" s="5" t="s">
        <v>273</v>
      </c>
      <c r="GH146" s="5" t="s">
        <v>273</v>
      </c>
      <c r="GI146" s="5" t="s">
        <v>273</v>
      </c>
      <c r="GJ146" s="5" t="s">
        <v>266</v>
      </c>
      <c r="GK146" s="5" t="s">
        <v>233</v>
      </c>
      <c r="GL146" s="5" t="s">
        <v>298</v>
      </c>
      <c r="GM146" s="5" t="s">
        <v>298</v>
      </c>
      <c r="GN146" s="5" t="s">
        <v>243</v>
      </c>
      <c r="GO146" s="5" t="s">
        <v>243</v>
      </c>
      <c r="GP146" s="5" t="s">
        <v>257</v>
      </c>
      <c r="GQ146" s="5" t="s">
        <v>243</v>
      </c>
      <c r="GR146" s="5" t="s">
        <v>243</v>
      </c>
      <c r="GS146" s="5" t="s">
        <v>243</v>
      </c>
      <c r="GT146" s="5" t="s">
        <v>243</v>
      </c>
      <c r="GU146" s="5" t="s">
        <v>308</v>
      </c>
      <c r="GV146" s="5" t="str">
        <f>TEXT("6278876146119936949","0")</f>
        <v>6278876146119930000</v>
      </c>
    </row>
    <row r="147" spans="1:204" ht="15.75" customHeight="1" x14ac:dyDescent="0.15">
      <c r="A147" s="1">
        <f t="shared" si="357"/>
        <v>147</v>
      </c>
      <c r="B147" s="4">
        <v>45847.518738425926</v>
      </c>
      <c r="C147" s="5" t="s">
        <v>204</v>
      </c>
      <c r="D147" s="5" t="s">
        <v>204</v>
      </c>
      <c r="E147" s="5" t="s">
        <v>495</v>
      </c>
      <c r="F147" s="5" t="s">
        <v>206</v>
      </c>
      <c r="G147" s="5" t="s">
        <v>204</v>
      </c>
      <c r="H147" s="5" t="s">
        <v>204</v>
      </c>
      <c r="K147" s="5" t="s">
        <v>237</v>
      </c>
      <c r="P147" s="5" t="s">
        <v>237</v>
      </c>
      <c r="T147" s="5" t="s">
        <v>209</v>
      </c>
      <c r="X147" s="5" t="s">
        <v>208</v>
      </c>
      <c r="AD147" s="5" t="s">
        <v>209</v>
      </c>
      <c r="AH147" s="5" t="s">
        <v>496</v>
      </c>
      <c r="AI147" s="5">
        <v>2000</v>
      </c>
      <c r="AJ147" s="5" t="s">
        <v>238</v>
      </c>
      <c r="AK147" s="5" t="str">
        <f t="shared" si="358"/>
        <v>Trabajadora por cuenta propia</v>
      </c>
      <c r="AL147" s="5" t="s">
        <v>239</v>
      </c>
      <c r="AP147" s="5" t="s">
        <v>284</v>
      </c>
      <c r="AR147" s="5" t="s">
        <v>241</v>
      </c>
      <c r="AS147" s="5" t="s">
        <v>241</v>
      </c>
      <c r="AT147" s="5" t="s">
        <v>241</v>
      </c>
      <c r="AU147" s="5" t="s">
        <v>241</v>
      </c>
      <c r="AV147" s="5" t="s">
        <v>213</v>
      </c>
      <c r="AW147" s="5" t="s">
        <v>204</v>
      </c>
      <c r="AX147" s="5" t="s">
        <v>204</v>
      </c>
      <c r="AY147" s="5" t="s">
        <v>270</v>
      </c>
      <c r="AZ147" s="5" t="s">
        <v>204</v>
      </c>
      <c r="BA147" s="5" t="s">
        <v>263</v>
      </c>
      <c r="BF147" s="5" t="s">
        <v>204</v>
      </c>
      <c r="BG147" s="5" t="s">
        <v>242</v>
      </c>
      <c r="BH147" s="5" t="s">
        <v>242</v>
      </c>
      <c r="BI147" s="5" t="s">
        <v>278</v>
      </c>
      <c r="BJ147" s="5" t="s">
        <v>278</v>
      </c>
      <c r="BK147" s="5" t="s">
        <v>246</v>
      </c>
      <c r="BL147" s="5" t="s">
        <v>243</v>
      </c>
      <c r="BM147" s="5" t="s">
        <v>244</v>
      </c>
      <c r="BN147" s="5" t="s">
        <v>243</v>
      </c>
      <c r="BO147" s="5" t="s">
        <v>244</v>
      </c>
      <c r="BP147" s="5" t="s">
        <v>246</v>
      </c>
      <c r="BQ147" s="5" t="s">
        <v>244</v>
      </c>
      <c r="BR147" s="5" t="s">
        <v>244</v>
      </c>
      <c r="BS147" s="5" t="s">
        <v>247</v>
      </c>
      <c r="BT147" s="5" t="s">
        <v>217</v>
      </c>
      <c r="BU147" s="5" t="s">
        <v>248</v>
      </c>
      <c r="BV147" s="5" t="s">
        <v>248</v>
      </c>
      <c r="BW147" s="5" t="s">
        <v>248</v>
      </c>
      <c r="BX147" s="5" t="s">
        <v>248</v>
      </c>
      <c r="BY147" s="5" t="s">
        <v>248</v>
      </c>
      <c r="BZ147" s="5" t="s">
        <v>216</v>
      </c>
      <c r="CA147" s="5" t="s">
        <v>216</v>
      </c>
      <c r="CB147" s="5" t="s">
        <v>216</v>
      </c>
      <c r="CC147" s="5" t="s">
        <v>216</v>
      </c>
      <c r="CD147" s="5" t="s">
        <v>204</v>
      </c>
      <c r="CE147" s="5" t="s">
        <v>286</v>
      </c>
      <c r="CF147" s="5" t="s">
        <v>279</v>
      </c>
      <c r="CG147" s="5" t="s">
        <v>206</v>
      </c>
      <c r="CH147" s="5" t="s">
        <v>206</v>
      </c>
      <c r="CI147" s="5" t="s">
        <v>206</v>
      </c>
      <c r="CJ147" s="5">
        <v>3</v>
      </c>
      <c r="CK147" s="5" t="s">
        <v>223</v>
      </c>
      <c r="CU147" s="5" t="s">
        <v>206</v>
      </c>
      <c r="DA147" s="5" t="s">
        <v>231</v>
      </c>
      <c r="DB147" s="5">
        <f t="shared" si="359"/>
        <v>2</v>
      </c>
      <c r="DC147" s="5" t="s">
        <v>251</v>
      </c>
      <c r="DD147" s="5">
        <f t="shared" si="360"/>
        <v>1</v>
      </c>
      <c r="DE147" s="5" t="s">
        <v>251</v>
      </c>
      <c r="DF147" s="5">
        <f t="shared" si="361"/>
        <v>1</v>
      </c>
      <c r="DG147" s="5" t="s">
        <v>251</v>
      </c>
      <c r="DH147" s="5">
        <f t="shared" si="362"/>
        <v>1</v>
      </c>
      <c r="DI147" s="5" t="s">
        <v>251</v>
      </c>
      <c r="DJ147" s="5">
        <f t="shared" si="363"/>
        <v>1</v>
      </c>
      <c r="DK147" s="5" t="s">
        <v>251</v>
      </c>
      <c r="DL147" s="5">
        <f t="shared" si="364"/>
        <v>1</v>
      </c>
      <c r="DM147" s="5" t="s">
        <v>251</v>
      </c>
      <c r="DN147" s="5">
        <f t="shared" si="365"/>
        <v>1</v>
      </c>
      <c r="DO147" s="5" t="s">
        <v>231</v>
      </c>
      <c r="DP147" s="5">
        <f t="shared" si="366"/>
        <v>2</v>
      </c>
      <c r="DQ147" s="5" t="s">
        <v>281</v>
      </c>
      <c r="DR147" s="5">
        <f t="shared" si="367"/>
        <v>1</v>
      </c>
      <c r="DS147" s="5" t="s">
        <v>281</v>
      </c>
      <c r="DT147" s="5">
        <f t="shared" si="368"/>
        <v>1</v>
      </c>
      <c r="DU147" s="5" t="s">
        <v>281</v>
      </c>
      <c r="DV147" s="5">
        <f t="shared" si="369"/>
        <v>1</v>
      </c>
      <c r="DW147" s="5" t="s">
        <v>281</v>
      </c>
      <c r="DX147" s="5">
        <f t="shared" si="370"/>
        <v>1</v>
      </c>
      <c r="DY147" s="5">
        <f t="shared" si="371"/>
        <v>14</v>
      </c>
      <c r="DZ147" s="5" t="str">
        <f t="shared" si="372"/>
        <v>Nivel de riesgo bajo</v>
      </c>
      <c r="EA147" s="5" t="s">
        <v>248</v>
      </c>
      <c r="EB147" s="5">
        <f t="shared" si="373"/>
        <v>1</v>
      </c>
      <c r="EC147" s="5" t="s">
        <v>248</v>
      </c>
      <c r="ED147" s="5">
        <f t="shared" si="374"/>
        <v>1</v>
      </c>
      <c r="EE147" s="5" t="s">
        <v>248</v>
      </c>
      <c r="EF147" s="5">
        <f t="shared" si="375"/>
        <v>1</v>
      </c>
      <c r="EG147" s="5">
        <f t="shared" si="376"/>
        <v>3</v>
      </c>
      <c r="EH147" s="5" t="str">
        <f t="shared" si="377"/>
        <v>Nivel de riesgo medio</v>
      </c>
      <c r="EI147" s="5" t="s">
        <v>248</v>
      </c>
      <c r="EJ147" s="5">
        <f t="shared" si="378"/>
        <v>1</v>
      </c>
      <c r="EK147" s="5" t="s">
        <v>248</v>
      </c>
      <c r="EL147" s="5">
        <f t="shared" si="379"/>
        <v>1</v>
      </c>
      <c r="EM147" s="5" t="s">
        <v>248</v>
      </c>
      <c r="EN147" s="5">
        <f t="shared" si="380"/>
        <v>1</v>
      </c>
      <c r="EO147" s="5">
        <f t="shared" si="381"/>
        <v>3</v>
      </c>
      <c r="EP147" s="5" t="str">
        <f t="shared" si="382"/>
        <v>Nivel de riesgo medio</v>
      </c>
      <c r="EQ147" s="5" t="s">
        <v>253</v>
      </c>
      <c r="ER147" s="5">
        <f t="shared" si="383"/>
        <v>4</v>
      </c>
      <c r="ES147" s="5" t="s">
        <v>253</v>
      </c>
      <c r="ET147" s="5">
        <f t="shared" si="384"/>
        <v>4</v>
      </c>
      <c r="EU147" s="5" t="s">
        <v>253</v>
      </c>
      <c r="EV147" s="5">
        <f t="shared" si="385"/>
        <v>4</v>
      </c>
      <c r="EW147" s="5" t="s">
        <v>253</v>
      </c>
      <c r="EX147" s="5">
        <f t="shared" si="386"/>
        <v>4</v>
      </c>
      <c r="EY147" s="5">
        <f t="shared" si="387"/>
        <v>16</v>
      </c>
      <c r="EZ147" s="5" t="str">
        <f t="shared" si="388"/>
        <v>Nivel de riesgo alto</v>
      </c>
      <c r="FA147" s="5" t="s">
        <v>253</v>
      </c>
      <c r="FB147" s="5">
        <f t="shared" si="389"/>
        <v>0</v>
      </c>
      <c r="FC147" s="5" t="s">
        <v>253</v>
      </c>
      <c r="FD147" s="5">
        <f t="shared" si="390"/>
        <v>0</v>
      </c>
      <c r="FE147" s="5" t="s">
        <v>253</v>
      </c>
      <c r="FF147" s="5">
        <f t="shared" si="391"/>
        <v>0</v>
      </c>
      <c r="FG147" s="5">
        <f t="shared" si="392"/>
        <v>0</v>
      </c>
      <c r="FH147" s="5" t="str">
        <f t="shared" si="393"/>
        <v>Nivel de riesgo bajo</v>
      </c>
      <c r="FI147" s="5" t="s">
        <v>248</v>
      </c>
      <c r="FJ147" s="5">
        <f t="shared" si="394"/>
        <v>1</v>
      </c>
      <c r="FK147" s="5" t="s">
        <v>248</v>
      </c>
      <c r="FL147" s="5">
        <f t="shared" si="395"/>
        <v>1</v>
      </c>
      <c r="FM147" s="5" t="s">
        <v>253</v>
      </c>
      <c r="FN147" s="5">
        <f t="shared" si="396"/>
        <v>0</v>
      </c>
      <c r="FO147" s="5">
        <f t="shared" si="397"/>
        <v>2</v>
      </c>
      <c r="FP147" s="5" t="str">
        <f t="shared" si="398"/>
        <v>Nivel de riesgo bajo</v>
      </c>
      <c r="FQ147" s="5" t="s">
        <v>206</v>
      </c>
      <c r="FR147" s="5">
        <f t="shared" si="399"/>
        <v>0</v>
      </c>
      <c r="FS147" s="5" t="s">
        <v>206</v>
      </c>
      <c r="FT147" s="5">
        <f t="shared" si="400"/>
        <v>0</v>
      </c>
      <c r="FU147" s="5" t="s">
        <v>206</v>
      </c>
      <c r="FV147" s="5">
        <f t="shared" si="401"/>
        <v>0</v>
      </c>
      <c r="FW147" s="5" t="s">
        <v>206</v>
      </c>
      <c r="FX147" s="5">
        <f t="shared" si="402"/>
        <v>0</v>
      </c>
      <c r="FY147" s="5" t="s">
        <v>206</v>
      </c>
      <c r="FZ147" s="5">
        <f t="shared" si="403"/>
        <v>0</v>
      </c>
      <c r="GA147" s="5" t="s">
        <v>206</v>
      </c>
      <c r="GB147" s="5">
        <f t="shared" si="404"/>
        <v>0</v>
      </c>
      <c r="GC147" s="5" t="s">
        <v>206</v>
      </c>
      <c r="GD147" s="5">
        <f t="shared" si="405"/>
        <v>0</v>
      </c>
      <c r="GE147" s="5">
        <f t="shared" si="406"/>
        <v>0</v>
      </c>
      <c r="GF147" s="5" t="str">
        <f t="shared" si="407"/>
        <v>Nivel de riesgo bajo</v>
      </c>
      <c r="GG147" s="5" t="s">
        <v>255</v>
      </c>
      <c r="GH147" s="5" t="s">
        <v>273</v>
      </c>
      <c r="GI147" s="5" t="s">
        <v>255</v>
      </c>
      <c r="GJ147" s="5" t="s">
        <v>255</v>
      </c>
      <c r="GK147" s="5" t="s">
        <v>233</v>
      </c>
      <c r="GL147" s="5" t="s">
        <v>273</v>
      </c>
      <c r="GM147" s="5" t="s">
        <v>298</v>
      </c>
      <c r="GN147" s="5" t="s">
        <v>256</v>
      </c>
      <c r="GO147" s="5" t="s">
        <v>243</v>
      </c>
      <c r="GP147" s="5" t="s">
        <v>256</v>
      </c>
      <c r="GQ147" s="5" t="s">
        <v>243</v>
      </c>
      <c r="GR147" s="5" t="s">
        <v>243</v>
      </c>
      <c r="GS147" s="5" t="s">
        <v>256</v>
      </c>
      <c r="GT147" s="5" t="s">
        <v>256</v>
      </c>
      <c r="GU147" s="5" t="s">
        <v>497</v>
      </c>
      <c r="GV147" s="5" t="str">
        <f>TEXT("6278876192021525496","0")</f>
        <v>6278876192021520000</v>
      </c>
    </row>
    <row r="148" spans="1:204" ht="15.75" hidden="1" customHeight="1" x14ac:dyDescent="0.15">
      <c r="B148" s="4">
        <v>45847.520358796297</v>
      </c>
      <c r="C148" s="5" t="s">
        <v>206</v>
      </c>
      <c r="GV148" s="5" t="str">
        <f>TEXT("6278877592935228235","0")</f>
        <v>6278877592935220000</v>
      </c>
    </row>
    <row r="149" spans="1:204" ht="15.75" customHeight="1" x14ac:dyDescent="0.15">
      <c r="A149" s="1">
        <f>ROW(A149)</f>
        <v>149</v>
      </c>
      <c r="B149" s="4">
        <v>45847.521331018521</v>
      </c>
      <c r="C149" s="5" t="s">
        <v>204</v>
      </c>
      <c r="D149" s="5" t="s">
        <v>206</v>
      </c>
      <c r="F149" s="5" t="s">
        <v>206</v>
      </c>
      <c r="G149" s="5" t="s">
        <v>204</v>
      </c>
      <c r="H149" s="5" t="s">
        <v>204</v>
      </c>
      <c r="L149" s="5" t="s">
        <v>236</v>
      </c>
      <c r="O149" s="5" t="s">
        <v>209</v>
      </c>
      <c r="S149" s="5" t="s">
        <v>208</v>
      </c>
      <c r="Z149" s="5" t="s">
        <v>237</v>
      </c>
      <c r="AE149" s="5" t="s">
        <v>237</v>
      </c>
      <c r="AH149" s="5" t="s">
        <v>268</v>
      </c>
      <c r="AI149" s="5">
        <v>2015</v>
      </c>
      <c r="AJ149" s="5" t="s">
        <v>337</v>
      </c>
      <c r="AK149" s="5" t="str">
        <f>IF(OR(AJ149="Empleada del sector privado",AJ149="Empleada del sector público"),"Asalariada",
IF(AJ149="Trabajadora por cuenta propia","Trabajadora por cuenta propia",""))</f>
        <v>Asalariada</v>
      </c>
      <c r="AQ149" s="5" t="s">
        <v>204</v>
      </c>
      <c r="AR149" s="5" t="s">
        <v>294</v>
      </c>
      <c r="AS149" s="5" t="s">
        <v>294</v>
      </c>
      <c r="AT149" s="5" t="s">
        <v>276</v>
      </c>
      <c r="AU149" s="5" t="s">
        <v>261</v>
      </c>
      <c r="AV149" s="5" t="s">
        <v>302</v>
      </c>
      <c r="AW149" s="5" t="s">
        <v>206</v>
      </c>
      <c r="BF149" s="5" t="s">
        <v>204</v>
      </c>
      <c r="BG149" s="5" t="s">
        <v>278</v>
      </c>
      <c r="BH149" s="5" t="s">
        <v>271</v>
      </c>
      <c r="BI149" s="5" t="s">
        <v>278</v>
      </c>
      <c r="BJ149" s="5" t="s">
        <v>278</v>
      </c>
      <c r="BK149" s="5" t="s">
        <v>246</v>
      </c>
      <c r="BL149" s="5" t="s">
        <v>243</v>
      </c>
      <c r="BM149" s="5" t="s">
        <v>245</v>
      </c>
      <c r="BN149" s="5" t="s">
        <v>245</v>
      </c>
      <c r="BO149" s="5" t="s">
        <v>246</v>
      </c>
      <c r="BP149" s="5" t="s">
        <v>243</v>
      </c>
      <c r="BQ149" s="5" t="s">
        <v>246</v>
      </c>
      <c r="BR149" s="5" t="s">
        <v>243</v>
      </c>
      <c r="BS149" s="5" t="s">
        <v>247</v>
      </c>
      <c r="BT149" s="5" t="s">
        <v>247</v>
      </c>
      <c r="BU149" s="5" t="s">
        <v>232</v>
      </c>
      <c r="BV149" s="5" t="s">
        <v>232</v>
      </c>
      <c r="BW149" s="5" t="s">
        <v>232</v>
      </c>
      <c r="BX149" s="5" t="s">
        <v>254</v>
      </c>
      <c r="BY149" s="5" t="s">
        <v>232</v>
      </c>
      <c r="CD149" s="5" t="s">
        <v>204</v>
      </c>
      <c r="CE149" s="5" t="s">
        <v>218</v>
      </c>
      <c r="CF149" s="5" t="s">
        <v>219</v>
      </c>
      <c r="CG149" s="5" t="s">
        <v>206</v>
      </c>
      <c r="CH149" s="5" t="s">
        <v>331</v>
      </c>
      <c r="CI149" s="5" t="s">
        <v>332</v>
      </c>
      <c r="CJ149" s="5">
        <v>5</v>
      </c>
      <c r="CK149" s="5" t="s">
        <v>223</v>
      </c>
      <c r="CU149" s="5" t="s">
        <v>206</v>
      </c>
      <c r="DA149" s="5" t="s">
        <v>229</v>
      </c>
      <c r="DB149" s="5">
        <f>IF(DA149="Mejor que lo habitual",1,
IF(DA149="Igual que lo habitual",2,
IF(DA149="Menos que lo habitual",3,
IF(DA149="Mucho menos que lo habitual",4,""))))</f>
        <v>4</v>
      </c>
      <c r="DC149" s="5" t="s">
        <v>280</v>
      </c>
      <c r="DD149" s="5">
        <f>IF(DC149="No, en absoluto",1,
IF(DC149="No más que lo habitual",2,
IF(DC149="Bastante más que lo habitual",3,
IF(DC149="Mucho más que lo habitual",4,""))))</f>
        <v>4</v>
      </c>
      <c r="DE149" s="5" t="s">
        <v>280</v>
      </c>
      <c r="DF149" s="5">
        <f>IF(DE149="No, en absoluto",1,
IF(DE149="No más que lo habitual",2,
IF(DE149="Bastante más que lo habitual",3,
IF(DE149="Mucho más que lo habitual",4,""))))</f>
        <v>4</v>
      </c>
      <c r="DG149" s="5" t="s">
        <v>280</v>
      </c>
      <c r="DH149" s="5">
        <f>IF(DG149="No, en absoluto",1,
IF(DG149="No más que lo habitual",2,
IF(DG149="Bastante más que lo habitual",3,
IF(DG149="Mucho más que lo habitual",4,""))))</f>
        <v>4</v>
      </c>
      <c r="DI149" s="5" t="s">
        <v>280</v>
      </c>
      <c r="DJ149" s="5">
        <f>IF(DI149="No, en absoluto",1,
IF(DI149="No más que lo habitual",2,
IF(DI149="Bastante más que lo habitual",3,
IF(DI149="Mucho más que lo habitual",4,""))))</f>
        <v>4</v>
      </c>
      <c r="DK149" s="5" t="s">
        <v>280</v>
      </c>
      <c r="DL149" s="5">
        <f>IF(DK149="No, en absoluto",1,
IF(DK149="No más que lo habitual",2,
IF(DK149="Bastante más que lo habitual",3,
IF(DK149="Mucho más que lo habitual",4,""))))</f>
        <v>4</v>
      </c>
      <c r="DM149" s="5" t="s">
        <v>280</v>
      </c>
      <c r="DN149" s="5">
        <f>IF(DM149="No, en absoluto",1,
IF(DM149="No más que lo habitual",2,
IF(DM149="Bastante más que lo habitual",3,
IF(DM149="Mucho más que lo habitual",4,""))))</f>
        <v>4</v>
      </c>
      <c r="DO149" s="5" t="s">
        <v>229</v>
      </c>
      <c r="DP149" s="5">
        <f>IF(DO149="Más que lo habitual",1,
IF(DO149="Igual que lo habitual",2,
IF(DO149="Menos que lo habitual",3,
IF(DO149="Mucho menos que lo habitual",4,""))))</f>
        <v>4</v>
      </c>
      <c r="DQ149" s="5" t="s">
        <v>252</v>
      </c>
      <c r="DR149" s="5">
        <f>IF(DQ149="Más que lo habitual",1,
IF(DQ149="Igual que lo habitual",2,
IF(DQ149="Menos que lo habitual",3,
IF(DQ149="Mucho menos que lo habitual",4,""))))</f>
        <v>3</v>
      </c>
      <c r="DS149" s="5" t="s">
        <v>252</v>
      </c>
      <c r="DT149" s="5">
        <f>IF(DS149="Más que lo habitual",1,
IF(DS149="Igual que lo habitual",2,
IF(DS149="Menos que lo habitual",3,
IF(DS149="Mucho menos que lo habitual",4,""))))</f>
        <v>3</v>
      </c>
      <c r="DU149" s="5" t="s">
        <v>252</v>
      </c>
      <c r="DV149" s="5">
        <f>IF(DU149="Más que lo habitual",1,
IF(DU149="Igual que lo habitual",2,
IF(DU149="Menos que lo habitual",3,
IF(DU149="Mucho menos que lo habitual",4,""))))</f>
        <v>3</v>
      </c>
      <c r="DW149" s="5" t="s">
        <v>229</v>
      </c>
      <c r="DX149" s="5">
        <f>IF(DW149="Más que lo habitual",1,
IF(DW149="Igual que lo habitual",2,
IF(DW149="Menos que lo habitual",3,
IF(DW149="Mucho menos que lo habitual",4,""))))</f>
        <v>4</v>
      </c>
      <c r="DY149" s="5">
        <f>SUM(DB149,DD149,DF149,DH149,DJ149,DL149,DN149,DP149,DR149,DT149,DV149,DX149)</f>
        <v>45</v>
      </c>
      <c r="DZ149" s="5" t="str">
        <f>IF(DY149&lt;=18,"Nivel de riesgo bajo",
IF(DY149&lt;=23,"Nivel de riesgo medio",
"Nivel de riesgo alto"))</f>
        <v>Nivel de riesgo alto</v>
      </c>
      <c r="EA149" s="5" t="s">
        <v>247</v>
      </c>
      <c r="EB149" s="5">
        <f>IF(EA149="Nunca/ casi nunca",0,
IF(EA149="Rara vez",1,
IF(EA149="A veces",2,
IF(EA149="A menudo",3,
IF(EA149="Siempre",4,"")))))</f>
        <v>2</v>
      </c>
      <c r="EC149" s="5" t="s">
        <v>232</v>
      </c>
      <c r="ED149" s="5">
        <f>IF(EC149="Nunca/ casi nunca",0,
IF(EC149="Rara vez",1,
IF(EC149="A veces",2,
IF(EC149="A menudo",3,
IF(EC149="Siempre",4,"")))))</f>
        <v>3</v>
      </c>
      <c r="EE149" s="5" t="s">
        <v>247</v>
      </c>
      <c r="EF149" s="5">
        <f>IF(EE149="Nunca/ casi nunca",0,
IF(EE149="Rara vez",1,
IF(EE149="A veces",2,
IF(EE149="A menudo",3,
IF(EE149="Siempre",4,"")))))</f>
        <v>2</v>
      </c>
      <c r="EG149" s="5">
        <f>SUM(EB149,ED149,EF149)</f>
        <v>7</v>
      </c>
      <c r="EH149" s="5" t="str">
        <f>IF(EG149&lt;=1,"Nivel de riesgo bajo",
IF(EG149&lt;=4,"Nivel de riesgo medio",
"Nivel de riesgo alto"))</f>
        <v>Nivel de riesgo alto</v>
      </c>
      <c r="EI149" s="5" t="s">
        <v>232</v>
      </c>
      <c r="EJ149" s="5">
        <f>IF(EI149="Nunca/ casi nunca",0,
IF(EI149="Rara vez",1,
IF(EI149="A veces",2,
IF(EI149="A menudo",3,
IF(EI149="Siempre",4,"")))))</f>
        <v>3</v>
      </c>
      <c r="EK149" s="5" t="s">
        <v>254</v>
      </c>
      <c r="EL149" s="5">
        <f>IF(EK149="Nunca/ casi nunca",0,
IF(EK149="Rara vez",1,
IF(EK149="A veces",2,
IF(EK149="A menudo",3,
IF(EK149="Siempre",4,"")))))</f>
        <v>4</v>
      </c>
      <c r="EM149" s="5" t="s">
        <v>254</v>
      </c>
      <c r="EN149" s="5">
        <f>IF(EM149="Nunca/ casi nunca",0,
IF(EM149="Rara vez",1,
IF(EM149="A veces",2,
IF(EM149="A menudo",3,
IF(EM149="Siempre",4,"")))))</f>
        <v>4</v>
      </c>
      <c r="EO149" s="5">
        <f>SUM(EJ149,EL149,EN149)</f>
        <v>11</v>
      </c>
      <c r="EP149" s="5" t="str">
        <f>IF(EO149&lt;=1,"Nivel de riesgo bajo",
IF(EO149&lt;=5,"Nivel de riesgo medio",
"Nivel de riesgo alto"))</f>
        <v>Nivel de riesgo alto</v>
      </c>
      <c r="EQ149" s="5" t="s">
        <v>254</v>
      </c>
      <c r="ER149" s="5">
        <f>IF(EQ149="Nunca/ casi nunca",4,
IF(EQ149="Rara vez",3,
IF(EQ149="A veces",2,
IF(EQ149="A menudo",1,
IF(EQ149="Siempre",0,"")))))</f>
        <v>0</v>
      </c>
      <c r="ES149" s="5" t="s">
        <v>232</v>
      </c>
      <c r="ET149" s="5">
        <f>IF(ES149="Nunca/ casi nunca",4,
IF(ES149="Rara vez",3,
IF(ES149="A veces",2,
IF(ES149="A menudo",1,
IF(ES149="Siempre",0,"")))))</f>
        <v>1</v>
      </c>
      <c r="EU149" s="5" t="s">
        <v>247</v>
      </c>
      <c r="EV149" s="5">
        <f>IF(EU149="Nunca/ casi nunca",4,
IF(EU149="Rara vez",3,
IF(EU149="A veces",2,
IF(EU149="A menudo",1,
IF(EU149="Siempre",0,"")))))</f>
        <v>2</v>
      </c>
      <c r="EW149" s="5" t="s">
        <v>247</v>
      </c>
      <c r="EX149" s="5">
        <f>IF(EW149="Nunca/ casi nunca",4,
IF(EW149="Rara vez",3,
IF(EW149="A veces",2,
IF(EW149="A menudo",1,
IF(EW149="Siempre",0,"")))))</f>
        <v>2</v>
      </c>
      <c r="EY149" s="5">
        <f>SUM(ER149,ET149,EV149,EX149)</f>
        <v>5</v>
      </c>
      <c r="EZ149" s="5" t="str">
        <f>IF(EY149&lt;=0,"Nivel de riesgo bajo",
IF(EY149&lt;=4,"Nivel de riesgo medio",
"Nivel de riesgo alto"))</f>
        <v>Nivel de riesgo alto</v>
      </c>
      <c r="FA149" s="5" t="s">
        <v>254</v>
      </c>
      <c r="FB149" s="5">
        <f>IF(FA149="Nunca/ casi nunca",0,
IF(FA149="Rara vez",1,
IF(FA149="A veces",2,
IF(FA149="A menudo",3,
IF(FA149="Siempre",4,"")))))</f>
        <v>4</v>
      </c>
      <c r="FC149" s="5" t="s">
        <v>254</v>
      </c>
      <c r="FD149" s="5">
        <f>IF(FC149="Nunca/ casi nunca",0,
IF(FC149="Rara vez",1,
IF(FC149="A veces",2,
IF(FC149="A menudo",3,
IF(FC149="Siempre",4,"")))))</f>
        <v>4</v>
      </c>
      <c r="FE149" s="5" t="s">
        <v>254</v>
      </c>
      <c r="FF149" s="5">
        <f>IF(FE149="Nunca/ casi nunca",0,
IF(FE149="Rara vez",1,
IF(FE149="A veces",2,
IF(FE149="A menudo",3,
IF(FE149="Siempre",4,"")))))</f>
        <v>4</v>
      </c>
      <c r="FG149" s="5">
        <f>SUM(FB149,FD149,FF149)</f>
        <v>12</v>
      </c>
      <c r="FH149" s="5" t="str">
        <f>IF(FG149&lt;=2,"Nivel de riesgo bajo",
IF(FG149&lt;=5,"Nivel de riesgo medio",
"Nivel de riesgo alto"))</f>
        <v>Nivel de riesgo alto</v>
      </c>
      <c r="FI149" s="5" t="s">
        <v>254</v>
      </c>
      <c r="FJ149" s="5">
        <f>IF(FI149="Nunca/ casi nunca",0,
IF(FI149="Rara vez",1,
IF(FI149="A veces",2,
IF(FI149="A menudo",3,
IF(FI149="Siempre",4,"")))))</f>
        <v>4</v>
      </c>
      <c r="FK149" s="5" t="s">
        <v>254</v>
      </c>
      <c r="FL149" s="5">
        <f>IF(FK149="Nunca/ casi nunca",0,
IF(FK149="Rara vez",1,
IF(FK149="A veces",2,
IF(FK149="A menudo",3,
IF(FK149="Siempre",4,"")))))</f>
        <v>4</v>
      </c>
      <c r="FM149" s="5" t="s">
        <v>254</v>
      </c>
      <c r="FN149" s="5">
        <f>IF(FM149="Nunca/ casi nunca",0,
IF(FM149="Rara vez",1,
IF(FM149="A veces",2,
IF(FM149="A menudo",3,
IF(FM149="Siempre",4,"")))))</f>
        <v>4</v>
      </c>
      <c r="FO149" s="5">
        <f>SUM(FJ149,FL149,FN149)</f>
        <v>12</v>
      </c>
      <c r="FP149" s="5" t="str">
        <f>IF(FO149&lt;=2,"Nivel de riesgo bajo",
IF(FO149&lt;=5,"Nivel de riesgo medio",
"Nivel de riesgo alto"))</f>
        <v>Nivel de riesgo alto</v>
      </c>
      <c r="FQ149" s="5" t="s">
        <v>325</v>
      </c>
      <c r="FR149" s="5">
        <f>IF(FQ149="No",0,
IF(FQ149="Sí, unas pocas veces",1,
IF(FQ149="Sí, mensualmente",2,
IF(FQ149="Sí, semanalmente",3,
IF(FQ149="Sí, diariamente",4,"")))))</f>
        <v>2</v>
      </c>
      <c r="FS149" s="5" t="s">
        <v>325</v>
      </c>
      <c r="FT149" s="5">
        <f>IF(FS149="No",0,
IF(FS149="Sí, unas pocas veces",1,
IF(FS149="Sí, mensualmente",2,
IF(FS149="Sí, semanalmente",3,
IF(FS149="Sí, diariamente",4,"")))))</f>
        <v>2</v>
      </c>
      <c r="FU149" s="5" t="s">
        <v>361</v>
      </c>
      <c r="FV149" s="5">
        <f>IF(FU149="No",0,
IF(FU149="Sí, unas pocas veces",1,
IF(FU149="Sí, mensualmente",2,
IF(FU149="Sí, semanalmente",3,
IF(FU149="Sí, diariamente",4,"")))))</f>
        <v>3</v>
      </c>
      <c r="FW149" s="5" t="s">
        <v>265</v>
      </c>
      <c r="FX149" s="5">
        <f>IF(FW149="No",0,
IF(FW149="Sí, unas pocas veces",1,
IF(FW149="Sí, mensualmente",2,
IF(FW149="Sí, semanalmente",3,
IF(FW149="Sí, diariamente",4,"")))))</f>
        <v>1</v>
      </c>
      <c r="FY149" s="5" t="s">
        <v>265</v>
      </c>
      <c r="FZ149" s="5">
        <f>IF(FY149="No",0,
IF(FY149="Sí, unas pocas veces",1,
IF(FY149="Sí, mensualmente",2,
IF(FY149="Sí, semanalmente",3,
IF(FY149="Sí, diariamente",4,"")))))</f>
        <v>1</v>
      </c>
      <c r="GA149" s="5" t="s">
        <v>391</v>
      </c>
      <c r="GB149" s="5">
        <f>IF(GA149="No",0,
IF(GA149="Sí, unas pocas veces",1,
IF(GA149="Sí, mensualmente",2,
IF(GA149="Sí, semanalmente",3,
IF(GA149="Sí, diariamente",4,"")))))</f>
        <v>4</v>
      </c>
      <c r="GC149" s="5" t="s">
        <v>391</v>
      </c>
      <c r="GD149" s="5">
        <f>IF(GC149="No",0,
IF(GC149="Sí, unas pocas veces",1,
IF(GC149="Sí, mensualmente",2,
IF(GC149="Sí, semanalmente",3,
IF(GC149="Sí, diariamente",4,"")))))</f>
        <v>4</v>
      </c>
      <c r="GE149" s="5">
        <f>SUM(FR149,FT149,FV149,FX149,FZ149,GB149,GD149)</f>
        <v>17</v>
      </c>
      <c r="GF149" s="5" t="str">
        <f>IF(GE149&lt;=0,"Nivel de riesgo bajo",
IF(GE149&lt;=14,"Nivel de riesgo medio",
"Nivel de riesgo alto"))</f>
        <v>Nivel de riesgo alto</v>
      </c>
      <c r="GG149" s="5" t="s">
        <v>273</v>
      </c>
      <c r="GH149" s="5" t="s">
        <v>273</v>
      </c>
      <c r="GI149" s="5" t="s">
        <v>273</v>
      </c>
      <c r="GJ149" s="5" t="s">
        <v>273</v>
      </c>
      <c r="GK149" s="5" t="s">
        <v>233</v>
      </c>
      <c r="GL149" s="5" t="s">
        <v>233</v>
      </c>
      <c r="GM149" s="5" t="s">
        <v>273</v>
      </c>
      <c r="GN149" s="5" t="s">
        <v>256</v>
      </c>
      <c r="GO149" s="5" t="s">
        <v>256</v>
      </c>
      <c r="GP149" s="5" t="s">
        <v>256</v>
      </c>
      <c r="GQ149" s="5" t="s">
        <v>256</v>
      </c>
      <c r="GR149" s="5" t="s">
        <v>256</v>
      </c>
      <c r="GS149" s="5" t="s">
        <v>256</v>
      </c>
      <c r="GT149" s="5" t="s">
        <v>256</v>
      </c>
      <c r="GU149" s="5" t="s">
        <v>498</v>
      </c>
      <c r="GV149" s="5" t="str">
        <f>TEXT("6278878433113051870","0")</f>
        <v>6278878433113050000</v>
      </c>
    </row>
    <row r="150" spans="1:204" ht="15.75" customHeight="1" x14ac:dyDescent="0.15">
      <c r="A150" s="1">
        <f>ROW(A150)</f>
        <v>150</v>
      </c>
      <c r="B150" s="4">
        <v>45847.522870370369</v>
      </c>
      <c r="C150" s="5" t="s">
        <v>204</v>
      </c>
      <c r="D150" s="5" t="s">
        <v>206</v>
      </c>
      <c r="F150" s="5" t="s">
        <v>206</v>
      </c>
      <c r="G150" s="5" t="s">
        <v>206</v>
      </c>
      <c r="H150" s="5" t="s">
        <v>206</v>
      </c>
      <c r="L150" s="5" t="s">
        <v>236</v>
      </c>
      <c r="P150" s="5" t="s">
        <v>237</v>
      </c>
      <c r="U150" s="5" t="s">
        <v>237</v>
      </c>
      <c r="Y150" s="5" t="s">
        <v>209</v>
      </c>
      <c r="AD150" s="5" t="s">
        <v>209</v>
      </c>
      <c r="AH150" s="5" t="s">
        <v>499</v>
      </c>
      <c r="AI150" s="5">
        <v>2025</v>
      </c>
      <c r="AJ150" s="5" t="s">
        <v>330</v>
      </c>
      <c r="AK150" s="5" t="str">
        <f>IF(OR(AJ150="Empleada del sector privado",AJ150="Empleada del sector público"),"Asalariada",
IF(AJ150="Trabajadora por cuenta propia","Trabajadora por cuenta propia",""))</f>
        <v>Asalariada</v>
      </c>
      <c r="AQ150" s="5" t="s">
        <v>206</v>
      </c>
      <c r="AR150" s="5" t="s">
        <v>241</v>
      </c>
      <c r="AS150" s="5" t="s">
        <v>261</v>
      </c>
      <c r="AT150" s="5" t="s">
        <v>301</v>
      </c>
      <c r="AU150" s="5" t="s">
        <v>301</v>
      </c>
      <c r="AV150" s="5" t="s">
        <v>213</v>
      </c>
      <c r="AW150" s="5" t="s">
        <v>204</v>
      </c>
      <c r="AX150" s="5" t="s">
        <v>206</v>
      </c>
      <c r="BF150" s="5" t="s">
        <v>204</v>
      </c>
      <c r="BG150" s="5" t="s">
        <v>207</v>
      </c>
      <c r="BH150" s="5" t="s">
        <v>215</v>
      </c>
      <c r="BI150" s="5" t="s">
        <v>207</v>
      </c>
      <c r="BJ150" s="5" t="s">
        <v>207</v>
      </c>
      <c r="BK150" s="5" t="s">
        <v>244</v>
      </c>
      <c r="BL150" s="5" t="s">
        <v>216</v>
      </c>
      <c r="BM150" s="5" t="s">
        <v>244</v>
      </c>
      <c r="BN150" s="5" t="s">
        <v>216</v>
      </c>
      <c r="BO150" s="5" t="s">
        <v>216</v>
      </c>
      <c r="BP150" s="5" t="s">
        <v>216</v>
      </c>
      <c r="BQ150" s="5" t="s">
        <v>216</v>
      </c>
      <c r="BR150" s="5" t="s">
        <v>216</v>
      </c>
      <c r="BS150" s="5" t="s">
        <v>247</v>
      </c>
      <c r="BT150" s="5" t="s">
        <v>217</v>
      </c>
      <c r="BU150" s="5" t="s">
        <v>232</v>
      </c>
      <c r="BV150" s="5" t="s">
        <v>217</v>
      </c>
      <c r="BW150" s="5" t="s">
        <v>217</v>
      </c>
      <c r="BX150" s="5" t="s">
        <v>217</v>
      </c>
      <c r="BY150" s="5" t="s">
        <v>217</v>
      </c>
      <c r="BZ150" s="5" t="s">
        <v>216</v>
      </c>
      <c r="CA150" s="5" t="s">
        <v>244</v>
      </c>
      <c r="CB150" s="5" t="s">
        <v>216</v>
      </c>
      <c r="CC150" s="5" t="s">
        <v>216</v>
      </c>
      <c r="CD150" s="5" t="s">
        <v>204</v>
      </c>
      <c r="CE150" s="5" t="s">
        <v>218</v>
      </c>
      <c r="CF150" s="5" t="s">
        <v>219</v>
      </c>
      <c r="CG150" s="5" t="s">
        <v>206</v>
      </c>
      <c r="CH150" s="5" t="s">
        <v>206</v>
      </c>
      <c r="CI150" s="5" t="s">
        <v>206</v>
      </c>
      <c r="CJ150" s="5">
        <v>3</v>
      </c>
      <c r="CK150" s="5" t="s">
        <v>223</v>
      </c>
      <c r="CU150" s="5" t="s">
        <v>206</v>
      </c>
      <c r="DA150" s="5" t="s">
        <v>252</v>
      </c>
      <c r="DB150" s="5">
        <f>IF(DA150="Mejor que lo habitual",1,
IF(DA150="Igual que lo habitual",2,
IF(DA150="Menos que lo habitual",3,
IF(DA150="Mucho menos que lo habitual",4,""))))</f>
        <v>3</v>
      </c>
      <c r="DC150" s="5" t="s">
        <v>250</v>
      </c>
      <c r="DD150" s="5">
        <f>IF(DC150="No, en absoluto",1,
IF(DC150="No más que lo habitual",2,
IF(DC150="Bastante más que lo habitual",3,
IF(DC150="Mucho más que lo habitual",4,""))))</f>
        <v>3</v>
      </c>
      <c r="DE150" s="5" t="s">
        <v>250</v>
      </c>
      <c r="DF150" s="5">
        <f>IF(DE150="No, en absoluto",1,
IF(DE150="No más que lo habitual",2,
IF(DE150="Bastante más que lo habitual",3,
IF(DE150="Mucho más que lo habitual",4,""))))</f>
        <v>3</v>
      </c>
      <c r="DG150" s="5" t="s">
        <v>230</v>
      </c>
      <c r="DH150" s="5">
        <f>IF(DG150="No, en absoluto",1,
IF(DG150="No más que lo habitual",2,
IF(DG150="Bastante más que lo habitual",3,
IF(DG150="Mucho más que lo habitual",4,""))))</f>
        <v>2</v>
      </c>
      <c r="DI150" s="5" t="s">
        <v>230</v>
      </c>
      <c r="DJ150" s="5">
        <f>IF(DI150="No, en absoluto",1,
IF(DI150="No más que lo habitual",2,
IF(DI150="Bastante más que lo habitual",3,
IF(DI150="Mucho más que lo habitual",4,""))))</f>
        <v>2</v>
      </c>
      <c r="DK150" s="5" t="s">
        <v>250</v>
      </c>
      <c r="DL150" s="5">
        <f>IF(DK150="No, en absoluto",1,
IF(DK150="No más que lo habitual",2,
IF(DK150="Bastante más que lo habitual",3,
IF(DK150="Mucho más que lo habitual",4,""))))</f>
        <v>3</v>
      </c>
      <c r="DM150" s="5" t="s">
        <v>251</v>
      </c>
      <c r="DN150" s="5">
        <f>IF(DM150="No, en absoluto",1,
IF(DM150="No más que lo habitual",2,
IF(DM150="Bastante más que lo habitual",3,
IF(DM150="Mucho más que lo habitual",4,""))))</f>
        <v>1</v>
      </c>
      <c r="DO150" s="5" t="s">
        <v>281</v>
      </c>
      <c r="DP150" s="5">
        <f>IF(DO150="Más que lo habitual",1,
IF(DO150="Igual que lo habitual",2,
IF(DO150="Menos que lo habitual",3,
IF(DO150="Mucho menos que lo habitual",4,""))))</f>
        <v>1</v>
      </c>
      <c r="DQ150" s="5" t="s">
        <v>281</v>
      </c>
      <c r="DR150" s="5">
        <f>IF(DQ150="Más que lo habitual",1,
IF(DQ150="Igual que lo habitual",2,
IF(DQ150="Menos que lo habitual",3,
IF(DQ150="Mucho menos que lo habitual",4,""))))</f>
        <v>1</v>
      </c>
      <c r="DS150" s="5" t="s">
        <v>281</v>
      </c>
      <c r="DT150" s="5">
        <f>IF(DS150="Más que lo habitual",1,
IF(DS150="Igual que lo habitual",2,
IF(DS150="Menos que lo habitual",3,
IF(DS150="Mucho menos que lo habitual",4,""))))</f>
        <v>1</v>
      </c>
      <c r="DU150" s="5" t="s">
        <v>281</v>
      </c>
      <c r="DV150" s="5">
        <f>IF(DU150="Más que lo habitual",1,
IF(DU150="Igual que lo habitual",2,
IF(DU150="Menos que lo habitual",3,
IF(DU150="Mucho menos que lo habitual",4,""))))</f>
        <v>1</v>
      </c>
      <c r="DW150" s="5" t="s">
        <v>231</v>
      </c>
      <c r="DX150" s="5">
        <f>IF(DW150="Más que lo habitual",1,
IF(DW150="Igual que lo habitual",2,
IF(DW150="Menos que lo habitual",3,
IF(DW150="Mucho menos que lo habitual",4,""))))</f>
        <v>2</v>
      </c>
      <c r="DY150" s="5">
        <f>SUM(DB150,DD150,DF150,DH150,DJ150,DL150,DN150,DP150,DR150,DT150,DV150,DX150)</f>
        <v>23</v>
      </c>
      <c r="DZ150" s="5" t="str">
        <f>IF(DY150&lt;=18,"Nivel de riesgo bajo",
IF(DY150&lt;=23,"Nivel de riesgo medio",
"Nivel de riesgo alto"))</f>
        <v>Nivel de riesgo medio</v>
      </c>
      <c r="EA150" s="5" t="s">
        <v>253</v>
      </c>
      <c r="EB150" s="5">
        <f>IF(EA150="Nunca/ casi nunca",0,
IF(EA150="Rara vez",1,
IF(EA150="A veces",2,
IF(EA150="A menudo",3,
IF(EA150="Siempre",4,"")))))</f>
        <v>0</v>
      </c>
      <c r="EC150" s="5" t="s">
        <v>253</v>
      </c>
      <c r="ED150" s="5">
        <f>IF(EC150="Nunca/ casi nunca",0,
IF(EC150="Rara vez",1,
IF(EC150="A veces",2,
IF(EC150="A menudo",3,
IF(EC150="Siempre",4,"")))))</f>
        <v>0</v>
      </c>
      <c r="EE150" s="5" t="s">
        <v>253</v>
      </c>
      <c r="EF150" s="5">
        <f>IF(EE150="Nunca/ casi nunca",0,
IF(EE150="Rara vez",1,
IF(EE150="A veces",2,
IF(EE150="A menudo",3,
IF(EE150="Siempre",4,"")))))</f>
        <v>0</v>
      </c>
      <c r="EG150" s="5">
        <f>SUM(EB150,ED150,EF150)</f>
        <v>0</v>
      </c>
      <c r="EH150" s="5" t="str">
        <f>IF(EG150&lt;=1,"Nivel de riesgo bajo",
IF(EG150&lt;=4,"Nivel de riesgo medio",
"Nivel de riesgo alto"))</f>
        <v>Nivel de riesgo bajo</v>
      </c>
      <c r="EI150" s="5" t="s">
        <v>253</v>
      </c>
      <c r="EJ150" s="5">
        <f>IF(EI150="Nunca/ casi nunca",0,
IF(EI150="Rara vez",1,
IF(EI150="A veces",2,
IF(EI150="A menudo",3,
IF(EI150="Siempre",4,"")))))</f>
        <v>0</v>
      </c>
      <c r="EK150" s="5" t="s">
        <v>247</v>
      </c>
      <c r="EL150" s="5">
        <f>IF(EK150="Nunca/ casi nunca",0,
IF(EK150="Rara vez",1,
IF(EK150="A veces",2,
IF(EK150="A menudo",3,
IF(EK150="Siempre",4,"")))))</f>
        <v>2</v>
      </c>
      <c r="EM150" s="5" t="s">
        <v>254</v>
      </c>
      <c r="EN150" s="5">
        <f>IF(EM150="Nunca/ casi nunca",0,
IF(EM150="Rara vez",1,
IF(EM150="A veces",2,
IF(EM150="A menudo",3,
IF(EM150="Siempre",4,"")))))</f>
        <v>4</v>
      </c>
      <c r="EO150" s="5">
        <f>SUM(EJ150,EL150,EN150)</f>
        <v>6</v>
      </c>
      <c r="EP150" s="5" t="str">
        <f>IF(EO150&lt;=1,"Nivel de riesgo bajo",
IF(EO150&lt;=5,"Nivel de riesgo medio",
"Nivel de riesgo alto"))</f>
        <v>Nivel de riesgo alto</v>
      </c>
      <c r="EQ150" s="5" t="s">
        <v>254</v>
      </c>
      <c r="ER150" s="5">
        <f>IF(EQ150="Nunca/ casi nunca",4,
IF(EQ150="Rara vez",3,
IF(EQ150="A veces",2,
IF(EQ150="A menudo",1,
IF(EQ150="Siempre",0,"")))))</f>
        <v>0</v>
      </c>
      <c r="ES150" s="5" t="s">
        <v>254</v>
      </c>
      <c r="ET150" s="5">
        <f>IF(ES150="Nunca/ casi nunca",4,
IF(ES150="Rara vez",3,
IF(ES150="A veces",2,
IF(ES150="A menudo",1,
IF(ES150="Siempre",0,"")))))</f>
        <v>0</v>
      </c>
      <c r="EU150" s="5" t="s">
        <v>254</v>
      </c>
      <c r="EV150" s="5">
        <f>IF(EU150="Nunca/ casi nunca",4,
IF(EU150="Rara vez",3,
IF(EU150="A veces",2,
IF(EU150="A menudo",1,
IF(EU150="Siempre",0,"")))))</f>
        <v>0</v>
      </c>
      <c r="EW150" s="5" t="s">
        <v>254</v>
      </c>
      <c r="EX150" s="5">
        <f>IF(EW150="Nunca/ casi nunca",4,
IF(EW150="Rara vez",3,
IF(EW150="A veces",2,
IF(EW150="A menudo",1,
IF(EW150="Siempre",0,"")))))</f>
        <v>0</v>
      </c>
      <c r="EY150" s="5">
        <f>SUM(ER150,ET150,EV150,EX150)</f>
        <v>0</v>
      </c>
      <c r="EZ150" s="5" t="str">
        <f>IF(EY150&lt;=0,"Nivel de riesgo bajo",
IF(EY150&lt;=4,"Nivel de riesgo medio",
"Nivel de riesgo alto"))</f>
        <v>Nivel de riesgo bajo</v>
      </c>
      <c r="FA150" s="5" t="s">
        <v>253</v>
      </c>
      <c r="FB150" s="5">
        <f>IF(FA150="Nunca/ casi nunca",0,
IF(FA150="Rara vez",1,
IF(FA150="A veces",2,
IF(FA150="A menudo",3,
IF(FA150="Siempre",4,"")))))</f>
        <v>0</v>
      </c>
      <c r="FC150" s="5" t="s">
        <v>253</v>
      </c>
      <c r="FD150" s="5">
        <f>IF(FC150="Nunca/ casi nunca",0,
IF(FC150="Rara vez",1,
IF(FC150="A veces",2,
IF(FC150="A menudo",3,
IF(FC150="Siempre",4,"")))))</f>
        <v>0</v>
      </c>
      <c r="FE150" s="5" t="s">
        <v>253</v>
      </c>
      <c r="FF150" s="5">
        <f>IF(FE150="Nunca/ casi nunca",0,
IF(FE150="Rara vez",1,
IF(FE150="A veces",2,
IF(FE150="A menudo",3,
IF(FE150="Siempre",4,"")))))</f>
        <v>0</v>
      </c>
      <c r="FG150" s="5">
        <f>SUM(FB150,FD150,FF150)</f>
        <v>0</v>
      </c>
      <c r="FH150" s="5" t="str">
        <f>IF(FG150&lt;=2,"Nivel de riesgo bajo",
IF(FG150&lt;=5,"Nivel de riesgo medio",
"Nivel de riesgo alto"))</f>
        <v>Nivel de riesgo bajo</v>
      </c>
      <c r="FI150" s="5" t="s">
        <v>248</v>
      </c>
      <c r="FJ150" s="5">
        <f>IF(FI150="Nunca/ casi nunca",0,
IF(FI150="Rara vez",1,
IF(FI150="A veces",2,
IF(FI150="A menudo",3,
IF(FI150="Siempre",4,"")))))</f>
        <v>1</v>
      </c>
      <c r="FK150" s="5" t="s">
        <v>248</v>
      </c>
      <c r="FL150" s="5">
        <f>IF(FK150="Nunca/ casi nunca",0,
IF(FK150="Rara vez",1,
IF(FK150="A veces",2,
IF(FK150="A menudo",3,
IF(FK150="Siempre",4,"")))))</f>
        <v>1</v>
      </c>
      <c r="FM150" s="5" t="s">
        <v>253</v>
      </c>
      <c r="FN150" s="5">
        <f>IF(FM150="Nunca/ casi nunca",0,
IF(FM150="Rara vez",1,
IF(FM150="A veces",2,
IF(FM150="A menudo",3,
IF(FM150="Siempre",4,"")))))</f>
        <v>0</v>
      </c>
      <c r="FO150" s="5">
        <f>SUM(FJ150,FL150,FN150)</f>
        <v>2</v>
      </c>
      <c r="FP150" s="5" t="str">
        <f>IF(FO150&lt;=2,"Nivel de riesgo bajo",
IF(FO150&lt;=5,"Nivel de riesgo medio",
"Nivel de riesgo alto"))</f>
        <v>Nivel de riesgo bajo</v>
      </c>
      <c r="FQ150" s="5" t="s">
        <v>206</v>
      </c>
      <c r="FR150" s="5">
        <f>IF(FQ150="No",0,
IF(FQ150="Sí, unas pocas veces",1,
IF(FQ150="Sí, mensualmente",2,
IF(FQ150="Sí, semanalmente",3,
IF(FQ150="Sí, diariamente",4,"")))))</f>
        <v>0</v>
      </c>
      <c r="FS150" s="5" t="s">
        <v>206</v>
      </c>
      <c r="FT150" s="5">
        <f>IF(FS150="No",0,
IF(FS150="Sí, unas pocas veces",1,
IF(FS150="Sí, mensualmente",2,
IF(FS150="Sí, semanalmente",3,
IF(FS150="Sí, diariamente",4,"")))))</f>
        <v>0</v>
      </c>
      <c r="FU150" s="5" t="s">
        <v>206</v>
      </c>
      <c r="FV150" s="5">
        <f>IF(FU150="No",0,
IF(FU150="Sí, unas pocas veces",1,
IF(FU150="Sí, mensualmente",2,
IF(FU150="Sí, semanalmente",3,
IF(FU150="Sí, diariamente",4,"")))))</f>
        <v>0</v>
      </c>
      <c r="FW150" s="5" t="s">
        <v>206</v>
      </c>
      <c r="FX150" s="5">
        <f>IF(FW150="No",0,
IF(FW150="Sí, unas pocas veces",1,
IF(FW150="Sí, mensualmente",2,
IF(FW150="Sí, semanalmente",3,
IF(FW150="Sí, diariamente",4,"")))))</f>
        <v>0</v>
      </c>
      <c r="FY150" s="5" t="s">
        <v>206</v>
      </c>
      <c r="FZ150" s="5">
        <f>IF(FY150="No",0,
IF(FY150="Sí, unas pocas veces",1,
IF(FY150="Sí, mensualmente",2,
IF(FY150="Sí, semanalmente",3,
IF(FY150="Sí, diariamente",4,"")))))</f>
        <v>0</v>
      </c>
      <c r="GA150" s="5" t="s">
        <v>206</v>
      </c>
      <c r="GB150" s="5">
        <f>IF(GA150="No",0,
IF(GA150="Sí, unas pocas veces",1,
IF(GA150="Sí, mensualmente",2,
IF(GA150="Sí, semanalmente",3,
IF(GA150="Sí, diariamente",4,"")))))</f>
        <v>0</v>
      </c>
      <c r="GC150" s="5" t="s">
        <v>206</v>
      </c>
      <c r="GD150" s="5">
        <f>IF(GC150="No",0,
IF(GC150="Sí, unas pocas veces",1,
IF(GC150="Sí, mensualmente",2,
IF(GC150="Sí, semanalmente",3,
IF(GC150="Sí, diariamente",4,"")))))</f>
        <v>0</v>
      </c>
      <c r="GE150" s="5">
        <f>SUM(FR150,FT150,FV150,FX150,FZ150,GB150,GD150)</f>
        <v>0</v>
      </c>
      <c r="GF150" s="5" t="str">
        <f>IF(GE150&lt;=0,"Nivel de riesgo bajo",
IF(GE150&lt;=14,"Nivel de riesgo medio",
"Nivel de riesgo alto"))</f>
        <v>Nivel de riesgo bajo</v>
      </c>
      <c r="GG150" s="5" t="s">
        <v>255</v>
      </c>
      <c r="GH150" s="5" t="s">
        <v>255</v>
      </c>
      <c r="GI150" s="5" t="s">
        <v>255</v>
      </c>
      <c r="GJ150" s="5" t="s">
        <v>255</v>
      </c>
      <c r="GK150" s="5" t="s">
        <v>233</v>
      </c>
      <c r="GL150" s="5" t="s">
        <v>233</v>
      </c>
      <c r="GM150" s="5" t="s">
        <v>255</v>
      </c>
      <c r="GN150" s="5" t="s">
        <v>256</v>
      </c>
      <c r="GO150" s="5" t="s">
        <v>256</v>
      </c>
      <c r="GP150" s="5" t="s">
        <v>256</v>
      </c>
      <c r="GQ150" s="5" t="s">
        <v>256</v>
      </c>
      <c r="GR150" s="5" t="s">
        <v>256</v>
      </c>
      <c r="GS150" s="5" t="s">
        <v>256</v>
      </c>
      <c r="GT150" s="5" t="s">
        <v>256</v>
      </c>
      <c r="GU150" s="5" t="s">
        <v>500</v>
      </c>
      <c r="GV150" s="5" t="str">
        <f>TEXT("6278879766958763526","0")</f>
        <v>6278879766958760000</v>
      </c>
    </row>
    <row r="151" spans="1:204" ht="15.75" customHeight="1" x14ac:dyDescent="0.15">
      <c r="A151" s="1">
        <f>ROW(A151)</f>
        <v>151</v>
      </c>
      <c r="B151" s="4">
        <v>45847.532997685186</v>
      </c>
      <c r="C151" s="5" t="s">
        <v>204</v>
      </c>
      <c r="D151" s="5" t="s">
        <v>204</v>
      </c>
      <c r="E151" s="5" t="s">
        <v>501</v>
      </c>
      <c r="F151" s="5" t="s">
        <v>204</v>
      </c>
      <c r="G151" s="5" t="s">
        <v>206</v>
      </c>
      <c r="H151" s="5" t="s">
        <v>206</v>
      </c>
      <c r="L151" s="5" t="s">
        <v>236</v>
      </c>
      <c r="P151" s="5" t="s">
        <v>237</v>
      </c>
      <c r="T151" s="5" t="s">
        <v>209</v>
      </c>
      <c r="Z151" s="5" t="s">
        <v>237</v>
      </c>
      <c r="AF151" s="5" t="s">
        <v>236</v>
      </c>
      <c r="AH151" s="5" t="s">
        <v>268</v>
      </c>
      <c r="AI151" s="5">
        <v>2023</v>
      </c>
      <c r="AJ151" s="5" t="s">
        <v>330</v>
      </c>
      <c r="AK151" s="5" t="str">
        <f>IF(OR(AJ151="Empleada del sector privado",AJ151="Empleada del sector público"),"Asalariada",
IF(AJ151="Trabajadora por cuenta propia","Trabajadora por cuenta propia",""))</f>
        <v>Asalariada</v>
      </c>
      <c r="AQ151" s="5" t="s">
        <v>204</v>
      </c>
      <c r="AR151" s="5" t="s">
        <v>301</v>
      </c>
      <c r="AS151" s="5" t="s">
        <v>301</v>
      </c>
      <c r="AT151" s="5" t="s">
        <v>301</v>
      </c>
      <c r="AU151" s="5" t="s">
        <v>301</v>
      </c>
      <c r="AV151" s="5" t="s">
        <v>285</v>
      </c>
      <c r="AW151" s="5" t="s">
        <v>204</v>
      </c>
      <c r="AX151" s="5" t="s">
        <v>204</v>
      </c>
      <c r="AY151" s="5" t="s">
        <v>214</v>
      </c>
      <c r="AZ151" s="5" t="s">
        <v>204</v>
      </c>
      <c r="BA151" s="5" t="s">
        <v>263</v>
      </c>
      <c r="BF151" s="5" t="s">
        <v>204</v>
      </c>
      <c r="BG151" s="5" t="s">
        <v>215</v>
      </c>
      <c r="BH151" s="5" t="s">
        <v>264</v>
      </c>
      <c r="BI151" s="5" t="s">
        <v>278</v>
      </c>
      <c r="BJ151" s="5" t="s">
        <v>215</v>
      </c>
      <c r="BK151" s="5" t="s">
        <v>216</v>
      </c>
      <c r="BL151" s="5" t="s">
        <v>216</v>
      </c>
      <c r="BM151" s="5" t="s">
        <v>216</v>
      </c>
      <c r="BN151" s="5" t="s">
        <v>243</v>
      </c>
      <c r="BO151" s="5" t="s">
        <v>216</v>
      </c>
      <c r="BP151" s="5" t="s">
        <v>216</v>
      </c>
      <c r="BQ151" s="5" t="s">
        <v>216</v>
      </c>
      <c r="BR151" s="5" t="s">
        <v>216</v>
      </c>
      <c r="BS151" s="5" t="s">
        <v>254</v>
      </c>
      <c r="BT151" s="5" t="s">
        <v>247</v>
      </c>
      <c r="BU151" s="5" t="s">
        <v>254</v>
      </c>
      <c r="BV151" s="5" t="s">
        <v>247</v>
      </c>
      <c r="BW151" s="5" t="s">
        <v>248</v>
      </c>
      <c r="BX151" s="5" t="s">
        <v>248</v>
      </c>
      <c r="BY151" s="5" t="s">
        <v>217</v>
      </c>
      <c r="BZ151" s="5" t="s">
        <v>216</v>
      </c>
      <c r="CA151" s="5" t="s">
        <v>216</v>
      </c>
      <c r="CB151" s="5" t="s">
        <v>216</v>
      </c>
      <c r="CC151" s="5" t="s">
        <v>216</v>
      </c>
      <c r="CD151" s="5" t="s">
        <v>206</v>
      </c>
      <c r="CH151" s="5" t="s">
        <v>206</v>
      </c>
      <c r="CI151" s="5" t="s">
        <v>206</v>
      </c>
      <c r="CJ151" s="5">
        <v>0</v>
      </c>
      <c r="CK151" s="5" t="s">
        <v>223</v>
      </c>
      <c r="CU151" s="5" t="s">
        <v>206</v>
      </c>
      <c r="DA151" s="5" t="s">
        <v>272</v>
      </c>
      <c r="DB151" s="5">
        <f>IF(DA151="Mejor que lo habitual",1,
IF(DA151="Igual que lo habitual",2,
IF(DA151="Menos que lo habitual",3,
IF(DA151="Mucho menos que lo habitual",4,""))))</f>
        <v>1</v>
      </c>
      <c r="DC151" s="5" t="s">
        <v>251</v>
      </c>
      <c r="DD151" s="5">
        <f>IF(DC151="No, en absoluto",1,
IF(DC151="No más que lo habitual",2,
IF(DC151="Bastante más que lo habitual",3,
IF(DC151="Mucho más que lo habitual",4,""))))</f>
        <v>1</v>
      </c>
      <c r="DE151" s="5" t="s">
        <v>251</v>
      </c>
      <c r="DF151" s="5">
        <f>IF(DE151="No, en absoluto",1,
IF(DE151="No más que lo habitual",2,
IF(DE151="Bastante más que lo habitual",3,
IF(DE151="Mucho más que lo habitual",4,""))))</f>
        <v>1</v>
      </c>
      <c r="DG151" s="5" t="s">
        <v>251</v>
      </c>
      <c r="DH151" s="5">
        <f>IF(DG151="No, en absoluto",1,
IF(DG151="No más que lo habitual",2,
IF(DG151="Bastante más que lo habitual",3,
IF(DG151="Mucho más que lo habitual",4,""))))</f>
        <v>1</v>
      </c>
      <c r="DI151" s="5" t="s">
        <v>251</v>
      </c>
      <c r="DJ151" s="5">
        <f>IF(DI151="No, en absoluto",1,
IF(DI151="No más que lo habitual",2,
IF(DI151="Bastante más que lo habitual",3,
IF(DI151="Mucho más que lo habitual",4,""))))</f>
        <v>1</v>
      </c>
      <c r="DK151" s="5" t="s">
        <v>251</v>
      </c>
      <c r="DL151" s="5">
        <f>IF(DK151="No, en absoluto",1,
IF(DK151="No más que lo habitual",2,
IF(DK151="Bastante más que lo habitual",3,
IF(DK151="Mucho más que lo habitual",4,""))))</f>
        <v>1</v>
      </c>
      <c r="DM151" s="5" t="s">
        <v>251</v>
      </c>
      <c r="DN151" s="5">
        <f>IF(DM151="No, en absoluto",1,
IF(DM151="No más que lo habitual",2,
IF(DM151="Bastante más que lo habitual",3,
IF(DM151="Mucho más que lo habitual",4,""))))</f>
        <v>1</v>
      </c>
      <c r="DO151" s="5" t="s">
        <v>281</v>
      </c>
      <c r="DP151" s="5">
        <f>IF(DO151="Más que lo habitual",1,
IF(DO151="Igual que lo habitual",2,
IF(DO151="Menos que lo habitual",3,
IF(DO151="Mucho menos que lo habitual",4,""))))</f>
        <v>1</v>
      </c>
      <c r="DQ151" s="5" t="s">
        <v>281</v>
      </c>
      <c r="DR151" s="5">
        <f>IF(DQ151="Más que lo habitual",1,
IF(DQ151="Igual que lo habitual",2,
IF(DQ151="Menos que lo habitual",3,
IF(DQ151="Mucho menos que lo habitual",4,""))))</f>
        <v>1</v>
      </c>
      <c r="DS151" s="5" t="s">
        <v>281</v>
      </c>
      <c r="DT151" s="5">
        <f>IF(DS151="Más que lo habitual",1,
IF(DS151="Igual que lo habitual",2,
IF(DS151="Menos que lo habitual",3,
IF(DS151="Mucho menos que lo habitual",4,""))))</f>
        <v>1</v>
      </c>
      <c r="DU151" s="5" t="s">
        <v>281</v>
      </c>
      <c r="DV151" s="5">
        <f>IF(DU151="Más que lo habitual",1,
IF(DU151="Igual que lo habitual",2,
IF(DU151="Menos que lo habitual",3,
IF(DU151="Mucho menos que lo habitual",4,""))))</f>
        <v>1</v>
      </c>
      <c r="DW151" s="5" t="s">
        <v>281</v>
      </c>
      <c r="DX151" s="5">
        <f>IF(DW151="Más que lo habitual",1,
IF(DW151="Igual que lo habitual",2,
IF(DW151="Menos que lo habitual",3,
IF(DW151="Mucho menos que lo habitual",4,""))))</f>
        <v>1</v>
      </c>
      <c r="DY151" s="5">
        <f>SUM(DB151,DD151,DF151,DH151,DJ151,DL151,DN151,DP151,DR151,DT151,DV151,DX151)</f>
        <v>12</v>
      </c>
      <c r="DZ151" s="5" t="str">
        <f>IF(DY151&lt;=18,"Nivel de riesgo bajo",
IF(DY151&lt;=23,"Nivel de riesgo medio",
"Nivel de riesgo alto"))</f>
        <v>Nivel de riesgo bajo</v>
      </c>
      <c r="EA151" s="5" t="s">
        <v>253</v>
      </c>
      <c r="EB151" s="5">
        <f>IF(EA151="Nunca/ casi nunca",0,
IF(EA151="Rara vez",1,
IF(EA151="A veces",2,
IF(EA151="A menudo",3,
IF(EA151="Siempre",4,"")))))</f>
        <v>0</v>
      </c>
      <c r="EC151" s="5" t="s">
        <v>253</v>
      </c>
      <c r="ED151" s="5">
        <f>IF(EC151="Nunca/ casi nunca",0,
IF(EC151="Rara vez",1,
IF(EC151="A veces",2,
IF(EC151="A menudo",3,
IF(EC151="Siempre",4,"")))))</f>
        <v>0</v>
      </c>
      <c r="EE151" s="5" t="s">
        <v>253</v>
      </c>
      <c r="EF151" s="5">
        <f>IF(EE151="Nunca/ casi nunca",0,
IF(EE151="Rara vez",1,
IF(EE151="A veces",2,
IF(EE151="A menudo",3,
IF(EE151="Siempre",4,"")))))</f>
        <v>0</v>
      </c>
      <c r="EG151" s="5">
        <f>SUM(EB151,ED151,EF151)</f>
        <v>0</v>
      </c>
      <c r="EH151" s="5" t="str">
        <f>IF(EG151&lt;=1,"Nivel de riesgo bajo",
IF(EG151&lt;=4,"Nivel de riesgo medio",
"Nivel de riesgo alto"))</f>
        <v>Nivel de riesgo bajo</v>
      </c>
      <c r="EI151" s="5" t="s">
        <v>253</v>
      </c>
      <c r="EJ151" s="5">
        <f>IF(EI151="Nunca/ casi nunca",0,
IF(EI151="Rara vez",1,
IF(EI151="A veces",2,
IF(EI151="A menudo",3,
IF(EI151="Siempre",4,"")))))</f>
        <v>0</v>
      </c>
      <c r="EK151" s="5" t="s">
        <v>253</v>
      </c>
      <c r="EL151" s="5">
        <f>IF(EK151="Nunca/ casi nunca",0,
IF(EK151="Rara vez",1,
IF(EK151="A veces",2,
IF(EK151="A menudo",3,
IF(EK151="Siempre",4,"")))))</f>
        <v>0</v>
      </c>
      <c r="EM151" s="5" t="s">
        <v>253</v>
      </c>
      <c r="EN151" s="5">
        <f>IF(EM151="Nunca/ casi nunca",0,
IF(EM151="Rara vez",1,
IF(EM151="A veces",2,
IF(EM151="A menudo",3,
IF(EM151="Siempre",4,"")))))</f>
        <v>0</v>
      </c>
      <c r="EO151" s="5">
        <f>SUM(EJ151,EL151,EN151)</f>
        <v>0</v>
      </c>
      <c r="EP151" s="5" t="str">
        <f>IF(EO151&lt;=1,"Nivel de riesgo bajo",
IF(EO151&lt;=5,"Nivel de riesgo medio",
"Nivel de riesgo alto"))</f>
        <v>Nivel de riesgo bajo</v>
      </c>
      <c r="EQ151" s="5" t="s">
        <v>253</v>
      </c>
      <c r="ER151" s="5">
        <f>IF(EQ151="Nunca/ casi nunca",4,
IF(EQ151="Rara vez",3,
IF(EQ151="A veces",2,
IF(EQ151="A menudo",1,
IF(EQ151="Siempre",0,"")))))</f>
        <v>4</v>
      </c>
      <c r="ES151" s="5" t="s">
        <v>254</v>
      </c>
      <c r="ET151" s="5">
        <f>IF(ES151="Nunca/ casi nunca",4,
IF(ES151="Rara vez",3,
IF(ES151="A veces",2,
IF(ES151="A menudo",1,
IF(ES151="Siempre",0,"")))))</f>
        <v>0</v>
      </c>
      <c r="EU151" s="5" t="s">
        <v>254</v>
      </c>
      <c r="EV151" s="5">
        <f>IF(EU151="Nunca/ casi nunca",4,
IF(EU151="Rara vez",3,
IF(EU151="A veces",2,
IF(EU151="A menudo",1,
IF(EU151="Siempre",0,"")))))</f>
        <v>0</v>
      </c>
      <c r="EW151" s="5" t="s">
        <v>254</v>
      </c>
      <c r="EX151" s="5">
        <f>IF(EW151="Nunca/ casi nunca",4,
IF(EW151="Rara vez",3,
IF(EW151="A veces",2,
IF(EW151="A menudo",1,
IF(EW151="Siempre",0,"")))))</f>
        <v>0</v>
      </c>
      <c r="EY151" s="5">
        <f>SUM(ER151,ET151,EV151,EX151)</f>
        <v>4</v>
      </c>
      <c r="EZ151" s="5" t="str">
        <f>IF(EY151&lt;=0,"Nivel de riesgo bajo",
IF(EY151&lt;=4,"Nivel de riesgo medio",
"Nivel de riesgo alto"))</f>
        <v>Nivel de riesgo medio</v>
      </c>
      <c r="FA151" s="5" t="s">
        <v>253</v>
      </c>
      <c r="FB151" s="5">
        <f>IF(FA151="Nunca/ casi nunca",0,
IF(FA151="Rara vez",1,
IF(FA151="A veces",2,
IF(FA151="A menudo",3,
IF(FA151="Siempre",4,"")))))</f>
        <v>0</v>
      </c>
      <c r="FC151" s="5" t="s">
        <v>253</v>
      </c>
      <c r="FD151" s="5">
        <f>IF(FC151="Nunca/ casi nunca",0,
IF(FC151="Rara vez",1,
IF(FC151="A veces",2,
IF(FC151="A menudo",3,
IF(FC151="Siempre",4,"")))))</f>
        <v>0</v>
      </c>
      <c r="FE151" s="5" t="s">
        <v>253</v>
      </c>
      <c r="FF151" s="5">
        <f>IF(FE151="Nunca/ casi nunca",0,
IF(FE151="Rara vez",1,
IF(FE151="A veces",2,
IF(FE151="A menudo",3,
IF(FE151="Siempre",4,"")))))</f>
        <v>0</v>
      </c>
      <c r="FG151" s="5">
        <f>SUM(FB151,FD151,FF151)</f>
        <v>0</v>
      </c>
      <c r="FH151" s="5" t="str">
        <f>IF(FG151&lt;=2,"Nivel de riesgo bajo",
IF(FG151&lt;=5,"Nivel de riesgo medio",
"Nivel de riesgo alto"))</f>
        <v>Nivel de riesgo bajo</v>
      </c>
      <c r="FI151" s="5" t="s">
        <v>253</v>
      </c>
      <c r="FJ151" s="5">
        <f>IF(FI151="Nunca/ casi nunca",0,
IF(FI151="Rara vez",1,
IF(FI151="A veces",2,
IF(FI151="A menudo",3,
IF(FI151="Siempre",4,"")))))</f>
        <v>0</v>
      </c>
      <c r="FK151" s="5" t="s">
        <v>253</v>
      </c>
      <c r="FL151" s="5">
        <f>IF(FK151="Nunca/ casi nunca",0,
IF(FK151="Rara vez",1,
IF(FK151="A veces",2,
IF(FK151="A menudo",3,
IF(FK151="Siempre",4,"")))))</f>
        <v>0</v>
      </c>
      <c r="FM151" s="5" t="s">
        <v>253</v>
      </c>
      <c r="FN151" s="5">
        <f>IF(FM151="Nunca/ casi nunca",0,
IF(FM151="Rara vez",1,
IF(FM151="A veces",2,
IF(FM151="A menudo",3,
IF(FM151="Siempre",4,"")))))</f>
        <v>0</v>
      </c>
      <c r="FO151" s="5">
        <f>SUM(FJ151,FL151,FN151)</f>
        <v>0</v>
      </c>
      <c r="FP151" s="5" t="str">
        <f>IF(FO151&lt;=2,"Nivel de riesgo bajo",
IF(FO151&lt;=5,"Nivel de riesgo medio",
"Nivel de riesgo alto"))</f>
        <v>Nivel de riesgo bajo</v>
      </c>
      <c r="FQ151" s="5" t="s">
        <v>206</v>
      </c>
      <c r="FR151" s="5">
        <f>IF(FQ151="No",0,
IF(FQ151="Sí, unas pocas veces",1,
IF(FQ151="Sí, mensualmente",2,
IF(FQ151="Sí, semanalmente",3,
IF(FQ151="Sí, diariamente",4,"")))))</f>
        <v>0</v>
      </c>
      <c r="FS151" s="5" t="s">
        <v>206</v>
      </c>
      <c r="FT151" s="5">
        <f>IF(FS151="No",0,
IF(FS151="Sí, unas pocas veces",1,
IF(FS151="Sí, mensualmente",2,
IF(FS151="Sí, semanalmente",3,
IF(FS151="Sí, diariamente",4,"")))))</f>
        <v>0</v>
      </c>
      <c r="FU151" s="5" t="s">
        <v>206</v>
      </c>
      <c r="FV151" s="5">
        <f>IF(FU151="No",0,
IF(FU151="Sí, unas pocas veces",1,
IF(FU151="Sí, mensualmente",2,
IF(FU151="Sí, semanalmente",3,
IF(FU151="Sí, diariamente",4,"")))))</f>
        <v>0</v>
      </c>
      <c r="FW151" s="5" t="s">
        <v>206</v>
      </c>
      <c r="FX151" s="5">
        <f>IF(FW151="No",0,
IF(FW151="Sí, unas pocas veces",1,
IF(FW151="Sí, mensualmente",2,
IF(FW151="Sí, semanalmente",3,
IF(FW151="Sí, diariamente",4,"")))))</f>
        <v>0</v>
      </c>
      <c r="FY151" s="5" t="s">
        <v>206</v>
      </c>
      <c r="FZ151" s="5">
        <f>IF(FY151="No",0,
IF(FY151="Sí, unas pocas veces",1,
IF(FY151="Sí, mensualmente",2,
IF(FY151="Sí, semanalmente",3,
IF(FY151="Sí, diariamente",4,"")))))</f>
        <v>0</v>
      </c>
      <c r="GA151" s="5" t="s">
        <v>206</v>
      </c>
      <c r="GB151" s="5">
        <f>IF(GA151="No",0,
IF(GA151="Sí, unas pocas veces",1,
IF(GA151="Sí, mensualmente",2,
IF(GA151="Sí, semanalmente",3,
IF(GA151="Sí, diariamente",4,"")))))</f>
        <v>0</v>
      </c>
      <c r="GC151" s="5" t="s">
        <v>206</v>
      </c>
      <c r="GD151" s="5">
        <f>IF(GC151="No",0,
IF(GC151="Sí, unas pocas veces",1,
IF(GC151="Sí, mensualmente",2,
IF(GC151="Sí, semanalmente",3,
IF(GC151="Sí, diariamente",4,"")))))</f>
        <v>0</v>
      </c>
      <c r="GE151" s="5">
        <f>SUM(FR151,FT151,FV151,FX151,FZ151,GB151,GD151)</f>
        <v>0</v>
      </c>
      <c r="GF151" s="5" t="str">
        <f>IF(GE151&lt;=0,"Nivel de riesgo bajo",
IF(GE151&lt;=14,"Nivel de riesgo medio",
"Nivel de riesgo alto"))</f>
        <v>Nivel de riesgo bajo</v>
      </c>
      <c r="GG151" s="5" t="s">
        <v>255</v>
      </c>
      <c r="GH151" s="5" t="s">
        <v>255</v>
      </c>
      <c r="GI151" s="5" t="s">
        <v>255</v>
      </c>
      <c r="GJ151" s="5" t="s">
        <v>255</v>
      </c>
      <c r="GK151" s="5" t="s">
        <v>233</v>
      </c>
      <c r="GL151" s="5" t="s">
        <v>233</v>
      </c>
      <c r="GM151" s="5" t="s">
        <v>255</v>
      </c>
      <c r="GN151" s="5" t="s">
        <v>256</v>
      </c>
      <c r="GO151" s="5" t="s">
        <v>234</v>
      </c>
      <c r="GP151" s="5" t="s">
        <v>234</v>
      </c>
      <c r="GQ151" s="5" t="s">
        <v>257</v>
      </c>
      <c r="GR151" s="5" t="s">
        <v>257</v>
      </c>
      <c r="GS151" s="5" t="s">
        <v>257</v>
      </c>
      <c r="GT151" s="5" t="s">
        <v>256</v>
      </c>
      <c r="GU151" s="5" t="s">
        <v>502</v>
      </c>
      <c r="GV151" s="5" t="str">
        <f>TEXT("6278888511524606306","0")</f>
        <v>6278888511524600000</v>
      </c>
    </row>
    <row r="152" spans="1:204" ht="15.75" customHeight="1" x14ac:dyDescent="0.15">
      <c r="A152" s="1">
        <f>ROW(A152)</f>
        <v>152</v>
      </c>
      <c r="B152" s="4">
        <v>45847.535416666666</v>
      </c>
      <c r="C152" s="5" t="s">
        <v>204</v>
      </c>
      <c r="D152" s="5" t="s">
        <v>206</v>
      </c>
      <c r="F152" s="5" t="s">
        <v>204</v>
      </c>
      <c r="G152" s="5" t="s">
        <v>206</v>
      </c>
      <c r="H152" s="5" t="s">
        <v>206</v>
      </c>
      <c r="K152" s="5" t="s">
        <v>237</v>
      </c>
      <c r="P152" s="5" t="s">
        <v>237</v>
      </c>
      <c r="T152" s="5" t="s">
        <v>209</v>
      </c>
      <c r="Y152" s="5" t="s">
        <v>209</v>
      </c>
      <c r="AE152" s="5" t="s">
        <v>237</v>
      </c>
      <c r="AH152" s="5" t="s">
        <v>210</v>
      </c>
      <c r="AI152" s="5">
        <v>2024</v>
      </c>
      <c r="AJ152" s="5" t="s">
        <v>238</v>
      </c>
      <c r="AK152" s="5" t="str">
        <f>IF(OR(AJ152="Empleada del sector privado",AJ152="Empleada del sector público"),"Asalariada",
IF(AJ152="Trabajadora por cuenta propia","Trabajadora por cuenta propia",""))</f>
        <v>Trabajadora por cuenta propia</v>
      </c>
      <c r="AL152" s="5" t="s">
        <v>239</v>
      </c>
      <c r="AP152" s="5" t="s">
        <v>240</v>
      </c>
      <c r="AR152" s="5" t="s">
        <v>301</v>
      </c>
      <c r="AS152" s="5" t="s">
        <v>301</v>
      </c>
      <c r="AT152" s="5" t="s">
        <v>241</v>
      </c>
      <c r="AU152" s="5" t="s">
        <v>301</v>
      </c>
      <c r="AV152" s="5" t="s">
        <v>269</v>
      </c>
      <c r="AW152" s="5" t="s">
        <v>204</v>
      </c>
      <c r="AX152" s="5" t="s">
        <v>206</v>
      </c>
      <c r="BF152" s="5" t="s">
        <v>204</v>
      </c>
      <c r="BG152" s="5" t="s">
        <v>264</v>
      </c>
      <c r="BH152" s="5" t="s">
        <v>215</v>
      </c>
      <c r="BI152" s="5" t="s">
        <v>264</v>
      </c>
      <c r="BJ152" s="5" t="s">
        <v>215</v>
      </c>
      <c r="BK152" s="5" t="s">
        <v>243</v>
      </c>
      <c r="BL152" s="5" t="s">
        <v>246</v>
      </c>
      <c r="BM152" s="5" t="s">
        <v>245</v>
      </c>
      <c r="BN152" s="5" t="s">
        <v>246</v>
      </c>
      <c r="BO152" s="5" t="s">
        <v>246</v>
      </c>
      <c r="BP152" s="5" t="s">
        <v>245</v>
      </c>
      <c r="BQ152" s="5" t="s">
        <v>243</v>
      </c>
      <c r="BR152" s="5" t="s">
        <v>244</v>
      </c>
      <c r="BS152" s="5" t="s">
        <v>254</v>
      </c>
      <c r="BT152" s="5" t="s">
        <v>254</v>
      </c>
      <c r="BU152" s="5" t="s">
        <v>247</v>
      </c>
      <c r="BV152" s="5" t="s">
        <v>248</v>
      </c>
      <c r="BW152" s="5" t="s">
        <v>232</v>
      </c>
      <c r="BX152" s="5" t="s">
        <v>232</v>
      </c>
      <c r="BY152" s="5" t="s">
        <v>248</v>
      </c>
      <c r="BZ152" s="5" t="s">
        <v>244</v>
      </c>
      <c r="CA152" s="5" t="s">
        <v>244</v>
      </c>
      <c r="CB152" s="5" t="s">
        <v>244</v>
      </c>
      <c r="CC152" s="5" t="s">
        <v>243</v>
      </c>
      <c r="CD152" s="5" t="s">
        <v>206</v>
      </c>
      <c r="CH152" s="5" t="s">
        <v>206</v>
      </c>
      <c r="CI152" s="5" t="s">
        <v>291</v>
      </c>
      <c r="CJ152" s="5">
        <v>4</v>
      </c>
      <c r="CK152" s="5" t="s">
        <v>223</v>
      </c>
      <c r="CU152" s="5" t="s">
        <v>206</v>
      </c>
      <c r="DA152" s="5" t="s">
        <v>252</v>
      </c>
      <c r="DB152" s="5">
        <f>IF(DA152="Mejor que lo habitual",1,
IF(DA152="Igual que lo habitual",2,
IF(DA152="Menos que lo habitual",3,
IF(DA152="Mucho menos que lo habitual",4,""))))</f>
        <v>3</v>
      </c>
      <c r="DC152" s="5" t="s">
        <v>250</v>
      </c>
      <c r="DD152" s="5">
        <f>IF(DC152="No, en absoluto",1,
IF(DC152="No más que lo habitual",2,
IF(DC152="Bastante más que lo habitual",3,
IF(DC152="Mucho más que lo habitual",4,""))))</f>
        <v>3</v>
      </c>
      <c r="DE152" s="5" t="s">
        <v>250</v>
      </c>
      <c r="DF152" s="5">
        <f>IF(DE152="No, en absoluto",1,
IF(DE152="No más que lo habitual",2,
IF(DE152="Bastante más que lo habitual",3,
IF(DE152="Mucho más que lo habitual",4,""))))</f>
        <v>3</v>
      </c>
      <c r="DG152" s="5" t="s">
        <v>250</v>
      </c>
      <c r="DH152" s="5">
        <f>IF(DG152="No, en absoluto",1,
IF(DG152="No más que lo habitual",2,
IF(DG152="Bastante más que lo habitual",3,
IF(DG152="Mucho más que lo habitual",4,""))))</f>
        <v>3</v>
      </c>
      <c r="DI152" s="5" t="s">
        <v>250</v>
      </c>
      <c r="DJ152" s="5">
        <f>IF(DI152="No, en absoluto",1,
IF(DI152="No más que lo habitual",2,
IF(DI152="Bastante más que lo habitual",3,
IF(DI152="Mucho más que lo habitual",4,""))))</f>
        <v>3</v>
      </c>
      <c r="DK152" s="5" t="s">
        <v>250</v>
      </c>
      <c r="DL152" s="5">
        <f>IF(DK152="No, en absoluto",1,
IF(DK152="No más que lo habitual",2,
IF(DK152="Bastante más que lo habitual",3,
IF(DK152="Mucho más que lo habitual",4,""))))</f>
        <v>3</v>
      </c>
      <c r="DM152" s="5" t="s">
        <v>230</v>
      </c>
      <c r="DN152" s="5">
        <f>IF(DM152="No, en absoluto",1,
IF(DM152="No más que lo habitual",2,
IF(DM152="Bastante más que lo habitual",3,
IF(DM152="Mucho más que lo habitual",4,""))))</f>
        <v>2</v>
      </c>
      <c r="DO152" s="5" t="s">
        <v>231</v>
      </c>
      <c r="DP152" s="5">
        <f>IF(DO152="Más que lo habitual",1,
IF(DO152="Igual que lo habitual",2,
IF(DO152="Menos que lo habitual",3,
IF(DO152="Mucho menos que lo habitual",4,""))))</f>
        <v>2</v>
      </c>
      <c r="DQ152" s="5" t="s">
        <v>281</v>
      </c>
      <c r="DR152" s="5">
        <f>IF(DQ152="Más que lo habitual",1,
IF(DQ152="Igual que lo habitual",2,
IF(DQ152="Menos que lo habitual",3,
IF(DQ152="Mucho menos que lo habitual",4,""))))</f>
        <v>1</v>
      </c>
      <c r="DS152" s="5" t="s">
        <v>231</v>
      </c>
      <c r="DT152" s="5">
        <f>IF(DS152="Más que lo habitual",1,
IF(DS152="Igual que lo habitual",2,
IF(DS152="Menos que lo habitual",3,
IF(DS152="Mucho menos que lo habitual",4,""))))</f>
        <v>2</v>
      </c>
      <c r="DU152" s="5" t="s">
        <v>252</v>
      </c>
      <c r="DV152" s="5">
        <f>IF(DU152="Más que lo habitual",1,
IF(DU152="Igual que lo habitual",2,
IF(DU152="Menos que lo habitual",3,
IF(DU152="Mucho menos que lo habitual",4,""))))</f>
        <v>3</v>
      </c>
      <c r="DW152" s="5" t="s">
        <v>231</v>
      </c>
      <c r="DX152" s="5">
        <f>IF(DW152="Más que lo habitual",1,
IF(DW152="Igual que lo habitual",2,
IF(DW152="Menos que lo habitual",3,
IF(DW152="Mucho menos que lo habitual",4,""))))</f>
        <v>2</v>
      </c>
      <c r="DY152" s="5">
        <f>SUM(DB152,DD152,DF152,DH152,DJ152,DL152,DN152,DP152,DR152,DT152,DV152,DX152)</f>
        <v>30</v>
      </c>
      <c r="DZ152" s="5" t="str">
        <f>IF(DY152&lt;=18,"Nivel de riesgo bajo",
IF(DY152&lt;=23,"Nivel de riesgo medio",
"Nivel de riesgo alto"))</f>
        <v>Nivel de riesgo alto</v>
      </c>
      <c r="EA152" s="5" t="s">
        <v>248</v>
      </c>
      <c r="EB152" s="5">
        <f>IF(EA152="Nunca/ casi nunca",0,
IF(EA152="Rara vez",1,
IF(EA152="A veces",2,
IF(EA152="A menudo",3,
IF(EA152="Siempre",4,"")))))</f>
        <v>1</v>
      </c>
      <c r="EC152" s="5" t="s">
        <v>248</v>
      </c>
      <c r="ED152" s="5">
        <f>IF(EC152="Nunca/ casi nunca",0,
IF(EC152="Rara vez",1,
IF(EC152="A veces",2,
IF(EC152="A menudo",3,
IF(EC152="Siempre",4,"")))))</f>
        <v>1</v>
      </c>
      <c r="EE152" s="5" t="s">
        <v>253</v>
      </c>
      <c r="EF152" s="5">
        <f>IF(EE152="Nunca/ casi nunca",0,
IF(EE152="Rara vez",1,
IF(EE152="A veces",2,
IF(EE152="A menudo",3,
IF(EE152="Siempre",4,"")))))</f>
        <v>0</v>
      </c>
      <c r="EG152" s="5">
        <f>SUM(EB152,ED152,EF152)</f>
        <v>2</v>
      </c>
      <c r="EH152" s="5" t="str">
        <f>IF(EG152&lt;=1,"Nivel de riesgo bajo",
IF(EG152&lt;=4,"Nivel de riesgo medio",
"Nivel de riesgo alto"))</f>
        <v>Nivel de riesgo medio</v>
      </c>
      <c r="EI152" s="5" t="s">
        <v>253</v>
      </c>
      <c r="EJ152" s="5">
        <f>IF(EI152="Nunca/ casi nunca",0,
IF(EI152="Rara vez",1,
IF(EI152="A veces",2,
IF(EI152="A menudo",3,
IF(EI152="Siempre",4,"")))))</f>
        <v>0</v>
      </c>
      <c r="EK152" s="5" t="s">
        <v>254</v>
      </c>
      <c r="EL152" s="5">
        <f>IF(EK152="Nunca/ casi nunca",0,
IF(EK152="Rara vez",1,
IF(EK152="A veces",2,
IF(EK152="A menudo",3,
IF(EK152="Siempre",4,"")))))</f>
        <v>4</v>
      </c>
      <c r="EM152" s="5" t="s">
        <v>232</v>
      </c>
      <c r="EN152" s="5">
        <f>IF(EM152="Nunca/ casi nunca",0,
IF(EM152="Rara vez",1,
IF(EM152="A veces",2,
IF(EM152="A menudo",3,
IF(EM152="Siempre",4,"")))))</f>
        <v>3</v>
      </c>
      <c r="EO152" s="5">
        <f>SUM(EJ152,EL152,EN152)</f>
        <v>7</v>
      </c>
      <c r="EP152" s="5" t="str">
        <f>IF(EO152&lt;=1,"Nivel de riesgo bajo",
IF(EO152&lt;=5,"Nivel de riesgo medio",
"Nivel de riesgo alto"))</f>
        <v>Nivel de riesgo alto</v>
      </c>
      <c r="EQ152" s="5" t="s">
        <v>253</v>
      </c>
      <c r="ER152" s="5">
        <f>IF(EQ152="Nunca/ casi nunca",4,
IF(EQ152="Rara vez",3,
IF(EQ152="A veces",2,
IF(EQ152="A menudo",1,
IF(EQ152="Siempre",0,"")))))</f>
        <v>4</v>
      </c>
      <c r="ES152" s="5" t="s">
        <v>253</v>
      </c>
      <c r="ET152" s="5">
        <f>IF(ES152="Nunca/ casi nunca",4,
IF(ES152="Rara vez",3,
IF(ES152="A veces",2,
IF(ES152="A menudo",1,
IF(ES152="Siempre",0,"")))))</f>
        <v>4</v>
      </c>
      <c r="EU152" s="5" t="s">
        <v>253</v>
      </c>
      <c r="EV152" s="5">
        <f>IF(EU152="Nunca/ casi nunca",4,
IF(EU152="Rara vez",3,
IF(EU152="A veces",2,
IF(EU152="A menudo",1,
IF(EU152="Siempre",0,"")))))</f>
        <v>4</v>
      </c>
      <c r="EW152" s="5" t="s">
        <v>253</v>
      </c>
      <c r="EX152" s="5">
        <f>IF(EW152="Nunca/ casi nunca",4,
IF(EW152="Rara vez",3,
IF(EW152="A veces",2,
IF(EW152="A menudo",1,
IF(EW152="Siempre",0,"")))))</f>
        <v>4</v>
      </c>
      <c r="EY152" s="5">
        <f>SUM(ER152,ET152,EV152,EX152)</f>
        <v>16</v>
      </c>
      <c r="EZ152" s="5" t="str">
        <f>IF(EY152&lt;=0,"Nivel de riesgo bajo",
IF(EY152&lt;=4,"Nivel de riesgo medio",
"Nivel de riesgo alto"))</f>
        <v>Nivel de riesgo alto</v>
      </c>
      <c r="FA152" s="5" t="s">
        <v>253</v>
      </c>
      <c r="FB152" s="5">
        <f>IF(FA152="Nunca/ casi nunca",0,
IF(FA152="Rara vez",1,
IF(FA152="A veces",2,
IF(FA152="A menudo",3,
IF(FA152="Siempre",4,"")))))</f>
        <v>0</v>
      </c>
      <c r="FC152" s="5" t="s">
        <v>253</v>
      </c>
      <c r="FD152" s="5">
        <f>IF(FC152="Nunca/ casi nunca",0,
IF(FC152="Rara vez",1,
IF(FC152="A veces",2,
IF(FC152="A menudo",3,
IF(FC152="Siempre",4,"")))))</f>
        <v>0</v>
      </c>
      <c r="FE152" s="5" t="s">
        <v>253</v>
      </c>
      <c r="FF152" s="5">
        <f>IF(FE152="Nunca/ casi nunca",0,
IF(FE152="Rara vez",1,
IF(FE152="A veces",2,
IF(FE152="A menudo",3,
IF(FE152="Siempre",4,"")))))</f>
        <v>0</v>
      </c>
      <c r="FG152" s="5">
        <f>SUM(FB152,FD152,FF152)</f>
        <v>0</v>
      </c>
      <c r="FH152" s="5" t="str">
        <f>IF(FG152&lt;=2,"Nivel de riesgo bajo",
IF(FG152&lt;=5,"Nivel de riesgo medio",
"Nivel de riesgo alto"))</f>
        <v>Nivel de riesgo bajo</v>
      </c>
      <c r="FI152" s="5" t="s">
        <v>253</v>
      </c>
      <c r="FJ152" s="5">
        <f>IF(FI152="Nunca/ casi nunca",0,
IF(FI152="Rara vez",1,
IF(FI152="A veces",2,
IF(FI152="A menudo",3,
IF(FI152="Siempre",4,"")))))</f>
        <v>0</v>
      </c>
      <c r="FK152" s="5" t="s">
        <v>253</v>
      </c>
      <c r="FL152" s="5">
        <f>IF(FK152="Nunca/ casi nunca",0,
IF(FK152="Rara vez",1,
IF(FK152="A veces",2,
IF(FK152="A menudo",3,
IF(FK152="Siempre",4,"")))))</f>
        <v>0</v>
      </c>
      <c r="FM152" s="5" t="s">
        <v>253</v>
      </c>
      <c r="FN152" s="5">
        <f>IF(FM152="Nunca/ casi nunca",0,
IF(FM152="Rara vez",1,
IF(FM152="A veces",2,
IF(FM152="A menudo",3,
IF(FM152="Siempre",4,"")))))</f>
        <v>0</v>
      </c>
      <c r="FO152" s="5">
        <f>SUM(FJ152,FL152,FN152)</f>
        <v>0</v>
      </c>
      <c r="FP152" s="5" t="str">
        <f>IF(FO152&lt;=2,"Nivel de riesgo bajo",
IF(FO152&lt;=5,"Nivel de riesgo medio",
"Nivel de riesgo alto"))</f>
        <v>Nivel de riesgo bajo</v>
      </c>
      <c r="FQ152" s="5" t="s">
        <v>206</v>
      </c>
      <c r="FR152" s="5">
        <f>IF(FQ152="No",0,
IF(FQ152="Sí, unas pocas veces",1,
IF(FQ152="Sí, mensualmente",2,
IF(FQ152="Sí, semanalmente",3,
IF(FQ152="Sí, diariamente",4,"")))))</f>
        <v>0</v>
      </c>
      <c r="FS152" s="5" t="s">
        <v>206</v>
      </c>
      <c r="FT152" s="5">
        <f>IF(FS152="No",0,
IF(FS152="Sí, unas pocas veces",1,
IF(FS152="Sí, mensualmente",2,
IF(FS152="Sí, semanalmente",3,
IF(FS152="Sí, diariamente",4,"")))))</f>
        <v>0</v>
      </c>
      <c r="FU152" s="5" t="s">
        <v>206</v>
      </c>
      <c r="FV152" s="5">
        <f>IF(FU152="No",0,
IF(FU152="Sí, unas pocas veces",1,
IF(FU152="Sí, mensualmente",2,
IF(FU152="Sí, semanalmente",3,
IF(FU152="Sí, diariamente",4,"")))))</f>
        <v>0</v>
      </c>
      <c r="FW152" s="5" t="s">
        <v>206</v>
      </c>
      <c r="FX152" s="5">
        <f>IF(FW152="No",0,
IF(FW152="Sí, unas pocas veces",1,
IF(FW152="Sí, mensualmente",2,
IF(FW152="Sí, semanalmente",3,
IF(FW152="Sí, diariamente",4,"")))))</f>
        <v>0</v>
      </c>
      <c r="FY152" s="5" t="s">
        <v>206</v>
      </c>
      <c r="FZ152" s="5">
        <f>IF(FY152="No",0,
IF(FY152="Sí, unas pocas veces",1,
IF(FY152="Sí, mensualmente",2,
IF(FY152="Sí, semanalmente",3,
IF(FY152="Sí, diariamente",4,"")))))</f>
        <v>0</v>
      </c>
      <c r="GA152" s="5" t="s">
        <v>206</v>
      </c>
      <c r="GB152" s="5">
        <f>IF(GA152="No",0,
IF(GA152="Sí, unas pocas veces",1,
IF(GA152="Sí, mensualmente",2,
IF(GA152="Sí, semanalmente",3,
IF(GA152="Sí, diariamente",4,"")))))</f>
        <v>0</v>
      </c>
      <c r="GC152" s="5" t="s">
        <v>206</v>
      </c>
      <c r="GD152" s="5">
        <f>IF(GC152="No",0,
IF(GC152="Sí, unas pocas veces",1,
IF(GC152="Sí, mensualmente",2,
IF(GC152="Sí, semanalmente",3,
IF(GC152="Sí, diariamente",4,"")))))</f>
        <v>0</v>
      </c>
      <c r="GE152" s="5">
        <f>SUM(FR152,FT152,FV152,FX152,FZ152,GB152,GD152)</f>
        <v>0</v>
      </c>
      <c r="GF152" s="5" t="str">
        <f>IF(GE152&lt;=0,"Nivel de riesgo bajo",
IF(GE152&lt;=14,"Nivel de riesgo medio",
"Nivel de riesgo alto"))</f>
        <v>Nivel de riesgo bajo</v>
      </c>
      <c r="GG152" s="5" t="s">
        <v>255</v>
      </c>
      <c r="GH152" s="5" t="s">
        <v>255</v>
      </c>
      <c r="GI152" s="5" t="s">
        <v>255</v>
      </c>
      <c r="GJ152" s="5" t="s">
        <v>255</v>
      </c>
      <c r="GK152" s="5" t="s">
        <v>233</v>
      </c>
      <c r="GL152" s="5" t="s">
        <v>255</v>
      </c>
      <c r="GM152" s="5" t="s">
        <v>233</v>
      </c>
      <c r="GN152" s="5" t="s">
        <v>243</v>
      </c>
      <c r="GO152" s="5" t="s">
        <v>243</v>
      </c>
      <c r="GP152" s="5" t="s">
        <v>243</v>
      </c>
      <c r="GQ152" s="5" t="s">
        <v>257</v>
      </c>
      <c r="GR152" s="5" t="s">
        <v>257</v>
      </c>
      <c r="GS152" s="5" t="s">
        <v>243</v>
      </c>
      <c r="GT152" s="5" t="s">
        <v>243</v>
      </c>
      <c r="GU152" s="5" t="s">
        <v>503</v>
      </c>
      <c r="GV152" s="5" t="str">
        <f>TEXT("6278890604725641599","0")</f>
        <v>6278890604725640000</v>
      </c>
    </row>
    <row r="153" spans="1:204" ht="15.75" hidden="1" customHeight="1" x14ac:dyDescent="0.15">
      <c r="B153" s="4">
        <v>45847.536192129628</v>
      </c>
      <c r="C153" s="5" t="s">
        <v>204</v>
      </c>
      <c r="D153" s="5" t="s">
        <v>206</v>
      </c>
      <c r="F153" s="5" t="s">
        <v>204</v>
      </c>
      <c r="G153" s="5" t="s">
        <v>206</v>
      </c>
      <c r="H153" s="5" t="s">
        <v>206</v>
      </c>
      <c r="K153" s="5" t="s">
        <v>237</v>
      </c>
      <c r="O153" s="5" t="s">
        <v>209</v>
      </c>
      <c r="T153" s="5" t="s">
        <v>209</v>
      </c>
      <c r="X153" s="5" t="s">
        <v>208</v>
      </c>
      <c r="AC153" s="5" t="s">
        <v>208</v>
      </c>
      <c r="AH153" s="5" t="s">
        <v>275</v>
      </c>
      <c r="AI153" s="5">
        <v>2025</v>
      </c>
      <c r="AJ153" s="5" t="s">
        <v>304</v>
      </c>
      <c r="AK153" s="5"/>
      <c r="AR153" s="5" t="s">
        <v>276</v>
      </c>
      <c r="AS153" s="5" t="s">
        <v>276</v>
      </c>
      <c r="AT153" s="5" t="s">
        <v>276</v>
      </c>
      <c r="AU153" s="5" t="s">
        <v>276</v>
      </c>
      <c r="AV153" s="5" t="s">
        <v>457</v>
      </c>
      <c r="AW153" s="5" t="s">
        <v>204</v>
      </c>
      <c r="AX153" s="5" t="s">
        <v>206</v>
      </c>
      <c r="BF153" s="5" t="s">
        <v>204</v>
      </c>
      <c r="BG153" s="5" t="s">
        <v>207</v>
      </c>
      <c r="BH153" s="5" t="s">
        <v>215</v>
      </c>
      <c r="BI153" s="5" t="s">
        <v>207</v>
      </c>
      <c r="BJ153" s="5" t="s">
        <v>215</v>
      </c>
      <c r="BK153" s="5" t="s">
        <v>245</v>
      </c>
      <c r="BL153" s="5" t="s">
        <v>244</v>
      </c>
      <c r="BM153" s="5" t="s">
        <v>245</v>
      </c>
      <c r="BN153" s="5" t="s">
        <v>243</v>
      </c>
      <c r="BO153" s="5" t="s">
        <v>245</v>
      </c>
      <c r="BP153" s="5" t="s">
        <v>245</v>
      </c>
      <c r="BQ153" s="5" t="s">
        <v>245</v>
      </c>
      <c r="BR153" s="5" t="s">
        <v>245</v>
      </c>
      <c r="BS153" s="5" t="s">
        <v>247</v>
      </c>
      <c r="BT153" s="5" t="s">
        <v>247</v>
      </c>
      <c r="BU153" s="5" t="s">
        <v>247</v>
      </c>
      <c r="BV153" s="5" t="s">
        <v>217</v>
      </c>
      <c r="BW153" s="5" t="s">
        <v>247</v>
      </c>
      <c r="BX153" s="5" t="s">
        <v>217</v>
      </c>
      <c r="BY153" s="5" t="s">
        <v>217</v>
      </c>
      <c r="BZ153" s="5" t="s">
        <v>216</v>
      </c>
      <c r="CA153" s="5" t="s">
        <v>216</v>
      </c>
      <c r="CB153" s="5" t="s">
        <v>216</v>
      </c>
      <c r="CC153" s="5" t="s">
        <v>216</v>
      </c>
      <c r="CD153" s="5" t="s">
        <v>206</v>
      </c>
      <c r="CH153" s="5" t="s">
        <v>206</v>
      </c>
      <c r="CI153" s="5" t="s">
        <v>206</v>
      </c>
      <c r="CJ153" s="5">
        <v>0</v>
      </c>
      <c r="CK153" s="5" t="s">
        <v>223</v>
      </c>
      <c r="CU153" s="5" t="s">
        <v>206</v>
      </c>
      <c r="DA153" s="5" t="s">
        <v>231</v>
      </c>
      <c r="DB153" s="5"/>
      <c r="DC153" s="5" t="s">
        <v>280</v>
      </c>
      <c r="DD153" s="5"/>
      <c r="DE153" s="5" t="s">
        <v>280</v>
      </c>
      <c r="DF153" s="5"/>
      <c r="DG153" s="5" t="s">
        <v>280</v>
      </c>
      <c r="DH153" s="5"/>
      <c r="DI153" s="5" t="s">
        <v>280</v>
      </c>
      <c r="DJ153" s="5"/>
      <c r="DK153" s="5" t="s">
        <v>280</v>
      </c>
      <c r="DL153" s="5"/>
      <c r="DM153" s="5" t="s">
        <v>280</v>
      </c>
      <c r="DN153" s="5"/>
      <c r="DO153" s="5" t="s">
        <v>281</v>
      </c>
      <c r="DP153" s="5"/>
      <c r="DQ153" s="5" t="s">
        <v>281</v>
      </c>
      <c r="DR153" s="5"/>
      <c r="DS153" s="5" t="s">
        <v>252</v>
      </c>
      <c r="DT153" s="5"/>
      <c r="DU153" s="5" t="s">
        <v>252</v>
      </c>
      <c r="DV153" s="5"/>
      <c r="DW153" s="5" t="s">
        <v>252</v>
      </c>
      <c r="DX153" s="5"/>
      <c r="DY153" s="5"/>
      <c r="DZ153" s="5"/>
      <c r="EA153" s="5" t="s">
        <v>253</v>
      </c>
      <c r="EB153" s="5"/>
      <c r="EC153" s="5" t="s">
        <v>254</v>
      </c>
      <c r="ED153" s="5"/>
      <c r="EE153" s="5" t="s">
        <v>253</v>
      </c>
      <c r="EF153" s="5"/>
      <c r="EG153" s="5"/>
      <c r="EH153" s="5"/>
      <c r="EI153" s="5" t="s">
        <v>253</v>
      </c>
      <c r="EJ153" s="5"/>
      <c r="EK153" s="5" t="s">
        <v>253</v>
      </c>
      <c r="EL153" s="5"/>
      <c r="EM153" s="5" t="s">
        <v>253</v>
      </c>
      <c r="EN153" s="5"/>
      <c r="EO153" s="5"/>
      <c r="EP153" s="5"/>
      <c r="EQ153" s="5" t="s">
        <v>254</v>
      </c>
      <c r="ER153" s="5"/>
      <c r="ES153" s="5" t="s">
        <v>254</v>
      </c>
      <c r="ET153" s="5"/>
      <c r="EU153" s="5" t="s">
        <v>254</v>
      </c>
      <c r="EV153" s="5"/>
      <c r="EW153" s="5" t="s">
        <v>254</v>
      </c>
      <c r="EX153" s="5"/>
      <c r="EY153" s="5"/>
      <c r="EZ153" s="5"/>
      <c r="FA153" s="5" t="s">
        <v>247</v>
      </c>
      <c r="FB153" s="5"/>
      <c r="FC153" s="5" t="s">
        <v>253</v>
      </c>
      <c r="FD153" s="5"/>
      <c r="FE153" s="5" t="s">
        <v>253</v>
      </c>
      <c r="FF153" s="5"/>
      <c r="FG153" s="5"/>
      <c r="FH153" s="5"/>
      <c r="FI153" s="5" t="s">
        <v>253</v>
      </c>
      <c r="FJ153" s="5"/>
      <c r="FK153" s="5" t="s">
        <v>253</v>
      </c>
      <c r="FL153" s="5"/>
      <c r="FM153" s="5" t="s">
        <v>248</v>
      </c>
      <c r="FN153" s="5"/>
      <c r="FO153" s="5"/>
      <c r="FP153" s="5"/>
      <c r="FQ153" s="5" t="s">
        <v>206</v>
      </c>
      <c r="FR153" s="5"/>
      <c r="FS153" s="5" t="s">
        <v>265</v>
      </c>
      <c r="FT153" s="5"/>
      <c r="FU153" s="5" t="s">
        <v>325</v>
      </c>
      <c r="FV153" s="5"/>
      <c r="FW153" s="5" t="s">
        <v>206</v>
      </c>
      <c r="FX153" s="5"/>
      <c r="FY153" s="5" t="s">
        <v>206</v>
      </c>
      <c r="FZ153" s="5"/>
      <c r="GA153" s="5" t="s">
        <v>265</v>
      </c>
      <c r="GB153" s="5"/>
      <c r="GC153" s="5" t="s">
        <v>265</v>
      </c>
      <c r="GD153" s="5"/>
      <c r="GE153" s="5"/>
      <c r="GF153" s="5"/>
      <c r="GG153" s="5" t="s">
        <v>255</v>
      </c>
      <c r="GH153" s="5" t="s">
        <v>255</v>
      </c>
      <c r="GI153" s="5" t="s">
        <v>273</v>
      </c>
      <c r="GJ153" s="5" t="s">
        <v>233</v>
      </c>
      <c r="GK153" s="5" t="s">
        <v>233</v>
      </c>
      <c r="GL153" s="5" t="s">
        <v>233</v>
      </c>
      <c r="GM153" s="5" t="s">
        <v>298</v>
      </c>
      <c r="GN153" s="5" t="s">
        <v>243</v>
      </c>
      <c r="GO153" s="5" t="s">
        <v>257</v>
      </c>
      <c r="GP153" s="5" t="s">
        <v>244</v>
      </c>
      <c r="GQ153" s="5" t="s">
        <v>244</v>
      </c>
      <c r="GR153" s="5" t="s">
        <v>244</v>
      </c>
      <c r="GS153" s="5" t="s">
        <v>244</v>
      </c>
      <c r="GT153" s="5" t="s">
        <v>257</v>
      </c>
      <c r="GU153" s="5" t="s">
        <v>504</v>
      </c>
      <c r="GV153" s="5" t="str">
        <f>TEXT("6278891274328811215","0")</f>
        <v>6278891274328810000</v>
      </c>
    </row>
    <row r="154" spans="1:204" ht="15.75" customHeight="1" x14ac:dyDescent="0.15">
      <c r="A154" s="1">
        <f>ROW(A154)</f>
        <v>154</v>
      </c>
      <c r="B154" s="4">
        <v>45847.536226851851</v>
      </c>
      <c r="C154" s="5" t="s">
        <v>204</v>
      </c>
      <c r="D154" s="5" t="s">
        <v>206</v>
      </c>
      <c r="F154" s="5" t="s">
        <v>204</v>
      </c>
      <c r="G154" s="5" t="s">
        <v>204</v>
      </c>
      <c r="H154" s="5" t="s">
        <v>206</v>
      </c>
      <c r="L154" s="5" t="s">
        <v>236</v>
      </c>
      <c r="P154" s="5" t="s">
        <v>237</v>
      </c>
      <c r="U154" s="5" t="s">
        <v>237</v>
      </c>
      <c r="X154" s="5" t="s">
        <v>208</v>
      </c>
      <c r="AD154" s="5" t="s">
        <v>209</v>
      </c>
      <c r="AH154" s="5" t="s">
        <v>259</v>
      </c>
      <c r="AI154" s="5">
        <v>2023</v>
      </c>
      <c r="AJ154" s="5" t="s">
        <v>238</v>
      </c>
      <c r="AK154" s="5" t="str">
        <f>IF(OR(AJ154="Empleada del sector privado",AJ154="Empleada del sector público"),"Asalariada",
IF(AJ154="Trabajadora por cuenta propia","Trabajadora por cuenta propia",""))</f>
        <v>Trabajadora por cuenta propia</v>
      </c>
      <c r="AM154" s="5" t="s">
        <v>309</v>
      </c>
      <c r="AP154" s="5" t="s">
        <v>284</v>
      </c>
      <c r="AR154" s="5" t="s">
        <v>241</v>
      </c>
      <c r="AS154" s="5" t="s">
        <v>301</v>
      </c>
      <c r="AT154" s="5" t="s">
        <v>301</v>
      </c>
      <c r="AU154" s="5" t="s">
        <v>301</v>
      </c>
      <c r="AV154" s="5" t="s">
        <v>285</v>
      </c>
      <c r="AW154" s="5" t="s">
        <v>204</v>
      </c>
      <c r="AX154" s="5" t="s">
        <v>204</v>
      </c>
      <c r="AY154" s="5" t="s">
        <v>366</v>
      </c>
      <c r="AZ154" s="5" t="s">
        <v>204</v>
      </c>
      <c r="BA154" s="5" t="s">
        <v>263</v>
      </c>
      <c r="BF154" s="5" t="s">
        <v>204</v>
      </c>
      <c r="BG154" s="5" t="s">
        <v>278</v>
      </c>
      <c r="BH154" s="5" t="s">
        <v>278</v>
      </c>
      <c r="BI154" s="5" t="s">
        <v>278</v>
      </c>
      <c r="BJ154" s="5" t="s">
        <v>278</v>
      </c>
      <c r="BK154" s="5" t="s">
        <v>245</v>
      </c>
      <c r="BL154" s="5" t="s">
        <v>243</v>
      </c>
      <c r="BM154" s="5" t="s">
        <v>245</v>
      </c>
      <c r="BN154" s="5" t="s">
        <v>245</v>
      </c>
      <c r="BO154" s="5" t="s">
        <v>245</v>
      </c>
      <c r="BP154" s="5" t="s">
        <v>245</v>
      </c>
      <c r="BQ154" s="5" t="s">
        <v>245</v>
      </c>
      <c r="BR154" s="5" t="s">
        <v>245</v>
      </c>
      <c r="BS154" s="5" t="s">
        <v>254</v>
      </c>
      <c r="BT154" s="5" t="s">
        <v>232</v>
      </c>
      <c r="BU154" s="5" t="s">
        <v>217</v>
      </c>
      <c r="BV154" s="5" t="s">
        <v>217</v>
      </c>
      <c r="BW154" s="5" t="s">
        <v>217</v>
      </c>
      <c r="BX154" s="5" t="s">
        <v>217</v>
      </c>
      <c r="BY154" s="5" t="s">
        <v>217</v>
      </c>
      <c r="BZ154" s="5" t="s">
        <v>245</v>
      </c>
      <c r="CA154" s="5" t="s">
        <v>245</v>
      </c>
      <c r="CB154" s="5" t="s">
        <v>243</v>
      </c>
      <c r="CC154" s="5" t="s">
        <v>245</v>
      </c>
      <c r="CD154" s="5" t="s">
        <v>206</v>
      </c>
      <c r="CH154" s="5" t="s">
        <v>206</v>
      </c>
      <c r="CI154" s="5" t="s">
        <v>291</v>
      </c>
      <c r="CJ154" s="5">
        <v>2</v>
      </c>
      <c r="CK154" s="5" t="s">
        <v>223</v>
      </c>
      <c r="CU154" s="5" t="s">
        <v>206</v>
      </c>
      <c r="DA154" s="5" t="s">
        <v>229</v>
      </c>
      <c r="DB154" s="5">
        <f>IF(DA154="Mejor que lo habitual",1,
IF(DA154="Igual que lo habitual",2,
IF(DA154="Menos que lo habitual",3,
IF(DA154="Mucho menos que lo habitual",4,""))))</f>
        <v>4</v>
      </c>
      <c r="DC154" s="5" t="s">
        <v>280</v>
      </c>
      <c r="DD154" s="5">
        <f>IF(DC154="No, en absoluto",1,
IF(DC154="No más que lo habitual",2,
IF(DC154="Bastante más que lo habitual",3,
IF(DC154="Mucho más que lo habitual",4,""))))</f>
        <v>4</v>
      </c>
      <c r="DE154" s="5" t="s">
        <v>280</v>
      </c>
      <c r="DF154" s="5">
        <f>IF(DE154="No, en absoluto",1,
IF(DE154="No más que lo habitual",2,
IF(DE154="Bastante más que lo habitual",3,
IF(DE154="Mucho más que lo habitual",4,""))))</f>
        <v>4</v>
      </c>
      <c r="DG154" s="5" t="s">
        <v>280</v>
      </c>
      <c r="DH154" s="5">
        <f>IF(DG154="No, en absoluto",1,
IF(DG154="No más que lo habitual",2,
IF(DG154="Bastante más que lo habitual",3,
IF(DG154="Mucho más que lo habitual",4,""))))</f>
        <v>4</v>
      </c>
      <c r="DI154" s="5" t="s">
        <v>280</v>
      </c>
      <c r="DJ154" s="5">
        <f>IF(DI154="No, en absoluto",1,
IF(DI154="No más que lo habitual",2,
IF(DI154="Bastante más que lo habitual",3,
IF(DI154="Mucho más que lo habitual",4,""))))</f>
        <v>4</v>
      </c>
      <c r="DK154" s="5" t="s">
        <v>280</v>
      </c>
      <c r="DL154" s="5">
        <f>IF(DK154="No, en absoluto",1,
IF(DK154="No más que lo habitual",2,
IF(DK154="Bastante más que lo habitual",3,
IF(DK154="Mucho más que lo habitual",4,""))))</f>
        <v>4</v>
      </c>
      <c r="DM154" s="5" t="s">
        <v>250</v>
      </c>
      <c r="DN154" s="5">
        <f>IF(DM154="No, en absoluto",1,
IF(DM154="No más que lo habitual",2,
IF(DM154="Bastante más que lo habitual",3,
IF(DM154="Mucho más que lo habitual",4,""))))</f>
        <v>3</v>
      </c>
      <c r="DO154" s="5" t="s">
        <v>231</v>
      </c>
      <c r="DP154" s="5">
        <f>IF(DO154="Más que lo habitual",1,
IF(DO154="Igual que lo habitual",2,
IF(DO154="Menos que lo habitual",3,
IF(DO154="Mucho menos que lo habitual",4,""))))</f>
        <v>2</v>
      </c>
      <c r="DQ154" s="5" t="s">
        <v>231</v>
      </c>
      <c r="DR154" s="5">
        <f>IF(DQ154="Más que lo habitual",1,
IF(DQ154="Igual que lo habitual",2,
IF(DQ154="Menos que lo habitual",3,
IF(DQ154="Mucho menos que lo habitual",4,""))))</f>
        <v>2</v>
      </c>
      <c r="DS154" s="5" t="s">
        <v>231</v>
      </c>
      <c r="DT154" s="5">
        <f>IF(DS154="Más que lo habitual",1,
IF(DS154="Igual que lo habitual",2,
IF(DS154="Menos que lo habitual",3,
IF(DS154="Mucho menos que lo habitual",4,""))))</f>
        <v>2</v>
      </c>
      <c r="DU154" s="5" t="s">
        <v>231</v>
      </c>
      <c r="DV154" s="5">
        <f>IF(DU154="Más que lo habitual",1,
IF(DU154="Igual que lo habitual",2,
IF(DU154="Menos que lo habitual",3,
IF(DU154="Mucho menos que lo habitual",4,""))))</f>
        <v>2</v>
      </c>
      <c r="DW154" s="5" t="s">
        <v>231</v>
      </c>
      <c r="DX154" s="5">
        <f>IF(DW154="Más que lo habitual",1,
IF(DW154="Igual que lo habitual",2,
IF(DW154="Menos que lo habitual",3,
IF(DW154="Mucho menos que lo habitual",4,""))))</f>
        <v>2</v>
      </c>
      <c r="DY154" s="5">
        <f>SUM(DB154,DD154,DF154,DH154,DJ154,DL154,DN154,DP154,DR154,DT154,DV154,DX154)</f>
        <v>37</v>
      </c>
      <c r="DZ154" s="5" t="str">
        <f>IF(DY154&lt;=18,"Nivel de riesgo bajo",
IF(DY154&lt;=23,"Nivel de riesgo medio",
"Nivel de riesgo alto"))</f>
        <v>Nivel de riesgo alto</v>
      </c>
      <c r="EA154" s="5" t="s">
        <v>254</v>
      </c>
      <c r="EB154" s="5">
        <f>IF(EA154="Nunca/ casi nunca",0,
IF(EA154="Rara vez",1,
IF(EA154="A veces",2,
IF(EA154="A menudo",3,
IF(EA154="Siempre",4,"")))))</f>
        <v>4</v>
      </c>
      <c r="EC154" s="5" t="s">
        <v>247</v>
      </c>
      <c r="ED154" s="5">
        <f>IF(EC154="Nunca/ casi nunca",0,
IF(EC154="Rara vez",1,
IF(EC154="A veces",2,
IF(EC154="A menudo",3,
IF(EC154="Siempre",4,"")))))</f>
        <v>2</v>
      </c>
      <c r="EE154" s="5" t="s">
        <v>248</v>
      </c>
      <c r="EF154" s="5">
        <f>IF(EE154="Nunca/ casi nunca",0,
IF(EE154="Rara vez",1,
IF(EE154="A veces",2,
IF(EE154="A menudo",3,
IF(EE154="Siempre",4,"")))))</f>
        <v>1</v>
      </c>
      <c r="EG154" s="5">
        <f>SUM(EB154,ED154,EF154)</f>
        <v>7</v>
      </c>
      <c r="EH154" s="5" t="str">
        <f>IF(EG154&lt;=1,"Nivel de riesgo bajo",
IF(EG154&lt;=4,"Nivel de riesgo medio",
"Nivel de riesgo alto"))</f>
        <v>Nivel de riesgo alto</v>
      </c>
      <c r="EI154" s="5" t="s">
        <v>248</v>
      </c>
      <c r="EJ154" s="5">
        <f>IF(EI154="Nunca/ casi nunca",0,
IF(EI154="Rara vez",1,
IF(EI154="A veces",2,
IF(EI154="A menudo",3,
IF(EI154="Siempre",4,"")))))</f>
        <v>1</v>
      </c>
      <c r="EK154" s="5" t="s">
        <v>253</v>
      </c>
      <c r="EL154" s="5">
        <f>IF(EK154="Nunca/ casi nunca",0,
IF(EK154="Rara vez",1,
IF(EK154="A veces",2,
IF(EK154="A menudo",3,
IF(EK154="Siempre",4,"")))))</f>
        <v>0</v>
      </c>
      <c r="EM154" s="5" t="s">
        <v>254</v>
      </c>
      <c r="EN154" s="5">
        <f>IF(EM154="Nunca/ casi nunca",0,
IF(EM154="Rara vez",1,
IF(EM154="A veces",2,
IF(EM154="A menudo",3,
IF(EM154="Siempre",4,"")))))</f>
        <v>4</v>
      </c>
      <c r="EO154" s="5">
        <f>SUM(EJ154,EL154,EN154)</f>
        <v>5</v>
      </c>
      <c r="EP154" s="5" t="str">
        <f>IF(EO154&lt;=1,"Nivel de riesgo bajo",
IF(EO154&lt;=5,"Nivel de riesgo medio",
"Nivel de riesgo alto"))</f>
        <v>Nivel de riesgo medio</v>
      </c>
      <c r="EQ154" s="5" t="s">
        <v>247</v>
      </c>
      <c r="ER154" s="5">
        <f>IF(EQ154="Nunca/ casi nunca",4,
IF(EQ154="Rara vez",3,
IF(EQ154="A veces",2,
IF(EQ154="A menudo",1,
IF(EQ154="Siempre",0,"")))))</f>
        <v>2</v>
      </c>
      <c r="ES154" s="5" t="s">
        <v>247</v>
      </c>
      <c r="ET154" s="5">
        <f>IF(ES154="Nunca/ casi nunca",4,
IF(ES154="Rara vez",3,
IF(ES154="A veces",2,
IF(ES154="A menudo",1,
IF(ES154="Siempre",0,"")))))</f>
        <v>2</v>
      </c>
      <c r="EU154" s="5" t="s">
        <v>248</v>
      </c>
      <c r="EV154" s="5">
        <f>IF(EU154="Nunca/ casi nunca",4,
IF(EU154="Rara vez",3,
IF(EU154="A veces",2,
IF(EU154="A menudo",1,
IF(EU154="Siempre",0,"")))))</f>
        <v>3</v>
      </c>
      <c r="EW154" s="5" t="s">
        <v>253</v>
      </c>
      <c r="EX154" s="5">
        <f>IF(EW154="Nunca/ casi nunca",4,
IF(EW154="Rara vez",3,
IF(EW154="A veces",2,
IF(EW154="A menudo",1,
IF(EW154="Siempre",0,"")))))</f>
        <v>4</v>
      </c>
      <c r="EY154" s="5">
        <f>SUM(ER154,ET154,EV154,EX154)</f>
        <v>11</v>
      </c>
      <c r="EZ154" s="5" t="str">
        <f>IF(EY154&lt;=0,"Nivel de riesgo bajo",
IF(EY154&lt;=4,"Nivel de riesgo medio",
"Nivel de riesgo alto"))</f>
        <v>Nivel de riesgo alto</v>
      </c>
      <c r="FA154" s="5" t="s">
        <v>253</v>
      </c>
      <c r="FB154" s="5">
        <f>IF(FA154="Nunca/ casi nunca",0,
IF(FA154="Rara vez",1,
IF(FA154="A veces",2,
IF(FA154="A menudo",3,
IF(FA154="Siempre",4,"")))))</f>
        <v>0</v>
      </c>
      <c r="FC154" s="5" t="s">
        <v>253</v>
      </c>
      <c r="FD154" s="5">
        <f>IF(FC154="Nunca/ casi nunca",0,
IF(FC154="Rara vez",1,
IF(FC154="A veces",2,
IF(FC154="A menudo",3,
IF(FC154="Siempre",4,"")))))</f>
        <v>0</v>
      </c>
      <c r="FE154" s="5" t="s">
        <v>253</v>
      </c>
      <c r="FF154" s="5">
        <f>IF(FE154="Nunca/ casi nunca",0,
IF(FE154="Rara vez",1,
IF(FE154="A veces",2,
IF(FE154="A menudo",3,
IF(FE154="Siempre",4,"")))))</f>
        <v>0</v>
      </c>
      <c r="FG154" s="5">
        <f>SUM(FB154,FD154,FF154)</f>
        <v>0</v>
      </c>
      <c r="FH154" s="5" t="str">
        <f>IF(FG154&lt;=2,"Nivel de riesgo bajo",
IF(FG154&lt;=5,"Nivel de riesgo medio",
"Nivel de riesgo alto"))</f>
        <v>Nivel de riesgo bajo</v>
      </c>
      <c r="FI154" s="5" t="s">
        <v>253</v>
      </c>
      <c r="FJ154" s="5">
        <f>IF(FI154="Nunca/ casi nunca",0,
IF(FI154="Rara vez",1,
IF(FI154="A veces",2,
IF(FI154="A menudo",3,
IF(FI154="Siempre",4,"")))))</f>
        <v>0</v>
      </c>
      <c r="FK154" s="5" t="s">
        <v>253</v>
      </c>
      <c r="FL154" s="5">
        <f>IF(FK154="Nunca/ casi nunca",0,
IF(FK154="Rara vez",1,
IF(FK154="A veces",2,
IF(FK154="A menudo",3,
IF(FK154="Siempre",4,"")))))</f>
        <v>0</v>
      </c>
      <c r="FM154" s="5" t="s">
        <v>253</v>
      </c>
      <c r="FN154" s="5">
        <f>IF(FM154="Nunca/ casi nunca",0,
IF(FM154="Rara vez",1,
IF(FM154="A veces",2,
IF(FM154="A menudo",3,
IF(FM154="Siempre",4,"")))))</f>
        <v>0</v>
      </c>
      <c r="FO154" s="5">
        <f>SUM(FJ154,FL154,FN154)</f>
        <v>0</v>
      </c>
      <c r="FP154" s="5" t="str">
        <f>IF(FO154&lt;=2,"Nivel de riesgo bajo",
IF(FO154&lt;=5,"Nivel de riesgo medio",
"Nivel de riesgo alto"))</f>
        <v>Nivel de riesgo bajo</v>
      </c>
      <c r="FQ154" s="5" t="s">
        <v>265</v>
      </c>
      <c r="FR154" s="5">
        <f>IF(FQ154="No",0,
IF(FQ154="Sí, unas pocas veces",1,
IF(FQ154="Sí, mensualmente",2,
IF(FQ154="Sí, semanalmente",3,
IF(FQ154="Sí, diariamente",4,"")))))</f>
        <v>1</v>
      </c>
      <c r="FS154" s="5" t="s">
        <v>265</v>
      </c>
      <c r="FT154" s="5">
        <f>IF(FS154="No",0,
IF(FS154="Sí, unas pocas veces",1,
IF(FS154="Sí, mensualmente",2,
IF(FS154="Sí, semanalmente",3,
IF(FS154="Sí, diariamente",4,"")))))</f>
        <v>1</v>
      </c>
      <c r="FU154" s="5" t="s">
        <v>206</v>
      </c>
      <c r="FV154" s="5">
        <f>IF(FU154="No",0,
IF(FU154="Sí, unas pocas veces",1,
IF(FU154="Sí, mensualmente",2,
IF(FU154="Sí, semanalmente",3,
IF(FU154="Sí, diariamente",4,"")))))</f>
        <v>0</v>
      </c>
      <c r="FW154" s="5" t="s">
        <v>206</v>
      </c>
      <c r="FX154" s="5">
        <f>IF(FW154="No",0,
IF(FW154="Sí, unas pocas veces",1,
IF(FW154="Sí, mensualmente",2,
IF(FW154="Sí, semanalmente",3,
IF(FW154="Sí, diariamente",4,"")))))</f>
        <v>0</v>
      </c>
      <c r="FY154" s="5" t="s">
        <v>206</v>
      </c>
      <c r="FZ154" s="5">
        <f>IF(FY154="No",0,
IF(FY154="Sí, unas pocas veces",1,
IF(FY154="Sí, mensualmente",2,
IF(FY154="Sí, semanalmente",3,
IF(FY154="Sí, diariamente",4,"")))))</f>
        <v>0</v>
      </c>
      <c r="GA154" s="5" t="s">
        <v>206</v>
      </c>
      <c r="GB154" s="5">
        <f>IF(GA154="No",0,
IF(GA154="Sí, unas pocas veces",1,
IF(GA154="Sí, mensualmente",2,
IF(GA154="Sí, semanalmente",3,
IF(GA154="Sí, diariamente",4,"")))))</f>
        <v>0</v>
      </c>
      <c r="GC154" s="5" t="s">
        <v>265</v>
      </c>
      <c r="GD154" s="5">
        <f>IF(GC154="No",0,
IF(GC154="Sí, unas pocas veces",1,
IF(GC154="Sí, mensualmente",2,
IF(GC154="Sí, semanalmente",3,
IF(GC154="Sí, diariamente",4,"")))))</f>
        <v>1</v>
      </c>
      <c r="GE154" s="5">
        <f>SUM(FR154,FT154,FV154,FX154,FZ154,GB154,GD154)</f>
        <v>3</v>
      </c>
      <c r="GF154" s="5" t="str">
        <f>IF(GE154&lt;=0,"Nivel de riesgo bajo",
IF(GE154&lt;=14,"Nivel de riesgo medio",
"Nivel de riesgo alto"))</f>
        <v>Nivel de riesgo medio</v>
      </c>
      <c r="GG154" s="5" t="s">
        <v>255</v>
      </c>
      <c r="GH154" s="5" t="s">
        <v>255</v>
      </c>
      <c r="GI154" s="5" t="s">
        <v>255</v>
      </c>
      <c r="GJ154" s="5" t="s">
        <v>255</v>
      </c>
      <c r="GK154" s="5" t="s">
        <v>233</v>
      </c>
      <c r="GL154" s="5" t="s">
        <v>233</v>
      </c>
      <c r="GM154" s="5" t="s">
        <v>233</v>
      </c>
      <c r="GN154" s="5" t="s">
        <v>256</v>
      </c>
      <c r="GO154" s="5" t="s">
        <v>256</v>
      </c>
      <c r="GP154" s="5" t="s">
        <v>256</v>
      </c>
      <c r="GQ154" s="5" t="s">
        <v>256</v>
      </c>
      <c r="GR154" s="5" t="s">
        <v>256</v>
      </c>
      <c r="GS154" s="5" t="s">
        <v>256</v>
      </c>
      <c r="GT154" s="5" t="s">
        <v>256</v>
      </c>
      <c r="GU154" s="5" t="s">
        <v>505</v>
      </c>
      <c r="GV154" s="5" t="str">
        <f>TEXT("6278891304813656144","0")</f>
        <v>6278891304813650000</v>
      </c>
    </row>
    <row r="155" spans="1:204" ht="15.75" customHeight="1" x14ac:dyDescent="0.15">
      <c r="A155" s="1">
        <f>ROW(A155)</f>
        <v>155</v>
      </c>
      <c r="B155" s="4">
        <v>45847.537256944444</v>
      </c>
      <c r="C155" s="5" t="s">
        <v>204</v>
      </c>
      <c r="D155" s="5" t="s">
        <v>206</v>
      </c>
      <c r="F155" s="5" t="s">
        <v>206</v>
      </c>
      <c r="G155" s="5" t="s">
        <v>204</v>
      </c>
      <c r="H155" s="5" t="s">
        <v>206</v>
      </c>
      <c r="J155" s="5" t="s">
        <v>209</v>
      </c>
      <c r="N155" s="5" t="s">
        <v>208</v>
      </c>
      <c r="S155" s="5" t="s">
        <v>208</v>
      </c>
      <c r="Y155" s="5" t="s">
        <v>209</v>
      </c>
      <c r="AC155" s="5" t="s">
        <v>208</v>
      </c>
      <c r="AH155" s="5" t="s">
        <v>275</v>
      </c>
      <c r="AI155" s="5">
        <v>2020</v>
      </c>
      <c r="AJ155" s="5" t="s">
        <v>238</v>
      </c>
      <c r="AK155" s="5" t="str">
        <f>IF(OR(AJ155="Empleada del sector privado",AJ155="Empleada del sector público"),"Asalariada",
IF(AJ155="Trabajadora por cuenta propia","Trabajadora por cuenta propia",""))</f>
        <v>Trabajadora por cuenta propia</v>
      </c>
      <c r="AM155" s="5" t="s">
        <v>309</v>
      </c>
      <c r="AP155" s="5" t="s">
        <v>240</v>
      </c>
      <c r="AR155" s="5" t="s">
        <v>276</v>
      </c>
      <c r="AS155" s="5" t="s">
        <v>276</v>
      </c>
      <c r="AT155" s="5" t="s">
        <v>276</v>
      </c>
      <c r="AU155" s="5" t="s">
        <v>276</v>
      </c>
      <c r="AV155" s="5" t="s">
        <v>213</v>
      </c>
      <c r="AW155" s="5" t="s">
        <v>204</v>
      </c>
      <c r="AX155" s="5" t="s">
        <v>204</v>
      </c>
      <c r="AY155" s="5" t="s">
        <v>214</v>
      </c>
      <c r="AZ155" s="5" t="s">
        <v>204</v>
      </c>
      <c r="BA155" s="5" t="s">
        <v>263</v>
      </c>
      <c r="BF155" s="5" t="s">
        <v>204</v>
      </c>
      <c r="BG155" s="5" t="s">
        <v>278</v>
      </c>
      <c r="BH155" s="5" t="s">
        <v>278</v>
      </c>
      <c r="BI155" s="5" t="s">
        <v>278</v>
      </c>
      <c r="BJ155" s="5" t="s">
        <v>278</v>
      </c>
      <c r="BK155" s="5" t="s">
        <v>246</v>
      </c>
      <c r="BL155" s="5" t="s">
        <v>244</v>
      </c>
      <c r="BM155" s="5" t="s">
        <v>244</v>
      </c>
      <c r="BN155" s="5" t="s">
        <v>246</v>
      </c>
      <c r="BO155" s="5" t="s">
        <v>246</v>
      </c>
      <c r="BP155" s="5" t="s">
        <v>246</v>
      </c>
      <c r="BQ155" s="5" t="s">
        <v>246</v>
      </c>
      <c r="BR155" s="5" t="s">
        <v>246</v>
      </c>
      <c r="BS155" s="5" t="s">
        <v>248</v>
      </c>
      <c r="BT155" s="5" t="s">
        <v>248</v>
      </c>
      <c r="BU155" s="5" t="s">
        <v>247</v>
      </c>
      <c r="BV155" s="5" t="s">
        <v>217</v>
      </c>
      <c r="BW155" s="5" t="s">
        <v>217</v>
      </c>
      <c r="BX155" s="5" t="s">
        <v>217</v>
      </c>
      <c r="BY155" s="5" t="s">
        <v>217</v>
      </c>
      <c r="BZ155" s="5" t="s">
        <v>246</v>
      </c>
      <c r="CA155" s="5" t="s">
        <v>246</v>
      </c>
      <c r="CB155" s="5" t="s">
        <v>246</v>
      </c>
      <c r="CC155" s="5" t="s">
        <v>246</v>
      </c>
      <c r="CD155" s="5" t="s">
        <v>206</v>
      </c>
      <c r="CH155" s="5" t="s">
        <v>331</v>
      </c>
      <c r="CI155" s="5" t="s">
        <v>249</v>
      </c>
      <c r="CJ155" s="5">
        <v>9</v>
      </c>
      <c r="CK155" s="5" t="s">
        <v>223</v>
      </c>
      <c r="CU155" s="5" t="s">
        <v>206</v>
      </c>
      <c r="DA155" s="5" t="s">
        <v>272</v>
      </c>
      <c r="DB155" s="5">
        <f>IF(DA155="Mejor que lo habitual",1,
IF(DA155="Igual que lo habitual",2,
IF(DA155="Menos que lo habitual",3,
IF(DA155="Mucho menos que lo habitual",4,""))))</f>
        <v>1</v>
      </c>
      <c r="DC155" s="5" t="s">
        <v>251</v>
      </c>
      <c r="DD155" s="5">
        <f>IF(DC155="No, en absoluto",1,
IF(DC155="No más que lo habitual",2,
IF(DC155="Bastante más que lo habitual",3,
IF(DC155="Mucho más que lo habitual",4,""))))</f>
        <v>1</v>
      </c>
      <c r="DE155" s="5" t="s">
        <v>251</v>
      </c>
      <c r="DF155" s="5">
        <f>IF(DE155="No, en absoluto",1,
IF(DE155="No más que lo habitual",2,
IF(DE155="Bastante más que lo habitual",3,
IF(DE155="Mucho más que lo habitual",4,""))))</f>
        <v>1</v>
      </c>
      <c r="DG155" s="5" t="s">
        <v>251</v>
      </c>
      <c r="DH155" s="5">
        <f>IF(DG155="No, en absoluto",1,
IF(DG155="No más que lo habitual",2,
IF(DG155="Bastante más que lo habitual",3,
IF(DG155="Mucho más que lo habitual",4,""))))</f>
        <v>1</v>
      </c>
      <c r="DI155" s="5" t="s">
        <v>251</v>
      </c>
      <c r="DJ155" s="5">
        <f>IF(DI155="No, en absoluto",1,
IF(DI155="No más que lo habitual",2,
IF(DI155="Bastante más que lo habitual",3,
IF(DI155="Mucho más que lo habitual",4,""))))</f>
        <v>1</v>
      </c>
      <c r="DK155" s="5" t="s">
        <v>251</v>
      </c>
      <c r="DL155" s="5">
        <f>IF(DK155="No, en absoluto",1,
IF(DK155="No más que lo habitual",2,
IF(DK155="Bastante más que lo habitual",3,
IF(DK155="Mucho más que lo habitual",4,""))))</f>
        <v>1</v>
      </c>
      <c r="DM155" s="5" t="s">
        <v>251</v>
      </c>
      <c r="DN155" s="5">
        <f>IF(DM155="No, en absoluto",1,
IF(DM155="No más que lo habitual",2,
IF(DM155="Bastante más que lo habitual",3,
IF(DM155="Mucho más que lo habitual",4,""))))</f>
        <v>1</v>
      </c>
      <c r="DO155" s="5" t="s">
        <v>281</v>
      </c>
      <c r="DP155" s="5">
        <f>IF(DO155="Más que lo habitual",1,
IF(DO155="Igual que lo habitual",2,
IF(DO155="Menos que lo habitual",3,
IF(DO155="Mucho menos que lo habitual",4,""))))</f>
        <v>1</v>
      </c>
      <c r="DQ155" s="5" t="s">
        <v>281</v>
      </c>
      <c r="DR155" s="5">
        <f>IF(DQ155="Más que lo habitual",1,
IF(DQ155="Igual que lo habitual",2,
IF(DQ155="Menos que lo habitual",3,
IF(DQ155="Mucho menos que lo habitual",4,""))))</f>
        <v>1</v>
      </c>
      <c r="DS155" s="5" t="s">
        <v>281</v>
      </c>
      <c r="DT155" s="5">
        <f>IF(DS155="Más que lo habitual",1,
IF(DS155="Igual que lo habitual",2,
IF(DS155="Menos que lo habitual",3,
IF(DS155="Mucho menos que lo habitual",4,""))))</f>
        <v>1</v>
      </c>
      <c r="DU155" s="5" t="s">
        <v>281</v>
      </c>
      <c r="DV155" s="5">
        <f>IF(DU155="Más que lo habitual",1,
IF(DU155="Igual que lo habitual",2,
IF(DU155="Menos que lo habitual",3,
IF(DU155="Mucho menos que lo habitual",4,""))))</f>
        <v>1</v>
      </c>
      <c r="DW155" s="5" t="s">
        <v>281</v>
      </c>
      <c r="DX155" s="5">
        <f>IF(DW155="Más que lo habitual",1,
IF(DW155="Igual que lo habitual",2,
IF(DW155="Menos que lo habitual",3,
IF(DW155="Mucho menos que lo habitual",4,""))))</f>
        <v>1</v>
      </c>
      <c r="DY155" s="5">
        <f>SUM(DB155,DD155,DF155,DH155,DJ155,DL155,DN155,DP155,DR155,DT155,DV155,DX155)</f>
        <v>12</v>
      </c>
      <c r="DZ155" s="5" t="str">
        <f>IF(DY155&lt;=18,"Nivel de riesgo bajo",
IF(DY155&lt;=23,"Nivel de riesgo medio",
"Nivel de riesgo alto"))</f>
        <v>Nivel de riesgo bajo</v>
      </c>
      <c r="EA155" s="5" t="s">
        <v>247</v>
      </c>
      <c r="EB155" s="5">
        <f>IF(EA155="Nunca/ casi nunca",0,
IF(EA155="Rara vez",1,
IF(EA155="A veces",2,
IF(EA155="A menudo",3,
IF(EA155="Siempre",4,"")))))</f>
        <v>2</v>
      </c>
      <c r="EC155" s="5" t="s">
        <v>248</v>
      </c>
      <c r="ED155" s="5">
        <f>IF(EC155="Nunca/ casi nunca",0,
IF(EC155="Rara vez",1,
IF(EC155="A veces",2,
IF(EC155="A menudo",3,
IF(EC155="Siempre",4,"")))))</f>
        <v>1</v>
      </c>
      <c r="EE155" s="5" t="s">
        <v>248</v>
      </c>
      <c r="EF155" s="5">
        <f>IF(EE155="Nunca/ casi nunca",0,
IF(EE155="Rara vez",1,
IF(EE155="A veces",2,
IF(EE155="A menudo",3,
IF(EE155="Siempre",4,"")))))</f>
        <v>1</v>
      </c>
      <c r="EG155" s="5">
        <f>SUM(EB155,ED155,EF155)</f>
        <v>4</v>
      </c>
      <c r="EH155" s="5" t="str">
        <f>IF(EG155&lt;=1,"Nivel de riesgo bajo",
IF(EG155&lt;=4,"Nivel de riesgo medio",
"Nivel de riesgo alto"))</f>
        <v>Nivel de riesgo medio</v>
      </c>
      <c r="EI155" s="5" t="s">
        <v>248</v>
      </c>
      <c r="EJ155" s="5">
        <f>IF(EI155="Nunca/ casi nunca",0,
IF(EI155="Rara vez",1,
IF(EI155="A veces",2,
IF(EI155="A menudo",3,
IF(EI155="Siempre",4,"")))))</f>
        <v>1</v>
      </c>
      <c r="EK155" s="5" t="s">
        <v>253</v>
      </c>
      <c r="EL155" s="5">
        <f>IF(EK155="Nunca/ casi nunca",0,
IF(EK155="Rara vez",1,
IF(EK155="A veces",2,
IF(EK155="A menudo",3,
IF(EK155="Siempre",4,"")))))</f>
        <v>0</v>
      </c>
      <c r="EM155" s="5" t="s">
        <v>253</v>
      </c>
      <c r="EN155" s="5">
        <f>IF(EM155="Nunca/ casi nunca",0,
IF(EM155="Rara vez",1,
IF(EM155="A veces",2,
IF(EM155="A menudo",3,
IF(EM155="Siempre",4,"")))))</f>
        <v>0</v>
      </c>
      <c r="EO155" s="5">
        <f>SUM(EJ155,EL155,EN155)</f>
        <v>1</v>
      </c>
      <c r="EP155" s="5" t="str">
        <f>IF(EO155&lt;=1,"Nivel de riesgo bajo",
IF(EO155&lt;=5,"Nivel de riesgo medio",
"Nivel de riesgo alto"))</f>
        <v>Nivel de riesgo bajo</v>
      </c>
      <c r="EQ155" s="5" t="s">
        <v>253</v>
      </c>
      <c r="ER155" s="5">
        <f>IF(EQ155="Nunca/ casi nunca",4,
IF(EQ155="Rara vez",3,
IF(EQ155="A veces",2,
IF(EQ155="A menudo",1,
IF(EQ155="Siempre",0,"")))))</f>
        <v>4</v>
      </c>
      <c r="ES155" s="5" t="s">
        <v>253</v>
      </c>
      <c r="ET155" s="5">
        <f>IF(ES155="Nunca/ casi nunca",4,
IF(ES155="Rara vez",3,
IF(ES155="A veces",2,
IF(ES155="A menudo",1,
IF(ES155="Siempre",0,"")))))</f>
        <v>4</v>
      </c>
      <c r="EU155" s="5" t="s">
        <v>253</v>
      </c>
      <c r="EV155" s="5">
        <f>IF(EU155="Nunca/ casi nunca",4,
IF(EU155="Rara vez",3,
IF(EU155="A veces",2,
IF(EU155="A menudo",1,
IF(EU155="Siempre",0,"")))))</f>
        <v>4</v>
      </c>
      <c r="EW155" s="5" t="s">
        <v>253</v>
      </c>
      <c r="EX155" s="5">
        <f>IF(EW155="Nunca/ casi nunca",4,
IF(EW155="Rara vez",3,
IF(EW155="A veces",2,
IF(EW155="A menudo",1,
IF(EW155="Siempre",0,"")))))</f>
        <v>4</v>
      </c>
      <c r="EY155" s="5">
        <f>SUM(ER155,ET155,EV155,EX155)</f>
        <v>16</v>
      </c>
      <c r="EZ155" s="5" t="str">
        <f>IF(EY155&lt;=0,"Nivel de riesgo bajo",
IF(EY155&lt;=4,"Nivel de riesgo medio",
"Nivel de riesgo alto"))</f>
        <v>Nivel de riesgo alto</v>
      </c>
      <c r="FA155" s="5" t="s">
        <v>253</v>
      </c>
      <c r="FB155" s="5">
        <f>IF(FA155="Nunca/ casi nunca",0,
IF(FA155="Rara vez",1,
IF(FA155="A veces",2,
IF(FA155="A menudo",3,
IF(FA155="Siempre",4,"")))))</f>
        <v>0</v>
      </c>
      <c r="FC155" s="5" t="s">
        <v>253</v>
      </c>
      <c r="FD155" s="5">
        <f>IF(FC155="Nunca/ casi nunca",0,
IF(FC155="Rara vez",1,
IF(FC155="A veces",2,
IF(FC155="A menudo",3,
IF(FC155="Siempre",4,"")))))</f>
        <v>0</v>
      </c>
      <c r="FE155" s="5" t="s">
        <v>253</v>
      </c>
      <c r="FF155" s="5">
        <f>IF(FE155="Nunca/ casi nunca",0,
IF(FE155="Rara vez",1,
IF(FE155="A veces",2,
IF(FE155="A menudo",3,
IF(FE155="Siempre",4,"")))))</f>
        <v>0</v>
      </c>
      <c r="FG155" s="5">
        <f>SUM(FB155,FD155,FF155)</f>
        <v>0</v>
      </c>
      <c r="FH155" s="5" t="str">
        <f>IF(FG155&lt;=2,"Nivel de riesgo bajo",
IF(FG155&lt;=5,"Nivel de riesgo medio",
"Nivel de riesgo alto"))</f>
        <v>Nivel de riesgo bajo</v>
      </c>
      <c r="FI155" s="5" t="s">
        <v>253</v>
      </c>
      <c r="FJ155" s="5">
        <f>IF(FI155="Nunca/ casi nunca",0,
IF(FI155="Rara vez",1,
IF(FI155="A veces",2,
IF(FI155="A menudo",3,
IF(FI155="Siempre",4,"")))))</f>
        <v>0</v>
      </c>
      <c r="FK155" s="5" t="s">
        <v>253</v>
      </c>
      <c r="FL155" s="5">
        <f>IF(FK155="Nunca/ casi nunca",0,
IF(FK155="Rara vez",1,
IF(FK155="A veces",2,
IF(FK155="A menudo",3,
IF(FK155="Siempre",4,"")))))</f>
        <v>0</v>
      </c>
      <c r="FM155" s="5" t="s">
        <v>253</v>
      </c>
      <c r="FN155" s="5">
        <f>IF(FM155="Nunca/ casi nunca",0,
IF(FM155="Rara vez",1,
IF(FM155="A veces",2,
IF(FM155="A menudo",3,
IF(FM155="Siempre",4,"")))))</f>
        <v>0</v>
      </c>
      <c r="FO155" s="5">
        <f>SUM(FJ155,FL155,FN155)</f>
        <v>0</v>
      </c>
      <c r="FP155" s="5" t="str">
        <f>IF(FO155&lt;=2,"Nivel de riesgo bajo",
IF(FO155&lt;=5,"Nivel de riesgo medio",
"Nivel de riesgo alto"))</f>
        <v>Nivel de riesgo bajo</v>
      </c>
      <c r="FQ155" s="5" t="s">
        <v>206</v>
      </c>
      <c r="FR155" s="5">
        <f>IF(FQ155="No",0,
IF(FQ155="Sí, unas pocas veces",1,
IF(FQ155="Sí, mensualmente",2,
IF(FQ155="Sí, semanalmente",3,
IF(FQ155="Sí, diariamente",4,"")))))</f>
        <v>0</v>
      </c>
      <c r="FS155" s="5" t="s">
        <v>206</v>
      </c>
      <c r="FT155" s="5">
        <f>IF(FS155="No",0,
IF(FS155="Sí, unas pocas veces",1,
IF(FS155="Sí, mensualmente",2,
IF(FS155="Sí, semanalmente",3,
IF(FS155="Sí, diariamente",4,"")))))</f>
        <v>0</v>
      </c>
      <c r="FU155" s="5" t="s">
        <v>206</v>
      </c>
      <c r="FV155" s="5">
        <f>IF(FU155="No",0,
IF(FU155="Sí, unas pocas veces",1,
IF(FU155="Sí, mensualmente",2,
IF(FU155="Sí, semanalmente",3,
IF(FU155="Sí, diariamente",4,"")))))</f>
        <v>0</v>
      </c>
      <c r="FW155" s="5" t="s">
        <v>206</v>
      </c>
      <c r="FX155" s="5">
        <f>IF(FW155="No",0,
IF(FW155="Sí, unas pocas veces",1,
IF(FW155="Sí, mensualmente",2,
IF(FW155="Sí, semanalmente",3,
IF(FW155="Sí, diariamente",4,"")))))</f>
        <v>0</v>
      </c>
      <c r="FY155" s="5" t="s">
        <v>206</v>
      </c>
      <c r="FZ155" s="5">
        <f>IF(FY155="No",0,
IF(FY155="Sí, unas pocas veces",1,
IF(FY155="Sí, mensualmente",2,
IF(FY155="Sí, semanalmente",3,
IF(FY155="Sí, diariamente",4,"")))))</f>
        <v>0</v>
      </c>
      <c r="GA155" s="5" t="s">
        <v>206</v>
      </c>
      <c r="GB155" s="5">
        <f>IF(GA155="No",0,
IF(GA155="Sí, unas pocas veces",1,
IF(GA155="Sí, mensualmente",2,
IF(GA155="Sí, semanalmente",3,
IF(GA155="Sí, diariamente",4,"")))))</f>
        <v>0</v>
      </c>
      <c r="GC155" s="5" t="s">
        <v>206</v>
      </c>
      <c r="GD155" s="5">
        <f>IF(GC155="No",0,
IF(GC155="Sí, unas pocas veces",1,
IF(GC155="Sí, mensualmente",2,
IF(GC155="Sí, semanalmente",3,
IF(GC155="Sí, diariamente",4,"")))))</f>
        <v>0</v>
      </c>
      <c r="GE155" s="5">
        <f>SUM(FR155,FT155,FV155,FX155,FZ155,GB155,GD155)</f>
        <v>0</v>
      </c>
      <c r="GF155" s="5" t="str">
        <f>IF(GE155&lt;=0,"Nivel de riesgo bajo",
IF(GE155&lt;=14,"Nivel de riesgo medio",
"Nivel de riesgo alto"))</f>
        <v>Nivel de riesgo bajo</v>
      </c>
      <c r="GG155" s="5" t="s">
        <v>255</v>
      </c>
      <c r="GH155" s="5" t="s">
        <v>255</v>
      </c>
      <c r="GI155" s="5" t="s">
        <v>255</v>
      </c>
      <c r="GJ155" s="5" t="s">
        <v>266</v>
      </c>
      <c r="GK155" s="5" t="s">
        <v>233</v>
      </c>
      <c r="GL155" s="5" t="s">
        <v>233</v>
      </c>
      <c r="GM155" s="5" t="s">
        <v>255</v>
      </c>
      <c r="GN155" s="5" t="s">
        <v>256</v>
      </c>
      <c r="GO155" s="5" t="s">
        <v>256</v>
      </c>
      <c r="GP155" s="5" t="s">
        <v>256</v>
      </c>
      <c r="GQ155" s="5" t="s">
        <v>256</v>
      </c>
      <c r="GR155" s="5" t="s">
        <v>256</v>
      </c>
      <c r="GS155" s="5" t="s">
        <v>256</v>
      </c>
      <c r="GT155" s="5" t="s">
        <v>256</v>
      </c>
      <c r="GU155" s="5" t="s">
        <v>506</v>
      </c>
      <c r="GV155" s="5" t="str">
        <f>TEXT("6278892197216915524","0")</f>
        <v>6278892197216910000</v>
      </c>
    </row>
    <row r="156" spans="1:204" ht="15.75" customHeight="1" x14ac:dyDescent="0.15">
      <c r="A156" s="1">
        <f>ROW(A156)</f>
        <v>156</v>
      </c>
      <c r="B156" s="4">
        <v>45847.53738425926</v>
      </c>
      <c r="C156" s="5" t="s">
        <v>204</v>
      </c>
      <c r="D156" s="5" t="s">
        <v>206</v>
      </c>
      <c r="F156" s="5" t="s">
        <v>206</v>
      </c>
      <c r="G156" s="5" t="s">
        <v>204</v>
      </c>
      <c r="H156" s="5" t="s">
        <v>206</v>
      </c>
      <c r="K156" s="5" t="s">
        <v>237</v>
      </c>
      <c r="P156" s="5" t="s">
        <v>237</v>
      </c>
      <c r="S156" s="5" t="s">
        <v>208</v>
      </c>
      <c r="X156" s="5" t="s">
        <v>208</v>
      </c>
      <c r="AC156" s="5" t="s">
        <v>208</v>
      </c>
      <c r="AH156" s="5" t="s">
        <v>210</v>
      </c>
      <c r="AI156" s="5">
        <v>2003</v>
      </c>
      <c r="AJ156" s="5" t="s">
        <v>238</v>
      </c>
      <c r="AK156" s="5" t="str">
        <f>IF(OR(AJ156="Empleada del sector privado",AJ156="Empleada del sector público"),"Asalariada",
IF(AJ156="Trabajadora por cuenta propia","Trabajadora por cuenta propia",""))</f>
        <v>Trabajadora por cuenta propia</v>
      </c>
      <c r="AL156" s="5" t="s">
        <v>239</v>
      </c>
      <c r="AP156" s="5" t="s">
        <v>284</v>
      </c>
      <c r="AR156" s="5" t="s">
        <v>301</v>
      </c>
      <c r="AS156" s="5" t="s">
        <v>276</v>
      </c>
      <c r="AT156" s="5" t="s">
        <v>276</v>
      </c>
      <c r="AU156" s="5" t="s">
        <v>261</v>
      </c>
      <c r="AV156" s="5" t="s">
        <v>213</v>
      </c>
      <c r="AW156" s="5" t="s">
        <v>204</v>
      </c>
      <c r="AX156" s="5" t="s">
        <v>206</v>
      </c>
      <c r="BF156" s="5" t="s">
        <v>204</v>
      </c>
      <c r="BG156" s="5" t="s">
        <v>278</v>
      </c>
      <c r="BH156" s="5" t="s">
        <v>278</v>
      </c>
      <c r="BI156" s="5" t="s">
        <v>278</v>
      </c>
      <c r="BJ156" s="5" t="s">
        <v>278</v>
      </c>
      <c r="BK156" s="5" t="s">
        <v>245</v>
      </c>
      <c r="BL156" s="5" t="s">
        <v>246</v>
      </c>
      <c r="BM156" s="5" t="s">
        <v>245</v>
      </c>
      <c r="BN156" s="5" t="s">
        <v>245</v>
      </c>
      <c r="BO156" s="5" t="s">
        <v>244</v>
      </c>
      <c r="BP156" s="5" t="s">
        <v>246</v>
      </c>
      <c r="BQ156" s="5" t="s">
        <v>244</v>
      </c>
      <c r="BR156" s="5" t="s">
        <v>246</v>
      </c>
      <c r="BS156" s="5" t="s">
        <v>247</v>
      </c>
      <c r="BT156" s="5" t="s">
        <v>247</v>
      </c>
      <c r="BU156" s="5" t="s">
        <v>247</v>
      </c>
      <c r="BV156" s="5" t="s">
        <v>254</v>
      </c>
      <c r="BW156" s="5" t="s">
        <v>254</v>
      </c>
      <c r="BX156" s="5" t="s">
        <v>232</v>
      </c>
      <c r="BY156" s="5" t="s">
        <v>248</v>
      </c>
      <c r="BZ156" s="5" t="s">
        <v>216</v>
      </c>
      <c r="CA156" s="5" t="s">
        <v>216</v>
      </c>
      <c r="CB156" s="5" t="s">
        <v>216</v>
      </c>
      <c r="CC156" s="5" t="s">
        <v>216</v>
      </c>
      <c r="CD156" s="5" t="s">
        <v>204</v>
      </c>
      <c r="CE156" s="5" t="s">
        <v>218</v>
      </c>
      <c r="CF156" s="5" t="s">
        <v>279</v>
      </c>
      <c r="CG156" s="5" t="s">
        <v>220</v>
      </c>
      <c r="CH156" s="5" t="s">
        <v>206</v>
      </c>
      <c r="CI156" s="5" t="s">
        <v>249</v>
      </c>
      <c r="CJ156" s="5">
        <v>1</v>
      </c>
      <c r="CK156" s="5" t="s">
        <v>223</v>
      </c>
      <c r="CU156" s="5" t="s">
        <v>206</v>
      </c>
      <c r="DA156" s="5" t="s">
        <v>231</v>
      </c>
      <c r="DB156" s="5">
        <f>IF(DA156="Mejor que lo habitual",1,
IF(DA156="Igual que lo habitual",2,
IF(DA156="Menos que lo habitual",3,
IF(DA156="Mucho menos que lo habitual",4,""))))</f>
        <v>2</v>
      </c>
      <c r="DC156" s="5" t="s">
        <v>230</v>
      </c>
      <c r="DD156" s="5">
        <f>IF(DC156="No, en absoluto",1,
IF(DC156="No más que lo habitual",2,
IF(DC156="Bastante más que lo habitual",3,
IF(DC156="Mucho más que lo habitual",4,""))))</f>
        <v>2</v>
      </c>
      <c r="DE156" s="5" t="s">
        <v>230</v>
      </c>
      <c r="DF156" s="5">
        <f>IF(DE156="No, en absoluto",1,
IF(DE156="No más que lo habitual",2,
IF(DE156="Bastante más que lo habitual",3,
IF(DE156="Mucho más que lo habitual",4,""))))</f>
        <v>2</v>
      </c>
      <c r="DG156" s="5" t="s">
        <v>251</v>
      </c>
      <c r="DH156" s="5">
        <f>IF(DG156="No, en absoluto",1,
IF(DG156="No más que lo habitual",2,
IF(DG156="Bastante más que lo habitual",3,
IF(DG156="Mucho más que lo habitual",4,""))))</f>
        <v>1</v>
      </c>
      <c r="DI156" s="5" t="s">
        <v>251</v>
      </c>
      <c r="DJ156" s="5">
        <f>IF(DI156="No, en absoluto",1,
IF(DI156="No más que lo habitual",2,
IF(DI156="Bastante más que lo habitual",3,
IF(DI156="Mucho más que lo habitual",4,""))))</f>
        <v>1</v>
      </c>
      <c r="DK156" s="5" t="s">
        <v>251</v>
      </c>
      <c r="DL156" s="5">
        <f>IF(DK156="No, en absoluto",1,
IF(DK156="No más que lo habitual",2,
IF(DK156="Bastante más que lo habitual",3,
IF(DK156="Mucho más que lo habitual",4,""))))</f>
        <v>1</v>
      </c>
      <c r="DM156" s="5" t="s">
        <v>251</v>
      </c>
      <c r="DN156" s="5">
        <f>IF(DM156="No, en absoluto",1,
IF(DM156="No más que lo habitual",2,
IF(DM156="Bastante más que lo habitual",3,
IF(DM156="Mucho más que lo habitual",4,""))))</f>
        <v>1</v>
      </c>
      <c r="DO156" s="5" t="s">
        <v>231</v>
      </c>
      <c r="DP156" s="5">
        <f>IF(DO156="Más que lo habitual",1,
IF(DO156="Igual que lo habitual",2,
IF(DO156="Menos que lo habitual",3,
IF(DO156="Mucho menos que lo habitual",4,""))))</f>
        <v>2</v>
      </c>
      <c r="DQ156" s="5" t="s">
        <v>231</v>
      </c>
      <c r="DR156" s="5">
        <f>IF(DQ156="Más que lo habitual",1,
IF(DQ156="Igual que lo habitual",2,
IF(DQ156="Menos que lo habitual",3,
IF(DQ156="Mucho menos que lo habitual",4,""))))</f>
        <v>2</v>
      </c>
      <c r="DS156" s="5" t="s">
        <v>231</v>
      </c>
      <c r="DT156" s="5">
        <f>IF(DS156="Más que lo habitual",1,
IF(DS156="Igual que lo habitual",2,
IF(DS156="Menos que lo habitual",3,
IF(DS156="Mucho menos que lo habitual",4,""))))</f>
        <v>2</v>
      </c>
      <c r="DU156" s="5" t="s">
        <v>281</v>
      </c>
      <c r="DV156" s="5">
        <f>IF(DU156="Más que lo habitual",1,
IF(DU156="Igual que lo habitual",2,
IF(DU156="Menos que lo habitual",3,
IF(DU156="Mucho menos que lo habitual",4,""))))</f>
        <v>1</v>
      </c>
      <c r="DW156" s="5" t="s">
        <v>281</v>
      </c>
      <c r="DX156" s="5">
        <f>IF(DW156="Más que lo habitual",1,
IF(DW156="Igual que lo habitual",2,
IF(DW156="Menos que lo habitual",3,
IF(DW156="Mucho menos que lo habitual",4,""))))</f>
        <v>1</v>
      </c>
      <c r="DY156" s="5">
        <f>SUM(DB156,DD156,DF156,DH156,DJ156,DL156,DN156,DP156,DR156,DT156,DV156,DX156)</f>
        <v>18</v>
      </c>
      <c r="DZ156" s="5" t="str">
        <f>IF(DY156&lt;=18,"Nivel de riesgo bajo",
IF(DY156&lt;=23,"Nivel de riesgo medio",
"Nivel de riesgo alto"))</f>
        <v>Nivel de riesgo bajo</v>
      </c>
      <c r="EA156" s="5" t="s">
        <v>248</v>
      </c>
      <c r="EB156" s="5">
        <f>IF(EA156="Nunca/ casi nunca",0,
IF(EA156="Rara vez",1,
IF(EA156="A veces",2,
IF(EA156="A menudo",3,
IF(EA156="Siempre",4,"")))))</f>
        <v>1</v>
      </c>
      <c r="EC156" s="5" t="s">
        <v>232</v>
      </c>
      <c r="ED156" s="5">
        <f>IF(EC156="Nunca/ casi nunca",0,
IF(EC156="Rara vez",1,
IF(EC156="A veces",2,
IF(EC156="A menudo",3,
IF(EC156="Siempre",4,"")))))</f>
        <v>3</v>
      </c>
      <c r="EE156" s="5" t="s">
        <v>253</v>
      </c>
      <c r="EF156" s="5">
        <f>IF(EE156="Nunca/ casi nunca",0,
IF(EE156="Rara vez",1,
IF(EE156="A veces",2,
IF(EE156="A menudo",3,
IF(EE156="Siempre",4,"")))))</f>
        <v>0</v>
      </c>
      <c r="EG156" s="5">
        <f>SUM(EB156,ED156,EF156)</f>
        <v>4</v>
      </c>
      <c r="EH156" s="5" t="str">
        <f>IF(EG156&lt;=1,"Nivel de riesgo bajo",
IF(EG156&lt;=4,"Nivel de riesgo medio",
"Nivel de riesgo alto"))</f>
        <v>Nivel de riesgo medio</v>
      </c>
      <c r="EI156" s="5" t="s">
        <v>253</v>
      </c>
      <c r="EJ156" s="5">
        <f>IF(EI156="Nunca/ casi nunca",0,
IF(EI156="Rara vez",1,
IF(EI156="A veces",2,
IF(EI156="A menudo",3,
IF(EI156="Siempre",4,"")))))</f>
        <v>0</v>
      </c>
      <c r="EK156" s="5" t="s">
        <v>247</v>
      </c>
      <c r="EL156" s="5">
        <f>IF(EK156="Nunca/ casi nunca",0,
IF(EK156="Rara vez",1,
IF(EK156="A veces",2,
IF(EK156="A menudo",3,
IF(EK156="Siempre",4,"")))))</f>
        <v>2</v>
      </c>
      <c r="EM156" s="5" t="s">
        <v>253</v>
      </c>
      <c r="EN156" s="5">
        <f>IF(EM156="Nunca/ casi nunca",0,
IF(EM156="Rara vez",1,
IF(EM156="A veces",2,
IF(EM156="A menudo",3,
IF(EM156="Siempre",4,"")))))</f>
        <v>0</v>
      </c>
      <c r="EO156" s="5">
        <f>SUM(EJ156,EL156,EN156)</f>
        <v>2</v>
      </c>
      <c r="EP156" s="5" t="str">
        <f>IF(EO156&lt;=1,"Nivel de riesgo bajo",
IF(EO156&lt;=5,"Nivel de riesgo medio",
"Nivel de riesgo alto"))</f>
        <v>Nivel de riesgo medio</v>
      </c>
      <c r="EQ156" s="5" t="s">
        <v>247</v>
      </c>
      <c r="ER156" s="5">
        <f>IF(EQ156="Nunca/ casi nunca",4,
IF(EQ156="Rara vez",3,
IF(EQ156="A veces",2,
IF(EQ156="A menudo",1,
IF(EQ156="Siempre",0,"")))))</f>
        <v>2</v>
      </c>
      <c r="ES156" s="5" t="s">
        <v>248</v>
      </c>
      <c r="ET156" s="5">
        <f>IF(ES156="Nunca/ casi nunca",4,
IF(ES156="Rara vez",3,
IF(ES156="A veces",2,
IF(ES156="A menudo",1,
IF(ES156="Siempre",0,"")))))</f>
        <v>3</v>
      </c>
      <c r="EU156" s="5" t="s">
        <v>254</v>
      </c>
      <c r="EV156" s="5">
        <f>IF(EU156="Nunca/ casi nunca",4,
IF(EU156="Rara vez",3,
IF(EU156="A veces",2,
IF(EU156="A menudo",1,
IF(EU156="Siempre",0,"")))))</f>
        <v>0</v>
      </c>
      <c r="EW156" s="5" t="s">
        <v>254</v>
      </c>
      <c r="EX156" s="5">
        <f>IF(EW156="Nunca/ casi nunca",4,
IF(EW156="Rara vez",3,
IF(EW156="A veces",2,
IF(EW156="A menudo",1,
IF(EW156="Siempre",0,"")))))</f>
        <v>0</v>
      </c>
      <c r="EY156" s="5">
        <f>SUM(ER156,ET156,EV156,EX156)</f>
        <v>5</v>
      </c>
      <c r="EZ156" s="5" t="str">
        <f>IF(EY156&lt;=0,"Nivel de riesgo bajo",
IF(EY156&lt;=4,"Nivel de riesgo medio",
"Nivel de riesgo alto"))</f>
        <v>Nivel de riesgo alto</v>
      </c>
      <c r="FA156" s="5" t="s">
        <v>253</v>
      </c>
      <c r="FB156" s="5">
        <f>IF(FA156="Nunca/ casi nunca",0,
IF(FA156="Rara vez",1,
IF(FA156="A veces",2,
IF(FA156="A menudo",3,
IF(FA156="Siempre",4,"")))))</f>
        <v>0</v>
      </c>
      <c r="FC156" s="5" t="s">
        <v>253</v>
      </c>
      <c r="FD156" s="5">
        <f>IF(FC156="Nunca/ casi nunca",0,
IF(FC156="Rara vez",1,
IF(FC156="A veces",2,
IF(FC156="A menudo",3,
IF(FC156="Siempre",4,"")))))</f>
        <v>0</v>
      </c>
      <c r="FE156" s="5" t="s">
        <v>253</v>
      </c>
      <c r="FF156" s="5">
        <f>IF(FE156="Nunca/ casi nunca",0,
IF(FE156="Rara vez",1,
IF(FE156="A veces",2,
IF(FE156="A menudo",3,
IF(FE156="Siempre",4,"")))))</f>
        <v>0</v>
      </c>
      <c r="FG156" s="5">
        <f>SUM(FB156,FD156,FF156)</f>
        <v>0</v>
      </c>
      <c r="FH156" s="5" t="str">
        <f>IF(FG156&lt;=2,"Nivel de riesgo bajo",
IF(FG156&lt;=5,"Nivel de riesgo medio",
"Nivel de riesgo alto"))</f>
        <v>Nivel de riesgo bajo</v>
      </c>
      <c r="FI156" s="5" t="s">
        <v>248</v>
      </c>
      <c r="FJ156" s="5">
        <f>IF(FI156="Nunca/ casi nunca",0,
IF(FI156="Rara vez",1,
IF(FI156="A veces",2,
IF(FI156="A menudo",3,
IF(FI156="Siempre",4,"")))))</f>
        <v>1</v>
      </c>
      <c r="FK156" s="5" t="s">
        <v>248</v>
      </c>
      <c r="FL156" s="5">
        <f>IF(FK156="Nunca/ casi nunca",0,
IF(FK156="Rara vez",1,
IF(FK156="A veces",2,
IF(FK156="A menudo",3,
IF(FK156="Siempre",4,"")))))</f>
        <v>1</v>
      </c>
      <c r="FM156" s="5" t="s">
        <v>247</v>
      </c>
      <c r="FN156" s="5">
        <f>IF(FM156="Nunca/ casi nunca",0,
IF(FM156="Rara vez",1,
IF(FM156="A veces",2,
IF(FM156="A menudo",3,
IF(FM156="Siempre",4,"")))))</f>
        <v>2</v>
      </c>
      <c r="FO156" s="5">
        <f>SUM(FJ156,FL156,FN156)</f>
        <v>4</v>
      </c>
      <c r="FP156" s="5" t="str">
        <f>IF(FO156&lt;=2,"Nivel de riesgo bajo",
IF(FO156&lt;=5,"Nivel de riesgo medio",
"Nivel de riesgo alto"))</f>
        <v>Nivel de riesgo medio</v>
      </c>
      <c r="FQ156" s="5" t="s">
        <v>206</v>
      </c>
      <c r="FR156" s="5">
        <f>IF(FQ156="No",0,
IF(FQ156="Sí, unas pocas veces",1,
IF(FQ156="Sí, mensualmente",2,
IF(FQ156="Sí, semanalmente",3,
IF(FQ156="Sí, diariamente",4,"")))))</f>
        <v>0</v>
      </c>
      <c r="FS156" s="5" t="s">
        <v>206</v>
      </c>
      <c r="FT156" s="5">
        <f>IF(FS156="No",0,
IF(FS156="Sí, unas pocas veces",1,
IF(FS156="Sí, mensualmente",2,
IF(FS156="Sí, semanalmente",3,
IF(FS156="Sí, diariamente",4,"")))))</f>
        <v>0</v>
      </c>
      <c r="FU156" s="5" t="s">
        <v>206</v>
      </c>
      <c r="FV156" s="5">
        <f>IF(FU156="No",0,
IF(FU156="Sí, unas pocas veces",1,
IF(FU156="Sí, mensualmente",2,
IF(FU156="Sí, semanalmente",3,
IF(FU156="Sí, diariamente",4,"")))))</f>
        <v>0</v>
      </c>
      <c r="FW156" s="5" t="s">
        <v>206</v>
      </c>
      <c r="FX156" s="5">
        <f>IF(FW156="No",0,
IF(FW156="Sí, unas pocas veces",1,
IF(FW156="Sí, mensualmente",2,
IF(FW156="Sí, semanalmente",3,
IF(FW156="Sí, diariamente",4,"")))))</f>
        <v>0</v>
      </c>
      <c r="FY156" s="5" t="s">
        <v>206</v>
      </c>
      <c r="FZ156" s="5">
        <f>IF(FY156="No",0,
IF(FY156="Sí, unas pocas veces",1,
IF(FY156="Sí, mensualmente",2,
IF(FY156="Sí, semanalmente",3,
IF(FY156="Sí, diariamente",4,"")))))</f>
        <v>0</v>
      </c>
      <c r="GA156" s="5" t="s">
        <v>206</v>
      </c>
      <c r="GB156" s="5">
        <f>IF(GA156="No",0,
IF(GA156="Sí, unas pocas veces",1,
IF(GA156="Sí, mensualmente",2,
IF(GA156="Sí, semanalmente",3,
IF(GA156="Sí, diariamente",4,"")))))</f>
        <v>0</v>
      </c>
      <c r="GC156" s="5" t="s">
        <v>206</v>
      </c>
      <c r="GD156" s="5">
        <f>IF(GC156="No",0,
IF(GC156="Sí, unas pocas veces",1,
IF(GC156="Sí, mensualmente",2,
IF(GC156="Sí, semanalmente",3,
IF(GC156="Sí, diariamente",4,"")))))</f>
        <v>0</v>
      </c>
      <c r="GE156" s="5">
        <f>SUM(FR156,FT156,FV156,FX156,FZ156,GB156,GD156)</f>
        <v>0</v>
      </c>
      <c r="GF156" s="5" t="str">
        <f>IF(GE156&lt;=0,"Nivel de riesgo bajo",
IF(GE156&lt;=14,"Nivel de riesgo medio",
"Nivel de riesgo alto"))</f>
        <v>Nivel de riesgo bajo</v>
      </c>
      <c r="GG156" s="5" t="s">
        <v>255</v>
      </c>
      <c r="GH156" s="5" t="s">
        <v>255</v>
      </c>
      <c r="GI156" s="5" t="s">
        <v>255</v>
      </c>
      <c r="GJ156" s="5" t="s">
        <v>255</v>
      </c>
      <c r="GK156" s="5" t="s">
        <v>298</v>
      </c>
      <c r="GL156" s="5" t="s">
        <v>255</v>
      </c>
      <c r="GM156" s="5" t="s">
        <v>255</v>
      </c>
      <c r="GN156" s="5" t="s">
        <v>256</v>
      </c>
      <c r="GO156" s="5" t="s">
        <v>256</v>
      </c>
      <c r="GP156" s="5" t="s">
        <v>256</v>
      </c>
      <c r="GQ156" s="5" t="s">
        <v>256</v>
      </c>
      <c r="GR156" s="5" t="s">
        <v>256</v>
      </c>
      <c r="GS156" s="5" t="s">
        <v>256</v>
      </c>
      <c r="GT156" s="5" t="s">
        <v>256</v>
      </c>
      <c r="GU156" s="5" t="s">
        <v>507</v>
      </c>
      <c r="GV156" s="5" t="str">
        <f>TEXT("6278892307515596367","0")</f>
        <v>6278892307515590000</v>
      </c>
    </row>
    <row r="157" spans="1:204" ht="15.75" hidden="1" customHeight="1" x14ac:dyDescent="0.15">
      <c r="B157" s="4">
        <v>45847.543854166666</v>
      </c>
      <c r="C157" s="5" t="s">
        <v>204</v>
      </c>
      <c r="D157" s="5" t="s">
        <v>206</v>
      </c>
      <c r="F157" s="5" t="s">
        <v>206</v>
      </c>
      <c r="G157" s="5" t="s">
        <v>204</v>
      </c>
      <c r="H157" s="5" t="s">
        <v>206</v>
      </c>
      <c r="K157" s="5" t="s">
        <v>237</v>
      </c>
      <c r="O157" s="5" t="s">
        <v>209</v>
      </c>
      <c r="T157" s="5" t="s">
        <v>209</v>
      </c>
      <c r="X157" s="5" t="s">
        <v>208</v>
      </c>
      <c r="AC157" s="5" t="s">
        <v>208</v>
      </c>
      <c r="AH157" s="5" t="s">
        <v>210</v>
      </c>
      <c r="AI157" s="5">
        <v>2023</v>
      </c>
      <c r="AJ157" s="5" t="s">
        <v>293</v>
      </c>
      <c r="AK157" s="5"/>
      <c r="AR157" s="5" t="s">
        <v>241</v>
      </c>
      <c r="AS157" s="5" t="s">
        <v>301</v>
      </c>
      <c r="AT157" s="5" t="s">
        <v>301</v>
      </c>
      <c r="AU157" s="5" t="s">
        <v>241</v>
      </c>
      <c r="AV157" s="5" t="s">
        <v>213</v>
      </c>
      <c r="AW157" s="5" t="s">
        <v>204</v>
      </c>
      <c r="AX157" s="5" t="s">
        <v>204</v>
      </c>
      <c r="AY157" s="5" t="s">
        <v>270</v>
      </c>
      <c r="AZ157" s="5" t="s">
        <v>204</v>
      </c>
      <c r="BA157" s="5" t="s">
        <v>295</v>
      </c>
      <c r="BB157" s="5" t="s">
        <v>206</v>
      </c>
      <c r="BC157" s="5" t="s">
        <v>206</v>
      </c>
      <c r="BD157" s="5" t="s">
        <v>206</v>
      </c>
      <c r="BE157" s="5" t="s">
        <v>206</v>
      </c>
      <c r="BF157" s="5" t="s">
        <v>204</v>
      </c>
      <c r="BG157" s="5" t="s">
        <v>242</v>
      </c>
      <c r="BH157" s="5" t="s">
        <v>242</v>
      </c>
      <c r="BI157" s="5" t="s">
        <v>271</v>
      </c>
      <c r="BJ157" s="5" t="s">
        <v>271</v>
      </c>
      <c r="BK157" s="5" t="s">
        <v>243</v>
      </c>
      <c r="BL157" s="5" t="s">
        <v>246</v>
      </c>
      <c r="BM157" s="5" t="s">
        <v>245</v>
      </c>
      <c r="BN157" s="5" t="s">
        <v>246</v>
      </c>
      <c r="BO157" s="5" t="s">
        <v>244</v>
      </c>
      <c r="BP157" s="5" t="s">
        <v>246</v>
      </c>
      <c r="BQ157" s="5" t="s">
        <v>246</v>
      </c>
      <c r="BR157" s="5" t="s">
        <v>243</v>
      </c>
      <c r="BS157" s="5" t="s">
        <v>254</v>
      </c>
      <c r="BT157" s="5" t="s">
        <v>232</v>
      </c>
      <c r="BU157" s="5" t="s">
        <v>247</v>
      </c>
      <c r="BV157" s="5" t="s">
        <v>247</v>
      </c>
      <c r="BW157" s="5" t="s">
        <v>232</v>
      </c>
      <c r="BX157" s="5" t="s">
        <v>247</v>
      </c>
      <c r="BY157" s="5" t="s">
        <v>248</v>
      </c>
      <c r="BZ157" s="5" t="s">
        <v>246</v>
      </c>
      <c r="CA157" s="5" t="s">
        <v>246</v>
      </c>
      <c r="CB157" s="5" t="s">
        <v>245</v>
      </c>
      <c r="CC157" s="5" t="s">
        <v>245</v>
      </c>
      <c r="CD157" s="5" t="s">
        <v>206</v>
      </c>
      <c r="CH157" s="5" t="s">
        <v>206</v>
      </c>
      <c r="CI157" s="5" t="s">
        <v>206</v>
      </c>
      <c r="CJ157" s="5">
        <v>0</v>
      </c>
      <c r="CK157" s="5" t="s">
        <v>223</v>
      </c>
      <c r="CU157" s="5" t="s">
        <v>206</v>
      </c>
      <c r="DA157" s="5" t="s">
        <v>229</v>
      </c>
      <c r="DB157" s="5"/>
      <c r="DC157" s="5" t="s">
        <v>280</v>
      </c>
      <c r="DD157" s="5"/>
      <c r="DE157" s="5" t="s">
        <v>250</v>
      </c>
      <c r="DF157" s="5"/>
      <c r="DG157" s="5" t="s">
        <v>250</v>
      </c>
      <c r="DH157" s="5"/>
      <c r="DI157" s="5" t="s">
        <v>250</v>
      </c>
      <c r="DJ157" s="5"/>
      <c r="DK157" s="5" t="s">
        <v>250</v>
      </c>
      <c r="DL157" s="5"/>
      <c r="DM157" s="5" t="s">
        <v>230</v>
      </c>
      <c r="DN157" s="5"/>
      <c r="DO157" s="5" t="s">
        <v>231</v>
      </c>
      <c r="DP157" s="5"/>
      <c r="DQ157" s="5" t="s">
        <v>252</v>
      </c>
      <c r="DR157" s="5"/>
      <c r="DS157" s="5" t="s">
        <v>252</v>
      </c>
      <c r="DT157" s="5"/>
      <c r="DU157" s="5" t="s">
        <v>252</v>
      </c>
      <c r="DV157" s="5"/>
      <c r="DW157" s="5" t="s">
        <v>252</v>
      </c>
      <c r="DX157" s="5"/>
      <c r="DY157" s="5"/>
      <c r="DZ157" s="5"/>
      <c r="EA157" s="5" t="s">
        <v>247</v>
      </c>
      <c r="EB157" s="5"/>
      <c r="EC157" s="5" t="s">
        <v>253</v>
      </c>
      <c r="ED157" s="5"/>
      <c r="EE157" s="5" t="s">
        <v>253</v>
      </c>
      <c r="EF157" s="5"/>
      <c r="EG157" s="5"/>
      <c r="EH157" s="5"/>
      <c r="EI157" s="5" t="s">
        <v>248</v>
      </c>
      <c r="EJ157" s="5"/>
      <c r="EK157" s="5" t="s">
        <v>232</v>
      </c>
      <c r="EL157" s="5"/>
      <c r="EM157" s="5" t="s">
        <v>254</v>
      </c>
      <c r="EN157" s="5"/>
      <c r="EO157" s="5"/>
      <c r="EP157" s="5"/>
      <c r="EQ157" s="5" t="s">
        <v>253</v>
      </c>
      <c r="ER157" s="5"/>
      <c r="ES157" s="5" t="s">
        <v>253</v>
      </c>
      <c r="ET157" s="5"/>
      <c r="EU157" s="5" t="s">
        <v>253</v>
      </c>
      <c r="EV157" s="5"/>
      <c r="EW157" s="5" t="s">
        <v>253</v>
      </c>
      <c r="EX157" s="5"/>
      <c r="EY157" s="5"/>
      <c r="EZ157" s="5"/>
      <c r="FA157" s="5" t="s">
        <v>247</v>
      </c>
      <c r="FB157" s="5"/>
      <c r="FC157" s="5" t="s">
        <v>253</v>
      </c>
      <c r="FD157" s="5"/>
      <c r="FE157" s="5" t="s">
        <v>253</v>
      </c>
      <c r="FF157" s="5"/>
      <c r="FG157" s="5"/>
      <c r="FH157" s="5"/>
      <c r="FI157" s="5" t="s">
        <v>247</v>
      </c>
      <c r="FJ157" s="5"/>
      <c r="FK157" s="5" t="s">
        <v>247</v>
      </c>
      <c r="FL157" s="5"/>
      <c r="FM157" s="5" t="s">
        <v>247</v>
      </c>
      <c r="FN157" s="5"/>
      <c r="FO157" s="5"/>
      <c r="FP157" s="5"/>
      <c r="FQ157" s="5" t="s">
        <v>206</v>
      </c>
      <c r="FR157" s="5"/>
      <c r="FS157" s="5" t="s">
        <v>265</v>
      </c>
      <c r="FT157" s="5"/>
      <c r="FU157" s="5" t="s">
        <v>206</v>
      </c>
      <c r="FV157" s="5"/>
      <c r="FW157" s="5" t="s">
        <v>206</v>
      </c>
      <c r="FX157" s="5"/>
      <c r="FY157" s="5" t="s">
        <v>206</v>
      </c>
      <c r="FZ157" s="5"/>
      <c r="GA157" s="5" t="s">
        <v>206</v>
      </c>
      <c r="GB157" s="5"/>
      <c r="GC157" s="5" t="s">
        <v>206</v>
      </c>
      <c r="GD157" s="5"/>
      <c r="GE157" s="5"/>
      <c r="GF157" s="5"/>
      <c r="GG157" s="5" t="s">
        <v>255</v>
      </c>
      <c r="GH157" s="5" t="s">
        <v>255</v>
      </c>
      <c r="GI157" s="5" t="s">
        <v>255</v>
      </c>
      <c r="GJ157" s="5" t="s">
        <v>255</v>
      </c>
      <c r="GK157" s="5" t="s">
        <v>233</v>
      </c>
      <c r="GL157" s="5" t="s">
        <v>273</v>
      </c>
      <c r="GM157" s="5" t="s">
        <v>298</v>
      </c>
      <c r="GN157" s="5" t="s">
        <v>256</v>
      </c>
      <c r="GO157" s="5" t="s">
        <v>243</v>
      </c>
      <c r="GP157" s="5" t="s">
        <v>257</v>
      </c>
      <c r="GQ157" s="5" t="s">
        <v>257</v>
      </c>
      <c r="GR157" s="5" t="s">
        <v>257</v>
      </c>
      <c r="GS157" s="5" t="s">
        <v>244</v>
      </c>
      <c r="GT157" s="5" t="s">
        <v>256</v>
      </c>
      <c r="GU157" s="5" t="s">
        <v>508</v>
      </c>
      <c r="GV157" s="5" t="str">
        <f>TEXT("6278897897718592386","0")</f>
        <v>6278897897718590000</v>
      </c>
    </row>
    <row r="158" spans="1:204" ht="15.75" customHeight="1" x14ac:dyDescent="0.15">
      <c r="A158" s="1">
        <f>ROW(A158)</f>
        <v>158</v>
      </c>
      <c r="B158" s="4">
        <v>45847.548136574071</v>
      </c>
      <c r="C158" s="5" t="s">
        <v>204</v>
      </c>
      <c r="D158" s="5" t="s">
        <v>206</v>
      </c>
      <c r="F158" s="5" t="s">
        <v>206</v>
      </c>
      <c r="G158" s="5" t="s">
        <v>206</v>
      </c>
      <c r="H158" s="5" t="s">
        <v>206</v>
      </c>
      <c r="K158" s="5" t="s">
        <v>237</v>
      </c>
      <c r="P158" s="5" t="s">
        <v>237</v>
      </c>
      <c r="T158" s="5" t="s">
        <v>209</v>
      </c>
      <c r="Y158" s="5" t="s">
        <v>209</v>
      </c>
      <c r="AE158" s="5" t="s">
        <v>237</v>
      </c>
      <c r="AH158" s="5" t="s">
        <v>268</v>
      </c>
      <c r="AI158" s="5">
        <v>2025</v>
      </c>
      <c r="AJ158" s="5" t="s">
        <v>337</v>
      </c>
      <c r="AK158" s="5" t="str">
        <f>IF(OR(AJ158="Empleada del sector privado",AJ158="Empleada del sector público"),"Asalariada",
IF(AJ158="Trabajadora por cuenta propia","Trabajadora por cuenta propia",""))</f>
        <v>Asalariada</v>
      </c>
      <c r="AQ158" s="5" t="s">
        <v>206</v>
      </c>
      <c r="AR158" s="5" t="s">
        <v>241</v>
      </c>
      <c r="AS158" s="5" t="s">
        <v>241</v>
      </c>
      <c r="AT158" s="5" t="s">
        <v>241</v>
      </c>
      <c r="AU158" s="5" t="s">
        <v>241</v>
      </c>
      <c r="AV158" s="5" t="s">
        <v>302</v>
      </c>
      <c r="AW158" s="5" t="s">
        <v>206</v>
      </c>
      <c r="BF158" s="5" t="s">
        <v>204</v>
      </c>
      <c r="BG158" s="5" t="s">
        <v>215</v>
      </c>
      <c r="BH158" s="5" t="s">
        <v>215</v>
      </c>
      <c r="BI158" s="5" t="s">
        <v>271</v>
      </c>
      <c r="BJ158" s="5" t="s">
        <v>242</v>
      </c>
      <c r="BK158" s="5" t="s">
        <v>243</v>
      </c>
      <c r="BL158" s="5" t="s">
        <v>246</v>
      </c>
      <c r="BM158" s="5" t="s">
        <v>243</v>
      </c>
      <c r="BN158" s="5" t="s">
        <v>243</v>
      </c>
      <c r="BO158" s="5" t="s">
        <v>243</v>
      </c>
      <c r="BP158" s="5" t="s">
        <v>243</v>
      </c>
      <c r="BQ158" s="5" t="s">
        <v>243</v>
      </c>
      <c r="BR158" s="5" t="s">
        <v>243</v>
      </c>
      <c r="BS158" s="5" t="s">
        <v>247</v>
      </c>
      <c r="BT158" s="5" t="s">
        <v>247</v>
      </c>
      <c r="BU158" s="5" t="s">
        <v>247</v>
      </c>
      <c r="BV158" s="5" t="s">
        <v>248</v>
      </c>
      <c r="BW158" s="5" t="s">
        <v>247</v>
      </c>
      <c r="BX158" s="5" t="s">
        <v>247</v>
      </c>
      <c r="BY158" s="5" t="s">
        <v>247</v>
      </c>
      <c r="CD158" s="5" t="s">
        <v>206</v>
      </c>
      <c r="CH158" s="5" t="s">
        <v>367</v>
      </c>
      <c r="CI158" s="5" t="s">
        <v>291</v>
      </c>
      <c r="CJ158" s="5">
        <v>1</v>
      </c>
      <c r="CK158" s="5" t="s">
        <v>223</v>
      </c>
      <c r="CU158" s="5" t="s">
        <v>206</v>
      </c>
      <c r="DA158" s="5" t="s">
        <v>231</v>
      </c>
      <c r="DB158" s="5">
        <f>IF(DA158="Mejor que lo habitual",1,
IF(DA158="Igual que lo habitual",2,
IF(DA158="Menos que lo habitual",3,
IF(DA158="Mucho menos que lo habitual",4,""))))</f>
        <v>2</v>
      </c>
      <c r="DC158" s="5" t="s">
        <v>250</v>
      </c>
      <c r="DD158" s="5">
        <f>IF(DC158="No, en absoluto",1,
IF(DC158="No más que lo habitual",2,
IF(DC158="Bastante más que lo habitual",3,
IF(DC158="Mucho más que lo habitual",4,""))))</f>
        <v>3</v>
      </c>
      <c r="DE158" s="5" t="s">
        <v>230</v>
      </c>
      <c r="DF158" s="5">
        <f>IF(DE158="No, en absoluto",1,
IF(DE158="No más que lo habitual",2,
IF(DE158="Bastante más que lo habitual",3,
IF(DE158="Mucho más que lo habitual",4,""))))</f>
        <v>2</v>
      </c>
      <c r="DG158" s="5" t="s">
        <v>230</v>
      </c>
      <c r="DH158" s="5">
        <f>IF(DG158="No, en absoluto",1,
IF(DG158="No más que lo habitual",2,
IF(DG158="Bastante más que lo habitual",3,
IF(DG158="Mucho más que lo habitual",4,""))))</f>
        <v>2</v>
      </c>
      <c r="DI158" s="5" t="s">
        <v>230</v>
      </c>
      <c r="DJ158" s="5">
        <f>IF(DI158="No, en absoluto",1,
IF(DI158="No más que lo habitual",2,
IF(DI158="Bastante más que lo habitual",3,
IF(DI158="Mucho más que lo habitual",4,""))))</f>
        <v>2</v>
      </c>
      <c r="DK158" s="5" t="s">
        <v>251</v>
      </c>
      <c r="DL158" s="5">
        <f>IF(DK158="No, en absoluto",1,
IF(DK158="No más que lo habitual",2,
IF(DK158="Bastante más que lo habitual",3,
IF(DK158="Mucho más que lo habitual",4,""))))</f>
        <v>1</v>
      </c>
      <c r="DM158" s="5" t="s">
        <v>251</v>
      </c>
      <c r="DN158" s="5">
        <f>IF(DM158="No, en absoluto",1,
IF(DM158="No más que lo habitual",2,
IF(DM158="Bastante más que lo habitual",3,
IF(DM158="Mucho más que lo habitual",4,""))))</f>
        <v>1</v>
      </c>
      <c r="DO158" s="5" t="s">
        <v>231</v>
      </c>
      <c r="DP158" s="5">
        <f>IF(DO158="Más que lo habitual",1,
IF(DO158="Igual que lo habitual",2,
IF(DO158="Menos que lo habitual",3,
IF(DO158="Mucho menos que lo habitual",4,""))))</f>
        <v>2</v>
      </c>
      <c r="DQ158" s="5" t="s">
        <v>231</v>
      </c>
      <c r="DR158" s="5">
        <f>IF(DQ158="Más que lo habitual",1,
IF(DQ158="Igual que lo habitual",2,
IF(DQ158="Menos que lo habitual",3,
IF(DQ158="Mucho menos que lo habitual",4,""))))</f>
        <v>2</v>
      </c>
      <c r="DS158" s="5" t="s">
        <v>231</v>
      </c>
      <c r="DT158" s="5">
        <f>IF(DS158="Más que lo habitual",1,
IF(DS158="Igual que lo habitual",2,
IF(DS158="Menos que lo habitual",3,
IF(DS158="Mucho menos que lo habitual",4,""))))</f>
        <v>2</v>
      </c>
      <c r="DU158" s="5" t="s">
        <v>281</v>
      </c>
      <c r="DV158" s="5">
        <f>IF(DU158="Más que lo habitual",1,
IF(DU158="Igual que lo habitual",2,
IF(DU158="Menos que lo habitual",3,
IF(DU158="Mucho menos que lo habitual",4,""))))</f>
        <v>1</v>
      </c>
      <c r="DW158" s="5" t="s">
        <v>231</v>
      </c>
      <c r="DX158" s="5">
        <f>IF(DW158="Más que lo habitual",1,
IF(DW158="Igual que lo habitual",2,
IF(DW158="Menos que lo habitual",3,
IF(DW158="Mucho menos que lo habitual",4,""))))</f>
        <v>2</v>
      </c>
      <c r="DY158" s="5">
        <f>SUM(DB158,DD158,DF158,DH158,DJ158,DL158,DN158,DP158,DR158,DT158,DV158,DX158)</f>
        <v>22</v>
      </c>
      <c r="DZ158" s="5" t="str">
        <f>IF(DY158&lt;=18,"Nivel de riesgo bajo",
IF(DY158&lt;=23,"Nivel de riesgo medio",
"Nivel de riesgo alto"))</f>
        <v>Nivel de riesgo medio</v>
      </c>
      <c r="EA158" s="5" t="s">
        <v>247</v>
      </c>
      <c r="EB158" s="5">
        <f>IF(EA158="Nunca/ casi nunca",0,
IF(EA158="Rara vez",1,
IF(EA158="A veces",2,
IF(EA158="A menudo",3,
IF(EA158="Siempre",4,"")))))</f>
        <v>2</v>
      </c>
      <c r="EC158" s="5" t="s">
        <v>248</v>
      </c>
      <c r="ED158" s="5">
        <f>IF(EC158="Nunca/ casi nunca",0,
IF(EC158="Rara vez",1,
IF(EC158="A veces",2,
IF(EC158="A menudo",3,
IF(EC158="Siempre",4,"")))))</f>
        <v>1</v>
      </c>
      <c r="EE158" s="5" t="s">
        <v>253</v>
      </c>
      <c r="EF158" s="5">
        <f>IF(EE158="Nunca/ casi nunca",0,
IF(EE158="Rara vez",1,
IF(EE158="A veces",2,
IF(EE158="A menudo",3,
IF(EE158="Siempre",4,"")))))</f>
        <v>0</v>
      </c>
      <c r="EG158" s="5">
        <f>SUM(EB158,ED158,EF158)</f>
        <v>3</v>
      </c>
      <c r="EH158" s="5" t="str">
        <f>IF(EG158&lt;=1,"Nivel de riesgo bajo",
IF(EG158&lt;=4,"Nivel de riesgo medio",
"Nivel de riesgo alto"))</f>
        <v>Nivel de riesgo medio</v>
      </c>
      <c r="EI158" s="5" t="s">
        <v>247</v>
      </c>
      <c r="EJ158" s="5">
        <f>IF(EI158="Nunca/ casi nunca",0,
IF(EI158="Rara vez",1,
IF(EI158="A veces",2,
IF(EI158="A menudo",3,
IF(EI158="Siempre",4,"")))))</f>
        <v>2</v>
      </c>
      <c r="EK158" s="5" t="s">
        <v>232</v>
      </c>
      <c r="EL158" s="5">
        <f>IF(EK158="Nunca/ casi nunca",0,
IF(EK158="Rara vez",1,
IF(EK158="A veces",2,
IF(EK158="A menudo",3,
IF(EK158="Siempre",4,"")))))</f>
        <v>3</v>
      </c>
      <c r="EM158" s="5" t="s">
        <v>247</v>
      </c>
      <c r="EN158" s="5">
        <f>IF(EM158="Nunca/ casi nunca",0,
IF(EM158="Rara vez",1,
IF(EM158="A veces",2,
IF(EM158="A menudo",3,
IF(EM158="Siempre",4,"")))))</f>
        <v>2</v>
      </c>
      <c r="EO158" s="5">
        <f>SUM(EJ158,EL158,EN158)</f>
        <v>7</v>
      </c>
      <c r="EP158" s="5" t="str">
        <f>IF(EO158&lt;=1,"Nivel de riesgo bajo",
IF(EO158&lt;=5,"Nivel de riesgo medio",
"Nivel de riesgo alto"))</f>
        <v>Nivel de riesgo alto</v>
      </c>
      <c r="EQ158" s="5" t="s">
        <v>232</v>
      </c>
      <c r="ER158" s="5">
        <f>IF(EQ158="Nunca/ casi nunca",4,
IF(EQ158="Rara vez",3,
IF(EQ158="A veces",2,
IF(EQ158="A menudo",1,
IF(EQ158="Siempre",0,"")))))</f>
        <v>1</v>
      </c>
      <c r="ES158" s="5" t="s">
        <v>232</v>
      </c>
      <c r="ET158" s="5">
        <f>IF(ES158="Nunca/ casi nunca",4,
IF(ES158="Rara vez",3,
IF(ES158="A veces",2,
IF(ES158="A menudo",1,
IF(ES158="Siempre",0,"")))))</f>
        <v>1</v>
      </c>
      <c r="EU158" s="5" t="s">
        <v>232</v>
      </c>
      <c r="EV158" s="5">
        <f>IF(EU158="Nunca/ casi nunca",4,
IF(EU158="Rara vez",3,
IF(EU158="A veces",2,
IF(EU158="A menudo",1,
IF(EU158="Siempre",0,"")))))</f>
        <v>1</v>
      </c>
      <c r="EW158" s="5" t="s">
        <v>254</v>
      </c>
      <c r="EX158" s="5">
        <f>IF(EW158="Nunca/ casi nunca",4,
IF(EW158="Rara vez",3,
IF(EW158="A veces",2,
IF(EW158="A menudo",1,
IF(EW158="Siempre",0,"")))))</f>
        <v>0</v>
      </c>
      <c r="EY158" s="5">
        <f>SUM(ER158,ET158,EV158,EX158)</f>
        <v>3</v>
      </c>
      <c r="EZ158" s="5" t="str">
        <f>IF(EY158&lt;=0,"Nivel de riesgo bajo",
IF(EY158&lt;=4,"Nivel de riesgo medio",
"Nivel de riesgo alto"))</f>
        <v>Nivel de riesgo medio</v>
      </c>
      <c r="FA158" s="5" t="s">
        <v>232</v>
      </c>
      <c r="FB158" s="5">
        <f>IF(FA158="Nunca/ casi nunca",0,
IF(FA158="Rara vez",1,
IF(FA158="A veces",2,
IF(FA158="A menudo",3,
IF(FA158="Siempre",4,"")))))</f>
        <v>3</v>
      </c>
      <c r="FC158" s="5" t="s">
        <v>232</v>
      </c>
      <c r="FD158" s="5">
        <f>IF(FC158="Nunca/ casi nunca",0,
IF(FC158="Rara vez",1,
IF(FC158="A veces",2,
IF(FC158="A menudo",3,
IF(FC158="Siempre",4,"")))))</f>
        <v>3</v>
      </c>
      <c r="FE158" s="5" t="s">
        <v>232</v>
      </c>
      <c r="FF158" s="5">
        <f>IF(FE158="Nunca/ casi nunca",0,
IF(FE158="Rara vez",1,
IF(FE158="A veces",2,
IF(FE158="A menudo",3,
IF(FE158="Siempre",4,"")))))</f>
        <v>3</v>
      </c>
      <c r="FG158" s="5">
        <f>SUM(FB158,FD158,FF158)</f>
        <v>9</v>
      </c>
      <c r="FH158" s="5" t="str">
        <f>IF(FG158&lt;=2,"Nivel de riesgo bajo",
IF(FG158&lt;=5,"Nivel de riesgo medio",
"Nivel de riesgo alto"))</f>
        <v>Nivel de riesgo alto</v>
      </c>
      <c r="FI158" s="5" t="s">
        <v>247</v>
      </c>
      <c r="FJ158" s="5">
        <f>IF(FI158="Nunca/ casi nunca",0,
IF(FI158="Rara vez",1,
IF(FI158="A veces",2,
IF(FI158="A menudo",3,
IF(FI158="Siempre",4,"")))))</f>
        <v>2</v>
      </c>
      <c r="FK158" s="5" t="s">
        <v>248</v>
      </c>
      <c r="FL158" s="5">
        <f>IF(FK158="Nunca/ casi nunca",0,
IF(FK158="Rara vez",1,
IF(FK158="A veces",2,
IF(FK158="A menudo",3,
IF(FK158="Siempre",4,"")))))</f>
        <v>1</v>
      </c>
      <c r="FM158" s="5" t="s">
        <v>248</v>
      </c>
      <c r="FN158" s="5">
        <f>IF(FM158="Nunca/ casi nunca",0,
IF(FM158="Rara vez",1,
IF(FM158="A veces",2,
IF(FM158="A menudo",3,
IF(FM158="Siempre",4,"")))))</f>
        <v>1</v>
      </c>
      <c r="FO158" s="5">
        <f>SUM(FJ158,FL158,FN158)</f>
        <v>4</v>
      </c>
      <c r="FP158" s="5" t="str">
        <f>IF(FO158&lt;=2,"Nivel de riesgo bajo",
IF(FO158&lt;=5,"Nivel de riesgo medio",
"Nivel de riesgo alto"))</f>
        <v>Nivel de riesgo medio</v>
      </c>
      <c r="FQ158" s="5" t="s">
        <v>206</v>
      </c>
      <c r="FR158" s="5">
        <f>IF(FQ158="No",0,
IF(FQ158="Sí, unas pocas veces",1,
IF(FQ158="Sí, mensualmente",2,
IF(FQ158="Sí, semanalmente",3,
IF(FQ158="Sí, diariamente",4,"")))))</f>
        <v>0</v>
      </c>
      <c r="FS158" s="5" t="s">
        <v>206</v>
      </c>
      <c r="FT158" s="5">
        <f>IF(FS158="No",0,
IF(FS158="Sí, unas pocas veces",1,
IF(FS158="Sí, mensualmente",2,
IF(FS158="Sí, semanalmente",3,
IF(FS158="Sí, diariamente",4,"")))))</f>
        <v>0</v>
      </c>
      <c r="FU158" s="5" t="s">
        <v>206</v>
      </c>
      <c r="FV158" s="5">
        <f>IF(FU158="No",0,
IF(FU158="Sí, unas pocas veces",1,
IF(FU158="Sí, mensualmente",2,
IF(FU158="Sí, semanalmente",3,
IF(FU158="Sí, diariamente",4,"")))))</f>
        <v>0</v>
      </c>
      <c r="FW158" s="5" t="s">
        <v>206</v>
      </c>
      <c r="FX158" s="5">
        <f>IF(FW158="No",0,
IF(FW158="Sí, unas pocas veces",1,
IF(FW158="Sí, mensualmente",2,
IF(FW158="Sí, semanalmente",3,
IF(FW158="Sí, diariamente",4,"")))))</f>
        <v>0</v>
      </c>
      <c r="FY158" s="5" t="s">
        <v>206</v>
      </c>
      <c r="FZ158" s="5">
        <f>IF(FY158="No",0,
IF(FY158="Sí, unas pocas veces",1,
IF(FY158="Sí, mensualmente",2,
IF(FY158="Sí, semanalmente",3,
IF(FY158="Sí, diariamente",4,"")))))</f>
        <v>0</v>
      </c>
      <c r="GA158" s="5" t="s">
        <v>206</v>
      </c>
      <c r="GB158" s="5">
        <f>IF(GA158="No",0,
IF(GA158="Sí, unas pocas veces",1,
IF(GA158="Sí, mensualmente",2,
IF(GA158="Sí, semanalmente",3,
IF(GA158="Sí, diariamente",4,"")))))</f>
        <v>0</v>
      </c>
      <c r="GC158" s="5" t="s">
        <v>206</v>
      </c>
      <c r="GD158" s="5">
        <f>IF(GC158="No",0,
IF(GC158="Sí, unas pocas veces",1,
IF(GC158="Sí, mensualmente",2,
IF(GC158="Sí, semanalmente",3,
IF(GC158="Sí, diariamente",4,"")))))</f>
        <v>0</v>
      </c>
      <c r="GE158" s="5">
        <f>SUM(FR158,FT158,FV158,FX158,FZ158,GB158,GD158)</f>
        <v>0</v>
      </c>
      <c r="GF158" s="5" t="str">
        <f>IF(GE158&lt;=0,"Nivel de riesgo bajo",
IF(GE158&lt;=14,"Nivel de riesgo medio",
"Nivel de riesgo alto"))</f>
        <v>Nivel de riesgo bajo</v>
      </c>
      <c r="GG158" s="5" t="s">
        <v>255</v>
      </c>
      <c r="GH158" s="5" t="s">
        <v>298</v>
      </c>
      <c r="GI158" s="5" t="s">
        <v>273</v>
      </c>
      <c r="GJ158" s="5" t="s">
        <v>255</v>
      </c>
      <c r="GK158" s="5" t="s">
        <v>233</v>
      </c>
      <c r="GL158" s="5" t="s">
        <v>255</v>
      </c>
      <c r="GM158" s="5" t="s">
        <v>233</v>
      </c>
      <c r="GN158" s="5" t="s">
        <v>257</v>
      </c>
      <c r="GO158" s="5" t="s">
        <v>257</v>
      </c>
      <c r="GP158" s="5" t="s">
        <v>257</v>
      </c>
      <c r="GQ158" s="5" t="s">
        <v>243</v>
      </c>
      <c r="GR158" s="5" t="s">
        <v>243</v>
      </c>
      <c r="GS158" s="5" t="s">
        <v>257</v>
      </c>
      <c r="GT158" s="5" t="s">
        <v>243</v>
      </c>
      <c r="GU158" s="5" t="s">
        <v>509</v>
      </c>
      <c r="GV158" s="5" t="str">
        <f>TEXT("6278901596325782118","0")</f>
        <v>6278901596325780000</v>
      </c>
    </row>
    <row r="159" spans="1:204" ht="15.75" customHeight="1" x14ac:dyDescent="0.15">
      <c r="A159" s="1">
        <f>ROW(A159)</f>
        <v>159</v>
      </c>
      <c r="B159" s="4">
        <v>45847.550497685188</v>
      </c>
      <c r="C159" s="5" t="s">
        <v>204</v>
      </c>
      <c r="D159" s="5" t="s">
        <v>206</v>
      </c>
      <c r="F159" s="5" t="s">
        <v>206</v>
      </c>
      <c r="G159" s="5" t="s">
        <v>206</v>
      </c>
      <c r="H159" s="5" t="s">
        <v>206</v>
      </c>
      <c r="K159" s="5" t="s">
        <v>237</v>
      </c>
      <c r="O159" s="5" t="s">
        <v>209</v>
      </c>
      <c r="S159" s="5" t="s">
        <v>208</v>
      </c>
      <c r="X159" s="5" t="s">
        <v>208</v>
      </c>
      <c r="AD159" s="5" t="s">
        <v>209</v>
      </c>
      <c r="AH159" s="5" t="s">
        <v>210</v>
      </c>
      <c r="AI159" s="5">
        <v>2020</v>
      </c>
      <c r="AJ159" s="5" t="s">
        <v>238</v>
      </c>
      <c r="AK159" s="5" t="str">
        <f>IF(OR(AJ159="Empleada del sector privado",AJ159="Empleada del sector público"),"Asalariada",
IF(AJ159="Trabajadora por cuenta propia","Trabajadora por cuenta propia",""))</f>
        <v>Trabajadora por cuenta propia</v>
      </c>
      <c r="AM159" s="5" t="s">
        <v>309</v>
      </c>
      <c r="AP159" s="5" t="s">
        <v>284</v>
      </c>
      <c r="AR159" s="5" t="s">
        <v>301</v>
      </c>
      <c r="AS159" s="5" t="s">
        <v>301</v>
      </c>
      <c r="AT159" s="5" t="s">
        <v>301</v>
      </c>
      <c r="AU159" s="5" t="s">
        <v>301</v>
      </c>
      <c r="AV159" s="5" t="s">
        <v>277</v>
      </c>
      <c r="AW159" s="5" t="s">
        <v>206</v>
      </c>
      <c r="BF159" s="5" t="s">
        <v>204</v>
      </c>
      <c r="BG159" s="5" t="s">
        <v>207</v>
      </c>
      <c r="BH159" s="5" t="s">
        <v>264</v>
      </c>
      <c r="BI159" s="5" t="s">
        <v>207</v>
      </c>
      <c r="BJ159" s="5" t="s">
        <v>264</v>
      </c>
      <c r="BK159" s="5" t="s">
        <v>244</v>
      </c>
      <c r="BL159" s="5" t="s">
        <v>216</v>
      </c>
      <c r="BM159" s="5" t="s">
        <v>216</v>
      </c>
      <c r="BN159" s="5" t="s">
        <v>216</v>
      </c>
      <c r="BO159" s="5" t="s">
        <v>216</v>
      </c>
      <c r="BP159" s="5" t="s">
        <v>216</v>
      </c>
      <c r="BQ159" s="5" t="s">
        <v>216</v>
      </c>
      <c r="BR159" s="5" t="s">
        <v>216</v>
      </c>
      <c r="BS159" s="5" t="s">
        <v>232</v>
      </c>
      <c r="BT159" s="5" t="s">
        <v>217</v>
      </c>
      <c r="BU159" s="5" t="s">
        <v>217</v>
      </c>
      <c r="BV159" s="5" t="s">
        <v>217</v>
      </c>
      <c r="BW159" s="5" t="s">
        <v>254</v>
      </c>
      <c r="BX159" s="5" t="s">
        <v>217</v>
      </c>
      <c r="BY159" s="5" t="s">
        <v>217</v>
      </c>
      <c r="CD159" s="5" t="s">
        <v>206</v>
      </c>
      <c r="CH159" s="5" t="s">
        <v>221</v>
      </c>
      <c r="CI159" s="5" t="s">
        <v>206</v>
      </c>
      <c r="CJ159" s="5">
        <v>0</v>
      </c>
      <c r="CK159" s="5" t="s">
        <v>223</v>
      </c>
      <c r="CU159" s="5" t="s">
        <v>206</v>
      </c>
      <c r="DA159" s="5" t="s">
        <v>272</v>
      </c>
      <c r="DB159" s="5">
        <f>IF(DA159="Mejor que lo habitual",1,
IF(DA159="Igual que lo habitual",2,
IF(DA159="Menos que lo habitual",3,
IF(DA159="Mucho menos que lo habitual",4,""))))</f>
        <v>1</v>
      </c>
      <c r="DC159" s="5" t="s">
        <v>251</v>
      </c>
      <c r="DD159" s="5">
        <f>IF(DC159="No, en absoluto",1,
IF(DC159="No más que lo habitual",2,
IF(DC159="Bastante más que lo habitual",3,
IF(DC159="Mucho más que lo habitual",4,""))))</f>
        <v>1</v>
      </c>
      <c r="DE159" s="5" t="s">
        <v>251</v>
      </c>
      <c r="DF159" s="5">
        <f>IF(DE159="No, en absoluto",1,
IF(DE159="No más que lo habitual",2,
IF(DE159="Bastante más que lo habitual",3,
IF(DE159="Mucho más que lo habitual",4,""))))</f>
        <v>1</v>
      </c>
      <c r="DG159" s="5" t="s">
        <v>251</v>
      </c>
      <c r="DH159" s="5">
        <f>IF(DG159="No, en absoluto",1,
IF(DG159="No más que lo habitual",2,
IF(DG159="Bastante más que lo habitual",3,
IF(DG159="Mucho más que lo habitual",4,""))))</f>
        <v>1</v>
      </c>
      <c r="DI159" s="5" t="s">
        <v>251</v>
      </c>
      <c r="DJ159" s="5">
        <f>IF(DI159="No, en absoluto",1,
IF(DI159="No más que lo habitual",2,
IF(DI159="Bastante más que lo habitual",3,
IF(DI159="Mucho más que lo habitual",4,""))))</f>
        <v>1</v>
      </c>
      <c r="DK159" s="5" t="s">
        <v>251</v>
      </c>
      <c r="DL159" s="5">
        <f>IF(DK159="No, en absoluto",1,
IF(DK159="No más que lo habitual",2,
IF(DK159="Bastante más que lo habitual",3,
IF(DK159="Mucho más que lo habitual",4,""))))</f>
        <v>1</v>
      </c>
      <c r="DM159" s="5" t="s">
        <v>251</v>
      </c>
      <c r="DN159" s="5">
        <f>IF(DM159="No, en absoluto",1,
IF(DM159="No más que lo habitual",2,
IF(DM159="Bastante más que lo habitual",3,
IF(DM159="Mucho más que lo habitual",4,""))))</f>
        <v>1</v>
      </c>
      <c r="DO159" s="5" t="s">
        <v>281</v>
      </c>
      <c r="DP159" s="5">
        <f>IF(DO159="Más que lo habitual",1,
IF(DO159="Igual que lo habitual",2,
IF(DO159="Menos que lo habitual",3,
IF(DO159="Mucho menos que lo habitual",4,""))))</f>
        <v>1</v>
      </c>
      <c r="DQ159" s="5" t="s">
        <v>281</v>
      </c>
      <c r="DR159" s="5">
        <f>IF(DQ159="Más que lo habitual",1,
IF(DQ159="Igual que lo habitual",2,
IF(DQ159="Menos que lo habitual",3,
IF(DQ159="Mucho menos que lo habitual",4,""))))</f>
        <v>1</v>
      </c>
      <c r="DS159" s="5" t="s">
        <v>281</v>
      </c>
      <c r="DT159" s="5">
        <f>IF(DS159="Más que lo habitual",1,
IF(DS159="Igual que lo habitual",2,
IF(DS159="Menos que lo habitual",3,
IF(DS159="Mucho menos que lo habitual",4,""))))</f>
        <v>1</v>
      </c>
      <c r="DU159" s="5" t="s">
        <v>281</v>
      </c>
      <c r="DV159" s="5">
        <f>IF(DU159="Más que lo habitual",1,
IF(DU159="Igual que lo habitual",2,
IF(DU159="Menos que lo habitual",3,
IF(DU159="Mucho menos que lo habitual",4,""))))</f>
        <v>1</v>
      </c>
      <c r="DW159" s="5" t="s">
        <v>281</v>
      </c>
      <c r="DX159" s="5">
        <f>IF(DW159="Más que lo habitual",1,
IF(DW159="Igual que lo habitual",2,
IF(DW159="Menos que lo habitual",3,
IF(DW159="Mucho menos que lo habitual",4,""))))</f>
        <v>1</v>
      </c>
      <c r="DY159" s="5">
        <f>SUM(DB159,DD159,DF159,DH159,DJ159,DL159,DN159,DP159,DR159,DT159,DV159,DX159)</f>
        <v>12</v>
      </c>
      <c r="DZ159" s="5" t="str">
        <f>IF(DY159&lt;=18,"Nivel de riesgo bajo",
IF(DY159&lt;=23,"Nivel de riesgo medio",
"Nivel de riesgo alto"))</f>
        <v>Nivel de riesgo bajo</v>
      </c>
      <c r="EA159" s="5" t="s">
        <v>247</v>
      </c>
      <c r="EB159" s="5">
        <f>IF(EA159="Nunca/ casi nunca",0,
IF(EA159="Rara vez",1,
IF(EA159="A veces",2,
IF(EA159="A menudo",3,
IF(EA159="Siempre",4,"")))))</f>
        <v>2</v>
      </c>
      <c r="EC159" s="5" t="s">
        <v>248</v>
      </c>
      <c r="ED159" s="5">
        <f>IF(EC159="Nunca/ casi nunca",0,
IF(EC159="Rara vez",1,
IF(EC159="A veces",2,
IF(EC159="A menudo",3,
IF(EC159="Siempre",4,"")))))</f>
        <v>1</v>
      </c>
      <c r="EE159" s="5" t="s">
        <v>253</v>
      </c>
      <c r="EF159" s="5">
        <f>IF(EE159="Nunca/ casi nunca",0,
IF(EE159="Rara vez",1,
IF(EE159="A veces",2,
IF(EE159="A menudo",3,
IF(EE159="Siempre",4,"")))))</f>
        <v>0</v>
      </c>
      <c r="EG159" s="5">
        <f>SUM(EB159,ED159,EF159)</f>
        <v>3</v>
      </c>
      <c r="EH159" s="5" t="str">
        <f>IF(EG159&lt;=1,"Nivel de riesgo bajo",
IF(EG159&lt;=4,"Nivel de riesgo medio",
"Nivel de riesgo alto"))</f>
        <v>Nivel de riesgo medio</v>
      </c>
      <c r="EI159" s="5" t="s">
        <v>253</v>
      </c>
      <c r="EJ159" s="5">
        <f>IF(EI159="Nunca/ casi nunca",0,
IF(EI159="Rara vez",1,
IF(EI159="A veces",2,
IF(EI159="A menudo",3,
IF(EI159="Siempre",4,"")))))</f>
        <v>0</v>
      </c>
      <c r="EK159" s="5" t="s">
        <v>253</v>
      </c>
      <c r="EL159" s="5">
        <f>IF(EK159="Nunca/ casi nunca",0,
IF(EK159="Rara vez",1,
IF(EK159="A veces",2,
IF(EK159="A menudo",3,
IF(EK159="Siempre",4,"")))))</f>
        <v>0</v>
      </c>
      <c r="EM159" s="5" t="s">
        <v>253</v>
      </c>
      <c r="EN159" s="5">
        <f>IF(EM159="Nunca/ casi nunca",0,
IF(EM159="Rara vez",1,
IF(EM159="A veces",2,
IF(EM159="A menudo",3,
IF(EM159="Siempre",4,"")))))</f>
        <v>0</v>
      </c>
      <c r="EO159" s="5">
        <f>SUM(EJ159,EL159,EN159)</f>
        <v>0</v>
      </c>
      <c r="EP159" s="5" t="str">
        <f>IF(EO159&lt;=1,"Nivel de riesgo bajo",
IF(EO159&lt;=5,"Nivel de riesgo medio",
"Nivel de riesgo alto"))</f>
        <v>Nivel de riesgo bajo</v>
      </c>
      <c r="EQ159" s="5" t="s">
        <v>253</v>
      </c>
      <c r="ER159" s="5">
        <f>IF(EQ159="Nunca/ casi nunca",4,
IF(EQ159="Rara vez",3,
IF(EQ159="A veces",2,
IF(EQ159="A menudo",1,
IF(EQ159="Siempre",0,"")))))</f>
        <v>4</v>
      </c>
      <c r="ES159" s="5" t="s">
        <v>254</v>
      </c>
      <c r="ET159" s="5">
        <f>IF(ES159="Nunca/ casi nunca",4,
IF(ES159="Rara vez",3,
IF(ES159="A veces",2,
IF(ES159="A menudo",1,
IF(ES159="Siempre",0,"")))))</f>
        <v>0</v>
      </c>
      <c r="EU159" s="5" t="s">
        <v>254</v>
      </c>
      <c r="EV159" s="5">
        <f>IF(EU159="Nunca/ casi nunca",4,
IF(EU159="Rara vez",3,
IF(EU159="A veces",2,
IF(EU159="A menudo",1,
IF(EU159="Siempre",0,"")))))</f>
        <v>0</v>
      </c>
      <c r="EW159" s="5" t="s">
        <v>254</v>
      </c>
      <c r="EX159" s="5">
        <f>IF(EW159="Nunca/ casi nunca",4,
IF(EW159="Rara vez",3,
IF(EW159="A veces",2,
IF(EW159="A menudo",1,
IF(EW159="Siempre",0,"")))))</f>
        <v>0</v>
      </c>
      <c r="EY159" s="5">
        <f>SUM(ER159,ET159,EV159,EX159)</f>
        <v>4</v>
      </c>
      <c r="EZ159" s="5" t="str">
        <f>IF(EY159&lt;=0,"Nivel de riesgo bajo",
IF(EY159&lt;=4,"Nivel de riesgo medio",
"Nivel de riesgo alto"))</f>
        <v>Nivel de riesgo medio</v>
      </c>
      <c r="FA159" s="5" t="s">
        <v>253</v>
      </c>
      <c r="FB159" s="5">
        <f>IF(FA159="Nunca/ casi nunca",0,
IF(FA159="Rara vez",1,
IF(FA159="A veces",2,
IF(FA159="A menudo",3,
IF(FA159="Siempre",4,"")))))</f>
        <v>0</v>
      </c>
      <c r="FC159" s="5" t="s">
        <v>253</v>
      </c>
      <c r="FD159" s="5">
        <f>IF(FC159="Nunca/ casi nunca",0,
IF(FC159="Rara vez",1,
IF(FC159="A veces",2,
IF(FC159="A menudo",3,
IF(FC159="Siempre",4,"")))))</f>
        <v>0</v>
      </c>
      <c r="FE159" s="5" t="s">
        <v>253</v>
      </c>
      <c r="FF159" s="5">
        <f>IF(FE159="Nunca/ casi nunca",0,
IF(FE159="Rara vez",1,
IF(FE159="A veces",2,
IF(FE159="A menudo",3,
IF(FE159="Siempre",4,"")))))</f>
        <v>0</v>
      </c>
      <c r="FG159" s="5">
        <f>SUM(FB159,FD159,FF159)</f>
        <v>0</v>
      </c>
      <c r="FH159" s="5" t="str">
        <f>IF(FG159&lt;=2,"Nivel de riesgo bajo",
IF(FG159&lt;=5,"Nivel de riesgo medio",
"Nivel de riesgo alto"))</f>
        <v>Nivel de riesgo bajo</v>
      </c>
      <c r="FI159" s="5" t="s">
        <v>253</v>
      </c>
      <c r="FJ159" s="5">
        <f>IF(FI159="Nunca/ casi nunca",0,
IF(FI159="Rara vez",1,
IF(FI159="A veces",2,
IF(FI159="A menudo",3,
IF(FI159="Siempre",4,"")))))</f>
        <v>0</v>
      </c>
      <c r="FK159" s="5" t="s">
        <v>253</v>
      </c>
      <c r="FL159" s="5">
        <f>IF(FK159="Nunca/ casi nunca",0,
IF(FK159="Rara vez",1,
IF(FK159="A veces",2,
IF(FK159="A menudo",3,
IF(FK159="Siempre",4,"")))))</f>
        <v>0</v>
      </c>
      <c r="FM159" s="5" t="s">
        <v>253</v>
      </c>
      <c r="FN159" s="5">
        <f>IF(FM159="Nunca/ casi nunca",0,
IF(FM159="Rara vez",1,
IF(FM159="A veces",2,
IF(FM159="A menudo",3,
IF(FM159="Siempre",4,"")))))</f>
        <v>0</v>
      </c>
      <c r="FO159" s="5">
        <f>SUM(FJ159,FL159,FN159)</f>
        <v>0</v>
      </c>
      <c r="FP159" s="5" t="str">
        <f>IF(FO159&lt;=2,"Nivel de riesgo bajo",
IF(FO159&lt;=5,"Nivel de riesgo medio",
"Nivel de riesgo alto"))</f>
        <v>Nivel de riesgo bajo</v>
      </c>
      <c r="FQ159" s="5" t="s">
        <v>206</v>
      </c>
      <c r="FR159" s="5">
        <f>IF(FQ159="No",0,
IF(FQ159="Sí, unas pocas veces",1,
IF(FQ159="Sí, mensualmente",2,
IF(FQ159="Sí, semanalmente",3,
IF(FQ159="Sí, diariamente",4,"")))))</f>
        <v>0</v>
      </c>
      <c r="FS159" s="5" t="s">
        <v>206</v>
      </c>
      <c r="FT159" s="5">
        <f>IF(FS159="No",0,
IF(FS159="Sí, unas pocas veces",1,
IF(FS159="Sí, mensualmente",2,
IF(FS159="Sí, semanalmente",3,
IF(FS159="Sí, diariamente",4,"")))))</f>
        <v>0</v>
      </c>
      <c r="FU159" s="5" t="s">
        <v>206</v>
      </c>
      <c r="FV159" s="5">
        <f>IF(FU159="No",0,
IF(FU159="Sí, unas pocas veces",1,
IF(FU159="Sí, mensualmente",2,
IF(FU159="Sí, semanalmente",3,
IF(FU159="Sí, diariamente",4,"")))))</f>
        <v>0</v>
      </c>
      <c r="FW159" s="5" t="s">
        <v>206</v>
      </c>
      <c r="FX159" s="5">
        <f>IF(FW159="No",0,
IF(FW159="Sí, unas pocas veces",1,
IF(FW159="Sí, mensualmente",2,
IF(FW159="Sí, semanalmente",3,
IF(FW159="Sí, diariamente",4,"")))))</f>
        <v>0</v>
      </c>
      <c r="FY159" s="5" t="s">
        <v>206</v>
      </c>
      <c r="FZ159" s="5">
        <f>IF(FY159="No",0,
IF(FY159="Sí, unas pocas veces",1,
IF(FY159="Sí, mensualmente",2,
IF(FY159="Sí, semanalmente",3,
IF(FY159="Sí, diariamente",4,"")))))</f>
        <v>0</v>
      </c>
      <c r="GA159" s="5" t="s">
        <v>206</v>
      </c>
      <c r="GB159" s="5">
        <f>IF(GA159="No",0,
IF(GA159="Sí, unas pocas veces",1,
IF(GA159="Sí, mensualmente",2,
IF(GA159="Sí, semanalmente",3,
IF(GA159="Sí, diariamente",4,"")))))</f>
        <v>0</v>
      </c>
      <c r="GC159" s="5" t="s">
        <v>206</v>
      </c>
      <c r="GD159" s="5">
        <f>IF(GC159="No",0,
IF(GC159="Sí, unas pocas veces",1,
IF(GC159="Sí, mensualmente",2,
IF(GC159="Sí, semanalmente",3,
IF(GC159="Sí, diariamente",4,"")))))</f>
        <v>0</v>
      </c>
      <c r="GE159" s="5">
        <f>SUM(FR159,FT159,FV159,FX159,FZ159,GB159,GD159)</f>
        <v>0</v>
      </c>
      <c r="GF159" s="5" t="str">
        <f>IF(GE159&lt;=0,"Nivel de riesgo bajo",
IF(GE159&lt;=14,"Nivel de riesgo medio",
"Nivel de riesgo alto"))</f>
        <v>Nivel de riesgo bajo</v>
      </c>
      <c r="GG159" s="5" t="s">
        <v>255</v>
      </c>
      <c r="GH159" s="5" t="s">
        <v>255</v>
      </c>
      <c r="GI159" s="5" t="s">
        <v>255</v>
      </c>
      <c r="GJ159" s="5" t="s">
        <v>255</v>
      </c>
      <c r="GK159" s="5" t="s">
        <v>255</v>
      </c>
      <c r="GL159" s="5" t="s">
        <v>255</v>
      </c>
      <c r="GM159" s="5" t="s">
        <v>255</v>
      </c>
      <c r="GN159" s="5" t="s">
        <v>256</v>
      </c>
      <c r="GO159" s="5" t="s">
        <v>256</v>
      </c>
      <c r="GP159" s="5" t="s">
        <v>256</v>
      </c>
      <c r="GQ159" s="5" t="s">
        <v>256</v>
      </c>
      <c r="GR159" s="5" t="s">
        <v>256</v>
      </c>
      <c r="GS159" s="5" t="s">
        <v>256</v>
      </c>
      <c r="GT159" s="5" t="s">
        <v>256</v>
      </c>
      <c r="GU159" s="5" t="s">
        <v>464</v>
      </c>
      <c r="GV159" s="5" t="str">
        <f>TEXT("6278903631221239944","0")</f>
        <v>6278903631221230000</v>
      </c>
    </row>
    <row r="160" spans="1:204" ht="15.75" customHeight="1" x14ac:dyDescent="0.15">
      <c r="A160" s="1">
        <f>ROW(A160)</f>
        <v>160</v>
      </c>
      <c r="B160" s="4">
        <v>45847.550821759258</v>
      </c>
      <c r="C160" s="5" t="s">
        <v>204</v>
      </c>
      <c r="D160" s="5" t="s">
        <v>206</v>
      </c>
      <c r="F160" s="5" t="s">
        <v>206</v>
      </c>
      <c r="G160" s="5" t="s">
        <v>206</v>
      </c>
      <c r="H160" s="5" t="s">
        <v>206</v>
      </c>
      <c r="L160" s="5" t="s">
        <v>236</v>
      </c>
      <c r="Q160" s="5" t="s">
        <v>236</v>
      </c>
      <c r="V160" s="5" t="s">
        <v>236</v>
      </c>
      <c r="AA160" s="5" t="s">
        <v>236</v>
      </c>
      <c r="AF160" s="5" t="s">
        <v>236</v>
      </c>
      <c r="AH160" s="5" t="s">
        <v>275</v>
      </c>
      <c r="AI160" s="5">
        <v>2024</v>
      </c>
      <c r="AJ160" s="5" t="s">
        <v>330</v>
      </c>
      <c r="AK160" s="5" t="str">
        <f>IF(OR(AJ160="Empleada del sector privado",AJ160="Empleada del sector público"),"Asalariada",
IF(AJ160="Trabajadora por cuenta propia","Trabajadora por cuenta propia",""))</f>
        <v>Asalariada</v>
      </c>
      <c r="AQ160" s="5" t="s">
        <v>204</v>
      </c>
      <c r="AR160" s="5" t="s">
        <v>301</v>
      </c>
      <c r="AS160" s="5" t="s">
        <v>301</v>
      </c>
      <c r="AT160" s="5" t="s">
        <v>301</v>
      </c>
      <c r="AU160" s="5" t="s">
        <v>301</v>
      </c>
      <c r="AV160" s="5" t="s">
        <v>213</v>
      </c>
      <c r="AW160" s="5" t="s">
        <v>206</v>
      </c>
      <c r="BF160" s="5" t="s">
        <v>204</v>
      </c>
      <c r="BG160" s="5" t="s">
        <v>215</v>
      </c>
      <c r="BH160" s="5" t="s">
        <v>215</v>
      </c>
      <c r="BI160" s="5" t="s">
        <v>271</v>
      </c>
      <c r="BJ160" s="5" t="s">
        <v>271</v>
      </c>
      <c r="BK160" s="5" t="s">
        <v>245</v>
      </c>
      <c r="BL160" s="5" t="s">
        <v>243</v>
      </c>
      <c r="BM160" s="5" t="s">
        <v>243</v>
      </c>
      <c r="BN160" s="5" t="s">
        <v>245</v>
      </c>
      <c r="BO160" s="5" t="s">
        <v>245</v>
      </c>
      <c r="BP160" s="5" t="s">
        <v>245</v>
      </c>
      <c r="BQ160" s="5" t="s">
        <v>245</v>
      </c>
      <c r="BR160" s="5" t="s">
        <v>245</v>
      </c>
      <c r="BS160" s="5" t="s">
        <v>254</v>
      </c>
      <c r="BT160" s="5" t="s">
        <v>232</v>
      </c>
      <c r="BU160" s="5" t="s">
        <v>232</v>
      </c>
      <c r="BV160" s="5" t="s">
        <v>232</v>
      </c>
      <c r="BW160" s="5" t="s">
        <v>254</v>
      </c>
      <c r="BX160" s="5" t="s">
        <v>232</v>
      </c>
      <c r="BY160" s="5" t="s">
        <v>232</v>
      </c>
      <c r="CD160" s="5" t="s">
        <v>206</v>
      </c>
      <c r="CH160" s="5" t="s">
        <v>369</v>
      </c>
      <c r="CI160" s="5" t="s">
        <v>249</v>
      </c>
      <c r="CJ160" s="5">
        <v>2</v>
      </c>
      <c r="CK160" s="5" t="s">
        <v>223</v>
      </c>
      <c r="CU160" s="5" t="s">
        <v>206</v>
      </c>
      <c r="DA160" s="5" t="s">
        <v>272</v>
      </c>
      <c r="DB160" s="5">
        <f>IF(DA160="Mejor que lo habitual",1,
IF(DA160="Igual que lo habitual",2,
IF(DA160="Menos que lo habitual",3,
IF(DA160="Mucho menos que lo habitual",4,""))))</f>
        <v>1</v>
      </c>
      <c r="DC160" s="5" t="s">
        <v>280</v>
      </c>
      <c r="DD160" s="5">
        <f>IF(DC160="No, en absoluto",1,
IF(DC160="No más que lo habitual",2,
IF(DC160="Bastante más que lo habitual",3,
IF(DC160="Mucho más que lo habitual",4,""))))</f>
        <v>4</v>
      </c>
      <c r="DE160" s="5" t="s">
        <v>250</v>
      </c>
      <c r="DF160" s="5">
        <f>IF(DE160="No, en absoluto",1,
IF(DE160="No más que lo habitual",2,
IF(DE160="Bastante más que lo habitual",3,
IF(DE160="Mucho más que lo habitual",4,""))))</f>
        <v>3</v>
      </c>
      <c r="DG160" s="5" t="s">
        <v>250</v>
      </c>
      <c r="DH160" s="5">
        <f>IF(DG160="No, en absoluto",1,
IF(DG160="No más que lo habitual",2,
IF(DG160="Bastante más que lo habitual",3,
IF(DG160="Mucho más que lo habitual",4,""))))</f>
        <v>3</v>
      </c>
      <c r="DI160" s="5" t="s">
        <v>250</v>
      </c>
      <c r="DJ160" s="5">
        <f>IF(DI160="No, en absoluto",1,
IF(DI160="No más que lo habitual",2,
IF(DI160="Bastante más que lo habitual",3,
IF(DI160="Mucho más que lo habitual",4,""))))</f>
        <v>3</v>
      </c>
      <c r="DK160" s="5" t="s">
        <v>251</v>
      </c>
      <c r="DL160" s="5">
        <f>IF(DK160="No, en absoluto",1,
IF(DK160="No más que lo habitual",2,
IF(DK160="Bastante más que lo habitual",3,
IF(DK160="Mucho más que lo habitual",4,""))))</f>
        <v>1</v>
      </c>
      <c r="DM160" s="5" t="s">
        <v>251</v>
      </c>
      <c r="DN160" s="5">
        <f>IF(DM160="No, en absoluto",1,
IF(DM160="No más que lo habitual",2,
IF(DM160="Bastante más que lo habitual",3,
IF(DM160="Mucho más que lo habitual",4,""))))</f>
        <v>1</v>
      </c>
      <c r="DO160" s="5" t="s">
        <v>231</v>
      </c>
      <c r="DP160" s="5">
        <f>IF(DO160="Más que lo habitual",1,
IF(DO160="Igual que lo habitual",2,
IF(DO160="Menos que lo habitual",3,
IF(DO160="Mucho menos que lo habitual",4,""))))</f>
        <v>2</v>
      </c>
      <c r="DQ160" s="5" t="s">
        <v>231</v>
      </c>
      <c r="DR160" s="5">
        <f>IF(DQ160="Más que lo habitual",1,
IF(DQ160="Igual que lo habitual",2,
IF(DQ160="Menos que lo habitual",3,
IF(DQ160="Mucho menos que lo habitual",4,""))))</f>
        <v>2</v>
      </c>
      <c r="DS160" s="5" t="s">
        <v>252</v>
      </c>
      <c r="DT160" s="5">
        <f>IF(DS160="Más que lo habitual",1,
IF(DS160="Igual que lo habitual",2,
IF(DS160="Menos que lo habitual",3,
IF(DS160="Mucho menos que lo habitual",4,""))))</f>
        <v>3</v>
      </c>
      <c r="DU160" s="5" t="s">
        <v>231</v>
      </c>
      <c r="DV160" s="5">
        <f>IF(DU160="Más que lo habitual",1,
IF(DU160="Igual que lo habitual",2,
IF(DU160="Menos que lo habitual",3,
IF(DU160="Mucho menos que lo habitual",4,""))))</f>
        <v>2</v>
      </c>
      <c r="DW160" s="5" t="s">
        <v>231</v>
      </c>
      <c r="DX160" s="5">
        <f>IF(DW160="Más que lo habitual",1,
IF(DW160="Igual que lo habitual",2,
IF(DW160="Menos que lo habitual",3,
IF(DW160="Mucho menos que lo habitual",4,""))))</f>
        <v>2</v>
      </c>
      <c r="DY160" s="5">
        <f>SUM(DB160,DD160,DF160,DH160,DJ160,DL160,DN160,DP160,DR160,DT160,DV160,DX160)</f>
        <v>27</v>
      </c>
      <c r="DZ160" s="5" t="str">
        <f>IF(DY160&lt;=18,"Nivel de riesgo bajo",
IF(DY160&lt;=23,"Nivel de riesgo medio",
"Nivel de riesgo alto"))</f>
        <v>Nivel de riesgo alto</v>
      </c>
      <c r="EA160" s="5" t="s">
        <v>253</v>
      </c>
      <c r="EB160" s="5">
        <f>IF(EA160="Nunca/ casi nunca",0,
IF(EA160="Rara vez",1,
IF(EA160="A veces",2,
IF(EA160="A menudo",3,
IF(EA160="Siempre",4,"")))))</f>
        <v>0</v>
      </c>
      <c r="EC160" s="5" t="s">
        <v>248</v>
      </c>
      <c r="ED160" s="5">
        <f>IF(EC160="Nunca/ casi nunca",0,
IF(EC160="Rara vez",1,
IF(EC160="A veces",2,
IF(EC160="A menudo",3,
IF(EC160="Siempre",4,"")))))</f>
        <v>1</v>
      </c>
      <c r="EE160" s="5" t="s">
        <v>253</v>
      </c>
      <c r="EF160" s="5">
        <f>IF(EE160="Nunca/ casi nunca",0,
IF(EE160="Rara vez",1,
IF(EE160="A veces",2,
IF(EE160="A menudo",3,
IF(EE160="Siempre",4,"")))))</f>
        <v>0</v>
      </c>
      <c r="EG160" s="5">
        <f>SUM(EB160,ED160,EF160)</f>
        <v>1</v>
      </c>
      <c r="EH160" s="5" t="str">
        <f>IF(EG160&lt;=1,"Nivel de riesgo bajo",
IF(EG160&lt;=4,"Nivel de riesgo medio",
"Nivel de riesgo alto"))</f>
        <v>Nivel de riesgo bajo</v>
      </c>
      <c r="EI160" s="5" t="s">
        <v>253</v>
      </c>
      <c r="EJ160" s="5">
        <f>IF(EI160="Nunca/ casi nunca",0,
IF(EI160="Rara vez",1,
IF(EI160="A veces",2,
IF(EI160="A menudo",3,
IF(EI160="Siempre",4,"")))))</f>
        <v>0</v>
      </c>
      <c r="EK160" s="5" t="s">
        <v>253</v>
      </c>
      <c r="EL160" s="5">
        <f>IF(EK160="Nunca/ casi nunca",0,
IF(EK160="Rara vez",1,
IF(EK160="A veces",2,
IF(EK160="A menudo",3,
IF(EK160="Siempre",4,"")))))</f>
        <v>0</v>
      </c>
      <c r="EM160" s="5" t="s">
        <v>253</v>
      </c>
      <c r="EN160" s="5">
        <f>IF(EM160="Nunca/ casi nunca",0,
IF(EM160="Rara vez",1,
IF(EM160="A veces",2,
IF(EM160="A menudo",3,
IF(EM160="Siempre",4,"")))))</f>
        <v>0</v>
      </c>
      <c r="EO160" s="5">
        <f>SUM(EJ160,EL160,EN160)</f>
        <v>0</v>
      </c>
      <c r="EP160" s="5" t="str">
        <f>IF(EO160&lt;=1,"Nivel de riesgo bajo",
IF(EO160&lt;=5,"Nivel de riesgo medio",
"Nivel de riesgo alto"))</f>
        <v>Nivel de riesgo bajo</v>
      </c>
      <c r="EQ160" s="5" t="s">
        <v>248</v>
      </c>
      <c r="ER160" s="5">
        <f>IF(EQ160="Nunca/ casi nunca",4,
IF(EQ160="Rara vez",3,
IF(EQ160="A veces",2,
IF(EQ160="A menudo",1,
IF(EQ160="Siempre",0,"")))))</f>
        <v>3</v>
      </c>
      <c r="ES160" s="5" t="s">
        <v>254</v>
      </c>
      <c r="ET160" s="5">
        <f>IF(ES160="Nunca/ casi nunca",4,
IF(ES160="Rara vez",3,
IF(ES160="A veces",2,
IF(ES160="A menudo",1,
IF(ES160="Siempre",0,"")))))</f>
        <v>0</v>
      </c>
      <c r="EU160" s="5" t="s">
        <v>254</v>
      </c>
      <c r="EV160" s="5">
        <f>IF(EU160="Nunca/ casi nunca",4,
IF(EU160="Rara vez",3,
IF(EU160="A veces",2,
IF(EU160="A menudo",1,
IF(EU160="Siempre",0,"")))))</f>
        <v>0</v>
      </c>
      <c r="EW160" s="5" t="s">
        <v>254</v>
      </c>
      <c r="EX160" s="5">
        <f>IF(EW160="Nunca/ casi nunca",4,
IF(EW160="Rara vez",3,
IF(EW160="A veces",2,
IF(EW160="A menudo",1,
IF(EW160="Siempre",0,"")))))</f>
        <v>0</v>
      </c>
      <c r="EY160" s="5">
        <f>SUM(ER160,ET160,EV160,EX160)</f>
        <v>3</v>
      </c>
      <c r="EZ160" s="5" t="str">
        <f>IF(EY160&lt;=0,"Nivel de riesgo bajo",
IF(EY160&lt;=4,"Nivel de riesgo medio",
"Nivel de riesgo alto"))</f>
        <v>Nivel de riesgo medio</v>
      </c>
      <c r="FA160" s="5" t="s">
        <v>248</v>
      </c>
      <c r="FB160" s="5">
        <f>IF(FA160="Nunca/ casi nunca",0,
IF(FA160="Rara vez",1,
IF(FA160="A veces",2,
IF(FA160="A menudo",3,
IF(FA160="Siempre",4,"")))))</f>
        <v>1</v>
      </c>
      <c r="FC160" s="5" t="s">
        <v>253</v>
      </c>
      <c r="FD160" s="5">
        <f>IF(FC160="Nunca/ casi nunca",0,
IF(FC160="Rara vez",1,
IF(FC160="A veces",2,
IF(FC160="A menudo",3,
IF(FC160="Siempre",4,"")))))</f>
        <v>0</v>
      </c>
      <c r="FE160" s="5" t="s">
        <v>253</v>
      </c>
      <c r="FF160" s="5">
        <f>IF(FE160="Nunca/ casi nunca",0,
IF(FE160="Rara vez",1,
IF(FE160="A veces",2,
IF(FE160="A menudo",3,
IF(FE160="Siempre",4,"")))))</f>
        <v>0</v>
      </c>
      <c r="FG160" s="5">
        <f>SUM(FB160,FD160,FF160)</f>
        <v>1</v>
      </c>
      <c r="FH160" s="5" t="str">
        <f>IF(FG160&lt;=2,"Nivel de riesgo bajo",
IF(FG160&lt;=5,"Nivel de riesgo medio",
"Nivel de riesgo alto"))</f>
        <v>Nivel de riesgo bajo</v>
      </c>
      <c r="FI160" s="5" t="s">
        <v>253</v>
      </c>
      <c r="FJ160" s="5">
        <f>IF(FI160="Nunca/ casi nunca",0,
IF(FI160="Rara vez",1,
IF(FI160="A veces",2,
IF(FI160="A menudo",3,
IF(FI160="Siempre",4,"")))))</f>
        <v>0</v>
      </c>
      <c r="FK160" s="5" t="s">
        <v>253</v>
      </c>
      <c r="FL160" s="5">
        <f>IF(FK160="Nunca/ casi nunca",0,
IF(FK160="Rara vez",1,
IF(FK160="A veces",2,
IF(FK160="A menudo",3,
IF(FK160="Siempre",4,"")))))</f>
        <v>0</v>
      </c>
      <c r="FM160" s="5" t="s">
        <v>253</v>
      </c>
      <c r="FN160" s="5">
        <f>IF(FM160="Nunca/ casi nunca",0,
IF(FM160="Rara vez",1,
IF(FM160="A veces",2,
IF(FM160="A menudo",3,
IF(FM160="Siempre",4,"")))))</f>
        <v>0</v>
      </c>
      <c r="FO160" s="5">
        <f>SUM(FJ160,FL160,FN160)</f>
        <v>0</v>
      </c>
      <c r="FP160" s="5" t="str">
        <f>IF(FO160&lt;=2,"Nivel de riesgo bajo",
IF(FO160&lt;=5,"Nivel de riesgo medio",
"Nivel de riesgo alto"))</f>
        <v>Nivel de riesgo bajo</v>
      </c>
      <c r="FQ160" s="5" t="s">
        <v>206</v>
      </c>
      <c r="FR160" s="5">
        <f>IF(FQ160="No",0,
IF(FQ160="Sí, unas pocas veces",1,
IF(FQ160="Sí, mensualmente",2,
IF(FQ160="Sí, semanalmente",3,
IF(FQ160="Sí, diariamente",4,"")))))</f>
        <v>0</v>
      </c>
      <c r="FS160" s="5" t="s">
        <v>206</v>
      </c>
      <c r="FT160" s="5">
        <f>IF(FS160="No",0,
IF(FS160="Sí, unas pocas veces",1,
IF(FS160="Sí, mensualmente",2,
IF(FS160="Sí, semanalmente",3,
IF(FS160="Sí, diariamente",4,"")))))</f>
        <v>0</v>
      </c>
      <c r="FU160" s="5" t="s">
        <v>206</v>
      </c>
      <c r="FV160" s="5">
        <f>IF(FU160="No",0,
IF(FU160="Sí, unas pocas veces",1,
IF(FU160="Sí, mensualmente",2,
IF(FU160="Sí, semanalmente",3,
IF(FU160="Sí, diariamente",4,"")))))</f>
        <v>0</v>
      </c>
      <c r="FW160" s="5" t="s">
        <v>206</v>
      </c>
      <c r="FX160" s="5">
        <f>IF(FW160="No",0,
IF(FW160="Sí, unas pocas veces",1,
IF(FW160="Sí, mensualmente",2,
IF(FW160="Sí, semanalmente",3,
IF(FW160="Sí, diariamente",4,"")))))</f>
        <v>0</v>
      </c>
      <c r="FY160" s="5" t="s">
        <v>206</v>
      </c>
      <c r="FZ160" s="5">
        <f>IF(FY160="No",0,
IF(FY160="Sí, unas pocas veces",1,
IF(FY160="Sí, mensualmente",2,
IF(FY160="Sí, semanalmente",3,
IF(FY160="Sí, diariamente",4,"")))))</f>
        <v>0</v>
      </c>
      <c r="GA160" s="5" t="s">
        <v>206</v>
      </c>
      <c r="GB160" s="5">
        <f>IF(GA160="No",0,
IF(GA160="Sí, unas pocas veces",1,
IF(GA160="Sí, mensualmente",2,
IF(GA160="Sí, semanalmente",3,
IF(GA160="Sí, diariamente",4,"")))))</f>
        <v>0</v>
      </c>
      <c r="GC160" s="5" t="s">
        <v>206</v>
      </c>
      <c r="GD160" s="5">
        <f>IF(GC160="No",0,
IF(GC160="Sí, unas pocas veces",1,
IF(GC160="Sí, mensualmente",2,
IF(GC160="Sí, semanalmente",3,
IF(GC160="Sí, diariamente",4,"")))))</f>
        <v>0</v>
      </c>
      <c r="GE160" s="5">
        <f>SUM(FR160,FT160,FV160,FX160,FZ160,GB160,GD160)</f>
        <v>0</v>
      </c>
      <c r="GF160" s="5" t="str">
        <f>IF(GE160&lt;=0,"Nivel de riesgo bajo",
IF(GE160&lt;=14,"Nivel de riesgo medio",
"Nivel de riesgo alto"))</f>
        <v>Nivel de riesgo bajo</v>
      </c>
      <c r="GG160" s="5" t="s">
        <v>255</v>
      </c>
      <c r="GH160" s="5" t="s">
        <v>255</v>
      </c>
      <c r="GI160" s="5" t="s">
        <v>255</v>
      </c>
      <c r="GJ160" s="5" t="s">
        <v>255</v>
      </c>
      <c r="GK160" s="5" t="s">
        <v>233</v>
      </c>
      <c r="GL160" s="5" t="s">
        <v>255</v>
      </c>
      <c r="GM160" s="5" t="s">
        <v>233</v>
      </c>
      <c r="GN160" s="5" t="s">
        <v>256</v>
      </c>
      <c r="GO160" s="5" t="s">
        <v>256</v>
      </c>
      <c r="GP160" s="5" t="s">
        <v>256</v>
      </c>
      <c r="GQ160" s="5" t="s">
        <v>256</v>
      </c>
      <c r="GR160" s="5" t="s">
        <v>256</v>
      </c>
      <c r="GS160" s="5" t="s">
        <v>256</v>
      </c>
      <c r="GT160" s="5" t="s">
        <v>256</v>
      </c>
      <c r="GU160" s="5" t="s">
        <v>510</v>
      </c>
      <c r="GV160" s="5" t="str">
        <f>TEXT("6278903913115783984","0")</f>
        <v>6278903913115780000</v>
      </c>
    </row>
    <row r="161" spans="1:204" ht="15.75" customHeight="1" x14ac:dyDescent="0.15">
      <c r="A161" s="1">
        <f>ROW(A161)</f>
        <v>161</v>
      </c>
      <c r="B161" s="4">
        <v>45847.551481481481</v>
      </c>
      <c r="C161" s="5" t="s">
        <v>204</v>
      </c>
      <c r="D161" s="5" t="s">
        <v>206</v>
      </c>
      <c r="F161" s="5" t="s">
        <v>206</v>
      </c>
      <c r="G161" s="5" t="s">
        <v>206</v>
      </c>
      <c r="H161" s="5" t="s">
        <v>206</v>
      </c>
      <c r="L161" s="5" t="s">
        <v>236</v>
      </c>
      <c r="P161" s="5" t="s">
        <v>237</v>
      </c>
      <c r="T161" s="5" t="s">
        <v>209</v>
      </c>
      <c r="X161" s="5" t="s">
        <v>208</v>
      </c>
      <c r="AD161" s="5" t="s">
        <v>209</v>
      </c>
      <c r="AH161" s="5" t="s">
        <v>275</v>
      </c>
      <c r="AI161" s="5">
        <v>2024</v>
      </c>
      <c r="AJ161" s="5" t="s">
        <v>238</v>
      </c>
      <c r="AK161" s="5" t="str">
        <f>IF(OR(AJ161="Empleada del sector privado",AJ161="Empleada del sector público"),"Asalariada",
IF(AJ161="Trabajadora por cuenta propia","Trabajadora por cuenta propia",""))</f>
        <v>Trabajadora por cuenta propia</v>
      </c>
      <c r="AO161" s="5" t="s">
        <v>323</v>
      </c>
      <c r="AP161" s="5" t="s">
        <v>321</v>
      </c>
      <c r="AR161" s="5" t="s">
        <v>241</v>
      </c>
      <c r="AS161" s="5" t="s">
        <v>241</v>
      </c>
      <c r="AT161" s="5" t="s">
        <v>241</v>
      </c>
      <c r="AU161" s="5" t="s">
        <v>241</v>
      </c>
      <c r="AV161" s="5" t="s">
        <v>213</v>
      </c>
      <c r="AW161" s="5" t="s">
        <v>204</v>
      </c>
      <c r="AX161" s="5" t="s">
        <v>204</v>
      </c>
      <c r="AY161" s="5" t="s">
        <v>214</v>
      </c>
      <c r="AZ161" s="5" t="s">
        <v>206</v>
      </c>
      <c r="BA161" s="5" t="s">
        <v>263</v>
      </c>
      <c r="BF161" s="5" t="s">
        <v>204</v>
      </c>
      <c r="BG161" s="5" t="s">
        <v>278</v>
      </c>
      <c r="BH161" s="5" t="s">
        <v>278</v>
      </c>
      <c r="BI161" s="5" t="s">
        <v>278</v>
      </c>
      <c r="BJ161" s="5" t="s">
        <v>278</v>
      </c>
      <c r="BK161" s="5" t="s">
        <v>245</v>
      </c>
      <c r="BL161" s="5" t="s">
        <v>245</v>
      </c>
      <c r="BM161" s="5" t="s">
        <v>245</v>
      </c>
      <c r="BN161" s="5" t="s">
        <v>245</v>
      </c>
      <c r="BO161" s="5" t="s">
        <v>245</v>
      </c>
      <c r="BP161" s="5" t="s">
        <v>245</v>
      </c>
      <c r="BQ161" s="5" t="s">
        <v>245</v>
      </c>
      <c r="BR161" s="5" t="s">
        <v>246</v>
      </c>
      <c r="BS161" s="5" t="s">
        <v>247</v>
      </c>
      <c r="BT161" s="5" t="s">
        <v>247</v>
      </c>
      <c r="BU161" s="5" t="s">
        <v>247</v>
      </c>
      <c r="BV161" s="5" t="s">
        <v>247</v>
      </c>
      <c r="BW161" s="5" t="s">
        <v>247</v>
      </c>
      <c r="BX161" s="5" t="s">
        <v>232</v>
      </c>
      <c r="BY161" s="5" t="s">
        <v>247</v>
      </c>
      <c r="BZ161" s="5" t="s">
        <v>243</v>
      </c>
      <c r="CA161" s="5" t="s">
        <v>243</v>
      </c>
      <c r="CB161" s="5" t="s">
        <v>246</v>
      </c>
      <c r="CC161" s="5" t="s">
        <v>243</v>
      </c>
      <c r="CD161" s="5" t="s">
        <v>206</v>
      </c>
      <c r="CH161" s="5" t="s">
        <v>206</v>
      </c>
      <c r="CI161" s="5" t="s">
        <v>249</v>
      </c>
      <c r="CJ161" s="5">
        <v>2</v>
      </c>
      <c r="CK161" s="5" t="s">
        <v>223</v>
      </c>
      <c r="CU161" s="5" t="s">
        <v>206</v>
      </c>
      <c r="DA161" s="5" t="s">
        <v>252</v>
      </c>
      <c r="DB161" s="5">
        <f>IF(DA161="Mejor que lo habitual",1,
IF(DA161="Igual que lo habitual",2,
IF(DA161="Menos que lo habitual",3,
IF(DA161="Mucho menos que lo habitual",4,""))))</f>
        <v>3</v>
      </c>
      <c r="DC161" s="5" t="s">
        <v>250</v>
      </c>
      <c r="DD161" s="5">
        <f>IF(DC161="No, en absoluto",1,
IF(DC161="No más que lo habitual",2,
IF(DC161="Bastante más que lo habitual",3,
IF(DC161="Mucho más que lo habitual",4,""))))</f>
        <v>3</v>
      </c>
      <c r="DE161" s="5" t="s">
        <v>230</v>
      </c>
      <c r="DF161" s="5">
        <f>IF(DE161="No, en absoluto",1,
IF(DE161="No más que lo habitual",2,
IF(DE161="Bastante más que lo habitual",3,
IF(DE161="Mucho más que lo habitual",4,""))))</f>
        <v>2</v>
      </c>
      <c r="DG161" s="5" t="s">
        <v>230</v>
      </c>
      <c r="DH161" s="5">
        <f>IF(DG161="No, en absoluto",1,
IF(DG161="No más que lo habitual",2,
IF(DG161="Bastante más que lo habitual",3,
IF(DG161="Mucho más que lo habitual",4,""))))</f>
        <v>2</v>
      </c>
      <c r="DI161" s="5" t="s">
        <v>230</v>
      </c>
      <c r="DJ161" s="5">
        <f>IF(DI161="No, en absoluto",1,
IF(DI161="No más que lo habitual",2,
IF(DI161="Bastante más que lo habitual",3,
IF(DI161="Mucho más que lo habitual",4,""))))</f>
        <v>2</v>
      </c>
      <c r="DK161" s="5" t="s">
        <v>230</v>
      </c>
      <c r="DL161" s="5">
        <f>IF(DK161="No, en absoluto",1,
IF(DK161="No más que lo habitual",2,
IF(DK161="Bastante más que lo habitual",3,
IF(DK161="Mucho más que lo habitual",4,""))))</f>
        <v>2</v>
      </c>
      <c r="DM161" s="5" t="s">
        <v>250</v>
      </c>
      <c r="DN161" s="5">
        <f>IF(DM161="No, en absoluto",1,
IF(DM161="No más que lo habitual",2,
IF(DM161="Bastante más que lo habitual",3,
IF(DM161="Mucho más que lo habitual",4,""))))</f>
        <v>3</v>
      </c>
      <c r="DO161" s="5" t="s">
        <v>252</v>
      </c>
      <c r="DP161" s="5">
        <f>IF(DO161="Más que lo habitual",1,
IF(DO161="Igual que lo habitual",2,
IF(DO161="Menos que lo habitual",3,
IF(DO161="Mucho menos que lo habitual",4,""))))</f>
        <v>3</v>
      </c>
      <c r="DQ161" s="5" t="s">
        <v>252</v>
      </c>
      <c r="DR161" s="5">
        <f>IF(DQ161="Más que lo habitual",1,
IF(DQ161="Igual que lo habitual",2,
IF(DQ161="Menos que lo habitual",3,
IF(DQ161="Mucho menos que lo habitual",4,""))))</f>
        <v>3</v>
      </c>
      <c r="DS161" s="5" t="s">
        <v>252</v>
      </c>
      <c r="DT161" s="5">
        <f>IF(DS161="Más que lo habitual",1,
IF(DS161="Igual que lo habitual",2,
IF(DS161="Menos que lo habitual",3,
IF(DS161="Mucho menos que lo habitual",4,""))))</f>
        <v>3</v>
      </c>
      <c r="DU161" s="5" t="s">
        <v>252</v>
      </c>
      <c r="DV161" s="5">
        <f>IF(DU161="Más que lo habitual",1,
IF(DU161="Igual que lo habitual",2,
IF(DU161="Menos que lo habitual",3,
IF(DU161="Mucho menos que lo habitual",4,""))))</f>
        <v>3</v>
      </c>
      <c r="DW161" s="5" t="s">
        <v>231</v>
      </c>
      <c r="DX161" s="5">
        <f>IF(DW161="Más que lo habitual",1,
IF(DW161="Igual que lo habitual",2,
IF(DW161="Menos que lo habitual",3,
IF(DW161="Mucho menos que lo habitual",4,""))))</f>
        <v>2</v>
      </c>
      <c r="DY161" s="5">
        <f>SUM(DB161,DD161,DF161,DH161,DJ161,DL161,DN161,DP161,DR161,DT161,DV161,DX161)</f>
        <v>31</v>
      </c>
      <c r="DZ161" s="5" t="str">
        <f>IF(DY161&lt;=18,"Nivel de riesgo bajo",
IF(DY161&lt;=23,"Nivel de riesgo medio",
"Nivel de riesgo alto"))</f>
        <v>Nivel de riesgo alto</v>
      </c>
      <c r="EA161" s="5" t="s">
        <v>247</v>
      </c>
      <c r="EB161" s="5">
        <f>IF(EA161="Nunca/ casi nunca",0,
IF(EA161="Rara vez",1,
IF(EA161="A veces",2,
IF(EA161="A menudo",3,
IF(EA161="Siempre",4,"")))))</f>
        <v>2</v>
      </c>
      <c r="EC161" s="5" t="s">
        <v>247</v>
      </c>
      <c r="ED161" s="5">
        <f>IF(EC161="Nunca/ casi nunca",0,
IF(EC161="Rara vez",1,
IF(EC161="A veces",2,
IF(EC161="A menudo",3,
IF(EC161="Siempre",4,"")))))</f>
        <v>2</v>
      </c>
      <c r="EE161" s="5" t="s">
        <v>247</v>
      </c>
      <c r="EF161" s="5">
        <f>IF(EE161="Nunca/ casi nunca",0,
IF(EE161="Rara vez",1,
IF(EE161="A veces",2,
IF(EE161="A menudo",3,
IF(EE161="Siempre",4,"")))))</f>
        <v>2</v>
      </c>
      <c r="EG161" s="5">
        <f>SUM(EB161,ED161,EF161)</f>
        <v>6</v>
      </c>
      <c r="EH161" s="5" t="str">
        <f>IF(EG161&lt;=1,"Nivel de riesgo bajo",
IF(EG161&lt;=4,"Nivel de riesgo medio",
"Nivel de riesgo alto"))</f>
        <v>Nivel de riesgo alto</v>
      </c>
      <c r="EI161" s="5" t="s">
        <v>248</v>
      </c>
      <c r="EJ161" s="5">
        <f>IF(EI161="Nunca/ casi nunca",0,
IF(EI161="Rara vez",1,
IF(EI161="A veces",2,
IF(EI161="A menudo",3,
IF(EI161="Siempre",4,"")))))</f>
        <v>1</v>
      </c>
      <c r="EK161" s="5" t="s">
        <v>247</v>
      </c>
      <c r="EL161" s="5">
        <f>IF(EK161="Nunca/ casi nunca",0,
IF(EK161="Rara vez",1,
IF(EK161="A veces",2,
IF(EK161="A menudo",3,
IF(EK161="Siempre",4,"")))))</f>
        <v>2</v>
      </c>
      <c r="EM161" s="5" t="s">
        <v>248</v>
      </c>
      <c r="EN161" s="5">
        <f>IF(EM161="Nunca/ casi nunca",0,
IF(EM161="Rara vez",1,
IF(EM161="A veces",2,
IF(EM161="A menudo",3,
IF(EM161="Siempre",4,"")))))</f>
        <v>1</v>
      </c>
      <c r="EO161" s="5">
        <f>SUM(EJ161,EL161,EN161)</f>
        <v>4</v>
      </c>
      <c r="EP161" s="5" t="str">
        <f>IF(EO161&lt;=1,"Nivel de riesgo bajo",
IF(EO161&lt;=5,"Nivel de riesgo medio",
"Nivel de riesgo alto"))</f>
        <v>Nivel de riesgo medio</v>
      </c>
      <c r="EQ161" s="5" t="s">
        <v>254</v>
      </c>
      <c r="ER161" s="5">
        <f>IF(EQ161="Nunca/ casi nunca",4,
IF(EQ161="Rara vez",3,
IF(EQ161="A veces",2,
IF(EQ161="A menudo",1,
IF(EQ161="Siempre",0,"")))))</f>
        <v>0</v>
      </c>
      <c r="ES161" s="5" t="s">
        <v>254</v>
      </c>
      <c r="ET161" s="5">
        <f>IF(ES161="Nunca/ casi nunca",4,
IF(ES161="Rara vez",3,
IF(ES161="A veces",2,
IF(ES161="A menudo",1,
IF(ES161="Siempre",0,"")))))</f>
        <v>0</v>
      </c>
      <c r="EU161" s="5" t="s">
        <v>253</v>
      </c>
      <c r="EV161" s="5">
        <f>IF(EU161="Nunca/ casi nunca",4,
IF(EU161="Rara vez",3,
IF(EU161="A veces",2,
IF(EU161="A menudo",1,
IF(EU161="Siempre",0,"")))))</f>
        <v>4</v>
      </c>
      <c r="EW161" s="5" t="s">
        <v>248</v>
      </c>
      <c r="EX161" s="5">
        <f>IF(EW161="Nunca/ casi nunca",4,
IF(EW161="Rara vez",3,
IF(EW161="A veces",2,
IF(EW161="A menudo",1,
IF(EW161="Siempre",0,"")))))</f>
        <v>3</v>
      </c>
      <c r="EY161" s="5">
        <f>SUM(ER161,ET161,EV161,EX161)</f>
        <v>7</v>
      </c>
      <c r="EZ161" s="5" t="str">
        <f>IF(EY161&lt;=0,"Nivel de riesgo bajo",
IF(EY161&lt;=4,"Nivel de riesgo medio",
"Nivel de riesgo alto"))</f>
        <v>Nivel de riesgo alto</v>
      </c>
      <c r="FA161" s="5" t="s">
        <v>254</v>
      </c>
      <c r="FB161" s="5">
        <f>IF(FA161="Nunca/ casi nunca",0,
IF(FA161="Rara vez",1,
IF(FA161="A veces",2,
IF(FA161="A menudo",3,
IF(FA161="Siempre",4,"")))))</f>
        <v>4</v>
      </c>
      <c r="FC161" s="5" t="s">
        <v>254</v>
      </c>
      <c r="FD161" s="5">
        <f>IF(FC161="Nunca/ casi nunca",0,
IF(FC161="Rara vez",1,
IF(FC161="A veces",2,
IF(FC161="A menudo",3,
IF(FC161="Siempre",4,"")))))</f>
        <v>4</v>
      </c>
      <c r="FE161" s="5" t="s">
        <v>254</v>
      </c>
      <c r="FF161" s="5">
        <f>IF(FE161="Nunca/ casi nunca",0,
IF(FE161="Rara vez",1,
IF(FE161="A veces",2,
IF(FE161="A menudo",3,
IF(FE161="Siempre",4,"")))))</f>
        <v>4</v>
      </c>
      <c r="FG161" s="5">
        <f>SUM(FB161,FD161,FF161)</f>
        <v>12</v>
      </c>
      <c r="FH161" s="5" t="str">
        <f>IF(FG161&lt;=2,"Nivel de riesgo bajo",
IF(FG161&lt;=5,"Nivel de riesgo medio",
"Nivel de riesgo alto"))</f>
        <v>Nivel de riesgo alto</v>
      </c>
      <c r="FI161" s="5" t="s">
        <v>232</v>
      </c>
      <c r="FJ161" s="5">
        <f>IF(FI161="Nunca/ casi nunca",0,
IF(FI161="Rara vez",1,
IF(FI161="A veces",2,
IF(FI161="A menudo",3,
IF(FI161="Siempre",4,"")))))</f>
        <v>3</v>
      </c>
      <c r="FK161" s="5" t="s">
        <v>232</v>
      </c>
      <c r="FL161" s="5">
        <f>IF(FK161="Nunca/ casi nunca",0,
IF(FK161="Rara vez",1,
IF(FK161="A veces",2,
IF(FK161="A menudo",3,
IF(FK161="Siempre",4,"")))))</f>
        <v>3</v>
      </c>
      <c r="FM161" s="5" t="s">
        <v>254</v>
      </c>
      <c r="FN161" s="5">
        <f>IF(FM161="Nunca/ casi nunca",0,
IF(FM161="Rara vez",1,
IF(FM161="A veces",2,
IF(FM161="A menudo",3,
IF(FM161="Siempre",4,"")))))</f>
        <v>4</v>
      </c>
      <c r="FO161" s="5">
        <f>SUM(FJ161,FL161,FN161)</f>
        <v>10</v>
      </c>
      <c r="FP161" s="5" t="str">
        <f>IF(FO161&lt;=2,"Nivel de riesgo bajo",
IF(FO161&lt;=5,"Nivel de riesgo medio",
"Nivel de riesgo alto"))</f>
        <v>Nivel de riesgo alto</v>
      </c>
      <c r="FQ161" s="5" t="s">
        <v>206</v>
      </c>
      <c r="FR161" s="5">
        <f>IF(FQ161="No",0,
IF(FQ161="Sí, unas pocas veces",1,
IF(FQ161="Sí, mensualmente",2,
IF(FQ161="Sí, semanalmente",3,
IF(FQ161="Sí, diariamente",4,"")))))</f>
        <v>0</v>
      </c>
      <c r="FS161" s="5" t="s">
        <v>265</v>
      </c>
      <c r="FT161" s="5">
        <f>IF(FS161="No",0,
IF(FS161="Sí, unas pocas veces",1,
IF(FS161="Sí, mensualmente",2,
IF(FS161="Sí, semanalmente",3,
IF(FS161="Sí, diariamente",4,"")))))</f>
        <v>1</v>
      </c>
      <c r="FU161" s="5" t="s">
        <v>206</v>
      </c>
      <c r="FV161" s="5">
        <f>IF(FU161="No",0,
IF(FU161="Sí, unas pocas veces",1,
IF(FU161="Sí, mensualmente",2,
IF(FU161="Sí, semanalmente",3,
IF(FU161="Sí, diariamente",4,"")))))</f>
        <v>0</v>
      </c>
      <c r="FW161" s="5" t="s">
        <v>206</v>
      </c>
      <c r="FX161" s="5">
        <f>IF(FW161="No",0,
IF(FW161="Sí, unas pocas veces",1,
IF(FW161="Sí, mensualmente",2,
IF(FW161="Sí, semanalmente",3,
IF(FW161="Sí, diariamente",4,"")))))</f>
        <v>0</v>
      </c>
      <c r="FY161" s="5" t="s">
        <v>206</v>
      </c>
      <c r="FZ161" s="5">
        <f>IF(FY161="No",0,
IF(FY161="Sí, unas pocas veces",1,
IF(FY161="Sí, mensualmente",2,
IF(FY161="Sí, semanalmente",3,
IF(FY161="Sí, diariamente",4,"")))))</f>
        <v>0</v>
      </c>
      <c r="GA161" s="5" t="s">
        <v>206</v>
      </c>
      <c r="GB161" s="5">
        <f>IF(GA161="No",0,
IF(GA161="Sí, unas pocas veces",1,
IF(GA161="Sí, mensualmente",2,
IF(GA161="Sí, semanalmente",3,
IF(GA161="Sí, diariamente",4,"")))))</f>
        <v>0</v>
      </c>
      <c r="GC161" s="5" t="s">
        <v>206</v>
      </c>
      <c r="GD161" s="5">
        <f>IF(GC161="No",0,
IF(GC161="Sí, unas pocas veces",1,
IF(GC161="Sí, mensualmente",2,
IF(GC161="Sí, semanalmente",3,
IF(GC161="Sí, diariamente",4,"")))))</f>
        <v>0</v>
      </c>
      <c r="GE161" s="5">
        <f>SUM(FR161,FT161,FV161,FX161,FZ161,GB161,GD161)</f>
        <v>1</v>
      </c>
      <c r="GF161" s="5" t="str">
        <f>IF(GE161&lt;=0,"Nivel de riesgo bajo",
IF(GE161&lt;=14,"Nivel de riesgo medio",
"Nivel de riesgo alto"))</f>
        <v>Nivel de riesgo medio</v>
      </c>
      <c r="GG161" s="5" t="s">
        <v>273</v>
      </c>
      <c r="GH161" s="5" t="s">
        <v>273</v>
      </c>
      <c r="GI161" s="5" t="s">
        <v>255</v>
      </c>
      <c r="GJ161" s="5" t="s">
        <v>255</v>
      </c>
      <c r="GK161" s="5" t="s">
        <v>233</v>
      </c>
      <c r="GL161" s="5" t="s">
        <v>273</v>
      </c>
      <c r="GM161" s="5" t="s">
        <v>273</v>
      </c>
      <c r="GN161" s="5" t="s">
        <v>256</v>
      </c>
      <c r="GO161" s="5" t="s">
        <v>256</v>
      </c>
      <c r="GP161" s="5" t="s">
        <v>256</v>
      </c>
      <c r="GQ161" s="5" t="s">
        <v>256</v>
      </c>
      <c r="GR161" s="5" t="s">
        <v>256</v>
      </c>
      <c r="GS161" s="5" t="s">
        <v>256</v>
      </c>
      <c r="GT161" s="5" t="s">
        <v>256</v>
      </c>
      <c r="GU161" s="5" t="s">
        <v>511</v>
      </c>
      <c r="GV161" s="5" t="str">
        <f>TEXT("6278904485437816696","0")</f>
        <v>6278904485437810000</v>
      </c>
    </row>
    <row r="162" spans="1:204" ht="15.75" customHeight="1" x14ac:dyDescent="0.15">
      <c r="A162" s="1">
        <f>ROW(A162)</f>
        <v>162</v>
      </c>
      <c r="B162" s="4">
        <v>45847.555578703701</v>
      </c>
      <c r="C162" s="5" t="s">
        <v>204</v>
      </c>
      <c r="D162" s="5" t="s">
        <v>204</v>
      </c>
      <c r="E162" s="5" t="s">
        <v>335</v>
      </c>
      <c r="F162" s="5" t="s">
        <v>206</v>
      </c>
      <c r="G162" s="5" t="s">
        <v>204</v>
      </c>
      <c r="H162" s="5" t="s">
        <v>206</v>
      </c>
      <c r="J162" s="5" t="s">
        <v>209</v>
      </c>
      <c r="O162" s="5" t="s">
        <v>209</v>
      </c>
      <c r="S162" s="5" t="s">
        <v>208</v>
      </c>
      <c r="X162" s="5" t="s">
        <v>208</v>
      </c>
      <c r="AE162" s="5" t="s">
        <v>237</v>
      </c>
      <c r="AH162" s="5" t="s">
        <v>210</v>
      </c>
      <c r="AI162" s="5">
        <v>2010</v>
      </c>
      <c r="AJ162" s="5" t="s">
        <v>238</v>
      </c>
      <c r="AK162" s="5" t="str">
        <f>IF(OR(AJ162="Empleada del sector privado",AJ162="Empleada del sector público"),"Asalariada",
IF(AJ162="Trabajadora por cuenta propia","Trabajadora por cuenta propia",""))</f>
        <v>Trabajadora por cuenta propia</v>
      </c>
      <c r="AM162" s="5" t="s">
        <v>309</v>
      </c>
      <c r="AP162" s="5" t="s">
        <v>297</v>
      </c>
      <c r="AR162" s="5" t="s">
        <v>241</v>
      </c>
      <c r="AS162" s="5" t="s">
        <v>241</v>
      </c>
      <c r="AT162" s="5" t="s">
        <v>241</v>
      </c>
      <c r="AU162" s="5" t="s">
        <v>241</v>
      </c>
      <c r="AV162" s="5" t="s">
        <v>269</v>
      </c>
      <c r="AW162" s="5" t="s">
        <v>204</v>
      </c>
      <c r="AX162" s="5" t="s">
        <v>204</v>
      </c>
      <c r="AY162" s="5" t="s">
        <v>339</v>
      </c>
      <c r="AZ162" s="5" t="s">
        <v>204</v>
      </c>
      <c r="BA162" s="5" t="s">
        <v>263</v>
      </c>
      <c r="BF162" s="5" t="s">
        <v>204</v>
      </c>
      <c r="BG162" s="5" t="s">
        <v>215</v>
      </c>
      <c r="BH162" s="5" t="s">
        <v>271</v>
      </c>
      <c r="BI162" s="5" t="s">
        <v>271</v>
      </c>
      <c r="BJ162" s="5" t="s">
        <v>278</v>
      </c>
      <c r="BK162" s="5" t="s">
        <v>243</v>
      </c>
      <c r="BL162" s="5" t="s">
        <v>243</v>
      </c>
      <c r="BM162" s="5" t="s">
        <v>245</v>
      </c>
      <c r="BN162" s="5" t="s">
        <v>243</v>
      </c>
      <c r="BO162" s="5" t="s">
        <v>243</v>
      </c>
      <c r="BP162" s="5" t="s">
        <v>243</v>
      </c>
      <c r="BQ162" s="5" t="s">
        <v>243</v>
      </c>
      <c r="BR162" s="5" t="s">
        <v>243</v>
      </c>
      <c r="BS162" s="5" t="s">
        <v>232</v>
      </c>
      <c r="BT162" s="5" t="s">
        <v>232</v>
      </c>
      <c r="BU162" s="5" t="s">
        <v>247</v>
      </c>
      <c r="BV162" s="5" t="s">
        <v>247</v>
      </c>
      <c r="BW162" s="5" t="s">
        <v>232</v>
      </c>
      <c r="BX162" s="5" t="s">
        <v>247</v>
      </c>
      <c r="BY162" s="5" t="s">
        <v>247</v>
      </c>
      <c r="BZ162" s="5" t="s">
        <v>246</v>
      </c>
      <c r="CA162" s="5" t="s">
        <v>243</v>
      </c>
      <c r="CB162" s="5" t="s">
        <v>246</v>
      </c>
      <c r="CC162" s="5" t="s">
        <v>243</v>
      </c>
      <c r="CD162" s="5" t="s">
        <v>206</v>
      </c>
      <c r="CH162" s="5" t="s">
        <v>206</v>
      </c>
      <c r="CI162" s="5" t="s">
        <v>291</v>
      </c>
      <c r="CJ162" s="5">
        <v>4</v>
      </c>
      <c r="CK162" s="5" t="s">
        <v>223</v>
      </c>
      <c r="CU162" s="5" t="s">
        <v>206</v>
      </c>
      <c r="DA162" s="5" t="s">
        <v>231</v>
      </c>
      <c r="DB162" s="5">
        <f>IF(DA162="Mejor que lo habitual",1,
IF(DA162="Igual que lo habitual",2,
IF(DA162="Menos que lo habitual",3,
IF(DA162="Mucho menos que lo habitual",4,""))))</f>
        <v>2</v>
      </c>
      <c r="DC162" s="5" t="s">
        <v>230</v>
      </c>
      <c r="DD162" s="5">
        <f>IF(DC162="No, en absoluto",1,
IF(DC162="No más que lo habitual",2,
IF(DC162="Bastante más que lo habitual",3,
IF(DC162="Mucho más que lo habitual",4,""))))</f>
        <v>2</v>
      </c>
      <c r="DE162" s="5" t="s">
        <v>230</v>
      </c>
      <c r="DF162" s="5">
        <f>IF(DE162="No, en absoluto",1,
IF(DE162="No más que lo habitual",2,
IF(DE162="Bastante más que lo habitual",3,
IF(DE162="Mucho más que lo habitual",4,""))))</f>
        <v>2</v>
      </c>
      <c r="DG162" s="5" t="s">
        <v>230</v>
      </c>
      <c r="DH162" s="5">
        <f>IF(DG162="No, en absoluto",1,
IF(DG162="No más que lo habitual",2,
IF(DG162="Bastante más que lo habitual",3,
IF(DG162="Mucho más que lo habitual",4,""))))</f>
        <v>2</v>
      </c>
      <c r="DI162" s="5" t="s">
        <v>230</v>
      </c>
      <c r="DJ162" s="5">
        <f>IF(DI162="No, en absoluto",1,
IF(DI162="No más que lo habitual",2,
IF(DI162="Bastante más que lo habitual",3,
IF(DI162="Mucho más que lo habitual",4,""))))</f>
        <v>2</v>
      </c>
      <c r="DK162" s="5" t="s">
        <v>251</v>
      </c>
      <c r="DL162" s="5">
        <f>IF(DK162="No, en absoluto",1,
IF(DK162="No más que lo habitual",2,
IF(DK162="Bastante más que lo habitual",3,
IF(DK162="Mucho más que lo habitual",4,""))))</f>
        <v>1</v>
      </c>
      <c r="DM162" s="5" t="s">
        <v>251</v>
      </c>
      <c r="DN162" s="5">
        <f>IF(DM162="No, en absoluto",1,
IF(DM162="No más que lo habitual",2,
IF(DM162="Bastante más que lo habitual",3,
IF(DM162="Mucho más que lo habitual",4,""))))</f>
        <v>1</v>
      </c>
      <c r="DO162" s="5" t="s">
        <v>281</v>
      </c>
      <c r="DP162" s="5">
        <f>IF(DO162="Más que lo habitual",1,
IF(DO162="Igual que lo habitual",2,
IF(DO162="Menos que lo habitual",3,
IF(DO162="Mucho menos que lo habitual",4,""))))</f>
        <v>1</v>
      </c>
      <c r="DQ162" s="5" t="s">
        <v>281</v>
      </c>
      <c r="DR162" s="5">
        <f>IF(DQ162="Más que lo habitual",1,
IF(DQ162="Igual que lo habitual",2,
IF(DQ162="Menos que lo habitual",3,
IF(DQ162="Mucho menos que lo habitual",4,""))))</f>
        <v>1</v>
      </c>
      <c r="DS162" s="5" t="s">
        <v>252</v>
      </c>
      <c r="DT162" s="5">
        <f>IF(DS162="Más que lo habitual",1,
IF(DS162="Igual que lo habitual",2,
IF(DS162="Menos que lo habitual",3,
IF(DS162="Mucho menos que lo habitual",4,""))))</f>
        <v>3</v>
      </c>
      <c r="DU162" s="5" t="s">
        <v>281</v>
      </c>
      <c r="DV162" s="5">
        <f>IF(DU162="Más que lo habitual",1,
IF(DU162="Igual que lo habitual",2,
IF(DU162="Menos que lo habitual",3,
IF(DU162="Mucho menos que lo habitual",4,""))))</f>
        <v>1</v>
      </c>
      <c r="DW162" s="5" t="s">
        <v>231</v>
      </c>
      <c r="DX162" s="5">
        <f>IF(DW162="Más que lo habitual",1,
IF(DW162="Igual que lo habitual",2,
IF(DW162="Menos que lo habitual",3,
IF(DW162="Mucho menos que lo habitual",4,""))))</f>
        <v>2</v>
      </c>
      <c r="DY162" s="5">
        <f>SUM(DB162,DD162,DF162,DH162,DJ162,DL162,DN162,DP162,DR162,DT162,DV162,DX162)</f>
        <v>20</v>
      </c>
      <c r="DZ162" s="5" t="str">
        <f>IF(DY162&lt;=18,"Nivel de riesgo bajo",
IF(DY162&lt;=23,"Nivel de riesgo medio",
"Nivel de riesgo alto"))</f>
        <v>Nivel de riesgo medio</v>
      </c>
      <c r="EA162" s="5" t="s">
        <v>247</v>
      </c>
      <c r="EB162" s="5">
        <f>IF(EA162="Nunca/ casi nunca",0,
IF(EA162="Rara vez",1,
IF(EA162="A veces",2,
IF(EA162="A menudo",3,
IF(EA162="Siempre",4,"")))))</f>
        <v>2</v>
      </c>
      <c r="EC162" s="5" t="s">
        <v>248</v>
      </c>
      <c r="ED162" s="5">
        <f>IF(EC162="Nunca/ casi nunca",0,
IF(EC162="Rara vez",1,
IF(EC162="A veces",2,
IF(EC162="A menudo",3,
IF(EC162="Siempre",4,"")))))</f>
        <v>1</v>
      </c>
      <c r="EE162" s="5" t="s">
        <v>248</v>
      </c>
      <c r="EF162" s="5">
        <f>IF(EE162="Nunca/ casi nunca",0,
IF(EE162="Rara vez",1,
IF(EE162="A veces",2,
IF(EE162="A menudo",3,
IF(EE162="Siempre",4,"")))))</f>
        <v>1</v>
      </c>
      <c r="EG162" s="5">
        <f>SUM(EB162,ED162,EF162)</f>
        <v>4</v>
      </c>
      <c r="EH162" s="5" t="str">
        <f>IF(EG162&lt;=1,"Nivel de riesgo bajo",
IF(EG162&lt;=4,"Nivel de riesgo medio",
"Nivel de riesgo alto"))</f>
        <v>Nivel de riesgo medio</v>
      </c>
      <c r="EI162" s="5" t="s">
        <v>253</v>
      </c>
      <c r="EJ162" s="5">
        <f>IF(EI162="Nunca/ casi nunca",0,
IF(EI162="Rara vez",1,
IF(EI162="A veces",2,
IF(EI162="A menudo",3,
IF(EI162="Siempre",4,"")))))</f>
        <v>0</v>
      </c>
      <c r="EK162" s="5" t="s">
        <v>248</v>
      </c>
      <c r="EL162" s="5">
        <f>IF(EK162="Nunca/ casi nunca",0,
IF(EK162="Rara vez",1,
IF(EK162="A veces",2,
IF(EK162="A menudo",3,
IF(EK162="Siempre",4,"")))))</f>
        <v>1</v>
      </c>
      <c r="EM162" s="5" t="s">
        <v>253</v>
      </c>
      <c r="EN162" s="5">
        <f>IF(EM162="Nunca/ casi nunca",0,
IF(EM162="Rara vez",1,
IF(EM162="A veces",2,
IF(EM162="A menudo",3,
IF(EM162="Siempre",4,"")))))</f>
        <v>0</v>
      </c>
      <c r="EO162" s="5">
        <f>SUM(EJ162,EL162,EN162)</f>
        <v>1</v>
      </c>
      <c r="EP162" s="5" t="str">
        <f>IF(EO162&lt;=1,"Nivel de riesgo bajo",
IF(EO162&lt;=5,"Nivel de riesgo medio",
"Nivel de riesgo alto"))</f>
        <v>Nivel de riesgo bajo</v>
      </c>
      <c r="EQ162" s="5" t="s">
        <v>248</v>
      </c>
      <c r="ER162" s="5">
        <f>IF(EQ162="Nunca/ casi nunca",4,
IF(EQ162="Rara vez",3,
IF(EQ162="A veces",2,
IF(EQ162="A menudo",1,
IF(EQ162="Siempre",0,"")))))</f>
        <v>3</v>
      </c>
      <c r="ES162" s="5" t="s">
        <v>248</v>
      </c>
      <c r="ET162" s="5">
        <f>IF(ES162="Nunca/ casi nunca",4,
IF(ES162="Rara vez",3,
IF(ES162="A veces",2,
IF(ES162="A menudo",1,
IF(ES162="Siempre",0,"")))))</f>
        <v>3</v>
      </c>
      <c r="EU162" s="5" t="s">
        <v>248</v>
      </c>
      <c r="EV162" s="5">
        <f>IF(EU162="Nunca/ casi nunca",4,
IF(EU162="Rara vez",3,
IF(EU162="A veces",2,
IF(EU162="A menudo",1,
IF(EU162="Siempre",0,"")))))</f>
        <v>3</v>
      </c>
      <c r="EW162" s="5" t="s">
        <v>232</v>
      </c>
      <c r="EX162" s="5">
        <f>IF(EW162="Nunca/ casi nunca",4,
IF(EW162="Rara vez",3,
IF(EW162="A veces",2,
IF(EW162="A menudo",1,
IF(EW162="Siempre",0,"")))))</f>
        <v>1</v>
      </c>
      <c r="EY162" s="5">
        <f>SUM(ER162,ET162,EV162,EX162)</f>
        <v>10</v>
      </c>
      <c r="EZ162" s="5" t="str">
        <f>IF(EY162&lt;=0,"Nivel de riesgo bajo",
IF(EY162&lt;=4,"Nivel de riesgo medio",
"Nivel de riesgo alto"))</f>
        <v>Nivel de riesgo alto</v>
      </c>
      <c r="FA162" s="5" t="s">
        <v>253</v>
      </c>
      <c r="FB162" s="5">
        <f>IF(FA162="Nunca/ casi nunca",0,
IF(FA162="Rara vez",1,
IF(FA162="A veces",2,
IF(FA162="A menudo",3,
IF(FA162="Siempre",4,"")))))</f>
        <v>0</v>
      </c>
      <c r="FC162" s="5" t="s">
        <v>253</v>
      </c>
      <c r="FD162" s="5">
        <f>IF(FC162="Nunca/ casi nunca",0,
IF(FC162="Rara vez",1,
IF(FC162="A veces",2,
IF(FC162="A menudo",3,
IF(FC162="Siempre",4,"")))))</f>
        <v>0</v>
      </c>
      <c r="FE162" s="5" t="s">
        <v>253</v>
      </c>
      <c r="FF162" s="5">
        <f>IF(FE162="Nunca/ casi nunca",0,
IF(FE162="Rara vez",1,
IF(FE162="A veces",2,
IF(FE162="A menudo",3,
IF(FE162="Siempre",4,"")))))</f>
        <v>0</v>
      </c>
      <c r="FG162" s="5">
        <f>SUM(FB162,FD162,FF162)</f>
        <v>0</v>
      </c>
      <c r="FH162" s="5" t="str">
        <f>IF(FG162&lt;=2,"Nivel de riesgo bajo",
IF(FG162&lt;=5,"Nivel de riesgo medio",
"Nivel de riesgo alto"))</f>
        <v>Nivel de riesgo bajo</v>
      </c>
      <c r="FI162" s="5" t="s">
        <v>248</v>
      </c>
      <c r="FJ162" s="5">
        <f>IF(FI162="Nunca/ casi nunca",0,
IF(FI162="Rara vez",1,
IF(FI162="A veces",2,
IF(FI162="A menudo",3,
IF(FI162="Siempre",4,"")))))</f>
        <v>1</v>
      </c>
      <c r="FK162" s="5" t="s">
        <v>248</v>
      </c>
      <c r="FL162" s="5">
        <f>IF(FK162="Nunca/ casi nunca",0,
IF(FK162="Rara vez",1,
IF(FK162="A veces",2,
IF(FK162="A menudo",3,
IF(FK162="Siempre",4,"")))))</f>
        <v>1</v>
      </c>
      <c r="FM162" s="5" t="s">
        <v>253</v>
      </c>
      <c r="FN162" s="5">
        <f>IF(FM162="Nunca/ casi nunca",0,
IF(FM162="Rara vez",1,
IF(FM162="A veces",2,
IF(FM162="A menudo",3,
IF(FM162="Siempre",4,"")))))</f>
        <v>0</v>
      </c>
      <c r="FO162" s="5">
        <f>SUM(FJ162,FL162,FN162)</f>
        <v>2</v>
      </c>
      <c r="FP162" s="5" t="str">
        <f>IF(FO162&lt;=2,"Nivel de riesgo bajo",
IF(FO162&lt;=5,"Nivel de riesgo medio",
"Nivel de riesgo alto"))</f>
        <v>Nivel de riesgo bajo</v>
      </c>
      <c r="FQ162" s="5" t="s">
        <v>206</v>
      </c>
      <c r="FR162" s="5">
        <f>IF(FQ162="No",0,
IF(FQ162="Sí, unas pocas veces",1,
IF(FQ162="Sí, mensualmente",2,
IF(FQ162="Sí, semanalmente",3,
IF(FQ162="Sí, diariamente",4,"")))))</f>
        <v>0</v>
      </c>
      <c r="FS162" s="5" t="s">
        <v>206</v>
      </c>
      <c r="FT162" s="5">
        <f>IF(FS162="No",0,
IF(FS162="Sí, unas pocas veces",1,
IF(FS162="Sí, mensualmente",2,
IF(FS162="Sí, semanalmente",3,
IF(FS162="Sí, diariamente",4,"")))))</f>
        <v>0</v>
      </c>
      <c r="FU162" s="5" t="s">
        <v>206</v>
      </c>
      <c r="FV162" s="5">
        <f>IF(FU162="No",0,
IF(FU162="Sí, unas pocas veces",1,
IF(FU162="Sí, mensualmente",2,
IF(FU162="Sí, semanalmente",3,
IF(FU162="Sí, diariamente",4,"")))))</f>
        <v>0</v>
      </c>
      <c r="FW162" s="5" t="s">
        <v>206</v>
      </c>
      <c r="FX162" s="5">
        <f>IF(FW162="No",0,
IF(FW162="Sí, unas pocas veces",1,
IF(FW162="Sí, mensualmente",2,
IF(FW162="Sí, semanalmente",3,
IF(FW162="Sí, diariamente",4,"")))))</f>
        <v>0</v>
      </c>
      <c r="FY162" s="5" t="s">
        <v>206</v>
      </c>
      <c r="FZ162" s="5">
        <f>IF(FY162="No",0,
IF(FY162="Sí, unas pocas veces",1,
IF(FY162="Sí, mensualmente",2,
IF(FY162="Sí, semanalmente",3,
IF(FY162="Sí, diariamente",4,"")))))</f>
        <v>0</v>
      </c>
      <c r="GA162" s="5" t="s">
        <v>206</v>
      </c>
      <c r="GB162" s="5">
        <f>IF(GA162="No",0,
IF(GA162="Sí, unas pocas veces",1,
IF(GA162="Sí, mensualmente",2,
IF(GA162="Sí, semanalmente",3,
IF(GA162="Sí, diariamente",4,"")))))</f>
        <v>0</v>
      </c>
      <c r="GC162" s="5" t="s">
        <v>206</v>
      </c>
      <c r="GD162" s="5">
        <f>IF(GC162="No",0,
IF(GC162="Sí, unas pocas veces",1,
IF(GC162="Sí, mensualmente",2,
IF(GC162="Sí, semanalmente",3,
IF(GC162="Sí, diariamente",4,"")))))</f>
        <v>0</v>
      </c>
      <c r="GE162" s="5">
        <f>SUM(FR162,FT162,FV162,FX162,FZ162,GB162,GD162)</f>
        <v>0</v>
      </c>
      <c r="GF162" s="5" t="str">
        <f>IF(GE162&lt;=0,"Nivel de riesgo bajo",
IF(GE162&lt;=14,"Nivel de riesgo medio",
"Nivel de riesgo alto"))</f>
        <v>Nivel de riesgo bajo</v>
      </c>
      <c r="GG162" s="5" t="s">
        <v>255</v>
      </c>
      <c r="GH162" s="5" t="s">
        <v>273</v>
      </c>
      <c r="GI162" s="5" t="s">
        <v>273</v>
      </c>
      <c r="GJ162" s="5" t="s">
        <v>266</v>
      </c>
      <c r="GK162" s="5" t="s">
        <v>233</v>
      </c>
      <c r="GL162" s="5" t="s">
        <v>273</v>
      </c>
      <c r="GM162" s="5" t="s">
        <v>298</v>
      </c>
      <c r="GN162" s="5" t="s">
        <v>243</v>
      </c>
      <c r="GO162" s="5" t="s">
        <v>257</v>
      </c>
      <c r="GP162" s="5" t="s">
        <v>257</v>
      </c>
      <c r="GQ162" s="5" t="s">
        <v>257</v>
      </c>
      <c r="GR162" s="5" t="s">
        <v>257</v>
      </c>
      <c r="GS162" s="5" t="s">
        <v>244</v>
      </c>
      <c r="GT162" s="5" t="s">
        <v>257</v>
      </c>
      <c r="GU162" s="5" t="s">
        <v>512</v>
      </c>
      <c r="GV162" s="5" t="str">
        <f>TEXT("6278908025024938082","0")</f>
        <v>6278908025024930000</v>
      </c>
    </row>
    <row r="163" spans="1:204" ht="15.75" hidden="1" customHeight="1" x14ac:dyDescent="0.15">
      <c r="B163" s="4">
        <v>45847.560266203705</v>
      </c>
      <c r="C163" s="5" t="s">
        <v>204</v>
      </c>
      <c r="D163" s="5" t="s">
        <v>206</v>
      </c>
      <c r="F163" s="5" t="s">
        <v>204</v>
      </c>
      <c r="G163" s="5" t="s">
        <v>204</v>
      </c>
      <c r="H163" s="5" t="s">
        <v>206</v>
      </c>
      <c r="J163" s="5" t="s">
        <v>209</v>
      </c>
      <c r="O163" s="5" t="s">
        <v>209</v>
      </c>
      <c r="T163" s="5" t="s">
        <v>209</v>
      </c>
      <c r="Y163" s="5" t="s">
        <v>209</v>
      </c>
      <c r="AE163" s="5" t="s">
        <v>237</v>
      </c>
      <c r="AF163" s="5" t="s">
        <v>236</v>
      </c>
      <c r="AH163" s="5" t="s">
        <v>513</v>
      </c>
      <c r="AI163" s="5">
        <v>2024</v>
      </c>
      <c r="AJ163" s="5" t="s">
        <v>304</v>
      </c>
      <c r="AK163" s="5"/>
      <c r="AR163" s="5" t="s">
        <v>276</v>
      </c>
      <c r="AS163" s="5" t="s">
        <v>276</v>
      </c>
      <c r="AT163" s="5" t="s">
        <v>276</v>
      </c>
      <c r="AU163" s="5" t="s">
        <v>276</v>
      </c>
      <c r="AV163" s="5" t="s">
        <v>213</v>
      </c>
      <c r="AW163" s="5" t="s">
        <v>206</v>
      </c>
      <c r="BF163" s="5" t="s">
        <v>204</v>
      </c>
      <c r="BG163" s="5" t="s">
        <v>242</v>
      </c>
      <c r="BH163" s="5" t="s">
        <v>278</v>
      </c>
      <c r="BI163" s="5" t="s">
        <v>271</v>
      </c>
      <c r="BJ163" s="5" t="s">
        <v>278</v>
      </c>
      <c r="BK163" s="5" t="s">
        <v>245</v>
      </c>
      <c r="BL163" s="5" t="s">
        <v>245</v>
      </c>
      <c r="BM163" s="5" t="s">
        <v>243</v>
      </c>
      <c r="BN163" s="5" t="s">
        <v>245</v>
      </c>
      <c r="BO163" s="5" t="s">
        <v>243</v>
      </c>
      <c r="BP163" s="5" t="s">
        <v>245</v>
      </c>
      <c r="BQ163" s="5" t="s">
        <v>243</v>
      </c>
      <c r="BR163" s="5" t="s">
        <v>243</v>
      </c>
      <c r="BS163" s="5" t="s">
        <v>232</v>
      </c>
      <c r="BT163" s="5" t="s">
        <v>248</v>
      </c>
      <c r="BU163" s="5" t="s">
        <v>248</v>
      </c>
      <c r="BV163" s="5" t="s">
        <v>247</v>
      </c>
      <c r="BW163" s="5" t="s">
        <v>232</v>
      </c>
      <c r="BX163" s="5" t="s">
        <v>232</v>
      </c>
      <c r="BY163" s="5" t="s">
        <v>232</v>
      </c>
      <c r="CD163" s="5" t="s">
        <v>206</v>
      </c>
      <c r="CH163" s="5" t="s">
        <v>206</v>
      </c>
      <c r="CI163" s="5" t="s">
        <v>291</v>
      </c>
      <c r="CJ163" s="5">
        <v>2</v>
      </c>
      <c r="CK163" s="5" t="s">
        <v>223</v>
      </c>
      <c r="CU163" s="5" t="s">
        <v>206</v>
      </c>
      <c r="DA163" s="5" t="s">
        <v>231</v>
      </c>
      <c r="DB163" s="5"/>
      <c r="DC163" s="5" t="s">
        <v>280</v>
      </c>
      <c r="DD163" s="5"/>
      <c r="DE163" s="5" t="s">
        <v>280</v>
      </c>
      <c r="DF163" s="5"/>
      <c r="DG163" s="5" t="s">
        <v>230</v>
      </c>
      <c r="DH163" s="5"/>
      <c r="DI163" s="5" t="s">
        <v>280</v>
      </c>
      <c r="DJ163" s="5"/>
      <c r="DK163" s="5" t="s">
        <v>251</v>
      </c>
      <c r="DL163" s="5"/>
      <c r="DM163" s="5" t="s">
        <v>251</v>
      </c>
      <c r="DN163" s="5"/>
      <c r="DO163" s="5" t="s">
        <v>281</v>
      </c>
      <c r="DP163" s="5"/>
      <c r="DQ163" s="5" t="s">
        <v>281</v>
      </c>
      <c r="DR163" s="5"/>
      <c r="DS163" s="5" t="s">
        <v>252</v>
      </c>
      <c r="DT163" s="5"/>
      <c r="DU163" s="5" t="s">
        <v>281</v>
      </c>
      <c r="DV163" s="5"/>
      <c r="DW163" s="5" t="s">
        <v>231</v>
      </c>
      <c r="DX163" s="5"/>
      <c r="DY163" s="5"/>
      <c r="DZ163" s="5"/>
      <c r="EA163" s="5" t="s">
        <v>232</v>
      </c>
      <c r="EB163" s="5"/>
      <c r="EC163" s="5" t="s">
        <v>232</v>
      </c>
      <c r="ED163" s="5"/>
      <c r="EE163" s="5" t="s">
        <v>253</v>
      </c>
      <c r="EF163" s="5"/>
      <c r="EG163" s="5"/>
      <c r="EH163" s="5"/>
      <c r="EI163" s="5" t="s">
        <v>253</v>
      </c>
      <c r="EJ163" s="5"/>
      <c r="EK163" s="5" t="s">
        <v>253</v>
      </c>
      <c r="EL163" s="5"/>
      <c r="EM163" s="5" t="s">
        <v>232</v>
      </c>
      <c r="EN163" s="5"/>
      <c r="EO163" s="5"/>
      <c r="EP163" s="5"/>
      <c r="EQ163" s="5" t="s">
        <v>254</v>
      </c>
      <c r="ER163" s="5"/>
      <c r="ES163" s="5" t="s">
        <v>254</v>
      </c>
      <c r="ET163" s="5"/>
      <c r="EU163" s="5" t="s">
        <v>254</v>
      </c>
      <c r="EV163" s="5"/>
      <c r="EW163" s="5" t="s">
        <v>254</v>
      </c>
      <c r="EX163" s="5"/>
      <c r="EY163" s="5"/>
      <c r="EZ163" s="5"/>
      <c r="FA163" s="5" t="s">
        <v>254</v>
      </c>
      <c r="FB163" s="5"/>
      <c r="FC163" s="5" t="s">
        <v>253</v>
      </c>
      <c r="FD163" s="5"/>
      <c r="FE163" s="5" t="s">
        <v>253</v>
      </c>
      <c r="FF163" s="5"/>
      <c r="FG163" s="5"/>
      <c r="FH163" s="5"/>
      <c r="FI163" s="5" t="s">
        <v>247</v>
      </c>
      <c r="FJ163" s="5"/>
      <c r="FK163" s="5" t="s">
        <v>247</v>
      </c>
      <c r="FL163" s="5"/>
      <c r="FM163" s="5" t="s">
        <v>253</v>
      </c>
      <c r="FN163" s="5"/>
      <c r="FO163" s="5"/>
      <c r="FP163" s="5"/>
      <c r="FQ163" s="5" t="s">
        <v>206</v>
      </c>
      <c r="FR163" s="5"/>
      <c r="FS163" s="5" t="s">
        <v>206</v>
      </c>
      <c r="FT163" s="5"/>
      <c r="FU163" s="5" t="s">
        <v>206</v>
      </c>
      <c r="FV163" s="5"/>
      <c r="FW163" s="5" t="s">
        <v>206</v>
      </c>
      <c r="FX163" s="5"/>
      <c r="FY163" s="5" t="s">
        <v>206</v>
      </c>
      <c r="FZ163" s="5"/>
      <c r="GA163" s="5" t="s">
        <v>206</v>
      </c>
      <c r="GB163" s="5"/>
      <c r="GC163" s="5" t="s">
        <v>206</v>
      </c>
      <c r="GD163" s="5"/>
      <c r="GE163" s="5"/>
      <c r="GF163" s="5"/>
      <c r="GG163" s="5" t="s">
        <v>255</v>
      </c>
      <c r="GH163" s="5" t="s">
        <v>255</v>
      </c>
      <c r="GI163" s="5" t="s">
        <v>255</v>
      </c>
      <c r="GJ163" s="5" t="s">
        <v>255</v>
      </c>
      <c r="GK163" s="5" t="s">
        <v>233</v>
      </c>
      <c r="GL163" s="5" t="s">
        <v>255</v>
      </c>
      <c r="GM163" s="5" t="s">
        <v>255</v>
      </c>
      <c r="GN163" s="5" t="s">
        <v>256</v>
      </c>
      <c r="GO163" s="5" t="s">
        <v>256</v>
      </c>
      <c r="GP163" s="5" t="s">
        <v>256</v>
      </c>
      <c r="GQ163" s="5" t="s">
        <v>256</v>
      </c>
      <c r="GR163" s="5" t="s">
        <v>256</v>
      </c>
      <c r="GS163" s="5" t="s">
        <v>256</v>
      </c>
      <c r="GT163" s="5" t="s">
        <v>256</v>
      </c>
      <c r="GU163" s="5" t="s">
        <v>514</v>
      </c>
      <c r="GV163" s="5" t="str">
        <f>TEXT("6278912072172630905","0")</f>
        <v>6278912072172630000</v>
      </c>
    </row>
    <row r="164" spans="1:204" ht="15.75" customHeight="1" x14ac:dyDescent="0.15">
      <c r="A164" s="1">
        <f>ROW(A164)</f>
        <v>164</v>
      </c>
      <c r="B164" s="4">
        <v>45847.563587962963</v>
      </c>
      <c r="C164" s="5" t="s">
        <v>204</v>
      </c>
      <c r="D164" s="5" t="s">
        <v>206</v>
      </c>
      <c r="F164" s="5" t="s">
        <v>206</v>
      </c>
      <c r="G164" s="5" t="s">
        <v>206</v>
      </c>
      <c r="H164" s="5" t="s">
        <v>206</v>
      </c>
      <c r="J164" s="5" t="s">
        <v>209</v>
      </c>
      <c r="O164" s="5" t="s">
        <v>209</v>
      </c>
      <c r="T164" s="5" t="s">
        <v>209</v>
      </c>
      <c r="Y164" s="5" t="s">
        <v>209</v>
      </c>
      <c r="AD164" s="5" t="s">
        <v>209</v>
      </c>
      <c r="AH164" s="5" t="s">
        <v>268</v>
      </c>
      <c r="AI164" s="5">
        <v>2019</v>
      </c>
      <c r="AJ164" s="5" t="s">
        <v>238</v>
      </c>
      <c r="AK164" s="5" t="str">
        <f>IF(OR(AJ164="Empleada del sector privado",AJ164="Empleada del sector público"),"Asalariada",
IF(AJ164="Trabajadora por cuenta propia","Trabajadora por cuenta propia",""))</f>
        <v>Trabajadora por cuenta propia</v>
      </c>
      <c r="AN164" s="5" t="s">
        <v>288</v>
      </c>
      <c r="AP164" s="5" t="s">
        <v>297</v>
      </c>
      <c r="AR164" s="5" t="s">
        <v>301</v>
      </c>
      <c r="AS164" s="5" t="s">
        <v>301</v>
      </c>
      <c r="AT164" s="5" t="s">
        <v>301</v>
      </c>
      <c r="AU164" s="5" t="s">
        <v>301</v>
      </c>
      <c r="AV164" s="5" t="s">
        <v>277</v>
      </c>
      <c r="AW164" s="5" t="s">
        <v>204</v>
      </c>
      <c r="AX164" s="5" t="s">
        <v>204</v>
      </c>
      <c r="AY164" s="5" t="s">
        <v>270</v>
      </c>
      <c r="AZ164" s="5" t="s">
        <v>204</v>
      </c>
      <c r="BA164" s="5" t="s">
        <v>348</v>
      </c>
      <c r="BF164" s="5" t="s">
        <v>204</v>
      </c>
      <c r="BG164" s="5" t="s">
        <v>242</v>
      </c>
      <c r="BH164" s="5" t="s">
        <v>242</v>
      </c>
      <c r="BI164" s="5" t="s">
        <v>242</v>
      </c>
      <c r="BJ164" s="5" t="s">
        <v>242</v>
      </c>
      <c r="BK164" s="5" t="s">
        <v>216</v>
      </c>
      <c r="BL164" s="5" t="s">
        <v>216</v>
      </c>
      <c r="BM164" s="5" t="s">
        <v>216</v>
      </c>
      <c r="BN164" s="5" t="s">
        <v>216</v>
      </c>
      <c r="BO164" s="5" t="s">
        <v>216</v>
      </c>
      <c r="BP164" s="5" t="s">
        <v>216</v>
      </c>
      <c r="BQ164" s="5" t="s">
        <v>216</v>
      </c>
      <c r="BR164" s="5" t="s">
        <v>216</v>
      </c>
      <c r="BS164" s="5" t="s">
        <v>248</v>
      </c>
      <c r="BT164" s="5" t="s">
        <v>248</v>
      </c>
      <c r="BU164" s="5" t="s">
        <v>217</v>
      </c>
      <c r="BV164" s="5" t="s">
        <v>248</v>
      </c>
      <c r="BW164" s="5" t="s">
        <v>217</v>
      </c>
      <c r="BX164" s="5" t="s">
        <v>248</v>
      </c>
      <c r="BY164" s="5" t="s">
        <v>248</v>
      </c>
      <c r="BZ164" s="5" t="s">
        <v>216</v>
      </c>
      <c r="CA164" s="5" t="s">
        <v>216</v>
      </c>
      <c r="CB164" s="5" t="s">
        <v>216</v>
      </c>
      <c r="CC164" s="5" t="s">
        <v>244</v>
      </c>
      <c r="CD164" s="5" t="s">
        <v>204</v>
      </c>
      <c r="CE164" s="5" t="s">
        <v>286</v>
      </c>
      <c r="CF164" s="5" t="s">
        <v>279</v>
      </c>
      <c r="CG164" s="5" t="s">
        <v>206</v>
      </c>
      <c r="CH164" s="5" t="s">
        <v>331</v>
      </c>
      <c r="CI164" s="5" t="s">
        <v>291</v>
      </c>
      <c r="CJ164" s="5">
        <v>1</v>
      </c>
      <c r="CK164" s="5" t="s">
        <v>223</v>
      </c>
      <c r="CU164" s="5" t="s">
        <v>206</v>
      </c>
      <c r="DA164" s="5" t="s">
        <v>272</v>
      </c>
      <c r="DB164" s="5">
        <f>IF(DA164="Mejor que lo habitual",1,
IF(DA164="Igual que lo habitual",2,
IF(DA164="Menos que lo habitual",3,
IF(DA164="Mucho menos que lo habitual",4,""))))</f>
        <v>1</v>
      </c>
      <c r="DC164" s="5" t="s">
        <v>230</v>
      </c>
      <c r="DD164" s="5">
        <f>IF(DC164="No, en absoluto",1,
IF(DC164="No más que lo habitual",2,
IF(DC164="Bastante más que lo habitual",3,
IF(DC164="Mucho más que lo habitual",4,""))))</f>
        <v>2</v>
      </c>
      <c r="DE164" s="5" t="s">
        <v>230</v>
      </c>
      <c r="DF164" s="5">
        <f>IF(DE164="No, en absoluto",1,
IF(DE164="No más que lo habitual",2,
IF(DE164="Bastante más que lo habitual",3,
IF(DE164="Mucho más que lo habitual",4,""))))</f>
        <v>2</v>
      </c>
      <c r="DG164" s="5" t="s">
        <v>251</v>
      </c>
      <c r="DH164" s="5">
        <f>IF(DG164="No, en absoluto",1,
IF(DG164="No más que lo habitual",2,
IF(DG164="Bastante más que lo habitual",3,
IF(DG164="Mucho más que lo habitual",4,""))))</f>
        <v>1</v>
      </c>
      <c r="DI164" s="5" t="s">
        <v>251</v>
      </c>
      <c r="DJ164" s="5">
        <f>IF(DI164="No, en absoluto",1,
IF(DI164="No más que lo habitual",2,
IF(DI164="Bastante más que lo habitual",3,
IF(DI164="Mucho más que lo habitual",4,""))))</f>
        <v>1</v>
      </c>
      <c r="DK164" s="5" t="s">
        <v>251</v>
      </c>
      <c r="DL164" s="5">
        <f>IF(DK164="No, en absoluto",1,
IF(DK164="No más que lo habitual",2,
IF(DK164="Bastante más que lo habitual",3,
IF(DK164="Mucho más que lo habitual",4,""))))</f>
        <v>1</v>
      </c>
      <c r="DM164" s="5" t="s">
        <v>251</v>
      </c>
      <c r="DN164" s="5">
        <f>IF(DM164="No, en absoluto",1,
IF(DM164="No más que lo habitual",2,
IF(DM164="Bastante más que lo habitual",3,
IF(DM164="Mucho más que lo habitual",4,""))))</f>
        <v>1</v>
      </c>
      <c r="DO164" s="5" t="s">
        <v>231</v>
      </c>
      <c r="DP164" s="5">
        <f>IF(DO164="Más que lo habitual",1,
IF(DO164="Igual que lo habitual",2,
IF(DO164="Menos que lo habitual",3,
IF(DO164="Mucho menos que lo habitual",4,""))))</f>
        <v>2</v>
      </c>
      <c r="DQ164" s="5" t="s">
        <v>231</v>
      </c>
      <c r="DR164" s="5">
        <f>IF(DQ164="Más que lo habitual",1,
IF(DQ164="Igual que lo habitual",2,
IF(DQ164="Menos que lo habitual",3,
IF(DQ164="Mucho menos que lo habitual",4,""))))</f>
        <v>2</v>
      </c>
      <c r="DS164" s="5" t="s">
        <v>231</v>
      </c>
      <c r="DT164" s="5">
        <f>IF(DS164="Más que lo habitual",1,
IF(DS164="Igual que lo habitual",2,
IF(DS164="Menos que lo habitual",3,
IF(DS164="Mucho menos que lo habitual",4,""))))</f>
        <v>2</v>
      </c>
      <c r="DU164" s="5" t="s">
        <v>231</v>
      </c>
      <c r="DV164" s="5">
        <f>IF(DU164="Más que lo habitual",1,
IF(DU164="Igual que lo habitual",2,
IF(DU164="Menos que lo habitual",3,
IF(DU164="Mucho menos que lo habitual",4,""))))</f>
        <v>2</v>
      </c>
      <c r="DW164" s="5" t="s">
        <v>231</v>
      </c>
      <c r="DX164" s="5">
        <f>IF(DW164="Más que lo habitual",1,
IF(DW164="Igual que lo habitual",2,
IF(DW164="Menos que lo habitual",3,
IF(DW164="Mucho menos que lo habitual",4,""))))</f>
        <v>2</v>
      </c>
      <c r="DY164" s="5">
        <f>SUM(DB164,DD164,DF164,DH164,DJ164,DL164,DN164,DP164,DR164,DT164,DV164,DX164)</f>
        <v>19</v>
      </c>
      <c r="DZ164" s="5" t="str">
        <f>IF(DY164&lt;=18,"Nivel de riesgo bajo",
IF(DY164&lt;=23,"Nivel de riesgo medio",
"Nivel de riesgo alto"))</f>
        <v>Nivel de riesgo medio</v>
      </c>
      <c r="EA164" s="5" t="s">
        <v>253</v>
      </c>
      <c r="EB164" s="5">
        <f>IF(EA164="Nunca/ casi nunca",0,
IF(EA164="Rara vez",1,
IF(EA164="A veces",2,
IF(EA164="A menudo",3,
IF(EA164="Siempre",4,"")))))</f>
        <v>0</v>
      </c>
      <c r="EC164" s="5" t="s">
        <v>253</v>
      </c>
      <c r="ED164" s="5">
        <f>IF(EC164="Nunca/ casi nunca",0,
IF(EC164="Rara vez",1,
IF(EC164="A veces",2,
IF(EC164="A menudo",3,
IF(EC164="Siempre",4,"")))))</f>
        <v>0</v>
      </c>
      <c r="EE164" s="5" t="s">
        <v>253</v>
      </c>
      <c r="EF164" s="5">
        <f>IF(EE164="Nunca/ casi nunca",0,
IF(EE164="Rara vez",1,
IF(EE164="A veces",2,
IF(EE164="A menudo",3,
IF(EE164="Siempre",4,"")))))</f>
        <v>0</v>
      </c>
      <c r="EG164" s="5">
        <f>SUM(EB164,ED164,EF164)</f>
        <v>0</v>
      </c>
      <c r="EH164" s="5" t="str">
        <f>IF(EG164&lt;=1,"Nivel de riesgo bajo",
IF(EG164&lt;=4,"Nivel de riesgo medio",
"Nivel de riesgo alto"))</f>
        <v>Nivel de riesgo bajo</v>
      </c>
      <c r="EI164" s="5" t="s">
        <v>253</v>
      </c>
      <c r="EJ164" s="5">
        <f>IF(EI164="Nunca/ casi nunca",0,
IF(EI164="Rara vez",1,
IF(EI164="A veces",2,
IF(EI164="A menudo",3,
IF(EI164="Siempre",4,"")))))</f>
        <v>0</v>
      </c>
      <c r="EK164" s="5" t="s">
        <v>253</v>
      </c>
      <c r="EL164" s="5">
        <f>IF(EK164="Nunca/ casi nunca",0,
IF(EK164="Rara vez",1,
IF(EK164="A veces",2,
IF(EK164="A menudo",3,
IF(EK164="Siempre",4,"")))))</f>
        <v>0</v>
      </c>
      <c r="EM164" s="5" t="s">
        <v>253</v>
      </c>
      <c r="EN164" s="5">
        <f>IF(EM164="Nunca/ casi nunca",0,
IF(EM164="Rara vez",1,
IF(EM164="A veces",2,
IF(EM164="A menudo",3,
IF(EM164="Siempre",4,"")))))</f>
        <v>0</v>
      </c>
      <c r="EO164" s="5">
        <f>SUM(EJ164,EL164,EN164)</f>
        <v>0</v>
      </c>
      <c r="EP164" s="5" t="str">
        <f>IF(EO164&lt;=1,"Nivel de riesgo bajo",
IF(EO164&lt;=5,"Nivel de riesgo medio",
"Nivel de riesgo alto"))</f>
        <v>Nivel de riesgo bajo</v>
      </c>
      <c r="EQ164" s="5" t="s">
        <v>254</v>
      </c>
      <c r="ER164" s="5">
        <f>IF(EQ164="Nunca/ casi nunca",4,
IF(EQ164="Rara vez",3,
IF(EQ164="A veces",2,
IF(EQ164="A menudo",1,
IF(EQ164="Siempre",0,"")))))</f>
        <v>0</v>
      </c>
      <c r="ES164" s="5" t="s">
        <v>254</v>
      </c>
      <c r="ET164" s="5">
        <f>IF(ES164="Nunca/ casi nunca",4,
IF(ES164="Rara vez",3,
IF(ES164="A veces",2,
IF(ES164="A menudo",1,
IF(ES164="Siempre",0,"")))))</f>
        <v>0</v>
      </c>
      <c r="EU164" s="5" t="s">
        <v>254</v>
      </c>
      <c r="EV164" s="5">
        <f>IF(EU164="Nunca/ casi nunca",4,
IF(EU164="Rara vez",3,
IF(EU164="A veces",2,
IF(EU164="A menudo",1,
IF(EU164="Siempre",0,"")))))</f>
        <v>0</v>
      </c>
      <c r="EW164" s="5" t="s">
        <v>254</v>
      </c>
      <c r="EX164" s="5">
        <f>IF(EW164="Nunca/ casi nunca",4,
IF(EW164="Rara vez",3,
IF(EW164="A veces",2,
IF(EW164="A menudo",1,
IF(EW164="Siempre",0,"")))))</f>
        <v>0</v>
      </c>
      <c r="EY164" s="5">
        <f>SUM(ER164,ET164,EV164,EX164)</f>
        <v>0</v>
      </c>
      <c r="EZ164" s="5" t="str">
        <f>IF(EY164&lt;=0,"Nivel de riesgo bajo",
IF(EY164&lt;=4,"Nivel de riesgo medio",
"Nivel de riesgo alto"))</f>
        <v>Nivel de riesgo bajo</v>
      </c>
      <c r="FA164" s="5" t="s">
        <v>253</v>
      </c>
      <c r="FB164" s="5">
        <f>IF(FA164="Nunca/ casi nunca",0,
IF(FA164="Rara vez",1,
IF(FA164="A veces",2,
IF(FA164="A menudo",3,
IF(FA164="Siempre",4,"")))))</f>
        <v>0</v>
      </c>
      <c r="FC164" s="5" t="s">
        <v>253</v>
      </c>
      <c r="FD164" s="5">
        <f>IF(FC164="Nunca/ casi nunca",0,
IF(FC164="Rara vez",1,
IF(FC164="A veces",2,
IF(FC164="A menudo",3,
IF(FC164="Siempre",4,"")))))</f>
        <v>0</v>
      </c>
      <c r="FE164" s="5" t="s">
        <v>253</v>
      </c>
      <c r="FF164" s="5">
        <f>IF(FE164="Nunca/ casi nunca",0,
IF(FE164="Rara vez",1,
IF(FE164="A veces",2,
IF(FE164="A menudo",3,
IF(FE164="Siempre",4,"")))))</f>
        <v>0</v>
      </c>
      <c r="FG164" s="5">
        <f>SUM(FB164,FD164,FF164)</f>
        <v>0</v>
      </c>
      <c r="FH164" s="5" t="str">
        <f>IF(FG164&lt;=2,"Nivel de riesgo bajo",
IF(FG164&lt;=5,"Nivel de riesgo medio",
"Nivel de riesgo alto"))</f>
        <v>Nivel de riesgo bajo</v>
      </c>
      <c r="FI164" s="5" t="s">
        <v>248</v>
      </c>
      <c r="FJ164" s="5">
        <f>IF(FI164="Nunca/ casi nunca",0,
IF(FI164="Rara vez",1,
IF(FI164="A veces",2,
IF(FI164="A menudo",3,
IF(FI164="Siempre",4,"")))))</f>
        <v>1</v>
      </c>
      <c r="FK164" s="5" t="s">
        <v>253</v>
      </c>
      <c r="FL164" s="5">
        <f>IF(FK164="Nunca/ casi nunca",0,
IF(FK164="Rara vez",1,
IF(FK164="A veces",2,
IF(FK164="A menudo",3,
IF(FK164="Siempre",4,"")))))</f>
        <v>0</v>
      </c>
      <c r="FM164" s="5" t="s">
        <v>248</v>
      </c>
      <c r="FN164" s="5">
        <f>IF(FM164="Nunca/ casi nunca",0,
IF(FM164="Rara vez",1,
IF(FM164="A veces",2,
IF(FM164="A menudo",3,
IF(FM164="Siempre",4,"")))))</f>
        <v>1</v>
      </c>
      <c r="FO164" s="5">
        <f>SUM(FJ164,FL164,FN164)</f>
        <v>2</v>
      </c>
      <c r="FP164" s="5" t="str">
        <f>IF(FO164&lt;=2,"Nivel de riesgo bajo",
IF(FO164&lt;=5,"Nivel de riesgo medio",
"Nivel de riesgo alto"))</f>
        <v>Nivel de riesgo bajo</v>
      </c>
      <c r="FQ164" s="5" t="s">
        <v>206</v>
      </c>
      <c r="FR164" s="5">
        <f>IF(FQ164="No",0,
IF(FQ164="Sí, unas pocas veces",1,
IF(FQ164="Sí, mensualmente",2,
IF(FQ164="Sí, semanalmente",3,
IF(FQ164="Sí, diariamente",4,"")))))</f>
        <v>0</v>
      </c>
      <c r="FS164" s="5" t="s">
        <v>206</v>
      </c>
      <c r="FT164" s="5">
        <f>IF(FS164="No",0,
IF(FS164="Sí, unas pocas veces",1,
IF(FS164="Sí, mensualmente",2,
IF(FS164="Sí, semanalmente",3,
IF(FS164="Sí, diariamente",4,"")))))</f>
        <v>0</v>
      </c>
      <c r="FU164" s="5" t="s">
        <v>206</v>
      </c>
      <c r="FV164" s="5">
        <f>IF(FU164="No",0,
IF(FU164="Sí, unas pocas veces",1,
IF(FU164="Sí, mensualmente",2,
IF(FU164="Sí, semanalmente",3,
IF(FU164="Sí, diariamente",4,"")))))</f>
        <v>0</v>
      </c>
      <c r="FW164" s="5" t="s">
        <v>206</v>
      </c>
      <c r="FX164" s="5">
        <f>IF(FW164="No",0,
IF(FW164="Sí, unas pocas veces",1,
IF(FW164="Sí, mensualmente",2,
IF(FW164="Sí, semanalmente",3,
IF(FW164="Sí, diariamente",4,"")))))</f>
        <v>0</v>
      </c>
      <c r="FY164" s="5" t="s">
        <v>206</v>
      </c>
      <c r="FZ164" s="5">
        <f>IF(FY164="No",0,
IF(FY164="Sí, unas pocas veces",1,
IF(FY164="Sí, mensualmente",2,
IF(FY164="Sí, semanalmente",3,
IF(FY164="Sí, diariamente",4,"")))))</f>
        <v>0</v>
      </c>
      <c r="GA164" s="5" t="s">
        <v>206</v>
      </c>
      <c r="GB164" s="5">
        <f>IF(GA164="No",0,
IF(GA164="Sí, unas pocas veces",1,
IF(GA164="Sí, mensualmente",2,
IF(GA164="Sí, semanalmente",3,
IF(GA164="Sí, diariamente",4,"")))))</f>
        <v>0</v>
      </c>
      <c r="GC164" s="5" t="s">
        <v>206</v>
      </c>
      <c r="GD164" s="5">
        <f>IF(GC164="No",0,
IF(GC164="Sí, unas pocas veces",1,
IF(GC164="Sí, mensualmente",2,
IF(GC164="Sí, semanalmente",3,
IF(GC164="Sí, diariamente",4,"")))))</f>
        <v>0</v>
      </c>
      <c r="GE164" s="5">
        <f>SUM(FR164,FT164,FV164,FX164,FZ164,GB164,GD164)</f>
        <v>0</v>
      </c>
      <c r="GF164" s="5" t="str">
        <f>IF(GE164&lt;=0,"Nivel de riesgo bajo",
IF(GE164&lt;=14,"Nivel de riesgo medio",
"Nivel de riesgo alto"))</f>
        <v>Nivel de riesgo bajo</v>
      </c>
      <c r="GG164" s="5" t="s">
        <v>255</v>
      </c>
      <c r="GH164" s="5" t="s">
        <v>255</v>
      </c>
      <c r="GI164" s="5" t="s">
        <v>255</v>
      </c>
      <c r="GJ164" s="5" t="s">
        <v>255</v>
      </c>
      <c r="GK164" s="5" t="s">
        <v>233</v>
      </c>
      <c r="GL164" s="5" t="s">
        <v>233</v>
      </c>
      <c r="GM164" s="5" t="s">
        <v>233</v>
      </c>
      <c r="GN164" s="5" t="s">
        <v>244</v>
      </c>
      <c r="GO164" s="5" t="s">
        <v>234</v>
      </c>
      <c r="GP164" s="5" t="s">
        <v>234</v>
      </c>
      <c r="GQ164" s="5" t="s">
        <v>234</v>
      </c>
      <c r="GR164" s="5" t="s">
        <v>234</v>
      </c>
      <c r="GS164" s="5" t="s">
        <v>234</v>
      </c>
      <c r="GT164" s="5" t="s">
        <v>256</v>
      </c>
      <c r="GU164" s="5" t="s">
        <v>515</v>
      </c>
      <c r="GV164" s="5" t="str">
        <f>TEXT("6278914940417780964","0")</f>
        <v>6278914940417780000</v>
      </c>
    </row>
    <row r="165" spans="1:204" ht="15.75" customHeight="1" x14ac:dyDescent="0.15">
      <c r="A165" s="1">
        <f>ROW(A165)</f>
        <v>165</v>
      </c>
      <c r="B165" s="4">
        <v>45847.564456018517</v>
      </c>
      <c r="C165" s="5" t="s">
        <v>204</v>
      </c>
      <c r="D165" s="5" t="s">
        <v>206</v>
      </c>
      <c r="F165" s="5" t="s">
        <v>206</v>
      </c>
      <c r="G165" s="5" t="s">
        <v>206</v>
      </c>
      <c r="H165" s="5" t="s">
        <v>206</v>
      </c>
      <c r="J165" s="5" t="s">
        <v>209</v>
      </c>
      <c r="O165" s="5" t="s">
        <v>209</v>
      </c>
      <c r="T165" s="5" t="s">
        <v>209</v>
      </c>
      <c r="Y165" s="5" t="s">
        <v>209</v>
      </c>
      <c r="AE165" s="5" t="s">
        <v>237</v>
      </c>
      <c r="AH165" s="5" t="s">
        <v>275</v>
      </c>
      <c r="AI165" s="5">
        <v>2005</v>
      </c>
      <c r="AJ165" s="5" t="s">
        <v>330</v>
      </c>
      <c r="AK165" s="5" t="str">
        <f>IF(OR(AJ165="Empleada del sector privado",AJ165="Empleada del sector público"),"Asalariada",
IF(AJ165="Trabajadora por cuenta propia","Trabajadora por cuenta propia",""))</f>
        <v>Asalariada</v>
      </c>
      <c r="AQ165" s="5" t="s">
        <v>204</v>
      </c>
      <c r="AR165" s="5" t="s">
        <v>261</v>
      </c>
      <c r="AS165" s="5" t="s">
        <v>261</v>
      </c>
      <c r="AT165" s="5" t="s">
        <v>241</v>
      </c>
      <c r="AU165" s="5" t="s">
        <v>261</v>
      </c>
      <c r="AV165" s="5" t="s">
        <v>213</v>
      </c>
      <c r="AW165" s="5" t="s">
        <v>204</v>
      </c>
      <c r="AX165" s="5" t="s">
        <v>206</v>
      </c>
      <c r="BF165" s="5" t="s">
        <v>204</v>
      </c>
      <c r="BG165" s="5" t="s">
        <v>242</v>
      </c>
      <c r="BH165" s="5" t="s">
        <v>242</v>
      </c>
      <c r="BI165" s="5" t="s">
        <v>215</v>
      </c>
      <c r="BJ165" s="5" t="s">
        <v>215</v>
      </c>
      <c r="BK165" s="5" t="s">
        <v>243</v>
      </c>
      <c r="BL165" s="5" t="s">
        <v>244</v>
      </c>
      <c r="BM165" s="5" t="s">
        <v>244</v>
      </c>
      <c r="BN165" s="5" t="s">
        <v>246</v>
      </c>
      <c r="BO165" s="5" t="s">
        <v>246</v>
      </c>
      <c r="BP165" s="5" t="s">
        <v>246</v>
      </c>
      <c r="BQ165" s="5" t="s">
        <v>244</v>
      </c>
      <c r="BR165" s="5" t="s">
        <v>244</v>
      </c>
      <c r="BS165" s="5" t="s">
        <v>232</v>
      </c>
      <c r="BT165" s="5" t="s">
        <v>247</v>
      </c>
      <c r="BU165" s="5" t="s">
        <v>217</v>
      </c>
      <c r="BV165" s="5" t="s">
        <v>217</v>
      </c>
      <c r="BW165" s="5" t="s">
        <v>247</v>
      </c>
      <c r="BX165" s="5" t="s">
        <v>232</v>
      </c>
      <c r="BY165" s="5" t="s">
        <v>217</v>
      </c>
      <c r="BZ165" s="5" t="s">
        <v>216</v>
      </c>
      <c r="CA165" s="5" t="s">
        <v>246</v>
      </c>
      <c r="CB165" s="5" t="s">
        <v>246</v>
      </c>
      <c r="CC165" s="5" t="s">
        <v>246</v>
      </c>
      <c r="CD165" s="5" t="s">
        <v>206</v>
      </c>
      <c r="CH165" s="5" t="s">
        <v>221</v>
      </c>
      <c r="CI165" s="5" t="s">
        <v>307</v>
      </c>
      <c r="CJ165" s="5">
        <v>1</v>
      </c>
      <c r="CK165" s="5" t="s">
        <v>223</v>
      </c>
      <c r="CU165" s="5" t="s">
        <v>206</v>
      </c>
      <c r="DA165" s="5" t="s">
        <v>272</v>
      </c>
      <c r="DB165" s="5">
        <f>IF(DA165="Mejor que lo habitual",1,
IF(DA165="Igual que lo habitual",2,
IF(DA165="Menos que lo habitual",3,
IF(DA165="Mucho menos que lo habitual",4,""))))</f>
        <v>1</v>
      </c>
      <c r="DC165" s="5" t="s">
        <v>230</v>
      </c>
      <c r="DD165" s="5">
        <f>IF(DC165="No, en absoluto",1,
IF(DC165="No más que lo habitual",2,
IF(DC165="Bastante más que lo habitual",3,
IF(DC165="Mucho más que lo habitual",4,""))))</f>
        <v>2</v>
      </c>
      <c r="DE165" s="5" t="s">
        <v>230</v>
      </c>
      <c r="DF165" s="5">
        <f>IF(DE165="No, en absoluto",1,
IF(DE165="No más que lo habitual",2,
IF(DE165="Bastante más que lo habitual",3,
IF(DE165="Mucho más que lo habitual",4,""))))</f>
        <v>2</v>
      </c>
      <c r="DG165" s="5" t="s">
        <v>230</v>
      </c>
      <c r="DH165" s="5">
        <f>IF(DG165="No, en absoluto",1,
IF(DG165="No más que lo habitual",2,
IF(DG165="Bastante más que lo habitual",3,
IF(DG165="Mucho más que lo habitual",4,""))))</f>
        <v>2</v>
      </c>
      <c r="DI165" s="5" t="s">
        <v>251</v>
      </c>
      <c r="DJ165" s="5">
        <f>IF(DI165="No, en absoluto",1,
IF(DI165="No más que lo habitual",2,
IF(DI165="Bastante más que lo habitual",3,
IF(DI165="Mucho más que lo habitual",4,""))))</f>
        <v>1</v>
      </c>
      <c r="DK165" s="5" t="s">
        <v>251</v>
      </c>
      <c r="DL165" s="5">
        <f>IF(DK165="No, en absoluto",1,
IF(DK165="No más que lo habitual",2,
IF(DK165="Bastante más que lo habitual",3,
IF(DK165="Mucho más que lo habitual",4,""))))</f>
        <v>1</v>
      </c>
      <c r="DM165" s="5" t="s">
        <v>251</v>
      </c>
      <c r="DN165" s="5">
        <f>IF(DM165="No, en absoluto",1,
IF(DM165="No más que lo habitual",2,
IF(DM165="Bastante más que lo habitual",3,
IF(DM165="Mucho más que lo habitual",4,""))))</f>
        <v>1</v>
      </c>
      <c r="DO165" s="5" t="s">
        <v>252</v>
      </c>
      <c r="DP165" s="5">
        <f>IF(DO165="Más que lo habitual",1,
IF(DO165="Igual que lo habitual",2,
IF(DO165="Menos que lo habitual",3,
IF(DO165="Mucho menos que lo habitual",4,""))))</f>
        <v>3</v>
      </c>
      <c r="DQ165" s="5" t="s">
        <v>252</v>
      </c>
      <c r="DR165" s="5">
        <f>IF(DQ165="Más que lo habitual",1,
IF(DQ165="Igual que lo habitual",2,
IF(DQ165="Menos que lo habitual",3,
IF(DQ165="Mucho menos que lo habitual",4,""))))</f>
        <v>3</v>
      </c>
      <c r="DS165" s="5" t="s">
        <v>229</v>
      </c>
      <c r="DT165" s="5">
        <f>IF(DS165="Más que lo habitual",1,
IF(DS165="Igual que lo habitual",2,
IF(DS165="Menos que lo habitual",3,
IF(DS165="Mucho menos que lo habitual",4,""))))</f>
        <v>4</v>
      </c>
      <c r="DU165" s="5" t="s">
        <v>281</v>
      </c>
      <c r="DV165" s="5">
        <f>IF(DU165="Más que lo habitual",1,
IF(DU165="Igual que lo habitual",2,
IF(DU165="Menos que lo habitual",3,
IF(DU165="Mucho menos que lo habitual",4,""))))</f>
        <v>1</v>
      </c>
      <c r="DW165" s="5" t="s">
        <v>281</v>
      </c>
      <c r="DX165" s="5">
        <f>IF(DW165="Más que lo habitual",1,
IF(DW165="Igual que lo habitual",2,
IF(DW165="Menos que lo habitual",3,
IF(DW165="Mucho menos que lo habitual",4,""))))</f>
        <v>1</v>
      </c>
      <c r="DY165" s="5">
        <f>SUM(DB165,DD165,DF165,DH165,DJ165,DL165,DN165,DP165,DR165,DT165,DV165,DX165)</f>
        <v>22</v>
      </c>
      <c r="DZ165" s="5" t="str">
        <f>IF(DY165&lt;=18,"Nivel de riesgo bajo",
IF(DY165&lt;=23,"Nivel de riesgo medio",
"Nivel de riesgo alto"))</f>
        <v>Nivel de riesgo medio</v>
      </c>
      <c r="EA165" s="5" t="s">
        <v>254</v>
      </c>
      <c r="EB165" s="5">
        <f>IF(EA165="Nunca/ casi nunca",0,
IF(EA165="Rara vez",1,
IF(EA165="A veces",2,
IF(EA165="A menudo",3,
IF(EA165="Siempre",4,"")))))</f>
        <v>4</v>
      </c>
      <c r="EC165" s="5" t="s">
        <v>247</v>
      </c>
      <c r="ED165" s="5">
        <f>IF(EC165="Nunca/ casi nunca",0,
IF(EC165="Rara vez",1,
IF(EC165="A veces",2,
IF(EC165="A menudo",3,
IF(EC165="Siempre",4,"")))))</f>
        <v>2</v>
      </c>
      <c r="EE165" s="5" t="s">
        <v>248</v>
      </c>
      <c r="EF165" s="5">
        <f>IF(EE165="Nunca/ casi nunca",0,
IF(EE165="Rara vez",1,
IF(EE165="A veces",2,
IF(EE165="A menudo",3,
IF(EE165="Siempre",4,"")))))</f>
        <v>1</v>
      </c>
      <c r="EG165" s="5">
        <f>SUM(EB165,ED165,EF165)</f>
        <v>7</v>
      </c>
      <c r="EH165" s="5" t="str">
        <f>IF(EG165&lt;=1,"Nivel de riesgo bajo",
IF(EG165&lt;=4,"Nivel de riesgo medio",
"Nivel de riesgo alto"))</f>
        <v>Nivel de riesgo alto</v>
      </c>
      <c r="EI165" s="5" t="s">
        <v>248</v>
      </c>
      <c r="EJ165" s="5">
        <f>IF(EI165="Nunca/ casi nunca",0,
IF(EI165="Rara vez",1,
IF(EI165="A veces",2,
IF(EI165="A menudo",3,
IF(EI165="Siempre",4,"")))))</f>
        <v>1</v>
      </c>
      <c r="EK165" s="5" t="s">
        <v>253</v>
      </c>
      <c r="EL165" s="5">
        <f>IF(EK165="Nunca/ casi nunca",0,
IF(EK165="Rara vez",1,
IF(EK165="A veces",2,
IF(EK165="A menudo",3,
IF(EK165="Siempre",4,"")))))</f>
        <v>0</v>
      </c>
      <c r="EM165" s="5" t="s">
        <v>253</v>
      </c>
      <c r="EN165" s="5">
        <f>IF(EM165="Nunca/ casi nunca",0,
IF(EM165="Rara vez",1,
IF(EM165="A veces",2,
IF(EM165="A menudo",3,
IF(EM165="Siempre",4,"")))))</f>
        <v>0</v>
      </c>
      <c r="EO165" s="5">
        <f>SUM(EJ165,EL165,EN165)</f>
        <v>1</v>
      </c>
      <c r="EP165" s="5" t="str">
        <f>IF(EO165&lt;=1,"Nivel de riesgo bajo",
IF(EO165&lt;=5,"Nivel de riesgo medio",
"Nivel de riesgo alto"))</f>
        <v>Nivel de riesgo bajo</v>
      </c>
      <c r="EQ165" s="5" t="s">
        <v>253</v>
      </c>
      <c r="ER165" s="5">
        <f>IF(EQ165="Nunca/ casi nunca",4,
IF(EQ165="Rara vez",3,
IF(EQ165="A veces",2,
IF(EQ165="A menudo",1,
IF(EQ165="Siempre",0,"")))))</f>
        <v>4</v>
      </c>
      <c r="ES165" s="5" t="s">
        <v>253</v>
      </c>
      <c r="ET165" s="5">
        <f>IF(ES165="Nunca/ casi nunca",4,
IF(ES165="Rara vez",3,
IF(ES165="A veces",2,
IF(ES165="A menudo",1,
IF(ES165="Siempre",0,"")))))</f>
        <v>4</v>
      </c>
      <c r="EU165" s="5" t="s">
        <v>254</v>
      </c>
      <c r="EV165" s="5">
        <f>IF(EU165="Nunca/ casi nunca",4,
IF(EU165="Rara vez",3,
IF(EU165="A veces",2,
IF(EU165="A menudo",1,
IF(EU165="Siempre",0,"")))))</f>
        <v>0</v>
      </c>
      <c r="EW165" s="5" t="s">
        <v>254</v>
      </c>
      <c r="EX165" s="5">
        <f>IF(EW165="Nunca/ casi nunca",4,
IF(EW165="Rara vez",3,
IF(EW165="A veces",2,
IF(EW165="A menudo",1,
IF(EW165="Siempre",0,"")))))</f>
        <v>0</v>
      </c>
      <c r="EY165" s="5">
        <f>SUM(ER165,ET165,EV165,EX165)</f>
        <v>8</v>
      </c>
      <c r="EZ165" s="5" t="str">
        <f>IF(EY165&lt;=0,"Nivel de riesgo bajo",
IF(EY165&lt;=4,"Nivel de riesgo medio",
"Nivel de riesgo alto"))</f>
        <v>Nivel de riesgo alto</v>
      </c>
      <c r="FA165" s="5" t="s">
        <v>254</v>
      </c>
      <c r="FB165" s="5">
        <f>IF(FA165="Nunca/ casi nunca",0,
IF(FA165="Rara vez",1,
IF(FA165="A veces",2,
IF(FA165="A menudo",3,
IF(FA165="Siempre",4,"")))))</f>
        <v>4</v>
      </c>
      <c r="FC165" s="5" t="s">
        <v>254</v>
      </c>
      <c r="FD165" s="5">
        <f>IF(FC165="Nunca/ casi nunca",0,
IF(FC165="Rara vez",1,
IF(FC165="A veces",2,
IF(FC165="A menudo",3,
IF(FC165="Siempre",4,"")))))</f>
        <v>4</v>
      </c>
      <c r="FE165" s="5" t="s">
        <v>254</v>
      </c>
      <c r="FF165" s="5">
        <f>IF(FE165="Nunca/ casi nunca",0,
IF(FE165="Rara vez",1,
IF(FE165="A veces",2,
IF(FE165="A menudo",3,
IF(FE165="Siempre",4,"")))))</f>
        <v>4</v>
      </c>
      <c r="FG165" s="5">
        <f>SUM(FB165,FD165,FF165)</f>
        <v>12</v>
      </c>
      <c r="FH165" s="5" t="str">
        <f>IF(FG165&lt;=2,"Nivel de riesgo bajo",
IF(FG165&lt;=5,"Nivel de riesgo medio",
"Nivel de riesgo alto"))</f>
        <v>Nivel de riesgo alto</v>
      </c>
      <c r="FI165" s="5" t="s">
        <v>254</v>
      </c>
      <c r="FJ165" s="5">
        <f>IF(FI165="Nunca/ casi nunca",0,
IF(FI165="Rara vez",1,
IF(FI165="A veces",2,
IF(FI165="A menudo",3,
IF(FI165="Siempre",4,"")))))</f>
        <v>4</v>
      </c>
      <c r="FK165" s="5" t="s">
        <v>254</v>
      </c>
      <c r="FL165" s="5">
        <f>IF(FK165="Nunca/ casi nunca",0,
IF(FK165="Rara vez",1,
IF(FK165="A veces",2,
IF(FK165="A menudo",3,
IF(FK165="Siempre",4,"")))))</f>
        <v>4</v>
      </c>
      <c r="FM165" s="5" t="s">
        <v>254</v>
      </c>
      <c r="FN165" s="5">
        <f>IF(FM165="Nunca/ casi nunca",0,
IF(FM165="Rara vez",1,
IF(FM165="A veces",2,
IF(FM165="A menudo",3,
IF(FM165="Siempre",4,"")))))</f>
        <v>4</v>
      </c>
      <c r="FO165" s="5">
        <f>SUM(FJ165,FL165,FN165)</f>
        <v>12</v>
      </c>
      <c r="FP165" s="5" t="str">
        <f>IF(FO165&lt;=2,"Nivel de riesgo bajo",
IF(FO165&lt;=5,"Nivel de riesgo medio",
"Nivel de riesgo alto"))</f>
        <v>Nivel de riesgo alto</v>
      </c>
      <c r="FQ165" s="5" t="s">
        <v>206</v>
      </c>
      <c r="FR165" s="5">
        <f>IF(FQ165="No",0,
IF(FQ165="Sí, unas pocas veces",1,
IF(FQ165="Sí, mensualmente",2,
IF(FQ165="Sí, semanalmente",3,
IF(FQ165="Sí, diariamente",4,"")))))</f>
        <v>0</v>
      </c>
      <c r="FS165" s="5" t="s">
        <v>206</v>
      </c>
      <c r="FT165" s="5">
        <f>IF(FS165="No",0,
IF(FS165="Sí, unas pocas veces",1,
IF(FS165="Sí, mensualmente",2,
IF(FS165="Sí, semanalmente",3,
IF(FS165="Sí, diariamente",4,"")))))</f>
        <v>0</v>
      </c>
      <c r="FU165" s="5" t="s">
        <v>206</v>
      </c>
      <c r="FV165" s="5">
        <f>IF(FU165="No",0,
IF(FU165="Sí, unas pocas veces",1,
IF(FU165="Sí, mensualmente",2,
IF(FU165="Sí, semanalmente",3,
IF(FU165="Sí, diariamente",4,"")))))</f>
        <v>0</v>
      </c>
      <c r="FW165" s="5" t="s">
        <v>206</v>
      </c>
      <c r="FX165" s="5">
        <f>IF(FW165="No",0,
IF(FW165="Sí, unas pocas veces",1,
IF(FW165="Sí, mensualmente",2,
IF(FW165="Sí, semanalmente",3,
IF(FW165="Sí, diariamente",4,"")))))</f>
        <v>0</v>
      </c>
      <c r="FY165" s="5" t="s">
        <v>206</v>
      </c>
      <c r="FZ165" s="5">
        <f>IF(FY165="No",0,
IF(FY165="Sí, unas pocas veces",1,
IF(FY165="Sí, mensualmente",2,
IF(FY165="Sí, semanalmente",3,
IF(FY165="Sí, diariamente",4,"")))))</f>
        <v>0</v>
      </c>
      <c r="GA165" s="5" t="s">
        <v>206</v>
      </c>
      <c r="GB165" s="5">
        <f>IF(GA165="No",0,
IF(GA165="Sí, unas pocas veces",1,
IF(GA165="Sí, mensualmente",2,
IF(GA165="Sí, semanalmente",3,
IF(GA165="Sí, diariamente",4,"")))))</f>
        <v>0</v>
      </c>
      <c r="GC165" s="5" t="s">
        <v>206</v>
      </c>
      <c r="GD165" s="5">
        <f>IF(GC165="No",0,
IF(GC165="Sí, unas pocas veces",1,
IF(GC165="Sí, mensualmente",2,
IF(GC165="Sí, semanalmente",3,
IF(GC165="Sí, diariamente",4,"")))))</f>
        <v>0</v>
      </c>
      <c r="GE165" s="5">
        <f>SUM(FR165,FT165,FV165,FX165,FZ165,GB165,GD165)</f>
        <v>0</v>
      </c>
      <c r="GF165" s="5" t="str">
        <f>IF(GE165&lt;=0,"Nivel de riesgo bajo",
IF(GE165&lt;=14,"Nivel de riesgo medio",
"Nivel de riesgo alto"))</f>
        <v>Nivel de riesgo bajo</v>
      </c>
      <c r="GG165" s="5" t="s">
        <v>273</v>
      </c>
      <c r="GH165" s="5" t="s">
        <v>273</v>
      </c>
      <c r="GI165" s="5" t="s">
        <v>273</v>
      </c>
      <c r="GJ165" s="5" t="s">
        <v>273</v>
      </c>
      <c r="GK165" s="5" t="s">
        <v>273</v>
      </c>
      <c r="GL165" s="5" t="s">
        <v>273</v>
      </c>
      <c r="GM165" s="5" t="s">
        <v>273</v>
      </c>
      <c r="GN165" s="5" t="s">
        <v>234</v>
      </c>
      <c r="GO165" s="5" t="s">
        <v>234</v>
      </c>
      <c r="GP165" s="5" t="s">
        <v>234</v>
      </c>
      <c r="GQ165" s="5" t="s">
        <v>234</v>
      </c>
      <c r="GR165" s="5" t="s">
        <v>234</v>
      </c>
      <c r="GS165" s="5" t="s">
        <v>234</v>
      </c>
      <c r="GT165" s="5" t="s">
        <v>234</v>
      </c>
      <c r="GU165" s="5" t="s">
        <v>516</v>
      </c>
      <c r="GV165" s="5" t="str">
        <f>TEXT("6278915698823133296","0")</f>
        <v>6278915698823130000</v>
      </c>
    </row>
    <row r="166" spans="1:204" ht="15.75" hidden="1" customHeight="1" x14ac:dyDescent="0.15">
      <c r="B166" s="4">
        <v>45847.564768518518</v>
      </c>
      <c r="C166" s="5" t="s">
        <v>204</v>
      </c>
      <c r="D166" s="5" t="s">
        <v>206</v>
      </c>
      <c r="F166" s="5" t="s">
        <v>204</v>
      </c>
      <c r="G166" s="5" t="s">
        <v>204</v>
      </c>
      <c r="H166" s="5" t="s">
        <v>204</v>
      </c>
      <c r="I166" s="5" t="s">
        <v>208</v>
      </c>
      <c r="O166" s="5" t="s">
        <v>209</v>
      </c>
      <c r="T166" s="5" t="s">
        <v>209</v>
      </c>
      <c r="X166" s="5" t="s">
        <v>208</v>
      </c>
      <c r="AC166" s="5" t="s">
        <v>208</v>
      </c>
      <c r="AH166" s="5" t="s">
        <v>268</v>
      </c>
      <c r="AI166" s="5">
        <v>2022</v>
      </c>
      <c r="AJ166" s="5" t="s">
        <v>260</v>
      </c>
      <c r="AK166" s="5"/>
      <c r="AR166" s="5" t="s">
        <v>276</v>
      </c>
      <c r="AS166" s="5" t="s">
        <v>276</v>
      </c>
      <c r="AT166" s="5" t="s">
        <v>294</v>
      </c>
      <c r="AU166" s="5" t="s">
        <v>261</v>
      </c>
      <c r="AV166" s="5" t="s">
        <v>213</v>
      </c>
      <c r="AW166" s="5" t="s">
        <v>206</v>
      </c>
      <c r="BF166" s="5" t="s">
        <v>204</v>
      </c>
      <c r="BG166" s="5" t="s">
        <v>264</v>
      </c>
      <c r="BH166" s="5" t="s">
        <v>242</v>
      </c>
      <c r="BI166" s="5" t="s">
        <v>207</v>
      </c>
      <c r="BJ166" s="5" t="s">
        <v>271</v>
      </c>
      <c r="BK166" s="5" t="s">
        <v>246</v>
      </c>
      <c r="BL166" s="5" t="s">
        <v>243</v>
      </c>
      <c r="BM166" s="5" t="s">
        <v>246</v>
      </c>
      <c r="BN166" s="5" t="s">
        <v>244</v>
      </c>
      <c r="BO166" s="5" t="s">
        <v>244</v>
      </c>
      <c r="BP166" s="5" t="s">
        <v>244</v>
      </c>
      <c r="BQ166" s="5" t="s">
        <v>243</v>
      </c>
      <c r="BR166" s="5" t="s">
        <v>246</v>
      </c>
      <c r="BS166" s="5" t="s">
        <v>247</v>
      </c>
      <c r="BT166" s="5" t="s">
        <v>247</v>
      </c>
      <c r="BU166" s="5" t="s">
        <v>232</v>
      </c>
      <c r="BV166" s="5" t="s">
        <v>247</v>
      </c>
      <c r="BW166" s="5" t="s">
        <v>232</v>
      </c>
      <c r="BX166" s="5" t="s">
        <v>247</v>
      </c>
      <c r="BY166" s="5" t="s">
        <v>232</v>
      </c>
      <c r="CD166" s="5" t="s">
        <v>206</v>
      </c>
      <c r="CH166" s="5" t="s">
        <v>206</v>
      </c>
      <c r="CI166" s="5" t="s">
        <v>206</v>
      </c>
      <c r="CJ166" s="5">
        <v>0</v>
      </c>
      <c r="CK166" s="5" t="s">
        <v>223</v>
      </c>
      <c r="CU166" s="5" t="s">
        <v>206</v>
      </c>
      <c r="DA166" s="5" t="s">
        <v>229</v>
      </c>
      <c r="DB166" s="5"/>
      <c r="DC166" s="5" t="s">
        <v>280</v>
      </c>
      <c r="DD166" s="5"/>
      <c r="DE166" s="5" t="s">
        <v>280</v>
      </c>
      <c r="DF166" s="5"/>
      <c r="DG166" s="5" t="s">
        <v>280</v>
      </c>
      <c r="DH166" s="5"/>
      <c r="DI166" s="5" t="s">
        <v>280</v>
      </c>
      <c r="DJ166" s="5"/>
      <c r="DK166" s="5" t="s">
        <v>250</v>
      </c>
      <c r="DL166" s="5"/>
      <c r="DM166" s="5" t="s">
        <v>250</v>
      </c>
      <c r="DN166" s="5"/>
      <c r="DO166" s="5" t="s">
        <v>252</v>
      </c>
      <c r="DP166" s="5"/>
      <c r="DQ166" s="5" t="s">
        <v>231</v>
      </c>
      <c r="DR166" s="5"/>
      <c r="DS166" s="5" t="s">
        <v>252</v>
      </c>
      <c r="DT166" s="5"/>
      <c r="DU166" s="5" t="s">
        <v>252</v>
      </c>
      <c r="DV166" s="5"/>
      <c r="DW166" s="5" t="s">
        <v>229</v>
      </c>
      <c r="DX166" s="5"/>
      <c r="DY166" s="5"/>
      <c r="DZ166" s="5"/>
      <c r="EA166" s="5" t="s">
        <v>247</v>
      </c>
      <c r="EB166" s="5"/>
      <c r="EC166" s="5" t="s">
        <v>232</v>
      </c>
      <c r="ED166" s="5"/>
      <c r="EE166" s="5" t="s">
        <v>247</v>
      </c>
      <c r="EF166" s="5"/>
      <c r="EG166" s="5"/>
      <c r="EH166" s="5"/>
      <c r="EI166" s="5" t="s">
        <v>232</v>
      </c>
      <c r="EJ166" s="5"/>
      <c r="EK166" s="5" t="s">
        <v>248</v>
      </c>
      <c r="EL166" s="5"/>
      <c r="EM166" s="5" t="s">
        <v>247</v>
      </c>
      <c r="EN166" s="5"/>
      <c r="EO166" s="5"/>
      <c r="EP166" s="5"/>
      <c r="EQ166" s="5" t="s">
        <v>253</v>
      </c>
      <c r="ER166" s="5"/>
      <c r="ES166" s="5" t="s">
        <v>253</v>
      </c>
      <c r="ET166" s="5"/>
      <c r="EU166" s="5" t="s">
        <v>253</v>
      </c>
      <c r="EV166" s="5"/>
      <c r="EW166" s="5" t="s">
        <v>253</v>
      </c>
      <c r="EX166" s="5"/>
      <c r="EY166" s="5"/>
      <c r="EZ166" s="5"/>
      <c r="FA166" s="5" t="s">
        <v>253</v>
      </c>
      <c r="FB166" s="5"/>
      <c r="FC166" s="5" t="s">
        <v>248</v>
      </c>
      <c r="FD166" s="5"/>
      <c r="FE166" s="5" t="s">
        <v>248</v>
      </c>
      <c r="FF166" s="5"/>
      <c r="FG166" s="5"/>
      <c r="FH166" s="5"/>
      <c r="FI166" s="5" t="s">
        <v>247</v>
      </c>
      <c r="FJ166" s="5"/>
      <c r="FK166" s="5" t="s">
        <v>232</v>
      </c>
      <c r="FL166" s="5"/>
      <c r="FM166" s="5" t="s">
        <v>254</v>
      </c>
      <c r="FN166" s="5"/>
      <c r="FO166" s="5"/>
      <c r="FP166" s="5"/>
      <c r="FQ166" s="5" t="s">
        <v>265</v>
      </c>
      <c r="FR166" s="5"/>
      <c r="FS166" s="5" t="s">
        <v>206</v>
      </c>
      <c r="FT166" s="5"/>
      <c r="FU166" s="5" t="s">
        <v>206</v>
      </c>
      <c r="FV166" s="5"/>
      <c r="FW166" s="5" t="s">
        <v>206</v>
      </c>
      <c r="FX166" s="5"/>
      <c r="FY166" s="5" t="s">
        <v>206</v>
      </c>
      <c r="FZ166" s="5"/>
      <c r="GA166" s="5" t="s">
        <v>265</v>
      </c>
      <c r="GB166" s="5"/>
      <c r="GC166" s="5" t="s">
        <v>206</v>
      </c>
      <c r="GD166" s="5"/>
      <c r="GE166" s="5"/>
      <c r="GF166" s="5"/>
      <c r="GG166" s="5" t="s">
        <v>266</v>
      </c>
      <c r="GH166" s="5" t="s">
        <v>266</v>
      </c>
      <c r="GI166" s="5" t="s">
        <v>266</v>
      </c>
      <c r="GJ166" s="5" t="s">
        <v>273</v>
      </c>
      <c r="GK166" s="5" t="s">
        <v>233</v>
      </c>
      <c r="GL166" s="5" t="s">
        <v>233</v>
      </c>
      <c r="GM166" s="5" t="s">
        <v>298</v>
      </c>
      <c r="GN166" s="5" t="s">
        <v>257</v>
      </c>
      <c r="GO166" s="5" t="s">
        <v>257</v>
      </c>
      <c r="GP166" s="5" t="s">
        <v>257</v>
      </c>
      <c r="GQ166" s="5" t="s">
        <v>257</v>
      </c>
      <c r="GR166" s="5" t="s">
        <v>257</v>
      </c>
      <c r="GS166" s="5" t="s">
        <v>257</v>
      </c>
      <c r="GT166" s="5" t="s">
        <v>257</v>
      </c>
      <c r="GU166" s="5" t="s">
        <v>338</v>
      </c>
      <c r="GV166" s="5" t="str">
        <f>TEXT("6278915964517157904","0")</f>
        <v>6278915964517150000</v>
      </c>
    </row>
    <row r="167" spans="1:204" ht="15.75" customHeight="1" x14ac:dyDescent="0.15">
      <c r="A167" s="1">
        <f t="shared" ref="A167:A183" si="408">ROW(A167)</f>
        <v>167</v>
      </c>
      <c r="B167" s="4">
        <v>45847.566192129627</v>
      </c>
      <c r="C167" s="5" t="s">
        <v>204</v>
      </c>
      <c r="D167" s="5" t="s">
        <v>204</v>
      </c>
      <c r="E167" s="5" t="s">
        <v>495</v>
      </c>
      <c r="F167" s="5" t="s">
        <v>206</v>
      </c>
      <c r="G167" s="5" t="s">
        <v>204</v>
      </c>
      <c r="H167" s="5" t="s">
        <v>206</v>
      </c>
      <c r="K167" s="5" t="s">
        <v>237</v>
      </c>
      <c r="O167" s="5" t="s">
        <v>209</v>
      </c>
      <c r="T167" s="5" t="s">
        <v>209</v>
      </c>
      <c r="Z167" s="5" t="s">
        <v>237</v>
      </c>
      <c r="AD167" s="5" t="s">
        <v>209</v>
      </c>
      <c r="AH167" s="5" t="s">
        <v>210</v>
      </c>
      <c r="AI167" s="5">
        <v>2023</v>
      </c>
      <c r="AJ167" s="5" t="s">
        <v>330</v>
      </c>
      <c r="AK167" s="5" t="str">
        <f t="shared" ref="AK167:AK183" si="409">IF(OR(AJ167="Empleada del sector privado",AJ167="Empleada del sector público"),"Asalariada",
IF(AJ167="Trabajadora por cuenta propia","Trabajadora por cuenta propia",""))</f>
        <v>Asalariada</v>
      </c>
      <c r="AQ167" s="5" t="s">
        <v>204</v>
      </c>
      <c r="AR167" s="5" t="s">
        <v>241</v>
      </c>
      <c r="AS167" s="5" t="s">
        <v>241</v>
      </c>
      <c r="AT167" s="5" t="s">
        <v>241</v>
      </c>
      <c r="AU167" s="5" t="s">
        <v>241</v>
      </c>
      <c r="AV167" s="5" t="s">
        <v>302</v>
      </c>
      <c r="AW167" s="5" t="s">
        <v>206</v>
      </c>
      <c r="BF167" s="5" t="s">
        <v>204</v>
      </c>
      <c r="BG167" s="5" t="s">
        <v>278</v>
      </c>
      <c r="BH167" s="5" t="s">
        <v>242</v>
      </c>
      <c r="BI167" s="5" t="s">
        <v>278</v>
      </c>
      <c r="BJ167" s="5" t="s">
        <v>271</v>
      </c>
      <c r="BK167" s="5" t="s">
        <v>243</v>
      </c>
      <c r="BL167" s="5" t="s">
        <v>243</v>
      </c>
      <c r="BM167" s="5" t="s">
        <v>243</v>
      </c>
      <c r="BN167" s="5" t="s">
        <v>243</v>
      </c>
      <c r="BO167" s="5" t="s">
        <v>243</v>
      </c>
      <c r="BP167" s="5" t="s">
        <v>243</v>
      </c>
      <c r="BQ167" s="5" t="s">
        <v>243</v>
      </c>
      <c r="BR167" s="5" t="s">
        <v>243</v>
      </c>
      <c r="BS167" s="5" t="s">
        <v>232</v>
      </c>
      <c r="BT167" s="5" t="s">
        <v>232</v>
      </c>
      <c r="BU167" s="5" t="s">
        <v>247</v>
      </c>
      <c r="BV167" s="5" t="s">
        <v>247</v>
      </c>
      <c r="BW167" s="5" t="s">
        <v>248</v>
      </c>
      <c r="BX167" s="5" t="s">
        <v>247</v>
      </c>
      <c r="BY167" s="5" t="s">
        <v>248</v>
      </c>
      <c r="CD167" s="5" t="s">
        <v>206</v>
      </c>
      <c r="CH167" s="5" t="s">
        <v>369</v>
      </c>
      <c r="CI167" s="5" t="s">
        <v>249</v>
      </c>
      <c r="CJ167" s="5">
        <v>1</v>
      </c>
      <c r="CK167" s="5" t="s">
        <v>223</v>
      </c>
      <c r="CU167" s="5" t="s">
        <v>206</v>
      </c>
      <c r="DA167" s="5" t="s">
        <v>252</v>
      </c>
      <c r="DB167" s="5">
        <f t="shared" ref="DB167:DB183" si="410">IF(DA167="Mejor que lo habitual",1,
IF(DA167="Igual que lo habitual",2,
IF(DA167="Menos que lo habitual",3,
IF(DA167="Mucho menos que lo habitual",4,""))))</f>
        <v>3</v>
      </c>
      <c r="DC167" s="5" t="s">
        <v>250</v>
      </c>
      <c r="DD167" s="5">
        <f t="shared" ref="DD167:DD183" si="411">IF(DC167="No, en absoluto",1,
IF(DC167="No más que lo habitual",2,
IF(DC167="Bastante más que lo habitual",3,
IF(DC167="Mucho más que lo habitual",4,""))))</f>
        <v>3</v>
      </c>
      <c r="DE167" s="5" t="s">
        <v>250</v>
      </c>
      <c r="DF167" s="5">
        <f t="shared" ref="DF167:DF183" si="412">IF(DE167="No, en absoluto",1,
IF(DE167="No más que lo habitual",2,
IF(DE167="Bastante más que lo habitual",3,
IF(DE167="Mucho más que lo habitual",4,""))))</f>
        <v>3</v>
      </c>
      <c r="DG167" s="5" t="s">
        <v>250</v>
      </c>
      <c r="DH167" s="5">
        <f t="shared" ref="DH167:DH183" si="413">IF(DG167="No, en absoluto",1,
IF(DG167="No más que lo habitual",2,
IF(DG167="Bastante más que lo habitual",3,
IF(DG167="Mucho más que lo habitual",4,""))))</f>
        <v>3</v>
      </c>
      <c r="DI167" s="5" t="s">
        <v>250</v>
      </c>
      <c r="DJ167" s="5">
        <f t="shared" ref="DJ167:DJ183" si="414">IF(DI167="No, en absoluto",1,
IF(DI167="No más que lo habitual",2,
IF(DI167="Bastante más que lo habitual",3,
IF(DI167="Mucho más que lo habitual",4,""))))</f>
        <v>3</v>
      </c>
      <c r="DK167" s="5" t="s">
        <v>250</v>
      </c>
      <c r="DL167" s="5">
        <f t="shared" ref="DL167:DL183" si="415">IF(DK167="No, en absoluto",1,
IF(DK167="No más que lo habitual",2,
IF(DK167="Bastante más que lo habitual",3,
IF(DK167="Mucho más que lo habitual",4,""))))</f>
        <v>3</v>
      </c>
      <c r="DM167" s="5" t="s">
        <v>230</v>
      </c>
      <c r="DN167" s="5">
        <f t="shared" ref="DN167:DN183" si="416">IF(DM167="No, en absoluto",1,
IF(DM167="No más que lo habitual",2,
IF(DM167="Bastante más que lo habitual",3,
IF(DM167="Mucho más que lo habitual",4,""))))</f>
        <v>2</v>
      </c>
      <c r="DO167" s="5" t="s">
        <v>231</v>
      </c>
      <c r="DP167" s="5">
        <f t="shared" ref="DP167:DP183" si="417">IF(DO167="Más que lo habitual",1,
IF(DO167="Igual que lo habitual",2,
IF(DO167="Menos que lo habitual",3,
IF(DO167="Mucho menos que lo habitual",4,""))))</f>
        <v>2</v>
      </c>
      <c r="DQ167" s="5" t="s">
        <v>231</v>
      </c>
      <c r="DR167" s="5">
        <f t="shared" ref="DR167:DR183" si="418">IF(DQ167="Más que lo habitual",1,
IF(DQ167="Igual que lo habitual",2,
IF(DQ167="Menos que lo habitual",3,
IF(DQ167="Mucho menos que lo habitual",4,""))))</f>
        <v>2</v>
      </c>
      <c r="DS167" s="5" t="s">
        <v>252</v>
      </c>
      <c r="DT167" s="5">
        <f t="shared" ref="DT167:DT183" si="419">IF(DS167="Más que lo habitual",1,
IF(DS167="Igual que lo habitual",2,
IF(DS167="Menos que lo habitual",3,
IF(DS167="Mucho menos que lo habitual",4,""))))</f>
        <v>3</v>
      </c>
      <c r="DU167" s="5" t="s">
        <v>231</v>
      </c>
      <c r="DV167" s="5">
        <f t="shared" ref="DV167:DV183" si="420">IF(DU167="Más que lo habitual",1,
IF(DU167="Igual que lo habitual",2,
IF(DU167="Menos que lo habitual",3,
IF(DU167="Mucho menos que lo habitual",4,""))))</f>
        <v>2</v>
      </c>
      <c r="DW167" s="5" t="s">
        <v>231</v>
      </c>
      <c r="DX167" s="5">
        <f t="shared" ref="DX167:DX183" si="421">IF(DW167="Más que lo habitual",1,
IF(DW167="Igual que lo habitual",2,
IF(DW167="Menos que lo habitual",3,
IF(DW167="Mucho menos que lo habitual",4,""))))</f>
        <v>2</v>
      </c>
      <c r="DY167" s="5">
        <f t="shared" ref="DY167:DY183" si="422">SUM(DB167,DD167,DF167,DH167,DJ167,DL167,DN167,DP167,DR167,DT167,DV167,DX167)</f>
        <v>31</v>
      </c>
      <c r="DZ167" s="5" t="str">
        <f t="shared" ref="DZ167:DZ183" si="423">IF(DY167&lt;=18,"Nivel de riesgo bajo",
IF(DY167&lt;=23,"Nivel de riesgo medio",
"Nivel de riesgo alto"))</f>
        <v>Nivel de riesgo alto</v>
      </c>
      <c r="EA167" s="5" t="s">
        <v>248</v>
      </c>
      <c r="EB167" s="5">
        <f t="shared" ref="EB167:EB183" si="424">IF(EA167="Nunca/ casi nunca",0,
IF(EA167="Rara vez",1,
IF(EA167="A veces",2,
IF(EA167="A menudo",3,
IF(EA167="Siempre",4,"")))))</f>
        <v>1</v>
      </c>
      <c r="EC167" s="5" t="s">
        <v>248</v>
      </c>
      <c r="ED167" s="5">
        <f t="shared" ref="ED167:ED183" si="425">IF(EC167="Nunca/ casi nunca",0,
IF(EC167="Rara vez",1,
IF(EC167="A veces",2,
IF(EC167="A menudo",3,
IF(EC167="Siempre",4,"")))))</f>
        <v>1</v>
      </c>
      <c r="EE167" s="5" t="s">
        <v>248</v>
      </c>
      <c r="EF167" s="5">
        <f t="shared" ref="EF167:EF183" si="426">IF(EE167="Nunca/ casi nunca",0,
IF(EE167="Rara vez",1,
IF(EE167="A veces",2,
IF(EE167="A menudo",3,
IF(EE167="Siempre",4,"")))))</f>
        <v>1</v>
      </c>
      <c r="EG167" s="5">
        <f t="shared" ref="EG167:EG183" si="427">SUM(EB167,ED167,EF167)</f>
        <v>3</v>
      </c>
      <c r="EH167" s="5" t="str">
        <f t="shared" ref="EH167:EH183" si="428">IF(EG167&lt;=1,"Nivel de riesgo bajo",
IF(EG167&lt;=4,"Nivel de riesgo medio",
"Nivel de riesgo alto"))</f>
        <v>Nivel de riesgo medio</v>
      </c>
      <c r="EI167" s="5" t="s">
        <v>248</v>
      </c>
      <c r="EJ167" s="5">
        <f t="shared" ref="EJ167:EJ183" si="429">IF(EI167="Nunca/ casi nunca",0,
IF(EI167="Rara vez",1,
IF(EI167="A veces",2,
IF(EI167="A menudo",3,
IF(EI167="Siempre",4,"")))))</f>
        <v>1</v>
      </c>
      <c r="EK167" s="5" t="s">
        <v>248</v>
      </c>
      <c r="EL167" s="5">
        <f t="shared" ref="EL167:EL183" si="430">IF(EK167="Nunca/ casi nunca",0,
IF(EK167="Rara vez",1,
IF(EK167="A veces",2,
IF(EK167="A menudo",3,
IF(EK167="Siempre",4,"")))))</f>
        <v>1</v>
      </c>
      <c r="EM167" s="5" t="s">
        <v>248</v>
      </c>
      <c r="EN167" s="5">
        <f t="shared" ref="EN167:EN183" si="431">IF(EM167="Nunca/ casi nunca",0,
IF(EM167="Rara vez",1,
IF(EM167="A veces",2,
IF(EM167="A menudo",3,
IF(EM167="Siempre",4,"")))))</f>
        <v>1</v>
      </c>
      <c r="EO167" s="5">
        <f t="shared" ref="EO167:EO183" si="432">SUM(EJ167,EL167,EN167)</f>
        <v>3</v>
      </c>
      <c r="EP167" s="5" t="str">
        <f t="shared" ref="EP167:EP183" si="433">IF(EO167&lt;=1,"Nivel de riesgo bajo",
IF(EO167&lt;=5,"Nivel de riesgo medio",
"Nivel de riesgo alto"))</f>
        <v>Nivel de riesgo medio</v>
      </c>
      <c r="EQ167" s="5" t="s">
        <v>232</v>
      </c>
      <c r="ER167" s="5">
        <f t="shared" ref="ER167:ER183" si="434">IF(EQ167="Nunca/ casi nunca",4,
IF(EQ167="Rara vez",3,
IF(EQ167="A veces",2,
IF(EQ167="A menudo",1,
IF(EQ167="Siempre",0,"")))))</f>
        <v>1</v>
      </c>
      <c r="ES167" s="5" t="s">
        <v>232</v>
      </c>
      <c r="ET167" s="5">
        <f t="shared" ref="ET167:ET183" si="435">IF(ES167="Nunca/ casi nunca",4,
IF(ES167="Rara vez",3,
IF(ES167="A veces",2,
IF(ES167="A menudo",1,
IF(ES167="Siempre",0,"")))))</f>
        <v>1</v>
      </c>
      <c r="EU167" s="5" t="s">
        <v>232</v>
      </c>
      <c r="EV167" s="5">
        <f t="shared" ref="EV167:EV183" si="436">IF(EU167="Nunca/ casi nunca",4,
IF(EU167="Rara vez",3,
IF(EU167="A veces",2,
IF(EU167="A menudo",1,
IF(EU167="Siempre",0,"")))))</f>
        <v>1</v>
      </c>
      <c r="EW167" s="5" t="s">
        <v>232</v>
      </c>
      <c r="EX167" s="5">
        <f t="shared" ref="EX167:EX183" si="437">IF(EW167="Nunca/ casi nunca",4,
IF(EW167="Rara vez",3,
IF(EW167="A veces",2,
IF(EW167="A menudo",1,
IF(EW167="Siempre",0,"")))))</f>
        <v>1</v>
      </c>
      <c r="EY167" s="5">
        <f t="shared" ref="EY167:EY183" si="438">SUM(ER167,ET167,EV167,EX167)</f>
        <v>4</v>
      </c>
      <c r="EZ167" s="5" t="str">
        <f t="shared" ref="EZ167:EZ183" si="439">IF(EY167&lt;=0,"Nivel de riesgo bajo",
IF(EY167&lt;=4,"Nivel de riesgo medio",
"Nivel de riesgo alto"))</f>
        <v>Nivel de riesgo medio</v>
      </c>
      <c r="FA167" s="5" t="s">
        <v>248</v>
      </c>
      <c r="FB167" s="5">
        <f t="shared" ref="FB167:FB183" si="440">IF(FA167="Nunca/ casi nunca",0,
IF(FA167="Rara vez",1,
IF(FA167="A veces",2,
IF(FA167="A menudo",3,
IF(FA167="Siempre",4,"")))))</f>
        <v>1</v>
      </c>
      <c r="FC167" s="5" t="s">
        <v>248</v>
      </c>
      <c r="FD167" s="5">
        <f t="shared" ref="FD167:FD183" si="441">IF(FC167="Nunca/ casi nunca",0,
IF(FC167="Rara vez",1,
IF(FC167="A veces",2,
IF(FC167="A menudo",3,
IF(FC167="Siempre",4,"")))))</f>
        <v>1</v>
      </c>
      <c r="FE167" s="5" t="s">
        <v>248</v>
      </c>
      <c r="FF167" s="5">
        <f t="shared" ref="FF167:FF183" si="442">IF(FE167="Nunca/ casi nunca",0,
IF(FE167="Rara vez",1,
IF(FE167="A veces",2,
IF(FE167="A menudo",3,
IF(FE167="Siempre",4,"")))))</f>
        <v>1</v>
      </c>
      <c r="FG167" s="5">
        <f t="shared" ref="FG167:FG183" si="443">SUM(FB167,FD167,FF167)</f>
        <v>3</v>
      </c>
      <c r="FH167" s="5" t="str">
        <f t="shared" ref="FH167:FH183" si="444">IF(FG167&lt;=2,"Nivel de riesgo bajo",
IF(FG167&lt;=5,"Nivel de riesgo medio",
"Nivel de riesgo alto"))</f>
        <v>Nivel de riesgo medio</v>
      </c>
      <c r="FI167" s="5" t="s">
        <v>248</v>
      </c>
      <c r="FJ167" s="5">
        <f t="shared" ref="FJ167:FJ183" si="445">IF(FI167="Nunca/ casi nunca",0,
IF(FI167="Rara vez",1,
IF(FI167="A veces",2,
IF(FI167="A menudo",3,
IF(FI167="Siempre",4,"")))))</f>
        <v>1</v>
      </c>
      <c r="FK167" s="5" t="s">
        <v>248</v>
      </c>
      <c r="FL167" s="5">
        <f t="shared" ref="FL167:FL183" si="446">IF(FK167="Nunca/ casi nunca",0,
IF(FK167="Rara vez",1,
IF(FK167="A veces",2,
IF(FK167="A menudo",3,
IF(FK167="Siempre",4,"")))))</f>
        <v>1</v>
      </c>
      <c r="FM167" s="5" t="s">
        <v>248</v>
      </c>
      <c r="FN167" s="5">
        <f t="shared" ref="FN167:FN183" si="447">IF(FM167="Nunca/ casi nunca",0,
IF(FM167="Rara vez",1,
IF(FM167="A veces",2,
IF(FM167="A menudo",3,
IF(FM167="Siempre",4,"")))))</f>
        <v>1</v>
      </c>
      <c r="FO167" s="5">
        <f t="shared" ref="FO167:FO183" si="448">SUM(FJ167,FL167,FN167)</f>
        <v>3</v>
      </c>
      <c r="FP167" s="5" t="str">
        <f t="shared" ref="FP167:FP183" si="449">IF(FO167&lt;=2,"Nivel de riesgo bajo",
IF(FO167&lt;=5,"Nivel de riesgo medio",
"Nivel de riesgo alto"))</f>
        <v>Nivel de riesgo medio</v>
      </c>
      <c r="FQ167" s="5" t="s">
        <v>206</v>
      </c>
      <c r="FR167" s="5">
        <f t="shared" ref="FR167:FR183" si="450">IF(FQ167="No",0,
IF(FQ167="Sí, unas pocas veces",1,
IF(FQ167="Sí, mensualmente",2,
IF(FQ167="Sí, semanalmente",3,
IF(FQ167="Sí, diariamente",4,"")))))</f>
        <v>0</v>
      </c>
      <c r="FS167" s="5" t="s">
        <v>206</v>
      </c>
      <c r="FT167" s="5">
        <f t="shared" ref="FT167:FT183" si="451">IF(FS167="No",0,
IF(FS167="Sí, unas pocas veces",1,
IF(FS167="Sí, mensualmente",2,
IF(FS167="Sí, semanalmente",3,
IF(FS167="Sí, diariamente",4,"")))))</f>
        <v>0</v>
      </c>
      <c r="FU167" s="5" t="s">
        <v>206</v>
      </c>
      <c r="FV167" s="5">
        <f t="shared" ref="FV167:FV183" si="452">IF(FU167="No",0,
IF(FU167="Sí, unas pocas veces",1,
IF(FU167="Sí, mensualmente",2,
IF(FU167="Sí, semanalmente",3,
IF(FU167="Sí, diariamente",4,"")))))</f>
        <v>0</v>
      </c>
      <c r="FW167" s="5" t="s">
        <v>206</v>
      </c>
      <c r="FX167" s="5">
        <f t="shared" ref="FX167:FX183" si="453">IF(FW167="No",0,
IF(FW167="Sí, unas pocas veces",1,
IF(FW167="Sí, mensualmente",2,
IF(FW167="Sí, semanalmente",3,
IF(FW167="Sí, diariamente",4,"")))))</f>
        <v>0</v>
      </c>
      <c r="FY167" s="5" t="s">
        <v>206</v>
      </c>
      <c r="FZ167" s="5">
        <f t="shared" ref="FZ167:FZ183" si="454">IF(FY167="No",0,
IF(FY167="Sí, unas pocas veces",1,
IF(FY167="Sí, mensualmente",2,
IF(FY167="Sí, semanalmente",3,
IF(FY167="Sí, diariamente",4,"")))))</f>
        <v>0</v>
      </c>
      <c r="GA167" s="5" t="s">
        <v>206</v>
      </c>
      <c r="GB167" s="5">
        <f t="shared" ref="GB167:GB183" si="455">IF(GA167="No",0,
IF(GA167="Sí, unas pocas veces",1,
IF(GA167="Sí, mensualmente",2,
IF(GA167="Sí, semanalmente",3,
IF(GA167="Sí, diariamente",4,"")))))</f>
        <v>0</v>
      </c>
      <c r="GC167" s="5" t="s">
        <v>206</v>
      </c>
      <c r="GD167" s="5">
        <f t="shared" ref="GD167:GD183" si="456">IF(GC167="No",0,
IF(GC167="Sí, unas pocas veces",1,
IF(GC167="Sí, mensualmente",2,
IF(GC167="Sí, semanalmente",3,
IF(GC167="Sí, diariamente",4,"")))))</f>
        <v>0</v>
      </c>
      <c r="GE167" s="5">
        <f t="shared" ref="GE167:GE183" si="457">SUM(FR167,FT167,FV167,FX167,FZ167,GB167,GD167)</f>
        <v>0</v>
      </c>
      <c r="GF167" s="5" t="str">
        <f t="shared" ref="GF167:GF183" si="458">IF(GE167&lt;=0,"Nivel de riesgo bajo",
IF(GE167&lt;=14,"Nivel de riesgo medio",
"Nivel de riesgo alto"))</f>
        <v>Nivel de riesgo bajo</v>
      </c>
      <c r="GG167" s="5" t="s">
        <v>273</v>
      </c>
      <c r="GH167" s="5" t="s">
        <v>273</v>
      </c>
      <c r="GI167" s="5" t="s">
        <v>273</v>
      </c>
      <c r="GJ167" s="5" t="s">
        <v>273</v>
      </c>
      <c r="GK167" s="5" t="s">
        <v>233</v>
      </c>
      <c r="GL167" s="5" t="s">
        <v>233</v>
      </c>
      <c r="GM167" s="5" t="s">
        <v>233</v>
      </c>
      <c r="GN167" s="5" t="s">
        <v>243</v>
      </c>
      <c r="GO167" s="5" t="s">
        <v>243</v>
      </c>
      <c r="GP167" s="5" t="s">
        <v>243</v>
      </c>
      <c r="GQ167" s="5" t="s">
        <v>243</v>
      </c>
      <c r="GR167" s="5" t="s">
        <v>243</v>
      </c>
      <c r="GS167" s="5" t="s">
        <v>243</v>
      </c>
      <c r="GT167" s="5" t="s">
        <v>243</v>
      </c>
      <c r="GU167" s="5" t="s">
        <v>517</v>
      </c>
      <c r="GV167" s="5" t="str">
        <f>TEXT("6278917192215980990","0")</f>
        <v>6278917192215980000</v>
      </c>
    </row>
    <row r="168" spans="1:204" ht="15.75" customHeight="1" x14ac:dyDescent="0.15">
      <c r="A168" s="1">
        <f t="shared" si="408"/>
        <v>168</v>
      </c>
      <c r="B168" s="4">
        <v>45847.566446759258</v>
      </c>
      <c r="C168" s="5" t="s">
        <v>204</v>
      </c>
      <c r="D168" s="5" t="s">
        <v>204</v>
      </c>
      <c r="E168" s="5" t="s">
        <v>335</v>
      </c>
      <c r="F168" s="5" t="s">
        <v>206</v>
      </c>
      <c r="G168" s="5" t="s">
        <v>206</v>
      </c>
      <c r="H168" s="5" t="s">
        <v>206</v>
      </c>
      <c r="K168" s="5" t="s">
        <v>237</v>
      </c>
      <c r="N168" s="5" t="s">
        <v>208</v>
      </c>
      <c r="S168" s="5" t="s">
        <v>208</v>
      </c>
      <c r="AB168" s="5" t="s">
        <v>207</v>
      </c>
      <c r="AG168" s="5" t="s">
        <v>207</v>
      </c>
      <c r="AH168" s="5" t="s">
        <v>275</v>
      </c>
      <c r="AI168" s="5">
        <v>2016</v>
      </c>
      <c r="AJ168" s="5" t="s">
        <v>238</v>
      </c>
      <c r="AK168" s="5" t="str">
        <f t="shared" si="409"/>
        <v>Trabajadora por cuenta propia</v>
      </c>
      <c r="AL168" s="5" t="s">
        <v>239</v>
      </c>
      <c r="AP168" s="5" t="s">
        <v>240</v>
      </c>
      <c r="AR168" s="5" t="s">
        <v>241</v>
      </c>
      <c r="AS168" s="5" t="s">
        <v>241</v>
      </c>
      <c r="AT168" s="5" t="s">
        <v>241</v>
      </c>
      <c r="AU168" s="5" t="s">
        <v>241</v>
      </c>
      <c r="AV168" s="5" t="s">
        <v>269</v>
      </c>
      <c r="AW168" s="5" t="s">
        <v>204</v>
      </c>
      <c r="AX168" s="5" t="s">
        <v>204</v>
      </c>
      <c r="AY168" s="5" t="s">
        <v>214</v>
      </c>
      <c r="AZ168" s="5" t="s">
        <v>204</v>
      </c>
      <c r="BA168" s="5" t="s">
        <v>295</v>
      </c>
      <c r="BB168" s="5" t="s">
        <v>204</v>
      </c>
      <c r="BC168" s="5" t="s">
        <v>204</v>
      </c>
      <c r="BD168" s="5" t="s">
        <v>206</v>
      </c>
      <c r="BE168" s="5" t="s">
        <v>206</v>
      </c>
      <c r="BF168" s="5" t="s">
        <v>204</v>
      </c>
      <c r="BG168" s="5" t="s">
        <v>278</v>
      </c>
      <c r="BH168" s="5" t="s">
        <v>271</v>
      </c>
      <c r="BI168" s="5" t="s">
        <v>271</v>
      </c>
      <c r="BJ168" s="5" t="s">
        <v>271</v>
      </c>
      <c r="BK168" s="5" t="s">
        <v>216</v>
      </c>
      <c r="BL168" s="5" t="s">
        <v>244</v>
      </c>
      <c r="BM168" s="5" t="s">
        <v>246</v>
      </c>
      <c r="BN168" s="5" t="s">
        <v>244</v>
      </c>
      <c r="BO168" s="5" t="s">
        <v>244</v>
      </c>
      <c r="BP168" s="5" t="s">
        <v>244</v>
      </c>
      <c r="BQ168" s="5" t="s">
        <v>244</v>
      </c>
      <c r="BR168" s="5" t="s">
        <v>244</v>
      </c>
      <c r="BS168" s="5" t="s">
        <v>248</v>
      </c>
      <c r="BT168" s="5" t="s">
        <v>248</v>
      </c>
      <c r="BU168" s="5" t="s">
        <v>217</v>
      </c>
      <c r="BV168" s="5" t="s">
        <v>217</v>
      </c>
      <c r="BW168" s="5" t="s">
        <v>217</v>
      </c>
      <c r="BX168" s="5" t="s">
        <v>217</v>
      </c>
      <c r="BY168" s="5" t="s">
        <v>217</v>
      </c>
      <c r="BZ168" s="5" t="s">
        <v>216</v>
      </c>
      <c r="CA168" s="5" t="s">
        <v>244</v>
      </c>
      <c r="CB168" s="5" t="s">
        <v>244</v>
      </c>
      <c r="CC168" s="5" t="s">
        <v>244</v>
      </c>
      <c r="CD168" s="5" t="s">
        <v>206</v>
      </c>
      <c r="CH168" s="5" t="s">
        <v>369</v>
      </c>
      <c r="CI168" s="5" t="s">
        <v>206</v>
      </c>
      <c r="CJ168" s="5">
        <v>1</v>
      </c>
      <c r="CK168" s="5" t="s">
        <v>223</v>
      </c>
      <c r="CU168" s="5" t="s">
        <v>206</v>
      </c>
      <c r="DA168" s="5" t="s">
        <v>231</v>
      </c>
      <c r="DB168" s="5">
        <f t="shared" si="410"/>
        <v>2</v>
      </c>
      <c r="DC168" s="5" t="s">
        <v>251</v>
      </c>
      <c r="DD168" s="5">
        <f t="shared" si="411"/>
        <v>1</v>
      </c>
      <c r="DE168" s="5" t="s">
        <v>251</v>
      </c>
      <c r="DF168" s="5">
        <f t="shared" si="412"/>
        <v>1</v>
      </c>
      <c r="DG168" s="5" t="s">
        <v>230</v>
      </c>
      <c r="DH168" s="5">
        <f t="shared" si="413"/>
        <v>2</v>
      </c>
      <c r="DI168" s="5" t="s">
        <v>251</v>
      </c>
      <c r="DJ168" s="5">
        <f t="shared" si="414"/>
        <v>1</v>
      </c>
      <c r="DK168" s="5" t="s">
        <v>251</v>
      </c>
      <c r="DL168" s="5">
        <f t="shared" si="415"/>
        <v>1</v>
      </c>
      <c r="DM168" s="5" t="s">
        <v>251</v>
      </c>
      <c r="DN168" s="5">
        <f t="shared" si="416"/>
        <v>1</v>
      </c>
      <c r="DO168" s="5" t="s">
        <v>231</v>
      </c>
      <c r="DP168" s="5">
        <f t="shared" si="417"/>
        <v>2</v>
      </c>
      <c r="DQ168" s="5" t="s">
        <v>231</v>
      </c>
      <c r="DR168" s="5">
        <f t="shared" si="418"/>
        <v>2</v>
      </c>
      <c r="DS168" s="5" t="s">
        <v>231</v>
      </c>
      <c r="DT168" s="5">
        <f t="shared" si="419"/>
        <v>2</v>
      </c>
      <c r="DU168" s="5" t="s">
        <v>231</v>
      </c>
      <c r="DV168" s="5">
        <f t="shared" si="420"/>
        <v>2</v>
      </c>
      <c r="DW168" s="5" t="s">
        <v>231</v>
      </c>
      <c r="DX168" s="5">
        <f t="shared" si="421"/>
        <v>2</v>
      </c>
      <c r="DY168" s="5">
        <f t="shared" si="422"/>
        <v>19</v>
      </c>
      <c r="DZ168" s="5" t="str">
        <f t="shared" si="423"/>
        <v>Nivel de riesgo medio</v>
      </c>
      <c r="EA168" s="5" t="s">
        <v>248</v>
      </c>
      <c r="EB168" s="5">
        <f t="shared" si="424"/>
        <v>1</v>
      </c>
      <c r="EC168" s="5" t="s">
        <v>248</v>
      </c>
      <c r="ED168" s="5">
        <f t="shared" si="425"/>
        <v>1</v>
      </c>
      <c r="EE168" s="5" t="s">
        <v>248</v>
      </c>
      <c r="EF168" s="5">
        <f t="shared" si="426"/>
        <v>1</v>
      </c>
      <c r="EG168" s="5">
        <f t="shared" si="427"/>
        <v>3</v>
      </c>
      <c r="EH168" s="5" t="str">
        <f t="shared" si="428"/>
        <v>Nivel de riesgo medio</v>
      </c>
      <c r="EI168" s="5" t="s">
        <v>253</v>
      </c>
      <c r="EJ168" s="5">
        <f t="shared" si="429"/>
        <v>0</v>
      </c>
      <c r="EK168" s="5" t="s">
        <v>253</v>
      </c>
      <c r="EL168" s="5">
        <f t="shared" si="430"/>
        <v>0</v>
      </c>
      <c r="EM168" s="5" t="s">
        <v>253</v>
      </c>
      <c r="EN168" s="5">
        <f t="shared" si="431"/>
        <v>0</v>
      </c>
      <c r="EO168" s="5">
        <f t="shared" si="432"/>
        <v>0</v>
      </c>
      <c r="EP168" s="5" t="str">
        <f t="shared" si="433"/>
        <v>Nivel de riesgo bajo</v>
      </c>
      <c r="EQ168" s="5" t="s">
        <v>253</v>
      </c>
      <c r="ER168" s="5">
        <f t="shared" si="434"/>
        <v>4</v>
      </c>
      <c r="ES168" s="5" t="s">
        <v>253</v>
      </c>
      <c r="ET168" s="5">
        <f t="shared" si="435"/>
        <v>4</v>
      </c>
      <c r="EU168" s="5" t="s">
        <v>254</v>
      </c>
      <c r="EV168" s="5">
        <f t="shared" si="436"/>
        <v>0</v>
      </c>
      <c r="EW168" s="5" t="s">
        <v>254</v>
      </c>
      <c r="EX168" s="5">
        <f t="shared" si="437"/>
        <v>0</v>
      </c>
      <c r="EY168" s="5">
        <f t="shared" si="438"/>
        <v>8</v>
      </c>
      <c r="EZ168" s="5" t="str">
        <f t="shared" si="439"/>
        <v>Nivel de riesgo alto</v>
      </c>
      <c r="FA168" s="5" t="s">
        <v>253</v>
      </c>
      <c r="FB168" s="5">
        <f t="shared" si="440"/>
        <v>0</v>
      </c>
      <c r="FC168" s="5" t="s">
        <v>253</v>
      </c>
      <c r="FD168" s="5">
        <f t="shared" si="441"/>
        <v>0</v>
      </c>
      <c r="FE168" s="5" t="s">
        <v>253</v>
      </c>
      <c r="FF168" s="5">
        <f t="shared" si="442"/>
        <v>0</v>
      </c>
      <c r="FG168" s="5">
        <f t="shared" si="443"/>
        <v>0</v>
      </c>
      <c r="FH168" s="5" t="str">
        <f t="shared" si="444"/>
        <v>Nivel de riesgo bajo</v>
      </c>
      <c r="FI168" s="5" t="s">
        <v>253</v>
      </c>
      <c r="FJ168" s="5">
        <f t="shared" si="445"/>
        <v>0</v>
      </c>
      <c r="FK168" s="5" t="s">
        <v>253</v>
      </c>
      <c r="FL168" s="5">
        <f t="shared" si="446"/>
        <v>0</v>
      </c>
      <c r="FM168" s="5" t="s">
        <v>253</v>
      </c>
      <c r="FN168" s="5">
        <f t="shared" si="447"/>
        <v>0</v>
      </c>
      <c r="FO168" s="5">
        <f t="shared" si="448"/>
        <v>0</v>
      </c>
      <c r="FP168" s="5" t="str">
        <f t="shared" si="449"/>
        <v>Nivel de riesgo bajo</v>
      </c>
      <c r="FQ168" s="5" t="s">
        <v>206</v>
      </c>
      <c r="FR168" s="5">
        <f t="shared" si="450"/>
        <v>0</v>
      </c>
      <c r="FS168" s="5" t="s">
        <v>206</v>
      </c>
      <c r="FT168" s="5">
        <f t="shared" si="451"/>
        <v>0</v>
      </c>
      <c r="FU168" s="5" t="s">
        <v>206</v>
      </c>
      <c r="FV168" s="5">
        <f t="shared" si="452"/>
        <v>0</v>
      </c>
      <c r="FW168" s="5" t="s">
        <v>206</v>
      </c>
      <c r="FX168" s="5">
        <f t="shared" si="453"/>
        <v>0</v>
      </c>
      <c r="FY168" s="5" t="s">
        <v>206</v>
      </c>
      <c r="FZ168" s="5">
        <f t="shared" si="454"/>
        <v>0</v>
      </c>
      <c r="GA168" s="5" t="s">
        <v>206</v>
      </c>
      <c r="GB168" s="5">
        <f t="shared" si="455"/>
        <v>0</v>
      </c>
      <c r="GC168" s="5" t="s">
        <v>206</v>
      </c>
      <c r="GD168" s="5">
        <f t="shared" si="456"/>
        <v>0</v>
      </c>
      <c r="GE168" s="5">
        <f t="shared" si="457"/>
        <v>0</v>
      </c>
      <c r="GF168" s="5" t="str">
        <f t="shared" si="458"/>
        <v>Nivel de riesgo bajo</v>
      </c>
      <c r="GG168" s="5" t="s">
        <v>273</v>
      </c>
      <c r="GH168" s="5" t="s">
        <v>273</v>
      </c>
      <c r="GI168" s="5" t="s">
        <v>273</v>
      </c>
      <c r="GJ168" s="5" t="s">
        <v>273</v>
      </c>
      <c r="GK168" s="5" t="s">
        <v>233</v>
      </c>
      <c r="GL168" s="5" t="s">
        <v>273</v>
      </c>
      <c r="GM168" s="5" t="s">
        <v>298</v>
      </c>
      <c r="GN168" s="5" t="s">
        <v>243</v>
      </c>
      <c r="GO168" s="5" t="s">
        <v>244</v>
      </c>
      <c r="GP168" s="5" t="s">
        <v>244</v>
      </c>
      <c r="GQ168" s="5" t="s">
        <v>244</v>
      </c>
      <c r="GR168" s="5" t="s">
        <v>244</v>
      </c>
      <c r="GS168" s="5" t="s">
        <v>244</v>
      </c>
      <c r="GT168" s="5" t="s">
        <v>243</v>
      </c>
      <c r="GU168" s="5" t="s">
        <v>518</v>
      </c>
      <c r="GV168" s="5" t="str">
        <f>TEXT("6278917419815221962","0")</f>
        <v>6278917419815220000</v>
      </c>
    </row>
    <row r="169" spans="1:204" ht="15.75" customHeight="1" x14ac:dyDescent="0.15">
      <c r="A169" s="1">
        <f t="shared" si="408"/>
        <v>169</v>
      </c>
      <c r="B169" s="4">
        <v>45847.571759259263</v>
      </c>
      <c r="C169" s="5" t="s">
        <v>204</v>
      </c>
      <c r="D169" s="5" t="s">
        <v>206</v>
      </c>
      <c r="F169" s="5" t="s">
        <v>206</v>
      </c>
      <c r="G169" s="5" t="s">
        <v>206</v>
      </c>
      <c r="H169" s="5" t="s">
        <v>206</v>
      </c>
      <c r="K169" s="5" t="s">
        <v>237</v>
      </c>
      <c r="O169" s="5" t="s">
        <v>209</v>
      </c>
      <c r="T169" s="5" t="s">
        <v>209</v>
      </c>
      <c r="Y169" s="5" t="s">
        <v>209</v>
      </c>
      <c r="AD169" s="5" t="s">
        <v>209</v>
      </c>
      <c r="AH169" s="5" t="s">
        <v>268</v>
      </c>
      <c r="AI169" s="5">
        <v>2023</v>
      </c>
      <c r="AJ169" s="5" t="s">
        <v>337</v>
      </c>
      <c r="AK169" s="5" t="str">
        <f t="shared" si="409"/>
        <v>Asalariada</v>
      </c>
      <c r="AQ169" s="5" t="s">
        <v>204</v>
      </c>
      <c r="AR169" s="5" t="s">
        <v>261</v>
      </c>
      <c r="AS169" s="5" t="s">
        <v>241</v>
      </c>
      <c r="AT169" s="5" t="s">
        <v>294</v>
      </c>
      <c r="AU169" s="5" t="s">
        <v>261</v>
      </c>
      <c r="AV169" s="5" t="s">
        <v>269</v>
      </c>
      <c r="AW169" s="5" t="s">
        <v>204</v>
      </c>
      <c r="AX169" s="5" t="s">
        <v>204</v>
      </c>
      <c r="AY169" s="5" t="s">
        <v>406</v>
      </c>
      <c r="AZ169" s="5" t="s">
        <v>204</v>
      </c>
      <c r="BA169" s="5" t="s">
        <v>263</v>
      </c>
      <c r="BF169" s="5" t="s">
        <v>204</v>
      </c>
      <c r="BG169" s="5" t="s">
        <v>278</v>
      </c>
      <c r="BH169" s="5" t="s">
        <v>215</v>
      </c>
      <c r="BI169" s="5" t="s">
        <v>278</v>
      </c>
      <c r="BJ169" s="5" t="s">
        <v>271</v>
      </c>
      <c r="BK169" s="5" t="s">
        <v>245</v>
      </c>
      <c r="BL169" s="5" t="s">
        <v>243</v>
      </c>
      <c r="BM169" s="5" t="s">
        <v>246</v>
      </c>
      <c r="BN169" s="5" t="s">
        <v>243</v>
      </c>
      <c r="BO169" s="5" t="s">
        <v>243</v>
      </c>
      <c r="BP169" s="5" t="s">
        <v>243</v>
      </c>
      <c r="BQ169" s="5" t="s">
        <v>246</v>
      </c>
      <c r="BR169" s="5" t="s">
        <v>244</v>
      </c>
      <c r="BS169" s="5" t="s">
        <v>232</v>
      </c>
      <c r="BT169" s="5" t="s">
        <v>232</v>
      </c>
      <c r="BU169" s="5" t="s">
        <v>254</v>
      </c>
      <c r="BV169" s="5" t="s">
        <v>232</v>
      </c>
      <c r="BW169" s="5" t="s">
        <v>247</v>
      </c>
      <c r="BX169" s="5" t="s">
        <v>247</v>
      </c>
      <c r="BY169" s="5" t="s">
        <v>247</v>
      </c>
      <c r="BZ169" s="5" t="s">
        <v>246</v>
      </c>
      <c r="CA169" s="5" t="s">
        <v>243</v>
      </c>
      <c r="CB169" s="5" t="s">
        <v>243</v>
      </c>
      <c r="CC169" s="5" t="s">
        <v>245</v>
      </c>
      <c r="CD169" s="5" t="s">
        <v>206</v>
      </c>
      <c r="CH169" s="5" t="s">
        <v>206</v>
      </c>
      <c r="CI169" s="5" t="s">
        <v>307</v>
      </c>
      <c r="CJ169" s="5">
        <v>2</v>
      </c>
      <c r="CK169" s="5" t="s">
        <v>223</v>
      </c>
      <c r="CU169" s="5" t="s">
        <v>206</v>
      </c>
      <c r="DA169" s="5" t="s">
        <v>229</v>
      </c>
      <c r="DB169" s="5">
        <f t="shared" si="410"/>
        <v>4</v>
      </c>
      <c r="DC169" s="5" t="s">
        <v>250</v>
      </c>
      <c r="DD169" s="5">
        <f t="shared" si="411"/>
        <v>3</v>
      </c>
      <c r="DE169" s="5" t="s">
        <v>250</v>
      </c>
      <c r="DF169" s="5">
        <f t="shared" si="412"/>
        <v>3</v>
      </c>
      <c r="DG169" s="5" t="s">
        <v>250</v>
      </c>
      <c r="DH169" s="5">
        <f t="shared" si="413"/>
        <v>3</v>
      </c>
      <c r="DI169" s="5" t="s">
        <v>250</v>
      </c>
      <c r="DJ169" s="5">
        <f t="shared" si="414"/>
        <v>3</v>
      </c>
      <c r="DK169" s="5" t="s">
        <v>230</v>
      </c>
      <c r="DL169" s="5">
        <f t="shared" si="415"/>
        <v>2</v>
      </c>
      <c r="DM169" s="5" t="s">
        <v>251</v>
      </c>
      <c r="DN169" s="5">
        <f t="shared" si="416"/>
        <v>1</v>
      </c>
      <c r="DO169" s="5" t="s">
        <v>281</v>
      </c>
      <c r="DP169" s="5">
        <f t="shared" si="417"/>
        <v>1</v>
      </c>
      <c r="DQ169" s="5" t="s">
        <v>281</v>
      </c>
      <c r="DR169" s="5">
        <f t="shared" si="418"/>
        <v>1</v>
      </c>
      <c r="DS169" s="5" t="s">
        <v>231</v>
      </c>
      <c r="DT169" s="5">
        <f t="shared" si="419"/>
        <v>2</v>
      </c>
      <c r="DU169" s="5" t="s">
        <v>231</v>
      </c>
      <c r="DV169" s="5">
        <f t="shared" si="420"/>
        <v>2</v>
      </c>
      <c r="DW169" s="5" t="s">
        <v>281</v>
      </c>
      <c r="DX169" s="5">
        <f t="shared" si="421"/>
        <v>1</v>
      </c>
      <c r="DY169" s="5">
        <f t="shared" si="422"/>
        <v>26</v>
      </c>
      <c r="DZ169" s="5" t="str">
        <f t="shared" si="423"/>
        <v>Nivel de riesgo alto</v>
      </c>
      <c r="EA169" s="5" t="s">
        <v>247</v>
      </c>
      <c r="EB169" s="5">
        <f t="shared" si="424"/>
        <v>2</v>
      </c>
      <c r="EC169" s="5" t="s">
        <v>232</v>
      </c>
      <c r="ED169" s="5">
        <f t="shared" si="425"/>
        <v>3</v>
      </c>
      <c r="EE169" s="5" t="s">
        <v>248</v>
      </c>
      <c r="EF169" s="5">
        <f t="shared" si="426"/>
        <v>1</v>
      </c>
      <c r="EG169" s="5">
        <f t="shared" si="427"/>
        <v>6</v>
      </c>
      <c r="EH169" s="5" t="str">
        <f t="shared" si="428"/>
        <v>Nivel de riesgo alto</v>
      </c>
      <c r="EI169" s="5" t="s">
        <v>248</v>
      </c>
      <c r="EJ169" s="5">
        <f t="shared" si="429"/>
        <v>1</v>
      </c>
      <c r="EK169" s="5" t="s">
        <v>248</v>
      </c>
      <c r="EL169" s="5">
        <f t="shared" si="430"/>
        <v>1</v>
      </c>
      <c r="EM169" s="5" t="s">
        <v>254</v>
      </c>
      <c r="EN169" s="5">
        <f t="shared" si="431"/>
        <v>4</v>
      </c>
      <c r="EO169" s="5">
        <f t="shared" si="432"/>
        <v>6</v>
      </c>
      <c r="EP169" s="5" t="str">
        <f t="shared" si="433"/>
        <v>Nivel de riesgo alto</v>
      </c>
      <c r="EQ169" s="5" t="s">
        <v>248</v>
      </c>
      <c r="ER169" s="5">
        <f t="shared" si="434"/>
        <v>3</v>
      </c>
      <c r="ES169" s="5" t="s">
        <v>248</v>
      </c>
      <c r="ET169" s="5">
        <f t="shared" si="435"/>
        <v>3</v>
      </c>
      <c r="EU169" s="5" t="s">
        <v>247</v>
      </c>
      <c r="EV169" s="5">
        <f t="shared" si="436"/>
        <v>2</v>
      </c>
      <c r="EW169" s="5" t="s">
        <v>247</v>
      </c>
      <c r="EX169" s="5">
        <f t="shared" si="437"/>
        <v>2</v>
      </c>
      <c r="EY169" s="5">
        <f t="shared" si="438"/>
        <v>10</v>
      </c>
      <c r="EZ169" s="5" t="str">
        <f t="shared" si="439"/>
        <v>Nivel de riesgo alto</v>
      </c>
      <c r="FA169" s="5" t="s">
        <v>247</v>
      </c>
      <c r="FB169" s="5">
        <f t="shared" si="440"/>
        <v>2</v>
      </c>
      <c r="FC169" s="5" t="s">
        <v>248</v>
      </c>
      <c r="FD169" s="5">
        <f t="shared" si="441"/>
        <v>1</v>
      </c>
      <c r="FE169" s="5" t="s">
        <v>253</v>
      </c>
      <c r="FF169" s="5">
        <f t="shared" si="442"/>
        <v>0</v>
      </c>
      <c r="FG169" s="5">
        <f t="shared" si="443"/>
        <v>3</v>
      </c>
      <c r="FH169" s="5" t="str">
        <f t="shared" si="444"/>
        <v>Nivel de riesgo medio</v>
      </c>
      <c r="FI169" s="5" t="s">
        <v>248</v>
      </c>
      <c r="FJ169" s="5">
        <f t="shared" si="445"/>
        <v>1</v>
      </c>
      <c r="FK169" s="5" t="s">
        <v>248</v>
      </c>
      <c r="FL169" s="5">
        <f t="shared" si="446"/>
        <v>1</v>
      </c>
      <c r="FM169" s="5" t="s">
        <v>248</v>
      </c>
      <c r="FN169" s="5">
        <f t="shared" si="447"/>
        <v>1</v>
      </c>
      <c r="FO169" s="5">
        <f t="shared" si="448"/>
        <v>3</v>
      </c>
      <c r="FP169" s="5" t="str">
        <f t="shared" si="449"/>
        <v>Nivel de riesgo medio</v>
      </c>
      <c r="FQ169" s="5" t="s">
        <v>265</v>
      </c>
      <c r="FR169" s="5">
        <f t="shared" si="450"/>
        <v>1</v>
      </c>
      <c r="FS169" s="5" t="s">
        <v>265</v>
      </c>
      <c r="FT169" s="5">
        <f t="shared" si="451"/>
        <v>1</v>
      </c>
      <c r="FU169" s="5" t="s">
        <v>206</v>
      </c>
      <c r="FV169" s="5">
        <f t="shared" si="452"/>
        <v>0</v>
      </c>
      <c r="FW169" s="5" t="s">
        <v>206</v>
      </c>
      <c r="FX169" s="5">
        <f t="shared" si="453"/>
        <v>0</v>
      </c>
      <c r="FY169" s="5" t="s">
        <v>206</v>
      </c>
      <c r="FZ169" s="5">
        <f t="shared" si="454"/>
        <v>0</v>
      </c>
      <c r="GA169" s="5" t="s">
        <v>206</v>
      </c>
      <c r="GB169" s="5">
        <f t="shared" si="455"/>
        <v>0</v>
      </c>
      <c r="GC169" s="5" t="s">
        <v>206</v>
      </c>
      <c r="GD169" s="5">
        <f t="shared" si="456"/>
        <v>0</v>
      </c>
      <c r="GE169" s="5">
        <f t="shared" si="457"/>
        <v>2</v>
      </c>
      <c r="GF169" s="5" t="str">
        <f t="shared" si="458"/>
        <v>Nivel de riesgo medio</v>
      </c>
      <c r="GG169" s="5" t="s">
        <v>273</v>
      </c>
      <c r="GH169" s="5" t="s">
        <v>273</v>
      </c>
      <c r="GI169" s="5" t="s">
        <v>273</v>
      </c>
      <c r="GJ169" s="5" t="s">
        <v>298</v>
      </c>
      <c r="GK169" s="5" t="s">
        <v>233</v>
      </c>
      <c r="GL169" s="5" t="s">
        <v>233</v>
      </c>
      <c r="GM169" s="5" t="s">
        <v>233</v>
      </c>
      <c r="GN169" s="5" t="s">
        <v>243</v>
      </c>
      <c r="GO169" s="5" t="s">
        <v>257</v>
      </c>
      <c r="GP169" s="5" t="s">
        <v>257</v>
      </c>
      <c r="GQ169" s="5" t="s">
        <v>257</v>
      </c>
      <c r="GR169" s="5" t="s">
        <v>257</v>
      </c>
      <c r="GS169" s="5" t="s">
        <v>257</v>
      </c>
      <c r="GT169" s="5" t="s">
        <v>257</v>
      </c>
      <c r="GU169" s="5" t="s">
        <v>519</v>
      </c>
      <c r="GV169" s="5" t="str">
        <f>TEXT("6278922002321195428","0")</f>
        <v>6278922002321190000</v>
      </c>
    </row>
    <row r="170" spans="1:204" ht="15.75" customHeight="1" x14ac:dyDescent="0.15">
      <c r="A170" s="1">
        <f t="shared" si="408"/>
        <v>170</v>
      </c>
      <c r="B170" s="4">
        <v>45847.578657407408</v>
      </c>
      <c r="C170" s="5" t="s">
        <v>204</v>
      </c>
      <c r="D170" s="5" t="s">
        <v>206</v>
      </c>
      <c r="F170" s="5" t="s">
        <v>206</v>
      </c>
      <c r="G170" s="5" t="s">
        <v>204</v>
      </c>
      <c r="H170" s="5" t="s">
        <v>206</v>
      </c>
      <c r="J170" s="5" t="s">
        <v>209</v>
      </c>
      <c r="O170" s="5" t="s">
        <v>209</v>
      </c>
      <c r="S170" s="5" t="s">
        <v>208</v>
      </c>
      <c r="X170" s="5" t="s">
        <v>208</v>
      </c>
      <c r="AC170" s="5" t="s">
        <v>208</v>
      </c>
      <c r="AH170" s="5" t="s">
        <v>210</v>
      </c>
      <c r="AI170" s="5">
        <v>2020</v>
      </c>
      <c r="AJ170" s="5" t="s">
        <v>238</v>
      </c>
      <c r="AK170" s="5" t="str">
        <f t="shared" si="409"/>
        <v>Trabajadora por cuenta propia</v>
      </c>
      <c r="AL170" s="5" t="s">
        <v>239</v>
      </c>
      <c r="AP170" s="5" t="s">
        <v>297</v>
      </c>
      <c r="AR170" s="5" t="s">
        <v>301</v>
      </c>
      <c r="AS170" s="5" t="s">
        <v>301</v>
      </c>
      <c r="AT170" s="5" t="s">
        <v>301</v>
      </c>
      <c r="AU170" s="5" t="s">
        <v>301</v>
      </c>
      <c r="AV170" s="5" t="s">
        <v>269</v>
      </c>
      <c r="AW170" s="5" t="s">
        <v>204</v>
      </c>
      <c r="AX170" s="5" t="s">
        <v>204</v>
      </c>
      <c r="AY170" s="5" t="s">
        <v>406</v>
      </c>
      <c r="AZ170" s="5" t="s">
        <v>204</v>
      </c>
      <c r="BA170" s="5" t="s">
        <v>263</v>
      </c>
      <c r="BF170" s="5" t="s">
        <v>204</v>
      </c>
      <c r="BG170" s="5" t="s">
        <v>278</v>
      </c>
      <c r="BH170" s="5" t="s">
        <v>278</v>
      </c>
      <c r="BI170" s="5" t="s">
        <v>278</v>
      </c>
      <c r="BJ170" s="5" t="s">
        <v>278</v>
      </c>
      <c r="BK170" s="5" t="s">
        <v>243</v>
      </c>
      <c r="BL170" s="5" t="s">
        <v>245</v>
      </c>
      <c r="BM170" s="5" t="s">
        <v>245</v>
      </c>
      <c r="BN170" s="5" t="s">
        <v>245</v>
      </c>
      <c r="BO170" s="5" t="s">
        <v>243</v>
      </c>
      <c r="BP170" s="5" t="s">
        <v>243</v>
      </c>
      <c r="BQ170" s="5" t="s">
        <v>245</v>
      </c>
      <c r="BR170" s="5" t="s">
        <v>246</v>
      </c>
      <c r="BS170" s="5" t="s">
        <v>254</v>
      </c>
      <c r="BT170" s="5" t="s">
        <v>254</v>
      </c>
      <c r="BU170" s="5" t="s">
        <v>217</v>
      </c>
      <c r="BV170" s="5" t="s">
        <v>248</v>
      </c>
      <c r="BW170" s="5" t="s">
        <v>247</v>
      </c>
      <c r="BX170" s="5" t="s">
        <v>247</v>
      </c>
      <c r="BY170" s="5" t="s">
        <v>217</v>
      </c>
      <c r="BZ170" s="5" t="s">
        <v>243</v>
      </c>
      <c r="CA170" s="5" t="s">
        <v>243</v>
      </c>
      <c r="CB170" s="5" t="s">
        <v>216</v>
      </c>
      <c r="CC170" s="5" t="s">
        <v>246</v>
      </c>
      <c r="CD170" s="5" t="s">
        <v>206</v>
      </c>
      <c r="CH170" s="5" t="s">
        <v>206</v>
      </c>
      <c r="CI170" s="5" t="s">
        <v>206</v>
      </c>
      <c r="CJ170" s="5">
        <v>0</v>
      </c>
      <c r="CK170" s="5" t="s">
        <v>223</v>
      </c>
      <c r="CU170" s="5" t="s">
        <v>206</v>
      </c>
      <c r="DA170" s="5" t="s">
        <v>252</v>
      </c>
      <c r="DB170" s="5">
        <f t="shared" si="410"/>
        <v>3</v>
      </c>
      <c r="DC170" s="5" t="s">
        <v>280</v>
      </c>
      <c r="DD170" s="5">
        <f t="shared" si="411"/>
        <v>4</v>
      </c>
      <c r="DE170" s="5" t="s">
        <v>280</v>
      </c>
      <c r="DF170" s="5">
        <f t="shared" si="412"/>
        <v>4</v>
      </c>
      <c r="DG170" s="5" t="s">
        <v>280</v>
      </c>
      <c r="DH170" s="5">
        <f t="shared" si="413"/>
        <v>4</v>
      </c>
      <c r="DI170" s="5" t="s">
        <v>280</v>
      </c>
      <c r="DJ170" s="5">
        <f t="shared" si="414"/>
        <v>4</v>
      </c>
      <c r="DK170" s="5" t="s">
        <v>280</v>
      </c>
      <c r="DL170" s="5">
        <f t="shared" si="415"/>
        <v>4</v>
      </c>
      <c r="DM170" s="5" t="s">
        <v>280</v>
      </c>
      <c r="DN170" s="5">
        <f t="shared" si="416"/>
        <v>4</v>
      </c>
      <c r="DO170" s="5" t="s">
        <v>281</v>
      </c>
      <c r="DP170" s="5">
        <f t="shared" si="417"/>
        <v>1</v>
      </c>
      <c r="DQ170" s="5" t="s">
        <v>252</v>
      </c>
      <c r="DR170" s="5">
        <f t="shared" si="418"/>
        <v>3</v>
      </c>
      <c r="DS170" s="5" t="s">
        <v>231</v>
      </c>
      <c r="DT170" s="5">
        <f t="shared" si="419"/>
        <v>2</v>
      </c>
      <c r="DU170" s="5" t="s">
        <v>231</v>
      </c>
      <c r="DV170" s="5">
        <f t="shared" si="420"/>
        <v>2</v>
      </c>
      <c r="DW170" s="5" t="s">
        <v>231</v>
      </c>
      <c r="DX170" s="5">
        <f t="shared" si="421"/>
        <v>2</v>
      </c>
      <c r="DY170" s="5">
        <f t="shared" si="422"/>
        <v>37</v>
      </c>
      <c r="DZ170" s="5" t="str">
        <f t="shared" si="423"/>
        <v>Nivel de riesgo alto</v>
      </c>
      <c r="EA170" s="5" t="s">
        <v>247</v>
      </c>
      <c r="EB170" s="5">
        <f t="shared" si="424"/>
        <v>2</v>
      </c>
      <c r="EC170" s="5" t="s">
        <v>232</v>
      </c>
      <c r="ED170" s="5">
        <f t="shared" si="425"/>
        <v>3</v>
      </c>
      <c r="EE170" s="5" t="s">
        <v>253</v>
      </c>
      <c r="EF170" s="5">
        <f t="shared" si="426"/>
        <v>0</v>
      </c>
      <c r="EG170" s="5">
        <f t="shared" si="427"/>
        <v>5</v>
      </c>
      <c r="EH170" s="5" t="str">
        <f t="shared" si="428"/>
        <v>Nivel de riesgo alto</v>
      </c>
      <c r="EI170" s="5" t="s">
        <v>253</v>
      </c>
      <c r="EJ170" s="5">
        <f t="shared" si="429"/>
        <v>0</v>
      </c>
      <c r="EK170" s="5" t="s">
        <v>253</v>
      </c>
      <c r="EL170" s="5">
        <f t="shared" si="430"/>
        <v>0</v>
      </c>
      <c r="EM170" s="5" t="s">
        <v>253</v>
      </c>
      <c r="EN170" s="5">
        <f t="shared" si="431"/>
        <v>0</v>
      </c>
      <c r="EO170" s="5">
        <f t="shared" si="432"/>
        <v>0</v>
      </c>
      <c r="EP170" s="5" t="str">
        <f t="shared" si="433"/>
        <v>Nivel de riesgo bajo</v>
      </c>
      <c r="EQ170" s="5" t="s">
        <v>253</v>
      </c>
      <c r="ER170" s="5">
        <f t="shared" si="434"/>
        <v>4</v>
      </c>
      <c r="ES170" s="5" t="s">
        <v>253</v>
      </c>
      <c r="ET170" s="5">
        <f t="shared" si="435"/>
        <v>4</v>
      </c>
      <c r="EU170" s="5" t="s">
        <v>253</v>
      </c>
      <c r="EV170" s="5">
        <f t="shared" si="436"/>
        <v>4</v>
      </c>
      <c r="EW170" s="5" t="s">
        <v>253</v>
      </c>
      <c r="EX170" s="5">
        <f t="shared" si="437"/>
        <v>4</v>
      </c>
      <c r="EY170" s="5">
        <f t="shared" si="438"/>
        <v>16</v>
      </c>
      <c r="EZ170" s="5" t="str">
        <f t="shared" si="439"/>
        <v>Nivel de riesgo alto</v>
      </c>
      <c r="FA170" s="5" t="s">
        <v>248</v>
      </c>
      <c r="FB170" s="5">
        <f t="shared" si="440"/>
        <v>1</v>
      </c>
      <c r="FC170" s="5" t="s">
        <v>253</v>
      </c>
      <c r="FD170" s="5">
        <f t="shared" si="441"/>
        <v>0</v>
      </c>
      <c r="FE170" s="5" t="s">
        <v>253</v>
      </c>
      <c r="FF170" s="5">
        <f t="shared" si="442"/>
        <v>0</v>
      </c>
      <c r="FG170" s="5">
        <f t="shared" si="443"/>
        <v>1</v>
      </c>
      <c r="FH170" s="5" t="str">
        <f t="shared" si="444"/>
        <v>Nivel de riesgo bajo</v>
      </c>
      <c r="FI170" s="5" t="s">
        <v>253</v>
      </c>
      <c r="FJ170" s="5">
        <f t="shared" si="445"/>
        <v>0</v>
      </c>
      <c r="FK170" s="5" t="s">
        <v>253</v>
      </c>
      <c r="FL170" s="5">
        <f t="shared" si="446"/>
        <v>0</v>
      </c>
      <c r="FM170" s="5" t="s">
        <v>253</v>
      </c>
      <c r="FN170" s="5">
        <f t="shared" si="447"/>
        <v>0</v>
      </c>
      <c r="FO170" s="5">
        <f t="shared" si="448"/>
        <v>0</v>
      </c>
      <c r="FP170" s="5" t="str">
        <f t="shared" si="449"/>
        <v>Nivel de riesgo bajo</v>
      </c>
      <c r="FQ170" s="5" t="s">
        <v>206</v>
      </c>
      <c r="FR170" s="5">
        <f t="shared" si="450"/>
        <v>0</v>
      </c>
      <c r="FS170" s="5" t="s">
        <v>206</v>
      </c>
      <c r="FT170" s="5">
        <f t="shared" si="451"/>
        <v>0</v>
      </c>
      <c r="FU170" s="5" t="s">
        <v>265</v>
      </c>
      <c r="FV170" s="5">
        <f t="shared" si="452"/>
        <v>1</v>
      </c>
      <c r="FW170" s="5" t="s">
        <v>206</v>
      </c>
      <c r="FX170" s="5">
        <f t="shared" si="453"/>
        <v>0</v>
      </c>
      <c r="FY170" s="5" t="s">
        <v>206</v>
      </c>
      <c r="FZ170" s="5">
        <f t="shared" si="454"/>
        <v>0</v>
      </c>
      <c r="GA170" s="5" t="s">
        <v>206</v>
      </c>
      <c r="GB170" s="5">
        <f t="shared" si="455"/>
        <v>0</v>
      </c>
      <c r="GC170" s="5" t="s">
        <v>206</v>
      </c>
      <c r="GD170" s="5">
        <f t="shared" si="456"/>
        <v>0</v>
      </c>
      <c r="GE170" s="5">
        <f t="shared" si="457"/>
        <v>1</v>
      </c>
      <c r="GF170" s="5" t="str">
        <f t="shared" si="458"/>
        <v>Nivel de riesgo medio</v>
      </c>
      <c r="GG170" s="5" t="s">
        <v>255</v>
      </c>
      <c r="GH170" s="5" t="s">
        <v>255</v>
      </c>
      <c r="GI170" s="5" t="s">
        <v>255</v>
      </c>
      <c r="GJ170" s="5" t="s">
        <v>273</v>
      </c>
      <c r="GK170" s="5" t="s">
        <v>233</v>
      </c>
      <c r="GL170" s="5" t="s">
        <v>233</v>
      </c>
      <c r="GM170" s="5" t="s">
        <v>255</v>
      </c>
      <c r="GN170" s="5" t="s">
        <v>256</v>
      </c>
      <c r="GO170" s="5" t="s">
        <v>256</v>
      </c>
      <c r="GP170" s="5" t="s">
        <v>243</v>
      </c>
      <c r="GQ170" s="5" t="s">
        <v>257</v>
      </c>
      <c r="GR170" s="5" t="s">
        <v>257</v>
      </c>
      <c r="GS170" s="5" t="s">
        <v>257</v>
      </c>
      <c r="GT170" s="5" t="s">
        <v>257</v>
      </c>
      <c r="GU170" s="5" t="s">
        <v>520</v>
      </c>
      <c r="GV170" s="5" t="str">
        <f>TEXT("6278927961522815858","0")</f>
        <v>6278927961522810000</v>
      </c>
    </row>
    <row r="171" spans="1:204" ht="15.75" customHeight="1" x14ac:dyDescent="0.15">
      <c r="A171" s="1">
        <f t="shared" si="408"/>
        <v>171</v>
      </c>
      <c r="B171" s="4">
        <v>45847.582245370373</v>
      </c>
      <c r="C171" s="5" t="s">
        <v>204</v>
      </c>
      <c r="D171" s="5" t="s">
        <v>204</v>
      </c>
      <c r="E171" s="5" t="s">
        <v>283</v>
      </c>
      <c r="F171" s="5" t="s">
        <v>206</v>
      </c>
      <c r="G171" s="5" t="s">
        <v>206</v>
      </c>
      <c r="H171" s="5" t="s">
        <v>206</v>
      </c>
      <c r="K171" s="5" t="s">
        <v>237</v>
      </c>
      <c r="O171" s="5" t="s">
        <v>209</v>
      </c>
      <c r="T171" s="5" t="s">
        <v>209</v>
      </c>
      <c r="X171" s="5" t="s">
        <v>208</v>
      </c>
      <c r="AD171" s="5" t="s">
        <v>209</v>
      </c>
      <c r="AH171" s="5" t="s">
        <v>268</v>
      </c>
      <c r="AI171" s="5">
        <v>2005</v>
      </c>
      <c r="AJ171" s="5" t="s">
        <v>238</v>
      </c>
      <c r="AK171" s="5" t="str">
        <f t="shared" si="409"/>
        <v>Trabajadora por cuenta propia</v>
      </c>
      <c r="AM171" s="5" t="s">
        <v>309</v>
      </c>
      <c r="AP171" s="5" t="s">
        <v>240</v>
      </c>
      <c r="AR171" s="5" t="s">
        <v>241</v>
      </c>
      <c r="AS171" s="5" t="s">
        <v>241</v>
      </c>
      <c r="AT171" s="5" t="s">
        <v>241</v>
      </c>
      <c r="AU171" s="5" t="s">
        <v>241</v>
      </c>
      <c r="AV171" s="5" t="s">
        <v>213</v>
      </c>
      <c r="AW171" s="5" t="s">
        <v>206</v>
      </c>
      <c r="BF171" s="5" t="s">
        <v>204</v>
      </c>
      <c r="BG171" s="5" t="s">
        <v>242</v>
      </c>
      <c r="BH171" s="5" t="s">
        <v>242</v>
      </c>
      <c r="BI171" s="5" t="s">
        <v>242</v>
      </c>
      <c r="BJ171" s="5" t="s">
        <v>242</v>
      </c>
      <c r="BK171" s="5" t="s">
        <v>244</v>
      </c>
      <c r="BL171" s="5" t="s">
        <v>244</v>
      </c>
      <c r="BM171" s="5" t="s">
        <v>244</v>
      </c>
      <c r="BN171" s="5" t="s">
        <v>244</v>
      </c>
      <c r="BO171" s="5" t="s">
        <v>244</v>
      </c>
      <c r="BP171" s="5" t="s">
        <v>243</v>
      </c>
      <c r="BQ171" s="5" t="s">
        <v>244</v>
      </c>
      <c r="BR171" s="5" t="s">
        <v>243</v>
      </c>
      <c r="BS171" s="5" t="s">
        <v>247</v>
      </c>
      <c r="BT171" s="5" t="s">
        <v>248</v>
      </c>
      <c r="BU171" s="5" t="s">
        <v>217</v>
      </c>
      <c r="BV171" s="5" t="s">
        <v>217</v>
      </c>
      <c r="BW171" s="5" t="s">
        <v>247</v>
      </c>
      <c r="BX171" s="5" t="s">
        <v>248</v>
      </c>
      <c r="BY171" s="5" t="s">
        <v>248</v>
      </c>
      <c r="CD171" s="5" t="s">
        <v>206</v>
      </c>
      <c r="CH171" s="5" t="s">
        <v>206</v>
      </c>
      <c r="CI171" s="5" t="s">
        <v>291</v>
      </c>
      <c r="CJ171" s="5">
        <v>9</v>
      </c>
      <c r="CK171" s="5" t="s">
        <v>223</v>
      </c>
      <c r="CU171" s="5" t="s">
        <v>206</v>
      </c>
      <c r="DA171" s="5" t="s">
        <v>272</v>
      </c>
      <c r="DB171" s="5">
        <f t="shared" si="410"/>
        <v>1</v>
      </c>
      <c r="DC171" s="5" t="s">
        <v>251</v>
      </c>
      <c r="DD171" s="5">
        <f t="shared" si="411"/>
        <v>1</v>
      </c>
      <c r="DE171" s="5" t="s">
        <v>251</v>
      </c>
      <c r="DF171" s="5">
        <f t="shared" si="412"/>
        <v>1</v>
      </c>
      <c r="DG171" s="5" t="s">
        <v>251</v>
      </c>
      <c r="DH171" s="5">
        <f t="shared" si="413"/>
        <v>1</v>
      </c>
      <c r="DI171" s="5" t="s">
        <v>251</v>
      </c>
      <c r="DJ171" s="5">
        <f t="shared" si="414"/>
        <v>1</v>
      </c>
      <c r="DK171" s="5" t="s">
        <v>251</v>
      </c>
      <c r="DL171" s="5">
        <f t="shared" si="415"/>
        <v>1</v>
      </c>
      <c r="DM171" s="5" t="s">
        <v>251</v>
      </c>
      <c r="DN171" s="5">
        <f t="shared" si="416"/>
        <v>1</v>
      </c>
      <c r="DO171" s="5" t="s">
        <v>229</v>
      </c>
      <c r="DP171" s="5">
        <f t="shared" si="417"/>
        <v>4</v>
      </c>
      <c r="DQ171" s="5" t="s">
        <v>229</v>
      </c>
      <c r="DR171" s="5">
        <f t="shared" si="418"/>
        <v>4</v>
      </c>
      <c r="DS171" s="5" t="s">
        <v>229</v>
      </c>
      <c r="DT171" s="5">
        <f t="shared" si="419"/>
        <v>4</v>
      </c>
      <c r="DU171" s="5" t="s">
        <v>229</v>
      </c>
      <c r="DV171" s="5">
        <f t="shared" si="420"/>
        <v>4</v>
      </c>
      <c r="DW171" s="5" t="s">
        <v>229</v>
      </c>
      <c r="DX171" s="5">
        <f t="shared" si="421"/>
        <v>4</v>
      </c>
      <c r="DY171" s="5">
        <f t="shared" si="422"/>
        <v>27</v>
      </c>
      <c r="DZ171" s="5" t="str">
        <f t="shared" si="423"/>
        <v>Nivel de riesgo alto</v>
      </c>
      <c r="EA171" s="5" t="s">
        <v>248</v>
      </c>
      <c r="EB171" s="5">
        <f t="shared" si="424"/>
        <v>1</v>
      </c>
      <c r="EC171" s="5" t="s">
        <v>248</v>
      </c>
      <c r="ED171" s="5">
        <f t="shared" si="425"/>
        <v>1</v>
      </c>
      <c r="EE171" s="5" t="s">
        <v>253</v>
      </c>
      <c r="EF171" s="5">
        <f t="shared" si="426"/>
        <v>0</v>
      </c>
      <c r="EG171" s="5">
        <f t="shared" si="427"/>
        <v>2</v>
      </c>
      <c r="EH171" s="5" t="str">
        <f t="shared" si="428"/>
        <v>Nivel de riesgo medio</v>
      </c>
      <c r="EI171" s="5" t="s">
        <v>253</v>
      </c>
      <c r="EJ171" s="5">
        <f t="shared" si="429"/>
        <v>0</v>
      </c>
      <c r="EK171" s="5" t="s">
        <v>248</v>
      </c>
      <c r="EL171" s="5">
        <f t="shared" si="430"/>
        <v>1</v>
      </c>
      <c r="EM171" s="5" t="s">
        <v>253</v>
      </c>
      <c r="EN171" s="5">
        <f t="shared" si="431"/>
        <v>0</v>
      </c>
      <c r="EO171" s="5">
        <f t="shared" si="432"/>
        <v>1</v>
      </c>
      <c r="EP171" s="5" t="str">
        <f t="shared" si="433"/>
        <v>Nivel de riesgo bajo</v>
      </c>
      <c r="EQ171" s="5" t="s">
        <v>248</v>
      </c>
      <c r="ER171" s="5">
        <f t="shared" si="434"/>
        <v>3</v>
      </c>
      <c r="ES171" s="5" t="s">
        <v>247</v>
      </c>
      <c r="ET171" s="5">
        <f t="shared" si="435"/>
        <v>2</v>
      </c>
      <c r="EU171" s="5" t="s">
        <v>254</v>
      </c>
      <c r="EV171" s="5">
        <f t="shared" si="436"/>
        <v>0</v>
      </c>
      <c r="EW171" s="5" t="s">
        <v>254</v>
      </c>
      <c r="EX171" s="5">
        <f t="shared" si="437"/>
        <v>0</v>
      </c>
      <c r="EY171" s="5">
        <f t="shared" si="438"/>
        <v>5</v>
      </c>
      <c r="EZ171" s="5" t="str">
        <f t="shared" si="439"/>
        <v>Nivel de riesgo alto</v>
      </c>
      <c r="FA171" s="5" t="s">
        <v>248</v>
      </c>
      <c r="FB171" s="5">
        <f t="shared" si="440"/>
        <v>1</v>
      </c>
      <c r="FC171" s="5" t="s">
        <v>253</v>
      </c>
      <c r="FD171" s="5">
        <f t="shared" si="441"/>
        <v>0</v>
      </c>
      <c r="FE171" s="5" t="s">
        <v>253</v>
      </c>
      <c r="FF171" s="5">
        <f t="shared" si="442"/>
        <v>0</v>
      </c>
      <c r="FG171" s="5">
        <f t="shared" si="443"/>
        <v>1</v>
      </c>
      <c r="FH171" s="5" t="str">
        <f t="shared" si="444"/>
        <v>Nivel de riesgo bajo</v>
      </c>
      <c r="FI171" s="5" t="s">
        <v>253</v>
      </c>
      <c r="FJ171" s="5">
        <f t="shared" si="445"/>
        <v>0</v>
      </c>
      <c r="FK171" s="5" t="s">
        <v>253</v>
      </c>
      <c r="FL171" s="5">
        <f t="shared" si="446"/>
        <v>0</v>
      </c>
      <c r="FM171" s="5" t="s">
        <v>253</v>
      </c>
      <c r="FN171" s="5">
        <f t="shared" si="447"/>
        <v>0</v>
      </c>
      <c r="FO171" s="5">
        <f t="shared" si="448"/>
        <v>0</v>
      </c>
      <c r="FP171" s="5" t="str">
        <f t="shared" si="449"/>
        <v>Nivel de riesgo bajo</v>
      </c>
      <c r="FQ171" s="5" t="s">
        <v>206</v>
      </c>
      <c r="FR171" s="5">
        <f t="shared" si="450"/>
        <v>0</v>
      </c>
      <c r="FS171" s="5" t="s">
        <v>206</v>
      </c>
      <c r="FT171" s="5">
        <f t="shared" si="451"/>
        <v>0</v>
      </c>
      <c r="FU171" s="5" t="s">
        <v>206</v>
      </c>
      <c r="FV171" s="5">
        <f t="shared" si="452"/>
        <v>0</v>
      </c>
      <c r="FW171" s="5" t="s">
        <v>206</v>
      </c>
      <c r="FX171" s="5">
        <f t="shared" si="453"/>
        <v>0</v>
      </c>
      <c r="FY171" s="5" t="s">
        <v>206</v>
      </c>
      <c r="FZ171" s="5">
        <f t="shared" si="454"/>
        <v>0</v>
      </c>
      <c r="GA171" s="5" t="s">
        <v>206</v>
      </c>
      <c r="GB171" s="5">
        <f t="shared" si="455"/>
        <v>0</v>
      </c>
      <c r="GC171" s="5" t="s">
        <v>206</v>
      </c>
      <c r="GD171" s="5">
        <f t="shared" si="456"/>
        <v>0</v>
      </c>
      <c r="GE171" s="5">
        <f t="shared" si="457"/>
        <v>0</v>
      </c>
      <c r="GF171" s="5" t="str">
        <f t="shared" si="458"/>
        <v>Nivel de riesgo bajo</v>
      </c>
      <c r="GG171" s="5" t="s">
        <v>255</v>
      </c>
      <c r="GH171" s="5" t="s">
        <v>255</v>
      </c>
      <c r="GI171" s="5" t="s">
        <v>255</v>
      </c>
      <c r="GJ171" s="5" t="s">
        <v>255</v>
      </c>
      <c r="GK171" s="5" t="s">
        <v>233</v>
      </c>
      <c r="GL171" s="5" t="s">
        <v>266</v>
      </c>
      <c r="GM171" s="5" t="s">
        <v>266</v>
      </c>
      <c r="GN171" s="5" t="s">
        <v>256</v>
      </c>
      <c r="GO171" s="5" t="s">
        <v>256</v>
      </c>
      <c r="GP171" s="5" t="s">
        <v>256</v>
      </c>
      <c r="GQ171" s="5" t="s">
        <v>256</v>
      </c>
      <c r="GR171" s="5" t="s">
        <v>256</v>
      </c>
      <c r="GS171" s="5" t="s">
        <v>256</v>
      </c>
      <c r="GT171" s="5" t="s">
        <v>256</v>
      </c>
      <c r="GU171" s="5" t="s">
        <v>521</v>
      </c>
      <c r="GV171" s="5" t="str">
        <f>TEXT("6278931060853988227","0")</f>
        <v>6278931060853980000</v>
      </c>
    </row>
    <row r="172" spans="1:204" ht="15.75" customHeight="1" x14ac:dyDescent="0.15">
      <c r="A172" s="1">
        <f t="shared" si="408"/>
        <v>172</v>
      </c>
      <c r="B172" s="4">
        <v>45847.582928240743</v>
      </c>
      <c r="C172" s="5" t="s">
        <v>204</v>
      </c>
      <c r="D172" s="5" t="s">
        <v>204</v>
      </c>
      <c r="E172" s="5" t="s">
        <v>495</v>
      </c>
      <c r="F172" s="5" t="s">
        <v>206</v>
      </c>
      <c r="G172" s="5" t="s">
        <v>206</v>
      </c>
      <c r="H172" s="5" t="s">
        <v>206</v>
      </c>
      <c r="L172" s="5" t="s">
        <v>236</v>
      </c>
      <c r="O172" s="5" t="s">
        <v>209</v>
      </c>
      <c r="T172" s="5" t="s">
        <v>209</v>
      </c>
      <c r="X172" s="5" t="s">
        <v>208</v>
      </c>
      <c r="AG172" s="5" t="s">
        <v>207</v>
      </c>
      <c r="AH172" s="5" t="s">
        <v>275</v>
      </c>
      <c r="AI172" s="5">
        <v>2021</v>
      </c>
      <c r="AJ172" s="5" t="s">
        <v>330</v>
      </c>
      <c r="AK172" s="5" t="str">
        <f t="shared" si="409"/>
        <v>Asalariada</v>
      </c>
      <c r="AQ172" s="5" t="s">
        <v>204</v>
      </c>
      <c r="AR172" s="5" t="s">
        <v>241</v>
      </c>
      <c r="AS172" s="5" t="s">
        <v>294</v>
      </c>
      <c r="AT172" s="5" t="s">
        <v>294</v>
      </c>
      <c r="AU172" s="5" t="s">
        <v>261</v>
      </c>
      <c r="AV172" s="5" t="s">
        <v>213</v>
      </c>
      <c r="AW172" s="5" t="s">
        <v>206</v>
      </c>
      <c r="BF172" s="5" t="s">
        <v>204</v>
      </c>
      <c r="BG172" s="5" t="s">
        <v>207</v>
      </c>
      <c r="BH172" s="5" t="s">
        <v>215</v>
      </c>
      <c r="BI172" s="5" t="s">
        <v>207</v>
      </c>
      <c r="BJ172" s="5" t="s">
        <v>215</v>
      </c>
      <c r="BK172" s="5" t="s">
        <v>243</v>
      </c>
      <c r="BL172" s="5" t="s">
        <v>244</v>
      </c>
      <c r="BM172" s="5" t="s">
        <v>246</v>
      </c>
      <c r="BN172" s="5" t="s">
        <v>244</v>
      </c>
      <c r="BO172" s="5" t="s">
        <v>244</v>
      </c>
      <c r="BP172" s="5" t="s">
        <v>244</v>
      </c>
      <c r="BQ172" s="5" t="s">
        <v>244</v>
      </c>
      <c r="BR172" s="5" t="s">
        <v>244</v>
      </c>
      <c r="BS172" s="5" t="s">
        <v>232</v>
      </c>
      <c r="BT172" s="5" t="s">
        <v>247</v>
      </c>
      <c r="BU172" s="5" t="s">
        <v>248</v>
      </c>
      <c r="BV172" s="5" t="s">
        <v>248</v>
      </c>
      <c r="BW172" s="5" t="s">
        <v>232</v>
      </c>
      <c r="BX172" s="5" t="s">
        <v>247</v>
      </c>
      <c r="BY172" s="5" t="s">
        <v>247</v>
      </c>
      <c r="CD172" s="5" t="s">
        <v>206</v>
      </c>
      <c r="CH172" s="5" t="s">
        <v>206</v>
      </c>
      <c r="CI172" s="5" t="s">
        <v>249</v>
      </c>
      <c r="CJ172" s="5">
        <v>3</v>
      </c>
      <c r="CK172" s="5" t="s">
        <v>223</v>
      </c>
      <c r="CU172" s="5" t="s">
        <v>206</v>
      </c>
      <c r="DA172" s="5" t="s">
        <v>252</v>
      </c>
      <c r="DB172" s="5">
        <f t="shared" si="410"/>
        <v>3</v>
      </c>
      <c r="DC172" s="5" t="s">
        <v>280</v>
      </c>
      <c r="DD172" s="5">
        <f t="shared" si="411"/>
        <v>4</v>
      </c>
      <c r="DE172" s="5" t="s">
        <v>280</v>
      </c>
      <c r="DF172" s="5">
        <f t="shared" si="412"/>
        <v>4</v>
      </c>
      <c r="DG172" s="5" t="s">
        <v>230</v>
      </c>
      <c r="DH172" s="5">
        <f t="shared" si="413"/>
        <v>2</v>
      </c>
      <c r="DI172" s="5" t="s">
        <v>250</v>
      </c>
      <c r="DJ172" s="5">
        <f t="shared" si="414"/>
        <v>3</v>
      </c>
      <c r="DK172" s="5" t="s">
        <v>251</v>
      </c>
      <c r="DL172" s="5">
        <f t="shared" si="415"/>
        <v>1</v>
      </c>
      <c r="DM172" s="5" t="s">
        <v>251</v>
      </c>
      <c r="DN172" s="5">
        <f t="shared" si="416"/>
        <v>1</v>
      </c>
      <c r="DO172" s="5" t="s">
        <v>252</v>
      </c>
      <c r="DP172" s="5">
        <f t="shared" si="417"/>
        <v>3</v>
      </c>
      <c r="DQ172" s="5" t="s">
        <v>231</v>
      </c>
      <c r="DR172" s="5">
        <f t="shared" si="418"/>
        <v>2</v>
      </c>
      <c r="DS172" s="5" t="s">
        <v>252</v>
      </c>
      <c r="DT172" s="5">
        <f t="shared" si="419"/>
        <v>3</v>
      </c>
      <c r="DU172" s="5" t="s">
        <v>231</v>
      </c>
      <c r="DV172" s="5">
        <f t="shared" si="420"/>
        <v>2</v>
      </c>
      <c r="DW172" s="5" t="s">
        <v>252</v>
      </c>
      <c r="DX172" s="5">
        <f t="shared" si="421"/>
        <v>3</v>
      </c>
      <c r="DY172" s="5">
        <f t="shared" si="422"/>
        <v>31</v>
      </c>
      <c r="DZ172" s="5" t="str">
        <f t="shared" si="423"/>
        <v>Nivel de riesgo alto</v>
      </c>
      <c r="EA172" s="5" t="s">
        <v>248</v>
      </c>
      <c r="EB172" s="5">
        <f t="shared" si="424"/>
        <v>1</v>
      </c>
      <c r="EC172" s="5" t="s">
        <v>247</v>
      </c>
      <c r="ED172" s="5">
        <f t="shared" si="425"/>
        <v>2</v>
      </c>
      <c r="EE172" s="5" t="s">
        <v>248</v>
      </c>
      <c r="EF172" s="5">
        <f t="shared" si="426"/>
        <v>1</v>
      </c>
      <c r="EG172" s="5">
        <f t="shared" si="427"/>
        <v>4</v>
      </c>
      <c r="EH172" s="5" t="str">
        <f t="shared" si="428"/>
        <v>Nivel de riesgo medio</v>
      </c>
      <c r="EI172" s="5" t="s">
        <v>254</v>
      </c>
      <c r="EJ172" s="5">
        <f t="shared" si="429"/>
        <v>4</v>
      </c>
      <c r="EK172" s="5" t="s">
        <v>254</v>
      </c>
      <c r="EL172" s="5">
        <f t="shared" si="430"/>
        <v>4</v>
      </c>
      <c r="EM172" s="5" t="s">
        <v>254</v>
      </c>
      <c r="EN172" s="5">
        <f t="shared" si="431"/>
        <v>4</v>
      </c>
      <c r="EO172" s="5">
        <f t="shared" si="432"/>
        <v>12</v>
      </c>
      <c r="EP172" s="5" t="str">
        <f t="shared" si="433"/>
        <v>Nivel de riesgo alto</v>
      </c>
      <c r="EQ172" s="5" t="s">
        <v>248</v>
      </c>
      <c r="ER172" s="5">
        <f t="shared" si="434"/>
        <v>3</v>
      </c>
      <c r="ES172" s="5" t="s">
        <v>248</v>
      </c>
      <c r="ET172" s="5">
        <f t="shared" si="435"/>
        <v>3</v>
      </c>
      <c r="EU172" s="5" t="s">
        <v>248</v>
      </c>
      <c r="EV172" s="5">
        <f t="shared" si="436"/>
        <v>3</v>
      </c>
      <c r="EW172" s="5" t="s">
        <v>248</v>
      </c>
      <c r="EX172" s="5">
        <f t="shared" si="437"/>
        <v>3</v>
      </c>
      <c r="EY172" s="5">
        <f t="shared" si="438"/>
        <v>12</v>
      </c>
      <c r="EZ172" s="5" t="str">
        <f t="shared" si="439"/>
        <v>Nivel de riesgo alto</v>
      </c>
      <c r="FA172" s="5" t="s">
        <v>248</v>
      </c>
      <c r="FB172" s="5">
        <f t="shared" si="440"/>
        <v>1</v>
      </c>
      <c r="FC172" s="5" t="s">
        <v>248</v>
      </c>
      <c r="FD172" s="5">
        <f t="shared" si="441"/>
        <v>1</v>
      </c>
      <c r="FE172" s="5" t="s">
        <v>248</v>
      </c>
      <c r="FF172" s="5">
        <f t="shared" si="442"/>
        <v>1</v>
      </c>
      <c r="FG172" s="5">
        <f t="shared" si="443"/>
        <v>3</v>
      </c>
      <c r="FH172" s="5" t="str">
        <f t="shared" si="444"/>
        <v>Nivel de riesgo medio</v>
      </c>
      <c r="FI172" s="5" t="s">
        <v>232</v>
      </c>
      <c r="FJ172" s="5">
        <f t="shared" si="445"/>
        <v>3</v>
      </c>
      <c r="FK172" s="5" t="s">
        <v>232</v>
      </c>
      <c r="FL172" s="5">
        <f t="shared" si="446"/>
        <v>3</v>
      </c>
      <c r="FM172" s="5" t="s">
        <v>248</v>
      </c>
      <c r="FN172" s="5">
        <f t="shared" si="447"/>
        <v>1</v>
      </c>
      <c r="FO172" s="5">
        <f t="shared" si="448"/>
        <v>7</v>
      </c>
      <c r="FP172" s="5" t="str">
        <f t="shared" si="449"/>
        <v>Nivel de riesgo alto</v>
      </c>
      <c r="FQ172" s="5" t="s">
        <v>325</v>
      </c>
      <c r="FR172" s="5">
        <f t="shared" si="450"/>
        <v>2</v>
      </c>
      <c r="FS172" s="5" t="s">
        <v>265</v>
      </c>
      <c r="FT172" s="5">
        <f t="shared" si="451"/>
        <v>1</v>
      </c>
      <c r="FU172" s="5" t="s">
        <v>206</v>
      </c>
      <c r="FV172" s="5">
        <f t="shared" si="452"/>
        <v>0</v>
      </c>
      <c r="FW172" s="5" t="s">
        <v>206</v>
      </c>
      <c r="FX172" s="5">
        <f t="shared" si="453"/>
        <v>0</v>
      </c>
      <c r="FY172" s="5" t="s">
        <v>265</v>
      </c>
      <c r="FZ172" s="5">
        <f t="shared" si="454"/>
        <v>1</v>
      </c>
      <c r="GA172" s="5" t="s">
        <v>206</v>
      </c>
      <c r="GB172" s="5">
        <f t="shared" si="455"/>
        <v>0</v>
      </c>
      <c r="GC172" s="5" t="s">
        <v>265</v>
      </c>
      <c r="GD172" s="5">
        <f t="shared" si="456"/>
        <v>1</v>
      </c>
      <c r="GE172" s="5">
        <f t="shared" si="457"/>
        <v>5</v>
      </c>
      <c r="GF172" s="5" t="str">
        <f t="shared" si="458"/>
        <v>Nivel de riesgo medio</v>
      </c>
      <c r="GG172" s="5" t="s">
        <v>273</v>
      </c>
      <c r="GH172" s="5" t="s">
        <v>273</v>
      </c>
      <c r="GI172" s="5" t="s">
        <v>273</v>
      </c>
      <c r="GJ172" s="5" t="s">
        <v>233</v>
      </c>
      <c r="GK172" s="5" t="s">
        <v>266</v>
      </c>
      <c r="GL172" s="5" t="s">
        <v>273</v>
      </c>
      <c r="GM172" s="5" t="s">
        <v>273</v>
      </c>
      <c r="GN172" s="5" t="s">
        <v>234</v>
      </c>
      <c r="GO172" s="5" t="s">
        <v>234</v>
      </c>
      <c r="GP172" s="5" t="s">
        <v>234</v>
      </c>
      <c r="GQ172" s="5" t="s">
        <v>234</v>
      </c>
      <c r="GR172" s="5" t="s">
        <v>234</v>
      </c>
      <c r="GS172" s="5" t="s">
        <v>244</v>
      </c>
      <c r="GT172" s="5" t="s">
        <v>234</v>
      </c>
      <c r="GU172" s="5" t="s">
        <v>522</v>
      </c>
      <c r="GV172" s="5" t="str">
        <f>TEXT("6278931656429002575","0")</f>
        <v>6278931656429000000</v>
      </c>
    </row>
    <row r="173" spans="1:204" ht="15.75" customHeight="1" x14ac:dyDescent="0.15">
      <c r="A173" s="1">
        <f t="shared" si="408"/>
        <v>173</v>
      </c>
      <c r="B173" s="4">
        <v>45847.583182870374</v>
      </c>
      <c r="C173" s="5" t="s">
        <v>204</v>
      </c>
      <c r="D173" s="5" t="s">
        <v>206</v>
      </c>
      <c r="F173" s="5" t="s">
        <v>206</v>
      </c>
      <c r="G173" s="5" t="s">
        <v>206</v>
      </c>
      <c r="H173" s="5" t="s">
        <v>206</v>
      </c>
      <c r="K173" s="5" t="s">
        <v>237</v>
      </c>
      <c r="O173" s="5" t="s">
        <v>209</v>
      </c>
      <c r="T173" s="5" t="s">
        <v>209</v>
      </c>
      <c r="Z173" s="5" t="s">
        <v>237</v>
      </c>
      <c r="AC173" s="5" t="s">
        <v>208</v>
      </c>
      <c r="AH173" s="5" t="s">
        <v>275</v>
      </c>
      <c r="AI173" s="5">
        <v>2012</v>
      </c>
      <c r="AJ173" s="5" t="s">
        <v>330</v>
      </c>
      <c r="AK173" s="5" t="str">
        <f t="shared" si="409"/>
        <v>Asalariada</v>
      </c>
      <c r="AQ173" s="5" t="s">
        <v>204</v>
      </c>
      <c r="AR173" s="5" t="s">
        <v>241</v>
      </c>
      <c r="AS173" s="5" t="s">
        <v>241</v>
      </c>
      <c r="AT173" s="5" t="s">
        <v>294</v>
      </c>
      <c r="AU173" s="5" t="s">
        <v>276</v>
      </c>
      <c r="AV173" s="5" t="s">
        <v>285</v>
      </c>
      <c r="AW173" s="5" t="s">
        <v>204</v>
      </c>
      <c r="AX173" s="5" t="s">
        <v>206</v>
      </c>
      <c r="BF173" s="5" t="s">
        <v>206</v>
      </c>
      <c r="CK173" s="5" t="s">
        <v>223</v>
      </c>
      <c r="CU173" s="5" t="s">
        <v>206</v>
      </c>
      <c r="DA173" s="5" t="s">
        <v>231</v>
      </c>
      <c r="DB173" s="5">
        <f t="shared" si="410"/>
        <v>2</v>
      </c>
      <c r="DC173" s="5" t="s">
        <v>230</v>
      </c>
      <c r="DD173" s="5">
        <f t="shared" si="411"/>
        <v>2</v>
      </c>
      <c r="DE173" s="5" t="s">
        <v>230</v>
      </c>
      <c r="DF173" s="5">
        <f t="shared" si="412"/>
        <v>2</v>
      </c>
      <c r="DG173" s="5" t="s">
        <v>230</v>
      </c>
      <c r="DH173" s="5">
        <f t="shared" si="413"/>
        <v>2</v>
      </c>
      <c r="DI173" s="5" t="s">
        <v>251</v>
      </c>
      <c r="DJ173" s="5">
        <f t="shared" si="414"/>
        <v>1</v>
      </c>
      <c r="DK173" s="5" t="s">
        <v>230</v>
      </c>
      <c r="DL173" s="5">
        <f t="shared" si="415"/>
        <v>2</v>
      </c>
      <c r="DM173" s="5" t="s">
        <v>251</v>
      </c>
      <c r="DN173" s="5">
        <f t="shared" si="416"/>
        <v>1</v>
      </c>
      <c r="DO173" s="5" t="s">
        <v>231</v>
      </c>
      <c r="DP173" s="5">
        <f t="shared" si="417"/>
        <v>2</v>
      </c>
      <c r="DQ173" s="5" t="s">
        <v>231</v>
      </c>
      <c r="DR173" s="5">
        <f t="shared" si="418"/>
        <v>2</v>
      </c>
      <c r="DS173" s="5" t="s">
        <v>231</v>
      </c>
      <c r="DT173" s="5">
        <f t="shared" si="419"/>
        <v>2</v>
      </c>
      <c r="DU173" s="5" t="s">
        <v>231</v>
      </c>
      <c r="DV173" s="5">
        <f t="shared" si="420"/>
        <v>2</v>
      </c>
      <c r="DW173" s="5" t="s">
        <v>231</v>
      </c>
      <c r="DX173" s="5">
        <f t="shared" si="421"/>
        <v>2</v>
      </c>
      <c r="DY173" s="5">
        <f t="shared" si="422"/>
        <v>22</v>
      </c>
      <c r="DZ173" s="5" t="str">
        <f t="shared" si="423"/>
        <v>Nivel de riesgo medio</v>
      </c>
      <c r="EA173" s="5" t="s">
        <v>248</v>
      </c>
      <c r="EB173" s="5">
        <f t="shared" si="424"/>
        <v>1</v>
      </c>
      <c r="EC173" s="5" t="s">
        <v>253</v>
      </c>
      <c r="ED173" s="5">
        <f t="shared" si="425"/>
        <v>0</v>
      </c>
      <c r="EE173" s="5" t="s">
        <v>253</v>
      </c>
      <c r="EF173" s="5">
        <f t="shared" si="426"/>
        <v>0</v>
      </c>
      <c r="EG173" s="5">
        <f t="shared" si="427"/>
        <v>1</v>
      </c>
      <c r="EH173" s="5" t="str">
        <f t="shared" si="428"/>
        <v>Nivel de riesgo bajo</v>
      </c>
      <c r="EI173" s="5" t="s">
        <v>253</v>
      </c>
      <c r="EJ173" s="5">
        <f t="shared" si="429"/>
        <v>0</v>
      </c>
      <c r="EK173" s="5" t="s">
        <v>247</v>
      </c>
      <c r="EL173" s="5">
        <f t="shared" si="430"/>
        <v>2</v>
      </c>
      <c r="EM173" s="5" t="s">
        <v>247</v>
      </c>
      <c r="EN173" s="5">
        <f t="shared" si="431"/>
        <v>2</v>
      </c>
      <c r="EO173" s="5">
        <f t="shared" si="432"/>
        <v>4</v>
      </c>
      <c r="EP173" s="5" t="str">
        <f t="shared" si="433"/>
        <v>Nivel de riesgo medio</v>
      </c>
      <c r="EQ173" s="5" t="s">
        <v>253</v>
      </c>
      <c r="ER173" s="5">
        <f t="shared" si="434"/>
        <v>4</v>
      </c>
      <c r="ES173" s="5" t="s">
        <v>253</v>
      </c>
      <c r="ET173" s="5">
        <f t="shared" si="435"/>
        <v>4</v>
      </c>
      <c r="EU173" s="5" t="s">
        <v>232</v>
      </c>
      <c r="EV173" s="5">
        <f t="shared" si="436"/>
        <v>1</v>
      </c>
      <c r="EW173" s="5" t="s">
        <v>232</v>
      </c>
      <c r="EX173" s="5">
        <f t="shared" si="437"/>
        <v>1</v>
      </c>
      <c r="EY173" s="5">
        <f t="shared" si="438"/>
        <v>10</v>
      </c>
      <c r="EZ173" s="5" t="str">
        <f t="shared" si="439"/>
        <v>Nivel de riesgo alto</v>
      </c>
      <c r="FA173" s="5" t="s">
        <v>248</v>
      </c>
      <c r="FB173" s="5">
        <f t="shared" si="440"/>
        <v>1</v>
      </c>
      <c r="FC173" s="5" t="s">
        <v>248</v>
      </c>
      <c r="FD173" s="5">
        <f t="shared" si="441"/>
        <v>1</v>
      </c>
      <c r="FE173" s="5" t="s">
        <v>247</v>
      </c>
      <c r="FF173" s="5">
        <f t="shared" si="442"/>
        <v>2</v>
      </c>
      <c r="FG173" s="5">
        <f t="shared" si="443"/>
        <v>4</v>
      </c>
      <c r="FH173" s="5" t="str">
        <f t="shared" si="444"/>
        <v>Nivel de riesgo medio</v>
      </c>
      <c r="FI173" s="5" t="s">
        <v>247</v>
      </c>
      <c r="FJ173" s="5">
        <f t="shared" si="445"/>
        <v>2</v>
      </c>
      <c r="FK173" s="5" t="s">
        <v>247</v>
      </c>
      <c r="FL173" s="5">
        <f t="shared" si="446"/>
        <v>2</v>
      </c>
      <c r="FM173" s="5" t="s">
        <v>247</v>
      </c>
      <c r="FN173" s="5">
        <f t="shared" si="447"/>
        <v>2</v>
      </c>
      <c r="FO173" s="5">
        <f t="shared" si="448"/>
        <v>6</v>
      </c>
      <c r="FP173" s="5" t="str">
        <f t="shared" si="449"/>
        <v>Nivel de riesgo alto</v>
      </c>
      <c r="FQ173" s="5" t="s">
        <v>265</v>
      </c>
      <c r="FR173" s="5">
        <f t="shared" si="450"/>
        <v>1</v>
      </c>
      <c r="FS173" s="5" t="s">
        <v>206</v>
      </c>
      <c r="FT173" s="5">
        <f t="shared" si="451"/>
        <v>0</v>
      </c>
      <c r="FU173" s="5" t="s">
        <v>206</v>
      </c>
      <c r="FV173" s="5">
        <f t="shared" si="452"/>
        <v>0</v>
      </c>
      <c r="FW173" s="5" t="s">
        <v>206</v>
      </c>
      <c r="FX173" s="5">
        <f t="shared" si="453"/>
        <v>0</v>
      </c>
      <c r="FY173" s="5" t="s">
        <v>206</v>
      </c>
      <c r="FZ173" s="5">
        <f t="shared" si="454"/>
        <v>0</v>
      </c>
      <c r="GA173" s="5" t="s">
        <v>206</v>
      </c>
      <c r="GB173" s="5">
        <f t="shared" si="455"/>
        <v>0</v>
      </c>
      <c r="GC173" s="5" t="s">
        <v>206</v>
      </c>
      <c r="GD173" s="5">
        <f t="shared" si="456"/>
        <v>0</v>
      </c>
      <c r="GE173" s="5">
        <f t="shared" si="457"/>
        <v>1</v>
      </c>
      <c r="GF173" s="5" t="str">
        <f t="shared" si="458"/>
        <v>Nivel de riesgo medio</v>
      </c>
      <c r="GG173" s="5" t="s">
        <v>298</v>
      </c>
      <c r="GH173" s="5" t="s">
        <v>298</v>
      </c>
      <c r="GI173" s="5" t="s">
        <v>298</v>
      </c>
      <c r="GJ173" s="5" t="s">
        <v>298</v>
      </c>
      <c r="GK173" s="5" t="s">
        <v>298</v>
      </c>
      <c r="GL173" s="5" t="s">
        <v>298</v>
      </c>
      <c r="GM173" s="5" t="s">
        <v>298</v>
      </c>
      <c r="GN173" s="5" t="s">
        <v>257</v>
      </c>
      <c r="GO173" s="5" t="s">
        <v>234</v>
      </c>
      <c r="GP173" s="5" t="s">
        <v>234</v>
      </c>
      <c r="GQ173" s="5" t="s">
        <v>234</v>
      </c>
      <c r="GR173" s="5" t="s">
        <v>234</v>
      </c>
      <c r="GS173" s="5" t="s">
        <v>234</v>
      </c>
      <c r="GT173" s="5" t="s">
        <v>234</v>
      </c>
      <c r="GU173" s="5" t="s">
        <v>523</v>
      </c>
      <c r="GV173" s="5" t="str">
        <f>TEXT("6278931875522659980","0")</f>
        <v>6278931875522650000</v>
      </c>
    </row>
    <row r="174" spans="1:204" ht="15.75" customHeight="1" x14ac:dyDescent="0.15">
      <c r="A174" s="1">
        <f t="shared" si="408"/>
        <v>174</v>
      </c>
      <c r="B174" s="4">
        <v>45847.586423611108</v>
      </c>
      <c r="C174" s="5" t="s">
        <v>204</v>
      </c>
      <c r="D174" s="5" t="s">
        <v>206</v>
      </c>
      <c r="F174" s="5" t="s">
        <v>206</v>
      </c>
      <c r="G174" s="5" t="s">
        <v>204</v>
      </c>
      <c r="H174" s="5" t="s">
        <v>206</v>
      </c>
      <c r="L174" s="5" t="s">
        <v>236</v>
      </c>
      <c r="O174" s="5" t="s">
        <v>209</v>
      </c>
      <c r="T174" s="5" t="s">
        <v>209</v>
      </c>
      <c r="X174" s="5" t="s">
        <v>208</v>
      </c>
      <c r="AD174" s="5" t="s">
        <v>209</v>
      </c>
      <c r="AH174" s="5" t="s">
        <v>210</v>
      </c>
      <c r="AI174" s="5">
        <v>2020</v>
      </c>
      <c r="AJ174" s="5" t="s">
        <v>238</v>
      </c>
      <c r="AK174" s="5" t="str">
        <f t="shared" si="409"/>
        <v>Trabajadora por cuenta propia</v>
      </c>
      <c r="AN174" s="5" t="s">
        <v>288</v>
      </c>
      <c r="AP174" s="5" t="s">
        <v>321</v>
      </c>
      <c r="AR174" s="5" t="s">
        <v>294</v>
      </c>
      <c r="AS174" s="5" t="s">
        <v>294</v>
      </c>
      <c r="AT174" s="5" t="s">
        <v>294</v>
      </c>
      <c r="AU174" s="5" t="s">
        <v>261</v>
      </c>
      <c r="AV174" s="5" t="s">
        <v>269</v>
      </c>
      <c r="AW174" s="5" t="s">
        <v>204</v>
      </c>
      <c r="AX174" s="5" t="s">
        <v>204</v>
      </c>
      <c r="AY174" s="5" t="s">
        <v>214</v>
      </c>
      <c r="AZ174" s="5" t="s">
        <v>204</v>
      </c>
      <c r="BA174" s="5" t="s">
        <v>295</v>
      </c>
      <c r="BB174" s="5" t="s">
        <v>206</v>
      </c>
      <c r="BC174" s="5" t="s">
        <v>206</v>
      </c>
      <c r="BD174" s="5" t="s">
        <v>206</v>
      </c>
      <c r="BE174" s="5" t="s">
        <v>206</v>
      </c>
      <c r="BF174" s="5" t="s">
        <v>204</v>
      </c>
      <c r="BG174" s="5" t="s">
        <v>278</v>
      </c>
      <c r="BH174" s="5" t="s">
        <v>278</v>
      </c>
      <c r="BI174" s="5" t="s">
        <v>278</v>
      </c>
      <c r="BJ174" s="5" t="s">
        <v>271</v>
      </c>
      <c r="BK174" s="5" t="s">
        <v>243</v>
      </c>
      <c r="BL174" s="5" t="s">
        <v>243</v>
      </c>
      <c r="BM174" s="5" t="s">
        <v>243</v>
      </c>
      <c r="BN174" s="5" t="s">
        <v>243</v>
      </c>
      <c r="BO174" s="5" t="s">
        <v>243</v>
      </c>
      <c r="BP174" s="5" t="s">
        <v>243</v>
      </c>
      <c r="BQ174" s="5" t="s">
        <v>243</v>
      </c>
      <c r="BR174" s="5" t="s">
        <v>246</v>
      </c>
      <c r="BS174" s="5" t="s">
        <v>232</v>
      </c>
      <c r="BT174" s="5" t="s">
        <v>232</v>
      </c>
      <c r="BU174" s="5" t="s">
        <v>232</v>
      </c>
      <c r="BV174" s="5" t="s">
        <v>247</v>
      </c>
      <c r="BW174" s="5" t="s">
        <v>247</v>
      </c>
      <c r="BX174" s="5" t="s">
        <v>232</v>
      </c>
      <c r="BY174" s="5" t="s">
        <v>247</v>
      </c>
      <c r="BZ174" s="5" t="s">
        <v>243</v>
      </c>
      <c r="CA174" s="5" t="s">
        <v>243</v>
      </c>
      <c r="CB174" s="5" t="s">
        <v>246</v>
      </c>
      <c r="CC174" s="5" t="s">
        <v>243</v>
      </c>
      <c r="CD174" s="5" t="s">
        <v>206</v>
      </c>
      <c r="CH174" s="5" t="s">
        <v>206</v>
      </c>
      <c r="CI174" s="5" t="s">
        <v>249</v>
      </c>
      <c r="CJ174" s="5">
        <v>1</v>
      </c>
      <c r="CK174" s="5" t="s">
        <v>223</v>
      </c>
      <c r="CU174" s="5" t="s">
        <v>206</v>
      </c>
      <c r="DA174" s="5" t="s">
        <v>231</v>
      </c>
      <c r="DB174" s="5">
        <f t="shared" si="410"/>
        <v>2</v>
      </c>
      <c r="DC174" s="5" t="s">
        <v>230</v>
      </c>
      <c r="DD174" s="5">
        <f t="shared" si="411"/>
        <v>2</v>
      </c>
      <c r="DE174" s="5" t="s">
        <v>230</v>
      </c>
      <c r="DF174" s="5">
        <f t="shared" si="412"/>
        <v>2</v>
      </c>
      <c r="DG174" s="5" t="s">
        <v>230</v>
      </c>
      <c r="DH174" s="5">
        <f t="shared" si="413"/>
        <v>2</v>
      </c>
      <c r="DI174" s="5" t="s">
        <v>230</v>
      </c>
      <c r="DJ174" s="5">
        <f t="shared" si="414"/>
        <v>2</v>
      </c>
      <c r="DK174" s="5" t="s">
        <v>230</v>
      </c>
      <c r="DL174" s="5">
        <f t="shared" si="415"/>
        <v>2</v>
      </c>
      <c r="DM174" s="5" t="s">
        <v>251</v>
      </c>
      <c r="DN174" s="5">
        <f t="shared" si="416"/>
        <v>1</v>
      </c>
      <c r="DO174" s="5" t="s">
        <v>281</v>
      </c>
      <c r="DP174" s="5">
        <f t="shared" si="417"/>
        <v>1</v>
      </c>
      <c r="DQ174" s="5" t="s">
        <v>231</v>
      </c>
      <c r="DR174" s="5">
        <f t="shared" si="418"/>
        <v>2</v>
      </c>
      <c r="DS174" s="5" t="s">
        <v>231</v>
      </c>
      <c r="DT174" s="5">
        <f t="shared" si="419"/>
        <v>2</v>
      </c>
      <c r="DU174" s="5" t="s">
        <v>231</v>
      </c>
      <c r="DV174" s="5">
        <f t="shared" si="420"/>
        <v>2</v>
      </c>
      <c r="DW174" s="5" t="s">
        <v>231</v>
      </c>
      <c r="DX174" s="5">
        <f t="shared" si="421"/>
        <v>2</v>
      </c>
      <c r="DY174" s="5">
        <f t="shared" si="422"/>
        <v>22</v>
      </c>
      <c r="DZ174" s="5" t="str">
        <f t="shared" si="423"/>
        <v>Nivel de riesgo medio</v>
      </c>
      <c r="EA174" s="5" t="s">
        <v>247</v>
      </c>
      <c r="EB174" s="5">
        <f t="shared" si="424"/>
        <v>2</v>
      </c>
      <c r="EC174" s="5" t="s">
        <v>232</v>
      </c>
      <c r="ED174" s="5">
        <f t="shared" si="425"/>
        <v>3</v>
      </c>
      <c r="EE174" s="5" t="s">
        <v>248</v>
      </c>
      <c r="EF174" s="5">
        <f t="shared" si="426"/>
        <v>1</v>
      </c>
      <c r="EG174" s="5">
        <f t="shared" si="427"/>
        <v>6</v>
      </c>
      <c r="EH174" s="5" t="str">
        <f t="shared" si="428"/>
        <v>Nivel de riesgo alto</v>
      </c>
      <c r="EI174" s="5" t="s">
        <v>248</v>
      </c>
      <c r="EJ174" s="5">
        <f t="shared" si="429"/>
        <v>1</v>
      </c>
      <c r="EK174" s="5" t="s">
        <v>248</v>
      </c>
      <c r="EL174" s="5">
        <f t="shared" si="430"/>
        <v>1</v>
      </c>
      <c r="EM174" s="5" t="s">
        <v>253</v>
      </c>
      <c r="EN174" s="5">
        <f t="shared" si="431"/>
        <v>0</v>
      </c>
      <c r="EO174" s="5">
        <f t="shared" si="432"/>
        <v>2</v>
      </c>
      <c r="EP174" s="5" t="str">
        <f t="shared" si="433"/>
        <v>Nivel de riesgo medio</v>
      </c>
      <c r="EQ174" s="5" t="s">
        <v>248</v>
      </c>
      <c r="ER174" s="5">
        <f t="shared" si="434"/>
        <v>3</v>
      </c>
      <c r="ES174" s="5" t="s">
        <v>247</v>
      </c>
      <c r="ET174" s="5">
        <f t="shared" si="435"/>
        <v>2</v>
      </c>
      <c r="EU174" s="5" t="s">
        <v>253</v>
      </c>
      <c r="EV174" s="5">
        <f t="shared" si="436"/>
        <v>4</v>
      </c>
      <c r="EW174" s="5" t="s">
        <v>253</v>
      </c>
      <c r="EX174" s="5">
        <f t="shared" si="437"/>
        <v>4</v>
      </c>
      <c r="EY174" s="5">
        <f t="shared" si="438"/>
        <v>13</v>
      </c>
      <c r="EZ174" s="5" t="str">
        <f t="shared" si="439"/>
        <v>Nivel de riesgo alto</v>
      </c>
      <c r="FA174" s="5" t="s">
        <v>248</v>
      </c>
      <c r="FB174" s="5">
        <f t="shared" si="440"/>
        <v>1</v>
      </c>
      <c r="FC174" s="5" t="s">
        <v>253</v>
      </c>
      <c r="FD174" s="5">
        <f t="shared" si="441"/>
        <v>0</v>
      </c>
      <c r="FE174" s="5" t="s">
        <v>253</v>
      </c>
      <c r="FF174" s="5">
        <f t="shared" si="442"/>
        <v>0</v>
      </c>
      <c r="FG174" s="5">
        <f t="shared" si="443"/>
        <v>1</v>
      </c>
      <c r="FH174" s="5" t="str">
        <f t="shared" si="444"/>
        <v>Nivel de riesgo bajo</v>
      </c>
      <c r="FI174" s="5" t="s">
        <v>248</v>
      </c>
      <c r="FJ174" s="5">
        <f t="shared" si="445"/>
        <v>1</v>
      </c>
      <c r="FK174" s="5" t="s">
        <v>248</v>
      </c>
      <c r="FL174" s="5">
        <f t="shared" si="446"/>
        <v>1</v>
      </c>
      <c r="FM174" s="5" t="s">
        <v>248</v>
      </c>
      <c r="FN174" s="5">
        <f t="shared" si="447"/>
        <v>1</v>
      </c>
      <c r="FO174" s="5">
        <f t="shared" si="448"/>
        <v>3</v>
      </c>
      <c r="FP174" s="5" t="str">
        <f t="shared" si="449"/>
        <v>Nivel de riesgo medio</v>
      </c>
      <c r="FQ174" s="5" t="s">
        <v>206</v>
      </c>
      <c r="FR174" s="5">
        <f t="shared" si="450"/>
        <v>0</v>
      </c>
      <c r="FS174" s="5" t="s">
        <v>206</v>
      </c>
      <c r="FT174" s="5">
        <f t="shared" si="451"/>
        <v>0</v>
      </c>
      <c r="FU174" s="5" t="s">
        <v>206</v>
      </c>
      <c r="FV174" s="5">
        <f t="shared" si="452"/>
        <v>0</v>
      </c>
      <c r="FW174" s="5" t="s">
        <v>206</v>
      </c>
      <c r="FX174" s="5">
        <f t="shared" si="453"/>
        <v>0</v>
      </c>
      <c r="FY174" s="5" t="s">
        <v>206</v>
      </c>
      <c r="FZ174" s="5">
        <f t="shared" si="454"/>
        <v>0</v>
      </c>
      <c r="GA174" s="5" t="s">
        <v>206</v>
      </c>
      <c r="GB174" s="5">
        <f t="shared" si="455"/>
        <v>0</v>
      </c>
      <c r="GC174" s="5" t="s">
        <v>206</v>
      </c>
      <c r="GD174" s="5">
        <f t="shared" si="456"/>
        <v>0</v>
      </c>
      <c r="GE174" s="5">
        <f t="shared" si="457"/>
        <v>0</v>
      </c>
      <c r="GF174" s="5" t="str">
        <f t="shared" si="458"/>
        <v>Nivel de riesgo bajo</v>
      </c>
      <c r="GG174" s="5" t="s">
        <v>273</v>
      </c>
      <c r="GH174" s="5" t="s">
        <v>255</v>
      </c>
      <c r="GI174" s="5" t="s">
        <v>255</v>
      </c>
      <c r="GJ174" s="5" t="s">
        <v>266</v>
      </c>
      <c r="GK174" s="5" t="s">
        <v>233</v>
      </c>
      <c r="GL174" s="5" t="s">
        <v>273</v>
      </c>
      <c r="GM174" s="5" t="s">
        <v>298</v>
      </c>
      <c r="GN174" s="5" t="s">
        <v>243</v>
      </c>
      <c r="GO174" s="5" t="s">
        <v>243</v>
      </c>
      <c r="GP174" s="5" t="s">
        <v>257</v>
      </c>
      <c r="GQ174" s="5" t="s">
        <v>257</v>
      </c>
      <c r="GR174" s="5" t="s">
        <v>257</v>
      </c>
      <c r="GS174" s="5" t="s">
        <v>257</v>
      </c>
      <c r="GT174" s="5" t="s">
        <v>243</v>
      </c>
      <c r="GU174" s="5" t="s">
        <v>524</v>
      </c>
      <c r="GV174" s="5" t="str">
        <f>TEXT("6278934678648153720","0")</f>
        <v>6278934678648150000</v>
      </c>
    </row>
    <row r="175" spans="1:204" ht="15.75" customHeight="1" x14ac:dyDescent="0.15">
      <c r="A175" s="1">
        <f t="shared" si="408"/>
        <v>175</v>
      </c>
      <c r="B175" s="4">
        <v>45847.589074074072</v>
      </c>
      <c r="C175" s="5" t="s">
        <v>204</v>
      </c>
      <c r="D175" s="5" t="s">
        <v>206</v>
      </c>
      <c r="F175" s="5" t="s">
        <v>206</v>
      </c>
      <c r="G175" s="5" t="s">
        <v>204</v>
      </c>
      <c r="H175" s="5" t="s">
        <v>206</v>
      </c>
      <c r="I175" s="5" t="s">
        <v>208</v>
      </c>
      <c r="N175" s="5" t="s">
        <v>208</v>
      </c>
      <c r="S175" s="5" t="s">
        <v>208</v>
      </c>
      <c r="X175" s="5" t="s">
        <v>208</v>
      </c>
      <c r="AC175" s="5" t="s">
        <v>208</v>
      </c>
      <c r="AH175" s="5" t="s">
        <v>525</v>
      </c>
      <c r="AI175" s="5">
        <v>2024</v>
      </c>
      <c r="AJ175" s="5" t="s">
        <v>238</v>
      </c>
      <c r="AK175" s="5" t="str">
        <f t="shared" si="409"/>
        <v>Trabajadora por cuenta propia</v>
      </c>
      <c r="AM175" s="5" t="s">
        <v>309</v>
      </c>
      <c r="AP175" s="5" t="s">
        <v>284</v>
      </c>
      <c r="AR175" s="5" t="s">
        <v>241</v>
      </c>
      <c r="AS175" s="5" t="s">
        <v>241</v>
      </c>
      <c r="AT175" s="5" t="s">
        <v>241</v>
      </c>
      <c r="AU175" s="5" t="s">
        <v>241</v>
      </c>
      <c r="AV175" s="5" t="s">
        <v>277</v>
      </c>
      <c r="AW175" s="5" t="s">
        <v>204</v>
      </c>
      <c r="AX175" s="5" t="s">
        <v>204</v>
      </c>
      <c r="AY175" s="5" t="s">
        <v>270</v>
      </c>
      <c r="AZ175" s="5" t="s">
        <v>204</v>
      </c>
      <c r="BA175" s="5" t="s">
        <v>344</v>
      </c>
      <c r="BF175" s="5" t="s">
        <v>204</v>
      </c>
      <c r="BG175" s="5" t="s">
        <v>242</v>
      </c>
      <c r="BH175" s="5" t="s">
        <v>278</v>
      </c>
      <c r="BI175" s="5" t="s">
        <v>278</v>
      </c>
      <c r="BJ175" s="5" t="s">
        <v>278</v>
      </c>
      <c r="BK175" s="5" t="s">
        <v>245</v>
      </c>
      <c r="BL175" s="5" t="s">
        <v>245</v>
      </c>
      <c r="BM175" s="5" t="s">
        <v>245</v>
      </c>
      <c r="BN175" s="5" t="s">
        <v>245</v>
      </c>
      <c r="BO175" s="5" t="s">
        <v>245</v>
      </c>
      <c r="BP175" s="5" t="s">
        <v>245</v>
      </c>
      <c r="BQ175" s="5" t="s">
        <v>245</v>
      </c>
      <c r="BR175" s="5" t="s">
        <v>245</v>
      </c>
      <c r="BS175" s="5" t="s">
        <v>254</v>
      </c>
      <c r="BT175" s="5" t="s">
        <v>232</v>
      </c>
      <c r="BU175" s="5" t="s">
        <v>254</v>
      </c>
      <c r="BV175" s="5" t="s">
        <v>254</v>
      </c>
      <c r="BW175" s="5" t="s">
        <v>232</v>
      </c>
      <c r="BX175" s="5" t="s">
        <v>232</v>
      </c>
      <c r="BY175" s="5" t="s">
        <v>254</v>
      </c>
      <c r="BZ175" s="5" t="s">
        <v>245</v>
      </c>
      <c r="CA175" s="5" t="s">
        <v>245</v>
      </c>
      <c r="CB175" s="5" t="s">
        <v>245</v>
      </c>
      <c r="CC175" s="5" t="s">
        <v>245</v>
      </c>
      <c r="CD175" s="5" t="s">
        <v>206</v>
      </c>
      <c r="CH175" s="5" t="s">
        <v>206</v>
      </c>
      <c r="CI175" s="5" t="s">
        <v>291</v>
      </c>
      <c r="CJ175" s="5">
        <v>1</v>
      </c>
      <c r="CK175" s="5" t="s">
        <v>223</v>
      </c>
      <c r="CU175" s="5" t="s">
        <v>206</v>
      </c>
      <c r="DA175" s="5" t="s">
        <v>272</v>
      </c>
      <c r="DB175" s="5">
        <f t="shared" si="410"/>
        <v>1</v>
      </c>
      <c r="DC175" s="5" t="s">
        <v>250</v>
      </c>
      <c r="DD175" s="5">
        <f t="shared" si="411"/>
        <v>3</v>
      </c>
      <c r="DE175" s="5" t="s">
        <v>250</v>
      </c>
      <c r="DF175" s="5">
        <f t="shared" si="412"/>
        <v>3</v>
      </c>
      <c r="DG175" s="5" t="s">
        <v>250</v>
      </c>
      <c r="DH175" s="5">
        <f t="shared" si="413"/>
        <v>3</v>
      </c>
      <c r="DI175" s="5" t="s">
        <v>250</v>
      </c>
      <c r="DJ175" s="5">
        <f t="shared" si="414"/>
        <v>3</v>
      </c>
      <c r="DK175" s="5" t="s">
        <v>250</v>
      </c>
      <c r="DL175" s="5">
        <f t="shared" si="415"/>
        <v>3</v>
      </c>
      <c r="DM175" s="5" t="s">
        <v>250</v>
      </c>
      <c r="DN175" s="5">
        <f t="shared" si="416"/>
        <v>3</v>
      </c>
      <c r="DO175" s="5" t="s">
        <v>229</v>
      </c>
      <c r="DP175" s="5">
        <f t="shared" si="417"/>
        <v>4</v>
      </c>
      <c r="DQ175" s="5" t="s">
        <v>229</v>
      </c>
      <c r="DR175" s="5">
        <f t="shared" si="418"/>
        <v>4</v>
      </c>
      <c r="DS175" s="5" t="s">
        <v>229</v>
      </c>
      <c r="DT175" s="5">
        <f t="shared" si="419"/>
        <v>4</v>
      </c>
      <c r="DU175" s="5" t="s">
        <v>229</v>
      </c>
      <c r="DV175" s="5">
        <f t="shared" si="420"/>
        <v>4</v>
      </c>
      <c r="DW175" s="5" t="s">
        <v>229</v>
      </c>
      <c r="DX175" s="5">
        <f t="shared" si="421"/>
        <v>4</v>
      </c>
      <c r="DY175" s="5">
        <f t="shared" si="422"/>
        <v>39</v>
      </c>
      <c r="DZ175" s="5" t="str">
        <f t="shared" si="423"/>
        <v>Nivel de riesgo alto</v>
      </c>
      <c r="EA175" s="5" t="s">
        <v>253</v>
      </c>
      <c r="EB175" s="5">
        <f t="shared" si="424"/>
        <v>0</v>
      </c>
      <c r="EC175" s="5" t="s">
        <v>253</v>
      </c>
      <c r="ED175" s="5">
        <f t="shared" si="425"/>
        <v>0</v>
      </c>
      <c r="EE175" s="5" t="s">
        <v>253</v>
      </c>
      <c r="EF175" s="5">
        <f t="shared" si="426"/>
        <v>0</v>
      </c>
      <c r="EG175" s="5">
        <f t="shared" si="427"/>
        <v>0</v>
      </c>
      <c r="EH175" s="5" t="str">
        <f t="shared" si="428"/>
        <v>Nivel de riesgo bajo</v>
      </c>
      <c r="EI175" s="5" t="s">
        <v>253</v>
      </c>
      <c r="EJ175" s="5">
        <f t="shared" si="429"/>
        <v>0</v>
      </c>
      <c r="EK175" s="5" t="s">
        <v>253</v>
      </c>
      <c r="EL175" s="5">
        <f t="shared" si="430"/>
        <v>0</v>
      </c>
      <c r="EM175" s="5" t="s">
        <v>253</v>
      </c>
      <c r="EN175" s="5">
        <f t="shared" si="431"/>
        <v>0</v>
      </c>
      <c r="EO175" s="5">
        <f t="shared" si="432"/>
        <v>0</v>
      </c>
      <c r="EP175" s="5" t="str">
        <f t="shared" si="433"/>
        <v>Nivel de riesgo bajo</v>
      </c>
      <c r="EQ175" s="5" t="s">
        <v>253</v>
      </c>
      <c r="ER175" s="5">
        <f t="shared" si="434"/>
        <v>4</v>
      </c>
      <c r="ES175" s="5" t="s">
        <v>253</v>
      </c>
      <c r="ET175" s="5">
        <f t="shared" si="435"/>
        <v>4</v>
      </c>
      <c r="EU175" s="5" t="s">
        <v>253</v>
      </c>
      <c r="EV175" s="5">
        <f t="shared" si="436"/>
        <v>4</v>
      </c>
      <c r="EW175" s="5" t="s">
        <v>253</v>
      </c>
      <c r="EX175" s="5">
        <f t="shared" si="437"/>
        <v>4</v>
      </c>
      <c r="EY175" s="5">
        <f t="shared" si="438"/>
        <v>16</v>
      </c>
      <c r="EZ175" s="5" t="str">
        <f t="shared" si="439"/>
        <v>Nivel de riesgo alto</v>
      </c>
      <c r="FA175" s="5" t="s">
        <v>253</v>
      </c>
      <c r="FB175" s="5">
        <f t="shared" si="440"/>
        <v>0</v>
      </c>
      <c r="FC175" s="5" t="s">
        <v>253</v>
      </c>
      <c r="FD175" s="5">
        <f t="shared" si="441"/>
        <v>0</v>
      </c>
      <c r="FE175" s="5" t="s">
        <v>253</v>
      </c>
      <c r="FF175" s="5">
        <f t="shared" si="442"/>
        <v>0</v>
      </c>
      <c r="FG175" s="5">
        <f t="shared" si="443"/>
        <v>0</v>
      </c>
      <c r="FH175" s="5" t="str">
        <f t="shared" si="444"/>
        <v>Nivel de riesgo bajo</v>
      </c>
      <c r="FI175" s="5" t="s">
        <v>253</v>
      </c>
      <c r="FJ175" s="5">
        <f t="shared" si="445"/>
        <v>0</v>
      </c>
      <c r="FK175" s="5" t="s">
        <v>253</v>
      </c>
      <c r="FL175" s="5">
        <f t="shared" si="446"/>
        <v>0</v>
      </c>
      <c r="FM175" s="5" t="s">
        <v>253</v>
      </c>
      <c r="FN175" s="5">
        <f t="shared" si="447"/>
        <v>0</v>
      </c>
      <c r="FO175" s="5">
        <f t="shared" si="448"/>
        <v>0</v>
      </c>
      <c r="FP175" s="5" t="str">
        <f t="shared" si="449"/>
        <v>Nivel de riesgo bajo</v>
      </c>
      <c r="FQ175" s="5" t="s">
        <v>206</v>
      </c>
      <c r="FR175" s="5">
        <f t="shared" si="450"/>
        <v>0</v>
      </c>
      <c r="FS175" s="5" t="s">
        <v>206</v>
      </c>
      <c r="FT175" s="5">
        <f t="shared" si="451"/>
        <v>0</v>
      </c>
      <c r="FU175" s="5" t="s">
        <v>206</v>
      </c>
      <c r="FV175" s="5">
        <f t="shared" si="452"/>
        <v>0</v>
      </c>
      <c r="FW175" s="5" t="s">
        <v>206</v>
      </c>
      <c r="FX175" s="5">
        <f t="shared" si="453"/>
        <v>0</v>
      </c>
      <c r="FY175" s="5" t="s">
        <v>206</v>
      </c>
      <c r="FZ175" s="5">
        <f t="shared" si="454"/>
        <v>0</v>
      </c>
      <c r="GA175" s="5" t="s">
        <v>206</v>
      </c>
      <c r="GB175" s="5">
        <f t="shared" si="455"/>
        <v>0</v>
      </c>
      <c r="GC175" s="5" t="s">
        <v>206</v>
      </c>
      <c r="GD175" s="5">
        <f t="shared" si="456"/>
        <v>0</v>
      </c>
      <c r="GE175" s="5">
        <f t="shared" si="457"/>
        <v>0</v>
      </c>
      <c r="GF175" s="5" t="str">
        <f t="shared" si="458"/>
        <v>Nivel de riesgo bajo</v>
      </c>
      <c r="GG175" s="5" t="s">
        <v>255</v>
      </c>
      <c r="GH175" s="5" t="s">
        <v>255</v>
      </c>
      <c r="GI175" s="5" t="s">
        <v>255</v>
      </c>
      <c r="GJ175" s="5" t="s">
        <v>255</v>
      </c>
      <c r="GK175" s="5" t="s">
        <v>255</v>
      </c>
      <c r="GL175" s="5" t="s">
        <v>255</v>
      </c>
      <c r="GM175" s="5" t="s">
        <v>255</v>
      </c>
      <c r="GN175" s="5" t="s">
        <v>256</v>
      </c>
      <c r="GO175" s="5" t="s">
        <v>256</v>
      </c>
      <c r="GP175" s="5" t="s">
        <v>256</v>
      </c>
      <c r="GQ175" s="5" t="s">
        <v>256</v>
      </c>
      <c r="GR175" s="5" t="s">
        <v>256</v>
      </c>
      <c r="GS175" s="5" t="s">
        <v>256</v>
      </c>
      <c r="GT175" s="5" t="s">
        <v>256</v>
      </c>
      <c r="GU175" s="5" t="s">
        <v>526</v>
      </c>
      <c r="GV175" s="5" t="str">
        <f>TEXT("6278936968098867130","0")</f>
        <v>6278936968098860000</v>
      </c>
    </row>
    <row r="176" spans="1:204" ht="15.75" customHeight="1" x14ac:dyDescent="0.15">
      <c r="A176" s="1">
        <f t="shared" si="408"/>
        <v>176</v>
      </c>
      <c r="B176" s="4">
        <v>45847.590092592596</v>
      </c>
      <c r="C176" s="5" t="s">
        <v>204</v>
      </c>
      <c r="D176" s="5" t="s">
        <v>206</v>
      </c>
      <c r="F176" s="5" t="s">
        <v>206</v>
      </c>
      <c r="G176" s="5" t="s">
        <v>204</v>
      </c>
      <c r="H176" s="5" t="s">
        <v>206</v>
      </c>
      <c r="K176" s="5" t="s">
        <v>237</v>
      </c>
      <c r="O176" s="5" t="s">
        <v>209</v>
      </c>
      <c r="T176" s="5" t="s">
        <v>209</v>
      </c>
      <c r="Y176" s="5" t="s">
        <v>209</v>
      </c>
      <c r="AE176" s="5" t="s">
        <v>237</v>
      </c>
      <c r="AH176" s="5" t="s">
        <v>268</v>
      </c>
      <c r="AI176" s="5">
        <v>2015</v>
      </c>
      <c r="AJ176" s="5" t="s">
        <v>238</v>
      </c>
      <c r="AK176" s="5" t="str">
        <f t="shared" si="409"/>
        <v>Trabajadora por cuenta propia</v>
      </c>
      <c r="AN176" s="5" t="s">
        <v>288</v>
      </c>
      <c r="AP176" s="5" t="s">
        <v>284</v>
      </c>
      <c r="AR176" s="5" t="s">
        <v>241</v>
      </c>
      <c r="AS176" s="5" t="s">
        <v>241</v>
      </c>
      <c r="AT176" s="5" t="s">
        <v>301</v>
      </c>
      <c r="AU176" s="5" t="s">
        <v>301</v>
      </c>
      <c r="AV176" s="5" t="s">
        <v>269</v>
      </c>
      <c r="AW176" s="5" t="s">
        <v>204</v>
      </c>
      <c r="AX176" s="5" t="s">
        <v>206</v>
      </c>
      <c r="BF176" s="5" t="s">
        <v>204</v>
      </c>
      <c r="BG176" s="5" t="s">
        <v>215</v>
      </c>
      <c r="BH176" s="5" t="s">
        <v>271</v>
      </c>
      <c r="BI176" s="5" t="s">
        <v>242</v>
      </c>
      <c r="BJ176" s="5" t="s">
        <v>271</v>
      </c>
      <c r="BK176" s="5" t="s">
        <v>243</v>
      </c>
      <c r="BL176" s="5" t="s">
        <v>243</v>
      </c>
      <c r="BM176" s="5" t="s">
        <v>246</v>
      </c>
      <c r="BN176" s="5" t="s">
        <v>245</v>
      </c>
      <c r="BO176" s="5" t="s">
        <v>245</v>
      </c>
      <c r="BP176" s="5" t="s">
        <v>245</v>
      </c>
      <c r="BQ176" s="5" t="s">
        <v>246</v>
      </c>
      <c r="BR176" s="5" t="s">
        <v>245</v>
      </c>
      <c r="BS176" s="5" t="s">
        <v>232</v>
      </c>
      <c r="BT176" s="5" t="s">
        <v>247</v>
      </c>
      <c r="BU176" s="5" t="s">
        <v>217</v>
      </c>
      <c r="BV176" s="5" t="s">
        <v>247</v>
      </c>
      <c r="BW176" s="5" t="s">
        <v>232</v>
      </c>
      <c r="BX176" s="5" t="s">
        <v>247</v>
      </c>
      <c r="BY176" s="5" t="s">
        <v>248</v>
      </c>
      <c r="BZ176" s="5" t="s">
        <v>246</v>
      </c>
      <c r="CA176" s="5" t="s">
        <v>216</v>
      </c>
      <c r="CB176" s="5" t="s">
        <v>216</v>
      </c>
      <c r="CC176" s="5" t="s">
        <v>216</v>
      </c>
      <c r="CD176" s="5" t="s">
        <v>206</v>
      </c>
      <c r="CH176" s="5" t="s">
        <v>206</v>
      </c>
      <c r="CI176" s="5" t="s">
        <v>206</v>
      </c>
      <c r="CJ176" s="5">
        <v>0</v>
      </c>
      <c r="CK176" s="5" t="s">
        <v>223</v>
      </c>
      <c r="CU176" s="5" t="s">
        <v>206</v>
      </c>
      <c r="DA176" s="5" t="s">
        <v>231</v>
      </c>
      <c r="DB176" s="5">
        <f t="shared" si="410"/>
        <v>2</v>
      </c>
      <c r="DC176" s="5" t="s">
        <v>251</v>
      </c>
      <c r="DD176" s="5">
        <f t="shared" si="411"/>
        <v>1</v>
      </c>
      <c r="DE176" s="5" t="s">
        <v>251</v>
      </c>
      <c r="DF176" s="5">
        <f t="shared" si="412"/>
        <v>1</v>
      </c>
      <c r="DG176" s="5" t="s">
        <v>251</v>
      </c>
      <c r="DH176" s="5">
        <f t="shared" si="413"/>
        <v>1</v>
      </c>
      <c r="DI176" s="5" t="s">
        <v>251</v>
      </c>
      <c r="DJ176" s="5">
        <f t="shared" si="414"/>
        <v>1</v>
      </c>
      <c r="DK176" s="5" t="s">
        <v>251</v>
      </c>
      <c r="DL176" s="5">
        <f t="shared" si="415"/>
        <v>1</v>
      </c>
      <c r="DM176" s="5" t="s">
        <v>251</v>
      </c>
      <c r="DN176" s="5">
        <f t="shared" si="416"/>
        <v>1</v>
      </c>
      <c r="DO176" s="5" t="s">
        <v>281</v>
      </c>
      <c r="DP176" s="5">
        <f t="shared" si="417"/>
        <v>1</v>
      </c>
      <c r="DQ176" s="5" t="s">
        <v>281</v>
      </c>
      <c r="DR176" s="5">
        <f t="shared" si="418"/>
        <v>1</v>
      </c>
      <c r="DS176" s="5" t="s">
        <v>281</v>
      </c>
      <c r="DT176" s="5">
        <f t="shared" si="419"/>
        <v>1</v>
      </c>
      <c r="DU176" s="5" t="s">
        <v>281</v>
      </c>
      <c r="DV176" s="5">
        <f t="shared" si="420"/>
        <v>1</v>
      </c>
      <c r="DW176" s="5" t="s">
        <v>281</v>
      </c>
      <c r="DX176" s="5">
        <f t="shared" si="421"/>
        <v>1</v>
      </c>
      <c r="DY176" s="5">
        <f t="shared" si="422"/>
        <v>13</v>
      </c>
      <c r="DZ176" s="5" t="str">
        <f t="shared" si="423"/>
        <v>Nivel de riesgo bajo</v>
      </c>
      <c r="EA176" s="5" t="s">
        <v>248</v>
      </c>
      <c r="EB176" s="5">
        <f t="shared" si="424"/>
        <v>1</v>
      </c>
      <c r="EC176" s="5" t="s">
        <v>247</v>
      </c>
      <c r="ED176" s="5">
        <f t="shared" si="425"/>
        <v>2</v>
      </c>
      <c r="EE176" s="5" t="s">
        <v>253</v>
      </c>
      <c r="EF176" s="5">
        <f t="shared" si="426"/>
        <v>0</v>
      </c>
      <c r="EG176" s="5">
        <f t="shared" si="427"/>
        <v>3</v>
      </c>
      <c r="EH176" s="5" t="str">
        <f t="shared" si="428"/>
        <v>Nivel de riesgo medio</v>
      </c>
      <c r="EI176" s="5" t="s">
        <v>248</v>
      </c>
      <c r="EJ176" s="5">
        <f t="shared" si="429"/>
        <v>1</v>
      </c>
      <c r="EK176" s="5" t="s">
        <v>247</v>
      </c>
      <c r="EL176" s="5">
        <f t="shared" si="430"/>
        <v>2</v>
      </c>
      <c r="EM176" s="5" t="s">
        <v>247</v>
      </c>
      <c r="EN176" s="5">
        <f t="shared" si="431"/>
        <v>2</v>
      </c>
      <c r="EO176" s="5">
        <f t="shared" si="432"/>
        <v>5</v>
      </c>
      <c r="EP176" s="5" t="str">
        <f t="shared" si="433"/>
        <v>Nivel de riesgo medio</v>
      </c>
      <c r="EQ176" s="5" t="s">
        <v>254</v>
      </c>
      <c r="ER176" s="5">
        <f t="shared" si="434"/>
        <v>0</v>
      </c>
      <c r="ES176" s="5" t="s">
        <v>254</v>
      </c>
      <c r="ET176" s="5">
        <f t="shared" si="435"/>
        <v>0</v>
      </c>
      <c r="EU176" s="5" t="s">
        <v>254</v>
      </c>
      <c r="EV176" s="5">
        <f t="shared" si="436"/>
        <v>0</v>
      </c>
      <c r="EW176" s="5" t="s">
        <v>254</v>
      </c>
      <c r="EX176" s="5">
        <f t="shared" si="437"/>
        <v>0</v>
      </c>
      <c r="EY176" s="5">
        <f t="shared" si="438"/>
        <v>0</v>
      </c>
      <c r="EZ176" s="5" t="str">
        <f t="shared" si="439"/>
        <v>Nivel de riesgo bajo</v>
      </c>
      <c r="FA176" s="5" t="s">
        <v>248</v>
      </c>
      <c r="FB176" s="5">
        <f t="shared" si="440"/>
        <v>1</v>
      </c>
      <c r="FC176" s="5" t="s">
        <v>253</v>
      </c>
      <c r="FD176" s="5">
        <f t="shared" si="441"/>
        <v>0</v>
      </c>
      <c r="FE176" s="5" t="s">
        <v>253</v>
      </c>
      <c r="FF176" s="5">
        <f t="shared" si="442"/>
        <v>0</v>
      </c>
      <c r="FG176" s="5">
        <f t="shared" si="443"/>
        <v>1</v>
      </c>
      <c r="FH176" s="5" t="str">
        <f t="shared" si="444"/>
        <v>Nivel de riesgo bajo</v>
      </c>
      <c r="FI176" s="5" t="s">
        <v>253</v>
      </c>
      <c r="FJ176" s="5">
        <f t="shared" si="445"/>
        <v>0</v>
      </c>
      <c r="FK176" s="5" t="s">
        <v>253</v>
      </c>
      <c r="FL176" s="5">
        <f t="shared" si="446"/>
        <v>0</v>
      </c>
      <c r="FM176" s="5" t="s">
        <v>248</v>
      </c>
      <c r="FN176" s="5">
        <f t="shared" si="447"/>
        <v>1</v>
      </c>
      <c r="FO176" s="5">
        <f t="shared" si="448"/>
        <v>1</v>
      </c>
      <c r="FP176" s="5" t="str">
        <f t="shared" si="449"/>
        <v>Nivel de riesgo bajo</v>
      </c>
      <c r="FQ176" s="5" t="s">
        <v>206</v>
      </c>
      <c r="FR176" s="5">
        <f t="shared" si="450"/>
        <v>0</v>
      </c>
      <c r="FS176" s="5" t="s">
        <v>206</v>
      </c>
      <c r="FT176" s="5">
        <f t="shared" si="451"/>
        <v>0</v>
      </c>
      <c r="FU176" s="5" t="s">
        <v>206</v>
      </c>
      <c r="FV176" s="5">
        <f t="shared" si="452"/>
        <v>0</v>
      </c>
      <c r="FW176" s="5" t="s">
        <v>206</v>
      </c>
      <c r="FX176" s="5">
        <f t="shared" si="453"/>
        <v>0</v>
      </c>
      <c r="FY176" s="5" t="s">
        <v>206</v>
      </c>
      <c r="FZ176" s="5">
        <f t="shared" si="454"/>
        <v>0</v>
      </c>
      <c r="GA176" s="5" t="s">
        <v>206</v>
      </c>
      <c r="GB176" s="5">
        <f t="shared" si="455"/>
        <v>0</v>
      </c>
      <c r="GC176" s="5" t="s">
        <v>206</v>
      </c>
      <c r="GD176" s="5">
        <f t="shared" si="456"/>
        <v>0</v>
      </c>
      <c r="GE176" s="5">
        <f t="shared" si="457"/>
        <v>0</v>
      </c>
      <c r="GF176" s="5" t="str">
        <f t="shared" si="458"/>
        <v>Nivel de riesgo bajo</v>
      </c>
      <c r="GG176" s="5" t="s">
        <v>255</v>
      </c>
      <c r="GH176" s="5" t="s">
        <v>255</v>
      </c>
      <c r="GI176" s="5" t="s">
        <v>255</v>
      </c>
      <c r="GJ176" s="5" t="s">
        <v>255</v>
      </c>
      <c r="GK176" s="5" t="s">
        <v>233</v>
      </c>
      <c r="GL176" s="5" t="s">
        <v>233</v>
      </c>
      <c r="GM176" s="5" t="s">
        <v>233</v>
      </c>
      <c r="GN176" s="5" t="s">
        <v>256</v>
      </c>
      <c r="GO176" s="5" t="s">
        <v>256</v>
      </c>
      <c r="GP176" s="5" t="s">
        <v>256</v>
      </c>
      <c r="GQ176" s="5" t="s">
        <v>256</v>
      </c>
      <c r="GR176" s="5" t="s">
        <v>256</v>
      </c>
      <c r="GS176" s="5" t="s">
        <v>256</v>
      </c>
      <c r="GT176" s="5" t="s">
        <v>256</v>
      </c>
      <c r="GU176" s="5" t="s">
        <v>527</v>
      </c>
      <c r="GV176" s="5" t="str">
        <f>TEXT("6278937845218592708","0")</f>
        <v>6278937845218590000</v>
      </c>
    </row>
    <row r="177" spans="1:204" ht="15.75" customHeight="1" x14ac:dyDescent="0.15">
      <c r="A177" s="1">
        <f t="shared" si="408"/>
        <v>177</v>
      </c>
      <c r="B177" s="4">
        <v>45847.590243055558</v>
      </c>
      <c r="C177" s="5" t="s">
        <v>204</v>
      </c>
      <c r="D177" s="5" t="s">
        <v>206</v>
      </c>
      <c r="F177" s="5" t="s">
        <v>204</v>
      </c>
      <c r="G177" s="5" t="s">
        <v>204</v>
      </c>
      <c r="H177" s="5" t="s">
        <v>206</v>
      </c>
      <c r="K177" s="5" t="s">
        <v>237</v>
      </c>
      <c r="P177" s="5" t="s">
        <v>237</v>
      </c>
      <c r="S177" s="5" t="s">
        <v>208</v>
      </c>
      <c r="Y177" s="5" t="s">
        <v>209</v>
      </c>
      <c r="AC177" s="5" t="s">
        <v>208</v>
      </c>
      <c r="AH177" s="5" t="s">
        <v>210</v>
      </c>
      <c r="AI177" s="5">
        <v>2009</v>
      </c>
      <c r="AJ177" s="5" t="s">
        <v>238</v>
      </c>
      <c r="AK177" s="5" t="str">
        <f t="shared" si="409"/>
        <v>Trabajadora por cuenta propia</v>
      </c>
      <c r="AM177" s="5" t="s">
        <v>309</v>
      </c>
      <c r="AP177" s="5" t="s">
        <v>284</v>
      </c>
      <c r="AR177" s="5" t="s">
        <v>241</v>
      </c>
      <c r="AS177" s="5" t="s">
        <v>301</v>
      </c>
      <c r="AT177" s="5" t="s">
        <v>301</v>
      </c>
      <c r="AU177" s="5" t="s">
        <v>301</v>
      </c>
      <c r="AV177" s="5" t="s">
        <v>457</v>
      </c>
      <c r="AW177" s="5" t="s">
        <v>206</v>
      </c>
      <c r="BF177" s="5" t="s">
        <v>204</v>
      </c>
      <c r="BG177" s="5" t="s">
        <v>278</v>
      </c>
      <c r="BH177" s="5" t="s">
        <v>271</v>
      </c>
      <c r="BI177" s="5" t="s">
        <v>278</v>
      </c>
      <c r="BJ177" s="5" t="s">
        <v>242</v>
      </c>
      <c r="BK177" s="5" t="s">
        <v>216</v>
      </c>
      <c r="BL177" s="5" t="s">
        <v>216</v>
      </c>
      <c r="BM177" s="5" t="s">
        <v>216</v>
      </c>
      <c r="BN177" s="5" t="s">
        <v>216</v>
      </c>
      <c r="BO177" s="5" t="s">
        <v>216</v>
      </c>
      <c r="BP177" s="5" t="s">
        <v>216</v>
      </c>
      <c r="BQ177" s="5" t="s">
        <v>216</v>
      </c>
      <c r="BR177" s="5" t="s">
        <v>216</v>
      </c>
      <c r="BS177" s="5" t="s">
        <v>248</v>
      </c>
      <c r="BT177" s="5" t="s">
        <v>217</v>
      </c>
      <c r="BU177" s="5" t="s">
        <v>248</v>
      </c>
      <c r="BV177" s="5" t="s">
        <v>248</v>
      </c>
      <c r="BW177" s="5" t="s">
        <v>217</v>
      </c>
      <c r="BX177" s="5" t="s">
        <v>217</v>
      </c>
      <c r="BY177" s="5" t="s">
        <v>217</v>
      </c>
      <c r="CD177" s="5" t="s">
        <v>206</v>
      </c>
      <c r="CH177" s="5" t="s">
        <v>420</v>
      </c>
      <c r="CI177" s="5" t="s">
        <v>332</v>
      </c>
      <c r="CJ177" s="5">
        <v>2</v>
      </c>
      <c r="CK177" s="5" t="s">
        <v>223</v>
      </c>
      <c r="CU177" s="5" t="s">
        <v>206</v>
      </c>
      <c r="DA177" s="5" t="s">
        <v>272</v>
      </c>
      <c r="DB177" s="5">
        <f t="shared" si="410"/>
        <v>1</v>
      </c>
      <c r="DC177" s="5" t="s">
        <v>230</v>
      </c>
      <c r="DD177" s="5">
        <f t="shared" si="411"/>
        <v>2</v>
      </c>
      <c r="DE177" s="5" t="s">
        <v>230</v>
      </c>
      <c r="DF177" s="5">
        <f t="shared" si="412"/>
        <v>2</v>
      </c>
      <c r="DG177" s="5" t="s">
        <v>230</v>
      </c>
      <c r="DH177" s="5">
        <f t="shared" si="413"/>
        <v>2</v>
      </c>
      <c r="DI177" s="5" t="s">
        <v>251</v>
      </c>
      <c r="DJ177" s="5">
        <f t="shared" si="414"/>
        <v>1</v>
      </c>
      <c r="DK177" s="5" t="s">
        <v>251</v>
      </c>
      <c r="DL177" s="5">
        <f t="shared" si="415"/>
        <v>1</v>
      </c>
      <c r="DM177" s="5" t="s">
        <v>251</v>
      </c>
      <c r="DN177" s="5">
        <f t="shared" si="416"/>
        <v>1</v>
      </c>
      <c r="DO177" s="5" t="s">
        <v>281</v>
      </c>
      <c r="DP177" s="5">
        <f t="shared" si="417"/>
        <v>1</v>
      </c>
      <c r="DQ177" s="5" t="s">
        <v>281</v>
      </c>
      <c r="DR177" s="5">
        <f t="shared" si="418"/>
        <v>1</v>
      </c>
      <c r="DS177" s="5" t="s">
        <v>281</v>
      </c>
      <c r="DT177" s="5">
        <f t="shared" si="419"/>
        <v>1</v>
      </c>
      <c r="DU177" s="5" t="s">
        <v>281</v>
      </c>
      <c r="DV177" s="5">
        <f t="shared" si="420"/>
        <v>1</v>
      </c>
      <c r="DW177" s="5" t="s">
        <v>281</v>
      </c>
      <c r="DX177" s="5">
        <f t="shared" si="421"/>
        <v>1</v>
      </c>
      <c r="DY177" s="5">
        <f t="shared" si="422"/>
        <v>15</v>
      </c>
      <c r="DZ177" s="5" t="str">
        <f t="shared" si="423"/>
        <v>Nivel de riesgo bajo</v>
      </c>
      <c r="EA177" s="5" t="s">
        <v>248</v>
      </c>
      <c r="EB177" s="5">
        <f t="shared" si="424"/>
        <v>1</v>
      </c>
      <c r="EC177" s="5" t="s">
        <v>253</v>
      </c>
      <c r="ED177" s="5">
        <f t="shared" si="425"/>
        <v>0</v>
      </c>
      <c r="EE177" s="5" t="s">
        <v>253</v>
      </c>
      <c r="EF177" s="5">
        <f t="shared" si="426"/>
        <v>0</v>
      </c>
      <c r="EG177" s="5">
        <f t="shared" si="427"/>
        <v>1</v>
      </c>
      <c r="EH177" s="5" t="str">
        <f t="shared" si="428"/>
        <v>Nivel de riesgo bajo</v>
      </c>
      <c r="EI177" s="5" t="s">
        <v>248</v>
      </c>
      <c r="EJ177" s="5">
        <f t="shared" si="429"/>
        <v>1</v>
      </c>
      <c r="EK177" s="5" t="s">
        <v>253</v>
      </c>
      <c r="EL177" s="5">
        <f t="shared" si="430"/>
        <v>0</v>
      </c>
      <c r="EM177" s="5" t="s">
        <v>248</v>
      </c>
      <c r="EN177" s="5">
        <f t="shared" si="431"/>
        <v>1</v>
      </c>
      <c r="EO177" s="5">
        <f t="shared" si="432"/>
        <v>2</v>
      </c>
      <c r="EP177" s="5" t="str">
        <f t="shared" si="433"/>
        <v>Nivel de riesgo medio</v>
      </c>
      <c r="EQ177" s="5" t="s">
        <v>253</v>
      </c>
      <c r="ER177" s="5">
        <f t="shared" si="434"/>
        <v>4</v>
      </c>
      <c r="ES177" s="5" t="s">
        <v>253</v>
      </c>
      <c r="ET177" s="5">
        <f t="shared" si="435"/>
        <v>4</v>
      </c>
      <c r="EU177" s="5" t="s">
        <v>253</v>
      </c>
      <c r="EV177" s="5">
        <f t="shared" si="436"/>
        <v>4</v>
      </c>
      <c r="EW177" s="5" t="s">
        <v>253</v>
      </c>
      <c r="EX177" s="5">
        <f t="shared" si="437"/>
        <v>4</v>
      </c>
      <c r="EY177" s="5">
        <f t="shared" si="438"/>
        <v>16</v>
      </c>
      <c r="EZ177" s="5" t="str">
        <f t="shared" si="439"/>
        <v>Nivel de riesgo alto</v>
      </c>
      <c r="FA177" s="5" t="s">
        <v>253</v>
      </c>
      <c r="FB177" s="5">
        <f t="shared" si="440"/>
        <v>0</v>
      </c>
      <c r="FC177" s="5" t="s">
        <v>253</v>
      </c>
      <c r="FD177" s="5">
        <f t="shared" si="441"/>
        <v>0</v>
      </c>
      <c r="FE177" s="5" t="s">
        <v>253</v>
      </c>
      <c r="FF177" s="5">
        <f t="shared" si="442"/>
        <v>0</v>
      </c>
      <c r="FG177" s="5">
        <f t="shared" si="443"/>
        <v>0</v>
      </c>
      <c r="FH177" s="5" t="str">
        <f t="shared" si="444"/>
        <v>Nivel de riesgo bajo</v>
      </c>
      <c r="FI177" s="5" t="s">
        <v>253</v>
      </c>
      <c r="FJ177" s="5">
        <f t="shared" si="445"/>
        <v>0</v>
      </c>
      <c r="FK177" s="5" t="s">
        <v>253</v>
      </c>
      <c r="FL177" s="5">
        <f t="shared" si="446"/>
        <v>0</v>
      </c>
      <c r="FM177" s="5" t="s">
        <v>253</v>
      </c>
      <c r="FN177" s="5">
        <f t="shared" si="447"/>
        <v>0</v>
      </c>
      <c r="FO177" s="5">
        <f t="shared" si="448"/>
        <v>0</v>
      </c>
      <c r="FP177" s="5" t="str">
        <f t="shared" si="449"/>
        <v>Nivel de riesgo bajo</v>
      </c>
      <c r="FQ177" s="5" t="s">
        <v>206</v>
      </c>
      <c r="FR177" s="5">
        <f t="shared" si="450"/>
        <v>0</v>
      </c>
      <c r="FS177" s="5" t="s">
        <v>206</v>
      </c>
      <c r="FT177" s="5">
        <f t="shared" si="451"/>
        <v>0</v>
      </c>
      <c r="FU177" s="5" t="s">
        <v>206</v>
      </c>
      <c r="FV177" s="5">
        <f t="shared" si="452"/>
        <v>0</v>
      </c>
      <c r="FW177" s="5" t="s">
        <v>206</v>
      </c>
      <c r="FX177" s="5">
        <f t="shared" si="453"/>
        <v>0</v>
      </c>
      <c r="FY177" s="5" t="s">
        <v>206</v>
      </c>
      <c r="FZ177" s="5">
        <f t="shared" si="454"/>
        <v>0</v>
      </c>
      <c r="GA177" s="5" t="s">
        <v>206</v>
      </c>
      <c r="GB177" s="5">
        <f t="shared" si="455"/>
        <v>0</v>
      </c>
      <c r="GC177" s="5" t="s">
        <v>206</v>
      </c>
      <c r="GD177" s="5">
        <f t="shared" si="456"/>
        <v>0</v>
      </c>
      <c r="GE177" s="5">
        <f t="shared" si="457"/>
        <v>0</v>
      </c>
      <c r="GF177" s="5" t="str">
        <f t="shared" si="458"/>
        <v>Nivel de riesgo bajo</v>
      </c>
      <c r="GG177" s="5" t="s">
        <v>255</v>
      </c>
      <c r="GH177" s="5" t="s">
        <v>255</v>
      </c>
      <c r="GI177" s="5" t="s">
        <v>255</v>
      </c>
      <c r="GJ177" s="5" t="s">
        <v>266</v>
      </c>
      <c r="GK177" s="5" t="s">
        <v>233</v>
      </c>
      <c r="GL177" s="5" t="s">
        <v>233</v>
      </c>
      <c r="GM177" s="5" t="s">
        <v>255</v>
      </c>
      <c r="GN177" s="5" t="s">
        <v>256</v>
      </c>
      <c r="GO177" s="5" t="s">
        <v>256</v>
      </c>
      <c r="GP177" s="5" t="s">
        <v>256</v>
      </c>
      <c r="GQ177" s="5" t="s">
        <v>243</v>
      </c>
      <c r="GR177" s="5" t="s">
        <v>244</v>
      </c>
      <c r="GS177" s="5" t="s">
        <v>244</v>
      </c>
      <c r="GT177" s="5" t="s">
        <v>256</v>
      </c>
      <c r="GU177" s="5" t="s">
        <v>528</v>
      </c>
      <c r="GV177" s="5" t="str">
        <f>TEXT("6278937976014495082","0")</f>
        <v>6278937976014490000</v>
      </c>
    </row>
    <row r="178" spans="1:204" ht="15.75" customHeight="1" x14ac:dyDescent="0.15">
      <c r="A178" s="1">
        <f t="shared" si="408"/>
        <v>178</v>
      </c>
      <c r="B178" s="4">
        <v>45847.590462962966</v>
      </c>
      <c r="C178" s="5" t="s">
        <v>204</v>
      </c>
      <c r="D178" s="5" t="s">
        <v>206</v>
      </c>
      <c r="F178" s="5" t="s">
        <v>206</v>
      </c>
      <c r="G178" s="5" t="s">
        <v>206</v>
      </c>
      <c r="H178" s="5" t="s">
        <v>206</v>
      </c>
      <c r="L178" s="5" t="s">
        <v>236</v>
      </c>
      <c r="P178" s="5" t="s">
        <v>237</v>
      </c>
      <c r="U178" s="5" t="s">
        <v>237</v>
      </c>
      <c r="AB178" s="5" t="s">
        <v>207</v>
      </c>
      <c r="AF178" s="5" t="s">
        <v>236</v>
      </c>
      <c r="AH178" s="5" t="s">
        <v>275</v>
      </c>
      <c r="AI178" s="5">
        <v>2019</v>
      </c>
      <c r="AJ178" s="5" t="s">
        <v>238</v>
      </c>
      <c r="AK178" s="5" t="str">
        <f t="shared" si="409"/>
        <v>Trabajadora por cuenta propia</v>
      </c>
      <c r="AM178" s="5" t="s">
        <v>309</v>
      </c>
      <c r="AP178" s="5" t="s">
        <v>240</v>
      </c>
      <c r="AR178" s="5" t="s">
        <v>294</v>
      </c>
      <c r="AS178" s="5" t="s">
        <v>276</v>
      </c>
      <c r="AT178" s="5" t="s">
        <v>276</v>
      </c>
      <c r="AU178" s="5" t="s">
        <v>276</v>
      </c>
      <c r="AV178" s="5" t="s">
        <v>213</v>
      </c>
      <c r="AW178" s="5" t="s">
        <v>204</v>
      </c>
      <c r="AX178" s="5" t="s">
        <v>204</v>
      </c>
      <c r="AY178" s="5" t="s">
        <v>406</v>
      </c>
      <c r="AZ178" s="5" t="s">
        <v>206</v>
      </c>
      <c r="BA178" s="5" t="s">
        <v>263</v>
      </c>
      <c r="BF178" s="5" t="s">
        <v>204</v>
      </c>
      <c r="BG178" s="5" t="s">
        <v>242</v>
      </c>
      <c r="BH178" s="5" t="s">
        <v>271</v>
      </c>
      <c r="BI178" s="5" t="s">
        <v>271</v>
      </c>
      <c r="BJ178" s="5" t="s">
        <v>278</v>
      </c>
      <c r="BK178" s="5" t="s">
        <v>243</v>
      </c>
      <c r="BL178" s="5" t="s">
        <v>245</v>
      </c>
      <c r="BM178" s="5" t="s">
        <v>243</v>
      </c>
      <c r="BN178" s="5" t="s">
        <v>243</v>
      </c>
      <c r="BO178" s="5" t="s">
        <v>243</v>
      </c>
      <c r="BP178" s="5" t="s">
        <v>245</v>
      </c>
      <c r="BQ178" s="5" t="s">
        <v>246</v>
      </c>
      <c r="BR178" s="5" t="s">
        <v>243</v>
      </c>
      <c r="BS178" s="5" t="s">
        <v>254</v>
      </c>
      <c r="BT178" s="5" t="s">
        <v>247</v>
      </c>
      <c r="BU178" s="5" t="s">
        <v>232</v>
      </c>
      <c r="BV178" s="5" t="s">
        <v>247</v>
      </c>
      <c r="BW178" s="5" t="s">
        <v>232</v>
      </c>
      <c r="BX178" s="5" t="s">
        <v>232</v>
      </c>
      <c r="BY178" s="5" t="s">
        <v>247</v>
      </c>
      <c r="BZ178" s="5" t="s">
        <v>246</v>
      </c>
      <c r="CA178" s="5" t="s">
        <v>246</v>
      </c>
      <c r="CB178" s="5" t="s">
        <v>246</v>
      </c>
      <c r="CC178" s="5" t="s">
        <v>246</v>
      </c>
      <c r="CD178" s="5" t="s">
        <v>206</v>
      </c>
      <c r="CH178" s="5" t="s">
        <v>206</v>
      </c>
      <c r="CI178" s="5" t="s">
        <v>249</v>
      </c>
      <c r="CJ178" s="5">
        <v>3</v>
      </c>
      <c r="CK178" s="5" t="s">
        <v>223</v>
      </c>
      <c r="CU178" s="5" t="s">
        <v>206</v>
      </c>
      <c r="DA178" s="5" t="s">
        <v>231</v>
      </c>
      <c r="DB178" s="5">
        <f t="shared" si="410"/>
        <v>2</v>
      </c>
      <c r="DC178" s="5" t="s">
        <v>250</v>
      </c>
      <c r="DD178" s="5">
        <f t="shared" si="411"/>
        <v>3</v>
      </c>
      <c r="DE178" s="5" t="s">
        <v>250</v>
      </c>
      <c r="DF178" s="5">
        <f t="shared" si="412"/>
        <v>3</v>
      </c>
      <c r="DG178" s="5" t="s">
        <v>250</v>
      </c>
      <c r="DH178" s="5">
        <f t="shared" si="413"/>
        <v>3</v>
      </c>
      <c r="DI178" s="5" t="s">
        <v>280</v>
      </c>
      <c r="DJ178" s="5">
        <f t="shared" si="414"/>
        <v>4</v>
      </c>
      <c r="DK178" s="5" t="s">
        <v>250</v>
      </c>
      <c r="DL178" s="5">
        <f t="shared" si="415"/>
        <v>3</v>
      </c>
      <c r="DM178" s="5" t="s">
        <v>280</v>
      </c>
      <c r="DN178" s="5">
        <f t="shared" si="416"/>
        <v>4</v>
      </c>
      <c r="DO178" s="5" t="s">
        <v>252</v>
      </c>
      <c r="DP178" s="5">
        <f t="shared" si="417"/>
        <v>3</v>
      </c>
      <c r="DQ178" s="5" t="s">
        <v>231</v>
      </c>
      <c r="DR178" s="5">
        <f t="shared" si="418"/>
        <v>2</v>
      </c>
      <c r="DS178" s="5" t="s">
        <v>252</v>
      </c>
      <c r="DT178" s="5">
        <f t="shared" si="419"/>
        <v>3</v>
      </c>
      <c r="DU178" s="5" t="s">
        <v>231</v>
      </c>
      <c r="DV178" s="5">
        <f t="shared" si="420"/>
        <v>2</v>
      </c>
      <c r="DW178" s="5" t="s">
        <v>231</v>
      </c>
      <c r="DX178" s="5">
        <f t="shared" si="421"/>
        <v>2</v>
      </c>
      <c r="DY178" s="5">
        <f t="shared" si="422"/>
        <v>34</v>
      </c>
      <c r="DZ178" s="5" t="str">
        <f t="shared" si="423"/>
        <v>Nivel de riesgo alto</v>
      </c>
      <c r="EA178" s="5" t="s">
        <v>247</v>
      </c>
      <c r="EB178" s="5">
        <f t="shared" si="424"/>
        <v>2</v>
      </c>
      <c r="EC178" s="5" t="s">
        <v>248</v>
      </c>
      <c r="ED178" s="5">
        <f t="shared" si="425"/>
        <v>1</v>
      </c>
      <c r="EE178" s="5" t="s">
        <v>253</v>
      </c>
      <c r="EF178" s="5">
        <f t="shared" si="426"/>
        <v>0</v>
      </c>
      <c r="EG178" s="5">
        <f t="shared" si="427"/>
        <v>3</v>
      </c>
      <c r="EH178" s="5" t="str">
        <f t="shared" si="428"/>
        <v>Nivel de riesgo medio</v>
      </c>
      <c r="EI178" s="5" t="s">
        <v>247</v>
      </c>
      <c r="EJ178" s="5">
        <f t="shared" si="429"/>
        <v>2</v>
      </c>
      <c r="EK178" s="5" t="s">
        <v>232</v>
      </c>
      <c r="EL178" s="5">
        <f t="shared" si="430"/>
        <v>3</v>
      </c>
      <c r="EM178" s="5" t="s">
        <v>254</v>
      </c>
      <c r="EN178" s="5">
        <f t="shared" si="431"/>
        <v>4</v>
      </c>
      <c r="EO178" s="5">
        <f t="shared" si="432"/>
        <v>9</v>
      </c>
      <c r="EP178" s="5" t="str">
        <f t="shared" si="433"/>
        <v>Nivel de riesgo alto</v>
      </c>
      <c r="EQ178" s="5" t="s">
        <v>248</v>
      </c>
      <c r="ER178" s="5">
        <f t="shared" si="434"/>
        <v>3</v>
      </c>
      <c r="ES178" s="5" t="s">
        <v>253</v>
      </c>
      <c r="ET178" s="5">
        <f t="shared" si="435"/>
        <v>4</v>
      </c>
      <c r="EU178" s="5" t="s">
        <v>232</v>
      </c>
      <c r="EV178" s="5">
        <f t="shared" si="436"/>
        <v>1</v>
      </c>
      <c r="EW178" s="5" t="s">
        <v>247</v>
      </c>
      <c r="EX178" s="5">
        <f t="shared" si="437"/>
        <v>2</v>
      </c>
      <c r="EY178" s="5">
        <f t="shared" si="438"/>
        <v>10</v>
      </c>
      <c r="EZ178" s="5" t="str">
        <f t="shared" si="439"/>
        <v>Nivel de riesgo alto</v>
      </c>
      <c r="FA178" s="5" t="s">
        <v>247</v>
      </c>
      <c r="FB178" s="5">
        <f t="shared" si="440"/>
        <v>2</v>
      </c>
      <c r="FC178" s="5" t="s">
        <v>247</v>
      </c>
      <c r="FD178" s="5">
        <f t="shared" si="441"/>
        <v>2</v>
      </c>
      <c r="FE178" s="5" t="s">
        <v>254</v>
      </c>
      <c r="FF178" s="5">
        <f t="shared" si="442"/>
        <v>4</v>
      </c>
      <c r="FG178" s="5">
        <f t="shared" si="443"/>
        <v>8</v>
      </c>
      <c r="FH178" s="5" t="str">
        <f t="shared" si="444"/>
        <v>Nivel de riesgo alto</v>
      </c>
      <c r="FI178" s="5" t="s">
        <v>232</v>
      </c>
      <c r="FJ178" s="5">
        <f t="shared" si="445"/>
        <v>3</v>
      </c>
      <c r="FK178" s="5" t="s">
        <v>232</v>
      </c>
      <c r="FL178" s="5">
        <f t="shared" si="446"/>
        <v>3</v>
      </c>
      <c r="FM178" s="5" t="s">
        <v>247</v>
      </c>
      <c r="FN178" s="5">
        <f t="shared" si="447"/>
        <v>2</v>
      </c>
      <c r="FO178" s="5">
        <f t="shared" si="448"/>
        <v>8</v>
      </c>
      <c r="FP178" s="5" t="str">
        <f t="shared" si="449"/>
        <v>Nivel de riesgo alto</v>
      </c>
      <c r="FQ178" s="5" t="s">
        <v>206</v>
      </c>
      <c r="FR178" s="5">
        <f t="shared" si="450"/>
        <v>0</v>
      </c>
      <c r="FS178" s="5" t="s">
        <v>265</v>
      </c>
      <c r="FT178" s="5">
        <f t="shared" si="451"/>
        <v>1</v>
      </c>
      <c r="FU178" s="5" t="s">
        <v>206</v>
      </c>
      <c r="FV178" s="5">
        <f t="shared" si="452"/>
        <v>0</v>
      </c>
      <c r="FW178" s="5" t="s">
        <v>206</v>
      </c>
      <c r="FX178" s="5">
        <f t="shared" si="453"/>
        <v>0</v>
      </c>
      <c r="FY178" s="5" t="s">
        <v>206</v>
      </c>
      <c r="FZ178" s="5">
        <f t="shared" si="454"/>
        <v>0</v>
      </c>
      <c r="GA178" s="5" t="s">
        <v>265</v>
      </c>
      <c r="GB178" s="5">
        <f t="shared" si="455"/>
        <v>1</v>
      </c>
      <c r="GC178" s="5" t="s">
        <v>265</v>
      </c>
      <c r="GD178" s="5">
        <f t="shared" si="456"/>
        <v>1</v>
      </c>
      <c r="GE178" s="5">
        <f t="shared" si="457"/>
        <v>3</v>
      </c>
      <c r="GF178" s="5" t="str">
        <f t="shared" si="458"/>
        <v>Nivel de riesgo medio</v>
      </c>
      <c r="GG178" s="5" t="s">
        <v>255</v>
      </c>
      <c r="GH178" s="5" t="s">
        <v>273</v>
      </c>
      <c r="GI178" s="5" t="s">
        <v>273</v>
      </c>
      <c r="GJ178" s="5" t="s">
        <v>266</v>
      </c>
      <c r="GK178" s="5" t="s">
        <v>233</v>
      </c>
      <c r="GL178" s="5" t="s">
        <v>266</v>
      </c>
      <c r="GM178" s="5" t="s">
        <v>266</v>
      </c>
      <c r="GN178" s="5" t="s">
        <v>243</v>
      </c>
      <c r="GO178" s="5" t="s">
        <v>234</v>
      </c>
      <c r="GP178" s="5" t="s">
        <v>243</v>
      </c>
      <c r="GQ178" s="5" t="s">
        <v>244</v>
      </c>
      <c r="GR178" s="5" t="s">
        <v>244</v>
      </c>
      <c r="GS178" s="5" t="s">
        <v>244</v>
      </c>
      <c r="GT178" s="5" t="s">
        <v>243</v>
      </c>
      <c r="GU178" s="5" t="s">
        <v>529</v>
      </c>
      <c r="GV178" s="5" t="str">
        <f>TEXT("6278938161472213330","0")</f>
        <v>6278938161472210000</v>
      </c>
    </row>
    <row r="179" spans="1:204" ht="15.75" customHeight="1" x14ac:dyDescent="0.15">
      <c r="A179" s="1">
        <f t="shared" si="408"/>
        <v>179</v>
      </c>
      <c r="B179" s="4">
        <v>45847.593194444446</v>
      </c>
      <c r="C179" s="5" t="s">
        <v>204</v>
      </c>
      <c r="D179" s="5" t="s">
        <v>206</v>
      </c>
      <c r="F179" s="5" t="s">
        <v>206</v>
      </c>
      <c r="G179" s="5" t="s">
        <v>206</v>
      </c>
      <c r="H179" s="5" t="s">
        <v>206</v>
      </c>
      <c r="L179" s="5" t="s">
        <v>236</v>
      </c>
      <c r="P179" s="5" t="s">
        <v>237</v>
      </c>
      <c r="T179" s="5" t="s">
        <v>209</v>
      </c>
      <c r="Y179" s="5" t="s">
        <v>209</v>
      </c>
      <c r="AD179" s="5" t="s">
        <v>209</v>
      </c>
      <c r="AH179" s="5" t="s">
        <v>268</v>
      </c>
      <c r="AI179" s="5">
        <v>2023</v>
      </c>
      <c r="AJ179" s="5" t="s">
        <v>238</v>
      </c>
      <c r="AK179" s="5" t="str">
        <f t="shared" si="409"/>
        <v>Trabajadora por cuenta propia</v>
      </c>
      <c r="AM179" s="5" t="s">
        <v>309</v>
      </c>
      <c r="AP179" s="5" t="s">
        <v>321</v>
      </c>
      <c r="AR179" s="5" t="s">
        <v>261</v>
      </c>
      <c r="AS179" s="5" t="s">
        <v>261</v>
      </c>
      <c r="AT179" s="5" t="s">
        <v>261</v>
      </c>
      <c r="AU179" s="5" t="s">
        <v>261</v>
      </c>
      <c r="AV179" s="5" t="s">
        <v>285</v>
      </c>
      <c r="AW179" s="5" t="s">
        <v>204</v>
      </c>
      <c r="AX179" s="5" t="s">
        <v>204</v>
      </c>
      <c r="AY179" s="5" t="s">
        <v>214</v>
      </c>
      <c r="AZ179" s="5" t="s">
        <v>204</v>
      </c>
      <c r="BA179" s="5" t="s">
        <v>295</v>
      </c>
      <c r="BB179" s="5" t="s">
        <v>206</v>
      </c>
      <c r="BC179" s="5" t="s">
        <v>206</v>
      </c>
      <c r="BD179" s="5" t="s">
        <v>290</v>
      </c>
      <c r="BE179" s="5" t="s">
        <v>206</v>
      </c>
      <c r="BF179" s="5" t="s">
        <v>204</v>
      </c>
      <c r="BG179" s="5" t="s">
        <v>207</v>
      </c>
      <c r="BH179" s="5" t="s">
        <v>207</v>
      </c>
      <c r="BI179" s="5" t="s">
        <v>207</v>
      </c>
      <c r="BJ179" s="5" t="s">
        <v>207</v>
      </c>
      <c r="BK179" s="5" t="s">
        <v>245</v>
      </c>
      <c r="BL179" s="5" t="s">
        <v>245</v>
      </c>
      <c r="BM179" s="5" t="s">
        <v>245</v>
      </c>
      <c r="BN179" s="5" t="s">
        <v>245</v>
      </c>
      <c r="BO179" s="5" t="s">
        <v>245</v>
      </c>
      <c r="BP179" s="5" t="s">
        <v>245</v>
      </c>
      <c r="BQ179" s="5" t="s">
        <v>245</v>
      </c>
      <c r="BR179" s="5" t="s">
        <v>245</v>
      </c>
      <c r="BS179" s="5" t="s">
        <v>254</v>
      </c>
      <c r="BT179" s="5" t="s">
        <v>254</v>
      </c>
      <c r="BU179" s="5" t="s">
        <v>254</v>
      </c>
      <c r="BV179" s="5" t="s">
        <v>254</v>
      </c>
      <c r="BW179" s="5" t="s">
        <v>254</v>
      </c>
      <c r="BX179" s="5" t="s">
        <v>254</v>
      </c>
      <c r="BY179" s="5" t="s">
        <v>254</v>
      </c>
      <c r="BZ179" s="5" t="s">
        <v>245</v>
      </c>
      <c r="CA179" s="5" t="s">
        <v>245</v>
      </c>
      <c r="CB179" s="5" t="s">
        <v>245</v>
      </c>
      <c r="CC179" s="5" t="s">
        <v>245</v>
      </c>
      <c r="CD179" s="5" t="s">
        <v>206</v>
      </c>
      <c r="CH179" s="5" t="s">
        <v>367</v>
      </c>
      <c r="CI179" s="5" t="s">
        <v>249</v>
      </c>
      <c r="CJ179" s="5">
        <v>2</v>
      </c>
      <c r="CK179" s="5" t="s">
        <v>223</v>
      </c>
      <c r="CU179" s="5" t="s">
        <v>206</v>
      </c>
      <c r="DA179" s="5" t="s">
        <v>229</v>
      </c>
      <c r="DB179" s="5">
        <f t="shared" si="410"/>
        <v>4</v>
      </c>
      <c r="DC179" s="5" t="s">
        <v>280</v>
      </c>
      <c r="DD179" s="5">
        <f t="shared" si="411"/>
        <v>4</v>
      </c>
      <c r="DE179" s="5" t="s">
        <v>280</v>
      </c>
      <c r="DF179" s="5">
        <f t="shared" si="412"/>
        <v>4</v>
      </c>
      <c r="DG179" s="5" t="s">
        <v>280</v>
      </c>
      <c r="DH179" s="5">
        <f t="shared" si="413"/>
        <v>4</v>
      </c>
      <c r="DI179" s="5" t="s">
        <v>251</v>
      </c>
      <c r="DJ179" s="5">
        <f t="shared" si="414"/>
        <v>1</v>
      </c>
      <c r="DK179" s="5" t="s">
        <v>251</v>
      </c>
      <c r="DL179" s="5">
        <f t="shared" si="415"/>
        <v>1</v>
      </c>
      <c r="DM179" s="5" t="s">
        <v>251</v>
      </c>
      <c r="DN179" s="5">
        <f t="shared" si="416"/>
        <v>1</v>
      </c>
      <c r="DO179" s="5" t="s">
        <v>229</v>
      </c>
      <c r="DP179" s="5">
        <f t="shared" si="417"/>
        <v>4</v>
      </c>
      <c r="DQ179" s="5" t="s">
        <v>229</v>
      </c>
      <c r="DR179" s="5">
        <f t="shared" si="418"/>
        <v>4</v>
      </c>
      <c r="DS179" s="5" t="s">
        <v>229</v>
      </c>
      <c r="DT179" s="5">
        <f t="shared" si="419"/>
        <v>4</v>
      </c>
      <c r="DU179" s="5" t="s">
        <v>229</v>
      </c>
      <c r="DV179" s="5">
        <f t="shared" si="420"/>
        <v>4</v>
      </c>
      <c r="DW179" s="5" t="s">
        <v>229</v>
      </c>
      <c r="DX179" s="5">
        <f t="shared" si="421"/>
        <v>4</v>
      </c>
      <c r="DY179" s="5">
        <f t="shared" si="422"/>
        <v>39</v>
      </c>
      <c r="DZ179" s="5" t="str">
        <f t="shared" si="423"/>
        <v>Nivel de riesgo alto</v>
      </c>
      <c r="EA179" s="5" t="s">
        <v>248</v>
      </c>
      <c r="EB179" s="5">
        <f t="shared" si="424"/>
        <v>1</v>
      </c>
      <c r="EC179" s="5" t="s">
        <v>248</v>
      </c>
      <c r="ED179" s="5">
        <f t="shared" si="425"/>
        <v>1</v>
      </c>
      <c r="EE179" s="5" t="s">
        <v>248</v>
      </c>
      <c r="EF179" s="5">
        <f t="shared" si="426"/>
        <v>1</v>
      </c>
      <c r="EG179" s="5">
        <f t="shared" si="427"/>
        <v>3</v>
      </c>
      <c r="EH179" s="5" t="str">
        <f t="shared" si="428"/>
        <v>Nivel de riesgo medio</v>
      </c>
      <c r="EI179" s="5" t="s">
        <v>248</v>
      </c>
      <c r="EJ179" s="5">
        <f t="shared" si="429"/>
        <v>1</v>
      </c>
      <c r="EK179" s="5" t="s">
        <v>248</v>
      </c>
      <c r="EL179" s="5">
        <f t="shared" si="430"/>
        <v>1</v>
      </c>
      <c r="EM179" s="5" t="s">
        <v>248</v>
      </c>
      <c r="EN179" s="5">
        <f t="shared" si="431"/>
        <v>1</v>
      </c>
      <c r="EO179" s="5">
        <f t="shared" si="432"/>
        <v>3</v>
      </c>
      <c r="EP179" s="5" t="str">
        <f t="shared" si="433"/>
        <v>Nivel de riesgo medio</v>
      </c>
      <c r="EQ179" s="5" t="s">
        <v>248</v>
      </c>
      <c r="ER179" s="5">
        <f t="shared" si="434"/>
        <v>3</v>
      </c>
      <c r="ES179" s="5" t="s">
        <v>248</v>
      </c>
      <c r="ET179" s="5">
        <f t="shared" si="435"/>
        <v>3</v>
      </c>
      <c r="EU179" s="5" t="s">
        <v>248</v>
      </c>
      <c r="EV179" s="5">
        <f t="shared" si="436"/>
        <v>3</v>
      </c>
      <c r="EW179" s="5" t="s">
        <v>248</v>
      </c>
      <c r="EX179" s="5">
        <f t="shared" si="437"/>
        <v>3</v>
      </c>
      <c r="EY179" s="5">
        <f t="shared" si="438"/>
        <v>12</v>
      </c>
      <c r="EZ179" s="5" t="str">
        <f t="shared" si="439"/>
        <v>Nivel de riesgo alto</v>
      </c>
      <c r="FA179" s="5" t="s">
        <v>248</v>
      </c>
      <c r="FB179" s="5">
        <f t="shared" si="440"/>
        <v>1</v>
      </c>
      <c r="FC179" s="5" t="s">
        <v>248</v>
      </c>
      <c r="FD179" s="5">
        <f t="shared" si="441"/>
        <v>1</v>
      </c>
      <c r="FE179" s="5" t="s">
        <v>248</v>
      </c>
      <c r="FF179" s="5">
        <f t="shared" si="442"/>
        <v>1</v>
      </c>
      <c r="FG179" s="5">
        <f t="shared" si="443"/>
        <v>3</v>
      </c>
      <c r="FH179" s="5" t="str">
        <f t="shared" si="444"/>
        <v>Nivel de riesgo medio</v>
      </c>
      <c r="FI179" s="5" t="s">
        <v>248</v>
      </c>
      <c r="FJ179" s="5">
        <f t="shared" si="445"/>
        <v>1</v>
      </c>
      <c r="FK179" s="5" t="s">
        <v>248</v>
      </c>
      <c r="FL179" s="5">
        <f t="shared" si="446"/>
        <v>1</v>
      </c>
      <c r="FM179" s="5" t="s">
        <v>248</v>
      </c>
      <c r="FN179" s="5">
        <f t="shared" si="447"/>
        <v>1</v>
      </c>
      <c r="FO179" s="5">
        <f t="shared" si="448"/>
        <v>3</v>
      </c>
      <c r="FP179" s="5" t="str">
        <f t="shared" si="449"/>
        <v>Nivel de riesgo medio</v>
      </c>
      <c r="FQ179" s="5" t="s">
        <v>206</v>
      </c>
      <c r="FR179" s="5">
        <f t="shared" si="450"/>
        <v>0</v>
      </c>
      <c r="FS179" s="5" t="s">
        <v>206</v>
      </c>
      <c r="FT179" s="5">
        <f t="shared" si="451"/>
        <v>0</v>
      </c>
      <c r="FU179" s="5" t="s">
        <v>206</v>
      </c>
      <c r="FV179" s="5">
        <f t="shared" si="452"/>
        <v>0</v>
      </c>
      <c r="FW179" s="5" t="s">
        <v>206</v>
      </c>
      <c r="FX179" s="5">
        <f t="shared" si="453"/>
        <v>0</v>
      </c>
      <c r="FY179" s="5" t="s">
        <v>206</v>
      </c>
      <c r="FZ179" s="5">
        <f t="shared" si="454"/>
        <v>0</v>
      </c>
      <c r="GA179" s="5" t="s">
        <v>206</v>
      </c>
      <c r="GB179" s="5">
        <f t="shared" si="455"/>
        <v>0</v>
      </c>
      <c r="GC179" s="5" t="s">
        <v>206</v>
      </c>
      <c r="GD179" s="5">
        <f t="shared" si="456"/>
        <v>0</v>
      </c>
      <c r="GE179" s="5">
        <f t="shared" si="457"/>
        <v>0</v>
      </c>
      <c r="GF179" s="5" t="str">
        <f t="shared" si="458"/>
        <v>Nivel de riesgo bajo</v>
      </c>
      <c r="GG179" s="5" t="s">
        <v>273</v>
      </c>
      <c r="GH179" s="5" t="s">
        <v>273</v>
      </c>
      <c r="GI179" s="5" t="s">
        <v>273</v>
      </c>
      <c r="GJ179" s="5" t="s">
        <v>273</v>
      </c>
      <c r="GK179" s="5" t="s">
        <v>273</v>
      </c>
      <c r="GL179" s="5" t="s">
        <v>273</v>
      </c>
      <c r="GM179" s="5" t="s">
        <v>273</v>
      </c>
      <c r="GN179" s="5" t="s">
        <v>234</v>
      </c>
      <c r="GO179" s="5" t="s">
        <v>234</v>
      </c>
      <c r="GP179" s="5" t="s">
        <v>234</v>
      </c>
      <c r="GQ179" s="5" t="s">
        <v>234</v>
      </c>
      <c r="GR179" s="5" t="s">
        <v>234</v>
      </c>
      <c r="GS179" s="5" t="s">
        <v>234</v>
      </c>
      <c r="GT179" s="5" t="s">
        <v>234</v>
      </c>
      <c r="GU179" s="5" t="s">
        <v>338</v>
      </c>
      <c r="GV179" s="5" t="str">
        <f>TEXT("6278940524527467070","0")</f>
        <v>6278940524527460000</v>
      </c>
    </row>
    <row r="180" spans="1:204" ht="15.75" customHeight="1" x14ac:dyDescent="0.15">
      <c r="A180" s="1">
        <f t="shared" si="408"/>
        <v>180</v>
      </c>
      <c r="B180" s="4">
        <v>45847.59337962963</v>
      </c>
      <c r="C180" s="5" t="s">
        <v>204</v>
      </c>
      <c r="D180" s="5" t="s">
        <v>206</v>
      </c>
      <c r="F180" s="5" t="s">
        <v>206</v>
      </c>
      <c r="G180" s="5" t="s">
        <v>206</v>
      </c>
      <c r="H180" s="5" t="s">
        <v>206</v>
      </c>
      <c r="K180" s="5" t="s">
        <v>237</v>
      </c>
      <c r="O180" s="5" t="s">
        <v>209</v>
      </c>
      <c r="T180" s="5" t="s">
        <v>209</v>
      </c>
      <c r="X180" s="5" t="s">
        <v>208</v>
      </c>
      <c r="AD180" s="5" t="s">
        <v>209</v>
      </c>
      <c r="AH180" s="5" t="s">
        <v>210</v>
      </c>
      <c r="AI180" s="5">
        <v>2021</v>
      </c>
      <c r="AJ180" s="5" t="s">
        <v>238</v>
      </c>
      <c r="AK180" s="5" t="str">
        <f t="shared" si="409"/>
        <v>Trabajadora por cuenta propia</v>
      </c>
      <c r="AM180" s="5" t="s">
        <v>309</v>
      </c>
      <c r="AP180" s="5" t="s">
        <v>365</v>
      </c>
      <c r="AR180" s="5" t="s">
        <v>261</v>
      </c>
      <c r="AS180" s="5" t="s">
        <v>241</v>
      </c>
      <c r="AT180" s="5" t="s">
        <v>294</v>
      </c>
      <c r="AU180" s="5" t="s">
        <v>261</v>
      </c>
      <c r="AV180" s="5" t="s">
        <v>269</v>
      </c>
      <c r="AW180" s="5" t="s">
        <v>204</v>
      </c>
      <c r="AX180" s="5" t="s">
        <v>204</v>
      </c>
      <c r="AY180" s="5" t="s">
        <v>214</v>
      </c>
      <c r="AZ180" s="5" t="s">
        <v>204</v>
      </c>
      <c r="BA180" s="5" t="s">
        <v>263</v>
      </c>
      <c r="BF180" s="5" t="s">
        <v>204</v>
      </c>
      <c r="BG180" s="5" t="s">
        <v>278</v>
      </c>
      <c r="BH180" s="5" t="s">
        <v>278</v>
      </c>
      <c r="BI180" s="5" t="s">
        <v>278</v>
      </c>
      <c r="BJ180" s="5" t="s">
        <v>271</v>
      </c>
      <c r="BK180" s="5" t="s">
        <v>246</v>
      </c>
      <c r="BL180" s="5" t="s">
        <v>243</v>
      </c>
      <c r="BM180" s="5" t="s">
        <v>243</v>
      </c>
      <c r="BN180" s="5" t="s">
        <v>245</v>
      </c>
      <c r="BO180" s="5" t="s">
        <v>243</v>
      </c>
      <c r="BP180" s="5" t="s">
        <v>243</v>
      </c>
      <c r="BQ180" s="5" t="s">
        <v>246</v>
      </c>
      <c r="BR180" s="5" t="s">
        <v>246</v>
      </c>
      <c r="BS180" s="5" t="s">
        <v>232</v>
      </c>
      <c r="BT180" s="5" t="s">
        <v>232</v>
      </c>
      <c r="BU180" s="5" t="s">
        <v>247</v>
      </c>
      <c r="BV180" s="5" t="s">
        <v>247</v>
      </c>
      <c r="BW180" s="5" t="s">
        <v>247</v>
      </c>
      <c r="BX180" s="5" t="s">
        <v>247</v>
      </c>
      <c r="BY180" s="5" t="s">
        <v>247</v>
      </c>
      <c r="BZ180" s="5" t="s">
        <v>246</v>
      </c>
      <c r="CA180" s="5" t="s">
        <v>243</v>
      </c>
      <c r="CB180" s="5" t="s">
        <v>246</v>
      </c>
      <c r="CC180" s="5" t="s">
        <v>243</v>
      </c>
      <c r="CD180" s="5" t="s">
        <v>206</v>
      </c>
      <c r="CH180" s="5" t="s">
        <v>530</v>
      </c>
      <c r="CI180" s="5" t="s">
        <v>291</v>
      </c>
      <c r="CJ180" s="5">
        <v>2</v>
      </c>
      <c r="CK180" s="5" t="s">
        <v>223</v>
      </c>
      <c r="CU180" s="5" t="s">
        <v>206</v>
      </c>
      <c r="DA180" s="5" t="s">
        <v>252</v>
      </c>
      <c r="DB180" s="5">
        <f t="shared" si="410"/>
        <v>3</v>
      </c>
      <c r="DC180" s="5" t="s">
        <v>250</v>
      </c>
      <c r="DD180" s="5">
        <f t="shared" si="411"/>
        <v>3</v>
      </c>
      <c r="DE180" s="5" t="s">
        <v>280</v>
      </c>
      <c r="DF180" s="5">
        <f t="shared" si="412"/>
        <v>4</v>
      </c>
      <c r="DG180" s="5" t="s">
        <v>280</v>
      </c>
      <c r="DH180" s="5">
        <f t="shared" si="413"/>
        <v>4</v>
      </c>
      <c r="DI180" s="5" t="s">
        <v>280</v>
      </c>
      <c r="DJ180" s="5">
        <f t="shared" si="414"/>
        <v>4</v>
      </c>
      <c r="DK180" s="5" t="s">
        <v>280</v>
      </c>
      <c r="DL180" s="5">
        <f t="shared" si="415"/>
        <v>4</v>
      </c>
      <c r="DM180" s="5" t="s">
        <v>280</v>
      </c>
      <c r="DN180" s="5">
        <f t="shared" si="416"/>
        <v>4</v>
      </c>
      <c r="DO180" s="5" t="s">
        <v>281</v>
      </c>
      <c r="DP180" s="5">
        <f t="shared" si="417"/>
        <v>1</v>
      </c>
      <c r="DQ180" s="5" t="s">
        <v>231</v>
      </c>
      <c r="DR180" s="5">
        <f t="shared" si="418"/>
        <v>2</v>
      </c>
      <c r="DS180" s="5" t="s">
        <v>231</v>
      </c>
      <c r="DT180" s="5">
        <f t="shared" si="419"/>
        <v>2</v>
      </c>
      <c r="DU180" s="5" t="s">
        <v>281</v>
      </c>
      <c r="DV180" s="5">
        <f t="shared" si="420"/>
        <v>1</v>
      </c>
      <c r="DW180" s="5" t="s">
        <v>231</v>
      </c>
      <c r="DX180" s="5">
        <f t="shared" si="421"/>
        <v>2</v>
      </c>
      <c r="DY180" s="5">
        <f t="shared" si="422"/>
        <v>34</v>
      </c>
      <c r="DZ180" s="5" t="str">
        <f t="shared" si="423"/>
        <v>Nivel de riesgo alto</v>
      </c>
      <c r="EA180" s="5" t="s">
        <v>248</v>
      </c>
      <c r="EB180" s="5">
        <f t="shared" si="424"/>
        <v>1</v>
      </c>
      <c r="EC180" s="5" t="s">
        <v>232</v>
      </c>
      <c r="ED180" s="5">
        <f t="shared" si="425"/>
        <v>3</v>
      </c>
      <c r="EE180" s="5" t="s">
        <v>253</v>
      </c>
      <c r="EF180" s="5">
        <f t="shared" si="426"/>
        <v>0</v>
      </c>
      <c r="EG180" s="5">
        <f t="shared" si="427"/>
        <v>4</v>
      </c>
      <c r="EH180" s="5" t="str">
        <f t="shared" si="428"/>
        <v>Nivel de riesgo medio</v>
      </c>
      <c r="EI180" s="5" t="s">
        <v>253</v>
      </c>
      <c r="EJ180" s="5">
        <f t="shared" si="429"/>
        <v>0</v>
      </c>
      <c r="EK180" s="5" t="s">
        <v>253</v>
      </c>
      <c r="EL180" s="5">
        <f t="shared" si="430"/>
        <v>0</v>
      </c>
      <c r="EM180" s="5" t="s">
        <v>253</v>
      </c>
      <c r="EN180" s="5">
        <f t="shared" si="431"/>
        <v>0</v>
      </c>
      <c r="EO180" s="5">
        <f t="shared" si="432"/>
        <v>0</v>
      </c>
      <c r="EP180" s="5" t="str">
        <f t="shared" si="433"/>
        <v>Nivel de riesgo bajo</v>
      </c>
      <c r="EQ180" s="5" t="s">
        <v>253</v>
      </c>
      <c r="ER180" s="5">
        <f t="shared" si="434"/>
        <v>4</v>
      </c>
      <c r="ES180" s="5" t="s">
        <v>247</v>
      </c>
      <c r="ET180" s="5">
        <f t="shared" si="435"/>
        <v>2</v>
      </c>
      <c r="EU180" s="5" t="s">
        <v>254</v>
      </c>
      <c r="EV180" s="5">
        <f t="shared" si="436"/>
        <v>0</v>
      </c>
      <c r="EW180" s="5" t="s">
        <v>254</v>
      </c>
      <c r="EX180" s="5">
        <f t="shared" si="437"/>
        <v>0</v>
      </c>
      <c r="EY180" s="5">
        <f t="shared" si="438"/>
        <v>6</v>
      </c>
      <c r="EZ180" s="5" t="str">
        <f t="shared" si="439"/>
        <v>Nivel de riesgo alto</v>
      </c>
      <c r="FA180" s="5" t="s">
        <v>247</v>
      </c>
      <c r="FB180" s="5">
        <f t="shared" si="440"/>
        <v>2</v>
      </c>
      <c r="FC180" s="5" t="s">
        <v>253</v>
      </c>
      <c r="FD180" s="5">
        <f t="shared" si="441"/>
        <v>0</v>
      </c>
      <c r="FE180" s="5" t="s">
        <v>247</v>
      </c>
      <c r="FF180" s="5">
        <f t="shared" si="442"/>
        <v>2</v>
      </c>
      <c r="FG180" s="5">
        <f t="shared" si="443"/>
        <v>4</v>
      </c>
      <c r="FH180" s="5" t="str">
        <f t="shared" si="444"/>
        <v>Nivel de riesgo medio</v>
      </c>
      <c r="FI180" s="5" t="s">
        <v>247</v>
      </c>
      <c r="FJ180" s="5">
        <f t="shared" si="445"/>
        <v>2</v>
      </c>
      <c r="FK180" s="5" t="s">
        <v>247</v>
      </c>
      <c r="FL180" s="5">
        <f t="shared" si="446"/>
        <v>2</v>
      </c>
      <c r="FM180" s="5" t="s">
        <v>247</v>
      </c>
      <c r="FN180" s="5">
        <f t="shared" si="447"/>
        <v>2</v>
      </c>
      <c r="FO180" s="5">
        <f t="shared" si="448"/>
        <v>6</v>
      </c>
      <c r="FP180" s="5" t="str">
        <f t="shared" si="449"/>
        <v>Nivel de riesgo alto</v>
      </c>
      <c r="FQ180" s="5" t="s">
        <v>206</v>
      </c>
      <c r="FR180" s="5">
        <f t="shared" si="450"/>
        <v>0</v>
      </c>
      <c r="FS180" s="5" t="s">
        <v>206</v>
      </c>
      <c r="FT180" s="5">
        <f t="shared" si="451"/>
        <v>0</v>
      </c>
      <c r="FU180" s="5" t="s">
        <v>206</v>
      </c>
      <c r="FV180" s="5">
        <f t="shared" si="452"/>
        <v>0</v>
      </c>
      <c r="FW180" s="5" t="s">
        <v>206</v>
      </c>
      <c r="FX180" s="5">
        <f t="shared" si="453"/>
        <v>0</v>
      </c>
      <c r="FY180" s="5" t="s">
        <v>206</v>
      </c>
      <c r="FZ180" s="5">
        <f t="shared" si="454"/>
        <v>0</v>
      </c>
      <c r="GA180" s="5" t="s">
        <v>206</v>
      </c>
      <c r="GB180" s="5">
        <f t="shared" si="455"/>
        <v>0</v>
      </c>
      <c r="GC180" s="5" t="s">
        <v>206</v>
      </c>
      <c r="GD180" s="5">
        <f t="shared" si="456"/>
        <v>0</v>
      </c>
      <c r="GE180" s="5">
        <f t="shared" si="457"/>
        <v>0</v>
      </c>
      <c r="GF180" s="5" t="str">
        <f t="shared" si="458"/>
        <v>Nivel de riesgo bajo</v>
      </c>
      <c r="GG180" s="5" t="s">
        <v>255</v>
      </c>
      <c r="GH180" s="5" t="s">
        <v>255</v>
      </c>
      <c r="GI180" s="5" t="s">
        <v>273</v>
      </c>
      <c r="GJ180" s="5" t="s">
        <v>233</v>
      </c>
      <c r="GK180" s="5" t="s">
        <v>233</v>
      </c>
      <c r="GL180" s="5" t="s">
        <v>266</v>
      </c>
      <c r="GM180" s="5" t="s">
        <v>266</v>
      </c>
      <c r="GN180" s="5" t="s">
        <v>256</v>
      </c>
      <c r="GO180" s="5" t="s">
        <v>257</v>
      </c>
      <c r="GP180" s="5" t="s">
        <v>257</v>
      </c>
      <c r="GQ180" s="5" t="s">
        <v>244</v>
      </c>
      <c r="GR180" s="5" t="s">
        <v>244</v>
      </c>
      <c r="GS180" s="5" t="s">
        <v>244</v>
      </c>
      <c r="GT180" s="5" t="s">
        <v>244</v>
      </c>
      <c r="GU180" s="5" t="s">
        <v>531</v>
      </c>
      <c r="GV180" s="5" t="str">
        <f>TEXT("6278940683217331952","0")</f>
        <v>6278940683217330000</v>
      </c>
    </row>
    <row r="181" spans="1:204" ht="15.75" customHeight="1" x14ac:dyDescent="0.15">
      <c r="A181" s="1">
        <f t="shared" si="408"/>
        <v>181</v>
      </c>
      <c r="B181" s="4">
        <v>45847.597118055557</v>
      </c>
      <c r="C181" s="5" t="s">
        <v>204</v>
      </c>
      <c r="D181" s="5" t="s">
        <v>206</v>
      </c>
      <c r="F181" s="5" t="s">
        <v>206</v>
      </c>
      <c r="G181" s="5" t="s">
        <v>206</v>
      </c>
      <c r="H181" s="5" t="s">
        <v>206</v>
      </c>
      <c r="L181" s="5" t="s">
        <v>236</v>
      </c>
      <c r="P181" s="5" t="s">
        <v>237</v>
      </c>
      <c r="T181" s="5" t="s">
        <v>209</v>
      </c>
      <c r="Y181" s="5" t="s">
        <v>209</v>
      </c>
      <c r="AG181" s="5" t="s">
        <v>207</v>
      </c>
      <c r="AH181" s="5" t="s">
        <v>210</v>
      </c>
      <c r="AI181" s="5">
        <v>2016</v>
      </c>
      <c r="AJ181" s="5" t="s">
        <v>238</v>
      </c>
      <c r="AK181" s="5" t="str">
        <f t="shared" si="409"/>
        <v>Trabajadora por cuenta propia</v>
      </c>
      <c r="AL181" s="5" t="s">
        <v>239</v>
      </c>
      <c r="AO181" s="5" t="s">
        <v>532</v>
      </c>
      <c r="AP181" s="5" t="s">
        <v>284</v>
      </c>
      <c r="AR181" s="5" t="s">
        <v>301</v>
      </c>
      <c r="AS181" s="5" t="s">
        <v>301</v>
      </c>
      <c r="AT181" s="5" t="s">
        <v>301</v>
      </c>
      <c r="AU181" s="5" t="s">
        <v>301</v>
      </c>
      <c r="AV181" s="5" t="s">
        <v>285</v>
      </c>
      <c r="AW181" s="5" t="s">
        <v>204</v>
      </c>
      <c r="AX181" s="5" t="s">
        <v>204</v>
      </c>
      <c r="AY181" s="5" t="s">
        <v>214</v>
      </c>
      <c r="AZ181" s="5" t="s">
        <v>204</v>
      </c>
      <c r="BA181" s="5" t="s">
        <v>295</v>
      </c>
      <c r="BB181" s="5" t="s">
        <v>204</v>
      </c>
      <c r="BC181" s="5" t="s">
        <v>204</v>
      </c>
      <c r="BD181" s="5" t="s">
        <v>206</v>
      </c>
      <c r="BE181" s="5" t="s">
        <v>206</v>
      </c>
      <c r="BF181" s="5" t="s">
        <v>206</v>
      </c>
      <c r="CK181" s="5" t="s">
        <v>223</v>
      </c>
      <c r="CU181" s="5" t="s">
        <v>206</v>
      </c>
      <c r="DA181" s="5" t="s">
        <v>272</v>
      </c>
      <c r="DB181" s="5">
        <f t="shared" si="410"/>
        <v>1</v>
      </c>
      <c r="DC181" s="5" t="s">
        <v>230</v>
      </c>
      <c r="DD181" s="5">
        <f t="shared" si="411"/>
        <v>2</v>
      </c>
      <c r="DE181" s="5" t="s">
        <v>230</v>
      </c>
      <c r="DF181" s="5">
        <f t="shared" si="412"/>
        <v>2</v>
      </c>
      <c r="DG181" s="5" t="s">
        <v>251</v>
      </c>
      <c r="DH181" s="5">
        <f t="shared" si="413"/>
        <v>1</v>
      </c>
      <c r="DI181" s="5" t="s">
        <v>251</v>
      </c>
      <c r="DJ181" s="5">
        <f t="shared" si="414"/>
        <v>1</v>
      </c>
      <c r="DK181" s="5" t="s">
        <v>251</v>
      </c>
      <c r="DL181" s="5">
        <f t="shared" si="415"/>
        <v>1</v>
      </c>
      <c r="DM181" s="5" t="s">
        <v>251</v>
      </c>
      <c r="DN181" s="5">
        <f t="shared" si="416"/>
        <v>1</v>
      </c>
      <c r="DO181" s="5" t="s">
        <v>281</v>
      </c>
      <c r="DP181" s="5">
        <f t="shared" si="417"/>
        <v>1</v>
      </c>
      <c r="DQ181" s="5" t="s">
        <v>281</v>
      </c>
      <c r="DR181" s="5">
        <f t="shared" si="418"/>
        <v>1</v>
      </c>
      <c r="DS181" s="5" t="s">
        <v>231</v>
      </c>
      <c r="DT181" s="5">
        <f t="shared" si="419"/>
        <v>2</v>
      </c>
      <c r="DU181" s="5" t="s">
        <v>231</v>
      </c>
      <c r="DV181" s="5">
        <f t="shared" si="420"/>
        <v>2</v>
      </c>
      <c r="DW181" s="5" t="s">
        <v>231</v>
      </c>
      <c r="DX181" s="5">
        <f t="shared" si="421"/>
        <v>2</v>
      </c>
      <c r="DY181" s="5">
        <f t="shared" si="422"/>
        <v>17</v>
      </c>
      <c r="DZ181" s="5" t="str">
        <f t="shared" si="423"/>
        <v>Nivel de riesgo bajo</v>
      </c>
      <c r="EA181" s="5" t="s">
        <v>248</v>
      </c>
      <c r="EB181" s="5">
        <f t="shared" si="424"/>
        <v>1</v>
      </c>
      <c r="EC181" s="5" t="s">
        <v>248</v>
      </c>
      <c r="ED181" s="5">
        <f t="shared" si="425"/>
        <v>1</v>
      </c>
      <c r="EE181" s="5" t="s">
        <v>248</v>
      </c>
      <c r="EF181" s="5">
        <f t="shared" si="426"/>
        <v>1</v>
      </c>
      <c r="EG181" s="5">
        <f t="shared" si="427"/>
        <v>3</v>
      </c>
      <c r="EH181" s="5" t="str">
        <f t="shared" si="428"/>
        <v>Nivel de riesgo medio</v>
      </c>
      <c r="EI181" s="5" t="s">
        <v>248</v>
      </c>
      <c r="EJ181" s="5">
        <f t="shared" si="429"/>
        <v>1</v>
      </c>
      <c r="EK181" s="5" t="s">
        <v>247</v>
      </c>
      <c r="EL181" s="5">
        <f t="shared" si="430"/>
        <v>2</v>
      </c>
      <c r="EM181" s="5" t="s">
        <v>232</v>
      </c>
      <c r="EN181" s="5">
        <f t="shared" si="431"/>
        <v>3</v>
      </c>
      <c r="EO181" s="5">
        <f t="shared" si="432"/>
        <v>6</v>
      </c>
      <c r="EP181" s="5" t="str">
        <f t="shared" si="433"/>
        <v>Nivel de riesgo alto</v>
      </c>
      <c r="EQ181" s="5" t="s">
        <v>232</v>
      </c>
      <c r="ER181" s="5">
        <f t="shared" si="434"/>
        <v>1</v>
      </c>
      <c r="ES181" s="5" t="s">
        <v>247</v>
      </c>
      <c r="ET181" s="5">
        <f t="shared" si="435"/>
        <v>2</v>
      </c>
      <c r="EU181" s="5" t="s">
        <v>254</v>
      </c>
      <c r="EV181" s="5">
        <f t="shared" si="436"/>
        <v>0</v>
      </c>
      <c r="EW181" s="5" t="s">
        <v>254</v>
      </c>
      <c r="EX181" s="5">
        <f t="shared" si="437"/>
        <v>0</v>
      </c>
      <c r="EY181" s="5">
        <f t="shared" si="438"/>
        <v>3</v>
      </c>
      <c r="EZ181" s="5" t="str">
        <f t="shared" si="439"/>
        <v>Nivel de riesgo medio</v>
      </c>
      <c r="FA181" s="5" t="s">
        <v>253</v>
      </c>
      <c r="FB181" s="5">
        <f t="shared" si="440"/>
        <v>0</v>
      </c>
      <c r="FC181" s="5" t="s">
        <v>253</v>
      </c>
      <c r="FD181" s="5">
        <f t="shared" si="441"/>
        <v>0</v>
      </c>
      <c r="FE181" s="5" t="s">
        <v>253</v>
      </c>
      <c r="FF181" s="5">
        <f t="shared" si="442"/>
        <v>0</v>
      </c>
      <c r="FG181" s="5">
        <f t="shared" si="443"/>
        <v>0</v>
      </c>
      <c r="FH181" s="5" t="str">
        <f t="shared" si="444"/>
        <v>Nivel de riesgo bajo</v>
      </c>
      <c r="FI181" s="5" t="s">
        <v>253</v>
      </c>
      <c r="FJ181" s="5">
        <f t="shared" si="445"/>
        <v>0</v>
      </c>
      <c r="FK181" s="5" t="s">
        <v>253</v>
      </c>
      <c r="FL181" s="5">
        <f t="shared" si="446"/>
        <v>0</v>
      </c>
      <c r="FM181" s="5" t="s">
        <v>253</v>
      </c>
      <c r="FN181" s="5">
        <f t="shared" si="447"/>
        <v>0</v>
      </c>
      <c r="FO181" s="5">
        <f t="shared" si="448"/>
        <v>0</v>
      </c>
      <c r="FP181" s="5" t="str">
        <f t="shared" si="449"/>
        <v>Nivel de riesgo bajo</v>
      </c>
      <c r="FQ181" s="5" t="s">
        <v>206</v>
      </c>
      <c r="FR181" s="5">
        <f t="shared" si="450"/>
        <v>0</v>
      </c>
      <c r="FS181" s="5" t="s">
        <v>206</v>
      </c>
      <c r="FT181" s="5">
        <f t="shared" si="451"/>
        <v>0</v>
      </c>
      <c r="FU181" s="5" t="s">
        <v>206</v>
      </c>
      <c r="FV181" s="5">
        <f t="shared" si="452"/>
        <v>0</v>
      </c>
      <c r="FW181" s="5" t="s">
        <v>206</v>
      </c>
      <c r="FX181" s="5">
        <f t="shared" si="453"/>
        <v>0</v>
      </c>
      <c r="FY181" s="5" t="s">
        <v>206</v>
      </c>
      <c r="FZ181" s="5">
        <f t="shared" si="454"/>
        <v>0</v>
      </c>
      <c r="GA181" s="5" t="s">
        <v>206</v>
      </c>
      <c r="GB181" s="5">
        <f t="shared" si="455"/>
        <v>0</v>
      </c>
      <c r="GC181" s="5" t="s">
        <v>206</v>
      </c>
      <c r="GD181" s="5">
        <f t="shared" si="456"/>
        <v>0</v>
      </c>
      <c r="GE181" s="5">
        <f t="shared" si="457"/>
        <v>0</v>
      </c>
      <c r="GF181" s="5" t="str">
        <f t="shared" si="458"/>
        <v>Nivel de riesgo bajo</v>
      </c>
      <c r="GG181" s="5" t="s">
        <v>255</v>
      </c>
      <c r="GH181" s="5" t="s">
        <v>255</v>
      </c>
      <c r="GI181" s="5" t="s">
        <v>255</v>
      </c>
      <c r="GJ181" s="5" t="s">
        <v>266</v>
      </c>
      <c r="GK181" s="5" t="s">
        <v>233</v>
      </c>
      <c r="GL181" s="5" t="s">
        <v>266</v>
      </c>
      <c r="GM181" s="5" t="s">
        <v>233</v>
      </c>
      <c r="GN181" s="5" t="s">
        <v>256</v>
      </c>
      <c r="GO181" s="5" t="s">
        <v>243</v>
      </c>
      <c r="GP181" s="5" t="s">
        <v>243</v>
      </c>
      <c r="GQ181" s="5" t="s">
        <v>243</v>
      </c>
      <c r="GR181" s="5" t="s">
        <v>257</v>
      </c>
      <c r="GS181" s="5" t="s">
        <v>257</v>
      </c>
      <c r="GT181" s="5" t="s">
        <v>256</v>
      </c>
      <c r="GU181" s="5" t="s">
        <v>533</v>
      </c>
      <c r="GV181" s="5" t="str">
        <f>TEXT("6278943919312015516","0")</f>
        <v>6278943919312010000</v>
      </c>
    </row>
    <row r="182" spans="1:204" ht="15.75" customHeight="1" x14ac:dyDescent="0.15">
      <c r="A182" s="1">
        <f t="shared" si="408"/>
        <v>182</v>
      </c>
      <c r="B182" s="4">
        <v>45847.598437499997</v>
      </c>
      <c r="C182" s="5" t="s">
        <v>204</v>
      </c>
      <c r="D182" s="5" t="s">
        <v>206</v>
      </c>
      <c r="F182" s="5" t="s">
        <v>206</v>
      </c>
      <c r="G182" s="5" t="s">
        <v>206</v>
      </c>
      <c r="H182" s="5" t="s">
        <v>204</v>
      </c>
      <c r="K182" s="5" t="s">
        <v>237</v>
      </c>
      <c r="P182" s="5" t="s">
        <v>237</v>
      </c>
      <c r="T182" s="5" t="s">
        <v>209</v>
      </c>
      <c r="X182" s="5" t="s">
        <v>208</v>
      </c>
      <c r="AE182" s="5" t="s">
        <v>237</v>
      </c>
      <c r="AH182" s="5" t="s">
        <v>275</v>
      </c>
      <c r="AI182" s="5">
        <v>2017</v>
      </c>
      <c r="AJ182" s="5" t="s">
        <v>337</v>
      </c>
      <c r="AK182" s="5" t="str">
        <f t="shared" si="409"/>
        <v>Asalariada</v>
      </c>
      <c r="AQ182" s="5" t="s">
        <v>204</v>
      </c>
      <c r="AR182" s="5" t="s">
        <v>261</v>
      </c>
      <c r="AS182" s="5" t="s">
        <v>261</v>
      </c>
      <c r="AT182" s="5" t="s">
        <v>261</v>
      </c>
      <c r="AU182" s="5" t="s">
        <v>294</v>
      </c>
      <c r="AV182" s="5" t="s">
        <v>213</v>
      </c>
      <c r="AW182" s="5" t="s">
        <v>206</v>
      </c>
      <c r="BF182" s="5" t="s">
        <v>204</v>
      </c>
      <c r="BG182" s="5" t="s">
        <v>264</v>
      </c>
      <c r="BH182" s="5" t="s">
        <v>215</v>
      </c>
      <c r="BI182" s="5" t="s">
        <v>264</v>
      </c>
      <c r="BJ182" s="5" t="s">
        <v>215</v>
      </c>
      <c r="BK182" s="5" t="s">
        <v>245</v>
      </c>
      <c r="BL182" s="5" t="s">
        <v>246</v>
      </c>
      <c r="BM182" s="5" t="s">
        <v>246</v>
      </c>
      <c r="BN182" s="5" t="s">
        <v>246</v>
      </c>
      <c r="BO182" s="5" t="s">
        <v>246</v>
      </c>
      <c r="BP182" s="5" t="s">
        <v>243</v>
      </c>
      <c r="BQ182" s="5" t="s">
        <v>246</v>
      </c>
      <c r="BR182" s="5" t="s">
        <v>243</v>
      </c>
      <c r="BS182" s="5" t="s">
        <v>232</v>
      </c>
      <c r="BT182" s="5" t="s">
        <v>232</v>
      </c>
      <c r="BU182" s="5" t="s">
        <v>232</v>
      </c>
      <c r="BV182" s="5" t="s">
        <v>232</v>
      </c>
      <c r="BW182" s="5" t="s">
        <v>232</v>
      </c>
      <c r="BX182" s="5" t="s">
        <v>232</v>
      </c>
      <c r="BY182" s="5" t="s">
        <v>232</v>
      </c>
      <c r="CD182" s="5" t="s">
        <v>206</v>
      </c>
      <c r="CH182" s="5" t="s">
        <v>206</v>
      </c>
      <c r="CI182" s="5" t="s">
        <v>291</v>
      </c>
      <c r="CJ182" s="5">
        <v>4</v>
      </c>
      <c r="CK182" s="5" t="s">
        <v>223</v>
      </c>
      <c r="CU182" s="5" t="s">
        <v>206</v>
      </c>
      <c r="DA182" s="5" t="s">
        <v>252</v>
      </c>
      <c r="DB182" s="5">
        <f t="shared" si="410"/>
        <v>3</v>
      </c>
      <c r="DC182" s="5" t="s">
        <v>250</v>
      </c>
      <c r="DD182" s="5">
        <f t="shared" si="411"/>
        <v>3</v>
      </c>
      <c r="DE182" s="5" t="s">
        <v>250</v>
      </c>
      <c r="DF182" s="5">
        <f t="shared" si="412"/>
        <v>3</v>
      </c>
      <c r="DG182" s="5" t="s">
        <v>250</v>
      </c>
      <c r="DH182" s="5">
        <f t="shared" si="413"/>
        <v>3</v>
      </c>
      <c r="DI182" s="5" t="s">
        <v>250</v>
      </c>
      <c r="DJ182" s="5">
        <f t="shared" si="414"/>
        <v>3</v>
      </c>
      <c r="DK182" s="5" t="s">
        <v>280</v>
      </c>
      <c r="DL182" s="5">
        <f t="shared" si="415"/>
        <v>4</v>
      </c>
      <c r="DM182" s="5" t="s">
        <v>250</v>
      </c>
      <c r="DN182" s="5">
        <f t="shared" si="416"/>
        <v>3</v>
      </c>
      <c r="DO182" s="5" t="s">
        <v>231</v>
      </c>
      <c r="DP182" s="5">
        <f t="shared" si="417"/>
        <v>2</v>
      </c>
      <c r="DQ182" s="5" t="s">
        <v>231</v>
      </c>
      <c r="DR182" s="5">
        <f t="shared" si="418"/>
        <v>2</v>
      </c>
      <c r="DS182" s="5" t="s">
        <v>252</v>
      </c>
      <c r="DT182" s="5">
        <f t="shared" si="419"/>
        <v>3</v>
      </c>
      <c r="DU182" s="5" t="s">
        <v>252</v>
      </c>
      <c r="DV182" s="5">
        <f t="shared" si="420"/>
        <v>3</v>
      </c>
      <c r="DW182" s="5" t="s">
        <v>252</v>
      </c>
      <c r="DX182" s="5">
        <f t="shared" si="421"/>
        <v>3</v>
      </c>
      <c r="DY182" s="5">
        <f t="shared" si="422"/>
        <v>35</v>
      </c>
      <c r="DZ182" s="5" t="str">
        <f t="shared" si="423"/>
        <v>Nivel de riesgo alto</v>
      </c>
      <c r="EA182" s="5" t="s">
        <v>247</v>
      </c>
      <c r="EB182" s="5">
        <f t="shared" si="424"/>
        <v>2</v>
      </c>
      <c r="EC182" s="5" t="s">
        <v>248</v>
      </c>
      <c r="ED182" s="5">
        <f t="shared" si="425"/>
        <v>1</v>
      </c>
      <c r="EE182" s="5" t="s">
        <v>248</v>
      </c>
      <c r="EF182" s="5">
        <f t="shared" si="426"/>
        <v>1</v>
      </c>
      <c r="EG182" s="5">
        <f t="shared" si="427"/>
        <v>4</v>
      </c>
      <c r="EH182" s="5" t="str">
        <f t="shared" si="428"/>
        <v>Nivel de riesgo medio</v>
      </c>
      <c r="EI182" s="5" t="s">
        <v>248</v>
      </c>
      <c r="EJ182" s="5">
        <f t="shared" si="429"/>
        <v>1</v>
      </c>
      <c r="EK182" s="5" t="s">
        <v>248</v>
      </c>
      <c r="EL182" s="5">
        <f t="shared" si="430"/>
        <v>1</v>
      </c>
      <c r="EM182" s="5" t="s">
        <v>248</v>
      </c>
      <c r="EN182" s="5">
        <f t="shared" si="431"/>
        <v>1</v>
      </c>
      <c r="EO182" s="5">
        <f t="shared" si="432"/>
        <v>3</v>
      </c>
      <c r="EP182" s="5" t="str">
        <f t="shared" si="433"/>
        <v>Nivel de riesgo medio</v>
      </c>
      <c r="EQ182" s="5" t="s">
        <v>248</v>
      </c>
      <c r="ER182" s="5">
        <f t="shared" si="434"/>
        <v>3</v>
      </c>
      <c r="ES182" s="5" t="s">
        <v>248</v>
      </c>
      <c r="ET182" s="5">
        <f t="shared" si="435"/>
        <v>3</v>
      </c>
      <c r="EU182" s="5" t="s">
        <v>232</v>
      </c>
      <c r="EV182" s="5">
        <f t="shared" si="436"/>
        <v>1</v>
      </c>
      <c r="EW182" s="5" t="s">
        <v>232</v>
      </c>
      <c r="EX182" s="5">
        <f t="shared" si="437"/>
        <v>1</v>
      </c>
      <c r="EY182" s="5">
        <f t="shared" si="438"/>
        <v>8</v>
      </c>
      <c r="EZ182" s="5" t="str">
        <f t="shared" si="439"/>
        <v>Nivel de riesgo alto</v>
      </c>
      <c r="FA182" s="5" t="s">
        <v>232</v>
      </c>
      <c r="FB182" s="5">
        <f t="shared" si="440"/>
        <v>3</v>
      </c>
      <c r="FC182" s="5" t="s">
        <v>248</v>
      </c>
      <c r="FD182" s="5">
        <f t="shared" si="441"/>
        <v>1</v>
      </c>
      <c r="FE182" s="5" t="s">
        <v>248</v>
      </c>
      <c r="FF182" s="5">
        <f t="shared" si="442"/>
        <v>1</v>
      </c>
      <c r="FG182" s="5">
        <f t="shared" si="443"/>
        <v>5</v>
      </c>
      <c r="FH182" s="5" t="str">
        <f t="shared" si="444"/>
        <v>Nivel de riesgo medio</v>
      </c>
      <c r="FI182" s="5" t="s">
        <v>247</v>
      </c>
      <c r="FJ182" s="5">
        <f t="shared" si="445"/>
        <v>2</v>
      </c>
      <c r="FK182" s="5" t="s">
        <v>247</v>
      </c>
      <c r="FL182" s="5">
        <f t="shared" si="446"/>
        <v>2</v>
      </c>
      <c r="FM182" s="5" t="s">
        <v>232</v>
      </c>
      <c r="FN182" s="5">
        <f t="shared" si="447"/>
        <v>3</v>
      </c>
      <c r="FO182" s="5">
        <f t="shared" si="448"/>
        <v>7</v>
      </c>
      <c r="FP182" s="5" t="str">
        <f t="shared" si="449"/>
        <v>Nivel de riesgo alto</v>
      </c>
      <c r="FQ182" s="5" t="s">
        <v>325</v>
      </c>
      <c r="FR182" s="5">
        <f t="shared" si="450"/>
        <v>2</v>
      </c>
      <c r="FS182" s="5" t="s">
        <v>265</v>
      </c>
      <c r="FT182" s="5">
        <f t="shared" si="451"/>
        <v>1</v>
      </c>
      <c r="FU182" s="5" t="s">
        <v>206</v>
      </c>
      <c r="FV182" s="5">
        <f t="shared" si="452"/>
        <v>0</v>
      </c>
      <c r="FW182" s="5" t="s">
        <v>206</v>
      </c>
      <c r="FX182" s="5">
        <f t="shared" si="453"/>
        <v>0</v>
      </c>
      <c r="FY182" s="5" t="s">
        <v>206</v>
      </c>
      <c r="FZ182" s="5">
        <f t="shared" si="454"/>
        <v>0</v>
      </c>
      <c r="GA182" s="5" t="s">
        <v>206</v>
      </c>
      <c r="GB182" s="5">
        <f t="shared" si="455"/>
        <v>0</v>
      </c>
      <c r="GC182" s="5" t="s">
        <v>206</v>
      </c>
      <c r="GD182" s="5">
        <f t="shared" si="456"/>
        <v>0</v>
      </c>
      <c r="GE182" s="5">
        <f t="shared" si="457"/>
        <v>3</v>
      </c>
      <c r="GF182" s="5" t="str">
        <f t="shared" si="458"/>
        <v>Nivel de riesgo medio</v>
      </c>
      <c r="GG182" s="5" t="s">
        <v>266</v>
      </c>
      <c r="GH182" s="5" t="s">
        <v>298</v>
      </c>
      <c r="GI182" s="5" t="s">
        <v>273</v>
      </c>
      <c r="GJ182" s="5" t="s">
        <v>273</v>
      </c>
      <c r="GK182" s="5" t="s">
        <v>233</v>
      </c>
      <c r="GL182" s="5" t="s">
        <v>233</v>
      </c>
      <c r="GM182" s="5" t="s">
        <v>273</v>
      </c>
      <c r="GN182" s="5" t="s">
        <v>244</v>
      </c>
      <c r="GO182" s="5" t="s">
        <v>244</v>
      </c>
      <c r="GP182" s="5" t="s">
        <v>244</v>
      </c>
      <c r="GQ182" s="5" t="s">
        <v>244</v>
      </c>
      <c r="GR182" s="5" t="s">
        <v>244</v>
      </c>
      <c r="GS182" s="5" t="s">
        <v>244</v>
      </c>
      <c r="GT182" s="5" t="s">
        <v>244</v>
      </c>
      <c r="GU182" s="5" t="s">
        <v>534</v>
      </c>
      <c r="GV182" s="5" t="str">
        <f>TEXT("6278945055515857975","0")</f>
        <v>6278945055515850000</v>
      </c>
    </row>
    <row r="183" spans="1:204" ht="15.75" customHeight="1" x14ac:dyDescent="0.15">
      <c r="A183" s="1">
        <f t="shared" si="408"/>
        <v>183</v>
      </c>
      <c r="B183" s="4">
        <v>45847.610833333332</v>
      </c>
      <c r="C183" s="5" t="s">
        <v>204</v>
      </c>
      <c r="D183" s="5" t="s">
        <v>206</v>
      </c>
      <c r="F183" s="5" t="s">
        <v>206</v>
      </c>
      <c r="G183" s="5" t="s">
        <v>206</v>
      </c>
      <c r="H183" s="5" t="s">
        <v>206</v>
      </c>
      <c r="K183" s="5" t="s">
        <v>237</v>
      </c>
      <c r="O183" s="5" t="s">
        <v>209</v>
      </c>
      <c r="T183" s="5" t="s">
        <v>209</v>
      </c>
      <c r="Y183" s="5" t="s">
        <v>209</v>
      </c>
      <c r="AD183" s="5" t="s">
        <v>209</v>
      </c>
      <c r="AH183" s="5" t="s">
        <v>210</v>
      </c>
      <c r="AI183" s="5">
        <v>2018</v>
      </c>
      <c r="AJ183" s="5" t="s">
        <v>238</v>
      </c>
      <c r="AK183" s="5" t="str">
        <f t="shared" si="409"/>
        <v>Trabajadora por cuenta propia</v>
      </c>
      <c r="AL183" s="5" t="s">
        <v>239</v>
      </c>
      <c r="AP183" s="5" t="s">
        <v>284</v>
      </c>
      <c r="AR183" s="5" t="s">
        <v>301</v>
      </c>
      <c r="AS183" s="5" t="s">
        <v>241</v>
      </c>
      <c r="AT183" s="5" t="s">
        <v>261</v>
      </c>
      <c r="AU183" s="5" t="s">
        <v>294</v>
      </c>
      <c r="AV183" s="5" t="s">
        <v>213</v>
      </c>
      <c r="AW183" s="5" t="s">
        <v>204</v>
      </c>
      <c r="AX183" s="5" t="s">
        <v>206</v>
      </c>
      <c r="BF183" s="5" t="s">
        <v>204</v>
      </c>
      <c r="BG183" s="5" t="s">
        <v>242</v>
      </c>
      <c r="BH183" s="5" t="s">
        <v>271</v>
      </c>
      <c r="BI183" s="5" t="s">
        <v>278</v>
      </c>
      <c r="BJ183" s="5" t="s">
        <v>278</v>
      </c>
      <c r="BK183" s="5" t="s">
        <v>245</v>
      </c>
      <c r="BL183" s="5" t="s">
        <v>245</v>
      </c>
      <c r="BM183" s="5" t="s">
        <v>245</v>
      </c>
      <c r="BN183" s="5" t="s">
        <v>245</v>
      </c>
      <c r="BO183" s="5" t="s">
        <v>245</v>
      </c>
      <c r="BP183" s="5" t="s">
        <v>245</v>
      </c>
      <c r="BQ183" s="5" t="s">
        <v>245</v>
      </c>
      <c r="BR183" s="5" t="s">
        <v>245</v>
      </c>
      <c r="BS183" s="5" t="s">
        <v>254</v>
      </c>
      <c r="BT183" s="5" t="s">
        <v>254</v>
      </c>
      <c r="BU183" s="5" t="s">
        <v>254</v>
      </c>
      <c r="BV183" s="5" t="s">
        <v>254</v>
      </c>
      <c r="BW183" s="5" t="s">
        <v>254</v>
      </c>
      <c r="BX183" s="5" t="s">
        <v>254</v>
      </c>
      <c r="BY183" s="5" t="s">
        <v>254</v>
      </c>
      <c r="BZ183" s="5" t="s">
        <v>245</v>
      </c>
      <c r="CA183" s="5" t="s">
        <v>245</v>
      </c>
      <c r="CB183" s="5" t="s">
        <v>243</v>
      </c>
      <c r="CC183" s="5" t="s">
        <v>245</v>
      </c>
      <c r="CD183" s="5" t="s">
        <v>206</v>
      </c>
      <c r="CH183" s="5" t="s">
        <v>206</v>
      </c>
      <c r="CI183" s="5" t="s">
        <v>291</v>
      </c>
      <c r="CJ183" s="5">
        <v>1</v>
      </c>
      <c r="CK183" s="5" t="s">
        <v>223</v>
      </c>
      <c r="CU183" s="5" t="s">
        <v>206</v>
      </c>
      <c r="DA183" s="5" t="s">
        <v>229</v>
      </c>
      <c r="DB183" s="5">
        <f t="shared" si="410"/>
        <v>4</v>
      </c>
      <c r="DC183" s="5" t="s">
        <v>230</v>
      </c>
      <c r="DD183" s="5">
        <f t="shared" si="411"/>
        <v>2</v>
      </c>
      <c r="DE183" s="5" t="s">
        <v>250</v>
      </c>
      <c r="DF183" s="5">
        <f t="shared" si="412"/>
        <v>3</v>
      </c>
      <c r="DG183" s="5" t="s">
        <v>250</v>
      </c>
      <c r="DH183" s="5">
        <f t="shared" si="413"/>
        <v>3</v>
      </c>
      <c r="DI183" s="5" t="s">
        <v>250</v>
      </c>
      <c r="DJ183" s="5">
        <f t="shared" si="414"/>
        <v>3</v>
      </c>
      <c r="DK183" s="5" t="s">
        <v>250</v>
      </c>
      <c r="DL183" s="5">
        <f t="shared" si="415"/>
        <v>3</v>
      </c>
      <c r="DM183" s="5" t="s">
        <v>250</v>
      </c>
      <c r="DN183" s="5">
        <f t="shared" si="416"/>
        <v>3</v>
      </c>
      <c r="DO183" s="5" t="s">
        <v>231</v>
      </c>
      <c r="DP183" s="5">
        <f t="shared" si="417"/>
        <v>2</v>
      </c>
      <c r="DQ183" s="5" t="s">
        <v>231</v>
      </c>
      <c r="DR183" s="5">
        <f t="shared" si="418"/>
        <v>2</v>
      </c>
      <c r="DS183" s="5" t="s">
        <v>231</v>
      </c>
      <c r="DT183" s="5">
        <f t="shared" si="419"/>
        <v>2</v>
      </c>
      <c r="DU183" s="5" t="s">
        <v>231</v>
      </c>
      <c r="DV183" s="5">
        <f t="shared" si="420"/>
        <v>2</v>
      </c>
      <c r="DW183" s="5" t="s">
        <v>231</v>
      </c>
      <c r="DX183" s="5">
        <f t="shared" si="421"/>
        <v>2</v>
      </c>
      <c r="DY183" s="5">
        <f t="shared" si="422"/>
        <v>31</v>
      </c>
      <c r="DZ183" s="5" t="str">
        <f t="shared" si="423"/>
        <v>Nivel de riesgo alto</v>
      </c>
      <c r="EA183" s="5" t="s">
        <v>247</v>
      </c>
      <c r="EB183" s="5">
        <f t="shared" si="424"/>
        <v>2</v>
      </c>
      <c r="EC183" s="5" t="s">
        <v>232</v>
      </c>
      <c r="ED183" s="5">
        <f t="shared" si="425"/>
        <v>3</v>
      </c>
      <c r="EE183" s="5" t="s">
        <v>253</v>
      </c>
      <c r="EF183" s="5">
        <f t="shared" si="426"/>
        <v>0</v>
      </c>
      <c r="EG183" s="5">
        <f t="shared" si="427"/>
        <v>5</v>
      </c>
      <c r="EH183" s="5" t="str">
        <f t="shared" si="428"/>
        <v>Nivel de riesgo alto</v>
      </c>
      <c r="EI183" s="5" t="s">
        <v>247</v>
      </c>
      <c r="EJ183" s="5">
        <f t="shared" si="429"/>
        <v>2</v>
      </c>
      <c r="EK183" s="5" t="s">
        <v>248</v>
      </c>
      <c r="EL183" s="5">
        <f t="shared" si="430"/>
        <v>1</v>
      </c>
      <c r="EM183" s="5" t="s">
        <v>232</v>
      </c>
      <c r="EN183" s="5">
        <f t="shared" si="431"/>
        <v>3</v>
      </c>
      <c r="EO183" s="5">
        <f t="shared" si="432"/>
        <v>6</v>
      </c>
      <c r="EP183" s="5" t="str">
        <f t="shared" si="433"/>
        <v>Nivel de riesgo alto</v>
      </c>
      <c r="EQ183" s="5" t="s">
        <v>247</v>
      </c>
      <c r="ER183" s="5">
        <f t="shared" si="434"/>
        <v>2</v>
      </c>
      <c r="ES183" s="5" t="s">
        <v>254</v>
      </c>
      <c r="ET183" s="5">
        <f t="shared" si="435"/>
        <v>0</v>
      </c>
      <c r="EU183" s="5" t="s">
        <v>254</v>
      </c>
      <c r="EV183" s="5">
        <f t="shared" si="436"/>
        <v>0</v>
      </c>
      <c r="EW183" s="5" t="s">
        <v>254</v>
      </c>
      <c r="EX183" s="5">
        <f t="shared" si="437"/>
        <v>0</v>
      </c>
      <c r="EY183" s="5">
        <f t="shared" si="438"/>
        <v>2</v>
      </c>
      <c r="EZ183" s="5" t="str">
        <f t="shared" si="439"/>
        <v>Nivel de riesgo medio</v>
      </c>
      <c r="FA183" s="5" t="s">
        <v>253</v>
      </c>
      <c r="FB183" s="5">
        <f t="shared" si="440"/>
        <v>0</v>
      </c>
      <c r="FC183" s="5" t="s">
        <v>253</v>
      </c>
      <c r="FD183" s="5">
        <f t="shared" si="441"/>
        <v>0</v>
      </c>
      <c r="FE183" s="5" t="s">
        <v>253</v>
      </c>
      <c r="FF183" s="5">
        <f t="shared" si="442"/>
        <v>0</v>
      </c>
      <c r="FG183" s="5">
        <f t="shared" si="443"/>
        <v>0</v>
      </c>
      <c r="FH183" s="5" t="str">
        <f t="shared" si="444"/>
        <v>Nivel de riesgo bajo</v>
      </c>
      <c r="FI183" s="5" t="s">
        <v>254</v>
      </c>
      <c r="FJ183" s="5">
        <f t="shared" si="445"/>
        <v>4</v>
      </c>
      <c r="FK183" s="5" t="s">
        <v>254</v>
      </c>
      <c r="FL183" s="5">
        <f t="shared" si="446"/>
        <v>4</v>
      </c>
      <c r="FM183" s="5" t="s">
        <v>254</v>
      </c>
      <c r="FN183" s="5">
        <f t="shared" si="447"/>
        <v>4</v>
      </c>
      <c r="FO183" s="5">
        <f t="shared" si="448"/>
        <v>12</v>
      </c>
      <c r="FP183" s="5" t="str">
        <f t="shared" si="449"/>
        <v>Nivel de riesgo alto</v>
      </c>
      <c r="FQ183" s="5" t="s">
        <v>265</v>
      </c>
      <c r="FR183" s="5">
        <f t="shared" si="450"/>
        <v>1</v>
      </c>
      <c r="FS183" s="5" t="s">
        <v>206</v>
      </c>
      <c r="FT183" s="5">
        <f t="shared" si="451"/>
        <v>0</v>
      </c>
      <c r="FU183" s="5" t="s">
        <v>206</v>
      </c>
      <c r="FV183" s="5">
        <f t="shared" si="452"/>
        <v>0</v>
      </c>
      <c r="FW183" s="5" t="s">
        <v>206</v>
      </c>
      <c r="FX183" s="5">
        <f t="shared" si="453"/>
        <v>0</v>
      </c>
      <c r="FY183" s="5" t="s">
        <v>206</v>
      </c>
      <c r="FZ183" s="5">
        <f t="shared" si="454"/>
        <v>0</v>
      </c>
      <c r="GA183" s="5" t="s">
        <v>206</v>
      </c>
      <c r="GB183" s="5">
        <f t="shared" si="455"/>
        <v>0</v>
      </c>
      <c r="GC183" s="5" t="s">
        <v>206</v>
      </c>
      <c r="GD183" s="5">
        <f t="shared" si="456"/>
        <v>0</v>
      </c>
      <c r="GE183" s="5">
        <f t="shared" si="457"/>
        <v>1</v>
      </c>
      <c r="GF183" s="5" t="str">
        <f t="shared" si="458"/>
        <v>Nivel de riesgo medio</v>
      </c>
      <c r="GG183" s="5" t="s">
        <v>255</v>
      </c>
      <c r="GH183" s="5" t="s">
        <v>255</v>
      </c>
      <c r="GI183" s="5" t="s">
        <v>255</v>
      </c>
      <c r="GJ183" s="5" t="s">
        <v>298</v>
      </c>
      <c r="GK183" s="5" t="s">
        <v>233</v>
      </c>
      <c r="GL183" s="5" t="s">
        <v>255</v>
      </c>
      <c r="GM183" s="5" t="s">
        <v>266</v>
      </c>
      <c r="GN183" s="5" t="s">
        <v>256</v>
      </c>
      <c r="GO183" s="5" t="s">
        <v>243</v>
      </c>
      <c r="GP183" s="5" t="s">
        <v>244</v>
      </c>
      <c r="GQ183" s="5" t="s">
        <v>244</v>
      </c>
      <c r="GR183" s="5" t="s">
        <v>244</v>
      </c>
      <c r="GS183" s="5" t="s">
        <v>244</v>
      </c>
      <c r="GT183" s="5" t="s">
        <v>244</v>
      </c>
      <c r="GU183" s="5" t="s">
        <v>535</v>
      </c>
      <c r="GV183" s="5" t="str">
        <f>TEXT("6278955769915767414","0")</f>
        <v>6278955769915760000</v>
      </c>
    </row>
    <row r="184" spans="1:204" ht="15.75" hidden="1" customHeight="1" x14ac:dyDescent="0.15">
      <c r="B184" s="4">
        <v>45847.612835648149</v>
      </c>
      <c r="C184" s="5" t="s">
        <v>204</v>
      </c>
      <c r="D184" s="5" t="s">
        <v>206</v>
      </c>
      <c r="F184" s="5" t="s">
        <v>206</v>
      </c>
      <c r="G184" s="5" t="s">
        <v>206</v>
      </c>
      <c r="H184" s="5" t="s">
        <v>206</v>
      </c>
      <c r="K184" s="5" t="s">
        <v>237</v>
      </c>
      <c r="O184" s="5" t="s">
        <v>209</v>
      </c>
      <c r="T184" s="5" t="s">
        <v>209</v>
      </c>
      <c r="Z184" s="5" t="s">
        <v>237</v>
      </c>
      <c r="AD184" s="5" t="s">
        <v>209</v>
      </c>
      <c r="AH184" s="5" t="s">
        <v>268</v>
      </c>
      <c r="AI184" s="5">
        <v>2024</v>
      </c>
      <c r="AJ184" s="5" t="s">
        <v>211</v>
      </c>
      <c r="AK184" s="5"/>
      <c r="AQ184" s="5" t="s">
        <v>206</v>
      </c>
      <c r="AR184" s="5" t="s">
        <v>241</v>
      </c>
      <c r="AS184" s="5" t="s">
        <v>241</v>
      </c>
      <c r="AT184" s="5" t="s">
        <v>241</v>
      </c>
      <c r="AU184" s="5" t="s">
        <v>241</v>
      </c>
      <c r="AV184" s="5" t="s">
        <v>285</v>
      </c>
      <c r="AW184" s="5" t="s">
        <v>204</v>
      </c>
      <c r="AX184" s="5" t="s">
        <v>204</v>
      </c>
      <c r="AY184" s="5" t="s">
        <v>214</v>
      </c>
      <c r="AZ184" s="5" t="s">
        <v>204</v>
      </c>
      <c r="BA184" s="5" t="s">
        <v>263</v>
      </c>
      <c r="BF184" s="5" t="s">
        <v>204</v>
      </c>
      <c r="BG184" s="5" t="s">
        <v>242</v>
      </c>
      <c r="BH184" s="5" t="s">
        <v>271</v>
      </c>
      <c r="BI184" s="5" t="s">
        <v>271</v>
      </c>
      <c r="BJ184" s="5" t="s">
        <v>271</v>
      </c>
      <c r="BK184" s="5" t="s">
        <v>243</v>
      </c>
      <c r="BL184" s="5" t="s">
        <v>244</v>
      </c>
      <c r="BM184" s="5" t="s">
        <v>243</v>
      </c>
      <c r="BN184" s="5" t="s">
        <v>244</v>
      </c>
      <c r="BO184" s="5" t="s">
        <v>244</v>
      </c>
      <c r="BP184" s="5" t="s">
        <v>244</v>
      </c>
      <c r="BQ184" s="5" t="s">
        <v>244</v>
      </c>
      <c r="BR184" s="5" t="s">
        <v>244</v>
      </c>
      <c r="BS184" s="5" t="s">
        <v>254</v>
      </c>
      <c r="BT184" s="5" t="s">
        <v>247</v>
      </c>
      <c r="BU184" s="5" t="s">
        <v>248</v>
      </c>
      <c r="BV184" s="5" t="s">
        <v>247</v>
      </c>
      <c r="BW184" s="5" t="s">
        <v>247</v>
      </c>
      <c r="BX184" s="5" t="s">
        <v>247</v>
      </c>
      <c r="BY184" s="5" t="s">
        <v>217</v>
      </c>
      <c r="BZ184" s="5" t="s">
        <v>243</v>
      </c>
      <c r="CA184" s="5" t="s">
        <v>243</v>
      </c>
      <c r="CB184" s="5" t="s">
        <v>243</v>
      </c>
      <c r="CC184" s="5" t="s">
        <v>243</v>
      </c>
      <c r="CD184" s="5" t="s">
        <v>206</v>
      </c>
      <c r="CH184" s="5" t="s">
        <v>206</v>
      </c>
      <c r="CI184" s="5" t="s">
        <v>291</v>
      </c>
      <c r="CJ184" s="5">
        <v>2</v>
      </c>
      <c r="CK184" s="5" t="s">
        <v>223</v>
      </c>
      <c r="CU184" s="5" t="s">
        <v>206</v>
      </c>
      <c r="DA184" s="5" t="s">
        <v>252</v>
      </c>
      <c r="DB184" s="5"/>
      <c r="DC184" s="5" t="s">
        <v>280</v>
      </c>
      <c r="DD184" s="5"/>
      <c r="DE184" s="5" t="s">
        <v>280</v>
      </c>
      <c r="DF184" s="5"/>
      <c r="DG184" s="5" t="s">
        <v>230</v>
      </c>
      <c r="DH184" s="5"/>
      <c r="DI184" s="5" t="s">
        <v>250</v>
      </c>
      <c r="DJ184" s="5"/>
      <c r="DK184" s="5" t="s">
        <v>230</v>
      </c>
      <c r="DL184" s="5"/>
      <c r="DM184" s="5" t="s">
        <v>230</v>
      </c>
      <c r="DN184" s="5"/>
      <c r="DO184" s="5" t="s">
        <v>281</v>
      </c>
      <c r="DP184" s="5"/>
      <c r="DQ184" s="5" t="s">
        <v>281</v>
      </c>
      <c r="DR184" s="5"/>
      <c r="DS184" s="5" t="s">
        <v>252</v>
      </c>
      <c r="DT184" s="5"/>
      <c r="DU184" s="5" t="s">
        <v>252</v>
      </c>
      <c r="DV184" s="5"/>
      <c r="DW184" s="5" t="s">
        <v>252</v>
      </c>
      <c r="DX184" s="5"/>
      <c r="DY184" s="5"/>
      <c r="DZ184" s="5"/>
      <c r="EA184" s="5" t="s">
        <v>247</v>
      </c>
      <c r="EB184" s="5"/>
      <c r="EC184" s="5" t="s">
        <v>248</v>
      </c>
      <c r="ED184" s="5"/>
      <c r="EE184" s="5" t="s">
        <v>248</v>
      </c>
      <c r="EF184" s="5"/>
      <c r="EG184" s="5"/>
      <c r="EH184" s="5"/>
      <c r="EI184" s="5" t="s">
        <v>248</v>
      </c>
      <c r="EJ184" s="5"/>
      <c r="EK184" s="5" t="s">
        <v>253</v>
      </c>
      <c r="EL184" s="5"/>
      <c r="EM184" s="5" t="s">
        <v>254</v>
      </c>
      <c r="EN184" s="5"/>
      <c r="EO184" s="5"/>
      <c r="EP184" s="5"/>
      <c r="EQ184" s="5" t="s">
        <v>254</v>
      </c>
      <c r="ER184" s="5"/>
      <c r="ES184" s="5" t="s">
        <v>254</v>
      </c>
      <c r="ET184" s="5"/>
      <c r="EU184" s="5" t="s">
        <v>254</v>
      </c>
      <c r="EV184" s="5"/>
      <c r="EW184" s="5" t="s">
        <v>247</v>
      </c>
      <c r="EX184" s="5"/>
      <c r="EY184" s="5"/>
      <c r="EZ184" s="5"/>
      <c r="FA184" s="5" t="s">
        <v>253</v>
      </c>
      <c r="FB184" s="5"/>
      <c r="FC184" s="5" t="s">
        <v>253</v>
      </c>
      <c r="FD184" s="5"/>
      <c r="FE184" s="5" t="s">
        <v>253</v>
      </c>
      <c r="FF184" s="5"/>
      <c r="FG184" s="5"/>
      <c r="FH184" s="5"/>
      <c r="FI184" s="5" t="s">
        <v>253</v>
      </c>
      <c r="FJ184" s="5"/>
      <c r="FK184" s="5" t="s">
        <v>253</v>
      </c>
      <c r="FL184" s="5"/>
      <c r="FM184" s="5" t="s">
        <v>253</v>
      </c>
      <c r="FN184" s="5"/>
      <c r="FO184" s="5"/>
      <c r="FP184" s="5"/>
      <c r="FQ184" s="5" t="s">
        <v>206</v>
      </c>
      <c r="FR184" s="5"/>
      <c r="FS184" s="5" t="s">
        <v>206</v>
      </c>
      <c r="FT184" s="5"/>
      <c r="FU184" s="5" t="s">
        <v>206</v>
      </c>
      <c r="FV184" s="5"/>
      <c r="FW184" s="5" t="s">
        <v>206</v>
      </c>
      <c r="FX184" s="5"/>
      <c r="FY184" s="5" t="s">
        <v>206</v>
      </c>
      <c r="FZ184" s="5"/>
      <c r="GA184" s="5" t="s">
        <v>206</v>
      </c>
      <c r="GB184" s="5"/>
      <c r="GC184" s="5" t="s">
        <v>206</v>
      </c>
      <c r="GD184" s="5"/>
      <c r="GE184" s="5"/>
      <c r="GF184" s="5"/>
      <c r="GG184" s="5" t="s">
        <v>255</v>
      </c>
      <c r="GH184" s="5" t="s">
        <v>255</v>
      </c>
      <c r="GI184" s="5" t="s">
        <v>255</v>
      </c>
      <c r="GJ184" s="5" t="s">
        <v>255</v>
      </c>
      <c r="GK184" s="5" t="s">
        <v>233</v>
      </c>
      <c r="GL184" s="5" t="s">
        <v>255</v>
      </c>
      <c r="GM184" s="5" t="s">
        <v>255</v>
      </c>
      <c r="GN184" s="5" t="s">
        <v>243</v>
      </c>
      <c r="GO184" s="5" t="s">
        <v>243</v>
      </c>
      <c r="GP184" s="5" t="s">
        <v>243</v>
      </c>
      <c r="GQ184" s="5" t="s">
        <v>243</v>
      </c>
      <c r="GR184" s="5" t="s">
        <v>243</v>
      </c>
      <c r="GS184" s="5" t="s">
        <v>243</v>
      </c>
      <c r="GT184" s="5" t="s">
        <v>243</v>
      </c>
      <c r="GU184" s="5" t="s">
        <v>536</v>
      </c>
      <c r="GV184" s="5" t="str">
        <f>TEXT("6278957499563780246","0")</f>
        <v>6278957499563780000</v>
      </c>
    </row>
    <row r="185" spans="1:204" ht="15.75" hidden="1" customHeight="1" x14ac:dyDescent="0.15">
      <c r="B185" s="4">
        <v>45847.614791666667</v>
      </c>
      <c r="C185" s="5" t="s">
        <v>204</v>
      </c>
      <c r="D185" s="5" t="s">
        <v>206</v>
      </c>
      <c r="F185" s="5" t="s">
        <v>206</v>
      </c>
      <c r="G185" s="5" t="s">
        <v>204</v>
      </c>
      <c r="H185" s="5" t="s">
        <v>206</v>
      </c>
      <c r="K185" s="5" t="s">
        <v>237</v>
      </c>
      <c r="O185" s="5" t="s">
        <v>209</v>
      </c>
      <c r="S185" s="5" t="s">
        <v>208</v>
      </c>
      <c r="X185" s="5" t="s">
        <v>208</v>
      </c>
      <c r="AD185" s="5" t="s">
        <v>209</v>
      </c>
      <c r="AH185" s="5" t="s">
        <v>268</v>
      </c>
      <c r="AI185" s="5">
        <v>2015</v>
      </c>
      <c r="AJ185" s="5" t="s">
        <v>304</v>
      </c>
      <c r="AK185" s="5"/>
      <c r="AR185" s="5" t="s">
        <v>301</v>
      </c>
      <c r="AS185" s="5" t="s">
        <v>301</v>
      </c>
      <c r="AT185" s="5" t="s">
        <v>241</v>
      </c>
      <c r="AU185" s="5" t="s">
        <v>301</v>
      </c>
      <c r="AV185" s="5" t="s">
        <v>285</v>
      </c>
      <c r="AW185" s="5" t="s">
        <v>204</v>
      </c>
      <c r="AX185" s="5" t="s">
        <v>204</v>
      </c>
      <c r="AY185" s="5" t="s">
        <v>214</v>
      </c>
      <c r="AZ185" s="5" t="s">
        <v>204</v>
      </c>
      <c r="BA185" s="5" t="s">
        <v>348</v>
      </c>
      <c r="BF185" s="5" t="s">
        <v>204</v>
      </c>
      <c r="BG185" s="5" t="s">
        <v>242</v>
      </c>
      <c r="BH185" s="5" t="s">
        <v>242</v>
      </c>
      <c r="BI185" s="5" t="s">
        <v>242</v>
      </c>
      <c r="BJ185" s="5" t="s">
        <v>242</v>
      </c>
      <c r="BK185" s="5" t="s">
        <v>243</v>
      </c>
      <c r="BL185" s="5" t="s">
        <v>243</v>
      </c>
      <c r="BM185" s="5" t="s">
        <v>245</v>
      </c>
      <c r="BN185" s="5" t="s">
        <v>245</v>
      </c>
      <c r="BO185" s="5" t="s">
        <v>246</v>
      </c>
      <c r="BP185" s="5" t="s">
        <v>245</v>
      </c>
      <c r="BQ185" s="5" t="s">
        <v>246</v>
      </c>
      <c r="BR185" s="5" t="s">
        <v>243</v>
      </c>
      <c r="BS185" s="5" t="s">
        <v>232</v>
      </c>
      <c r="BT185" s="5" t="s">
        <v>232</v>
      </c>
      <c r="BU185" s="5" t="s">
        <v>248</v>
      </c>
      <c r="BV185" s="5" t="s">
        <v>217</v>
      </c>
      <c r="BW185" s="5" t="s">
        <v>232</v>
      </c>
      <c r="BX185" s="5" t="s">
        <v>248</v>
      </c>
      <c r="BY185" s="5" t="s">
        <v>217</v>
      </c>
      <c r="BZ185" s="5" t="s">
        <v>245</v>
      </c>
      <c r="CA185" s="5" t="s">
        <v>246</v>
      </c>
      <c r="CB185" s="5" t="s">
        <v>246</v>
      </c>
      <c r="CC185" s="5" t="s">
        <v>245</v>
      </c>
      <c r="CD185" s="5" t="s">
        <v>206</v>
      </c>
      <c r="CH185" s="5" t="s">
        <v>206</v>
      </c>
      <c r="CI185" s="5" t="s">
        <v>307</v>
      </c>
      <c r="CJ185" s="5">
        <v>2</v>
      </c>
      <c r="CK185" s="5" t="s">
        <v>223</v>
      </c>
      <c r="CU185" s="5" t="s">
        <v>206</v>
      </c>
      <c r="DA185" s="5" t="s">
        <v>231</v>
      </c>
      <c r="DB185" s="5"/>
      <c r="DC185" s="5" t="s">
        <v>280</v>
      </c>
      <c r="DD185" s="5"/>
      <c r="DE185" s="5" t="s">
        <v>250</v>
      </c>
      <c r="DF185" s="5"/>
      <c r="DG185" s="5" t="s">
        <v>251</v>
      </c>
      <c r="DH185" s="5"/>
      <c r="DI185" s="5" t="s">
        <v>280</v>
      </c>
      <c r="DJ185" s="5"/>
      <c r="DK185" s="5" t="s">
        <v>230</v>
      </c>
      <c r="DL185" s="5"/>
      <c r="DM185" s="5" t="s">
        <v>251</v>
      </c>
      <c r="DN185" s="5"/>
      <c r="DO185" s="5" t="s">
        <v>231</v>
      </c>
      <c r="DP185" s="5"/>
      <c r="DQ185" s="5" t="s">
        <v>281</v>
      </c>
      <c r="DR185" s="5"/>
      <c r="DS185" s="5" t="s">
        <v>229</v>
      </c>
      <c r="DT185" s="5"/>
      <c r="DU185" s="5" t="s">
        <v>252</v>
      </c>
      <c r="DV185" s="5"/>
      <c r="DW185" s="5" t="s">
        <v>229</v>
      </c>
      <c r="DX185" s="5"/>
      <c r="DY185" s="5"/>
      <c r="DZ185" s="5"/>
      <c r="EA185" s="5" t="s">
        <v>247</v>
      </c>
      <c r="EB185" s="5"/>
      <c r="EC185" s="5" t="s">
        <v>248</v>
      </c>
      <c r="ED185" s="5"/>
      <c r="EE185" s="5" t="s">
        <v>248</v>
      </c>
      <c r="EF185" s="5"/>
      <c r="EG185" s="5"/>
      <c r="EH185" s="5"/>
      <c r="EI185" s="5" t="s">
        <v>253</v>
      </c>
      <c r="EJ185" s="5"/>
      <c r="EK185" s="5" t="s">
        <v>232</v>
      </c>
      <c r="EL185" s="5"/>
      <c r="EM185" s="5" t="s">
        <v>254</v>
      </c>
      <c r="EN185" s="5"/>
      <c r="EO185" s="5"/>
      <c r="EP185" s="5"/>
      <c r="EQ185" s="5" t="s">
        <v>253</v>
      </c>
      <c r="ER185" s="5"/>
      <c r="ES185" s="5" t="s">
        <v>253</v>
      </c>
      <c r="ET185" s="5"/>
      <c r="EU185" s="5" t="s">
        <v>247</v>
      </c>
      <c r="EV185" s="5"/>
      <c r="EW185" s="5" t="s">
        <v>248</v>
      </c>
      <c r="EX185" s="5"/>
      <c r="EY185" s="5"/>
      <c r="EZ185" s="5"/>
      <c r="FA185" s="5" t="s">
        <v>232</v>
      </c>
      <c r="FB185" s="5"/>
      <c r="FC185" s="5" t="s">
        <v>254</v>
      </c>
      <c r="FD185" s="5"/>
      <c r="FE185" s="5" t="s">
        <v>254</v>
      </c>
      <c r="FF185" s="5"/>
      <c r="FG185" s="5"/>
      <c r="FH185" s="5"/>
      <c r="FI185" s="5" t="s">
        <v>248</v>
      </c>
      <c r="FJ185" s="5"/>
      <c r="FK185" s="5" t="s">
        <v>248</v>
      </c>
      <c r="FL185" s="5"/>
      <c r="FM185" s="5" t="s">
        <v>247</v>
      </c>
      <c r="FN185" s="5"/>
      <c r="FO185" s="5"/>
      <c r="FP185" s="5"/>
      <c r="FQ185" s="5" t="s">
        <v>206</v>
      </c>
      <c r="FR185" s="5"/>
      <c r="FS185" s="5" t="s">
        <v>206</v>
      </c>
      <c r="FT185" s="5"/>
      <c r="FU185" s="5" t="s">
        <v>206</v>
      </c>
      <c r="FV185" s="5"/>
      <c r="FW185" s="5" t="s">
        <v>206</v>
      </c>
      <c r="FX185" s="5"/>
      <c r="FY185" s="5" t="s">
        <v>206</v>
      </c>
      <c r="FZ185" s="5"/>
      <c r="GA185" s="5" t="s">
        <v>206</v>
      </c>
      <c r="GB185" s="5"/>
      <c r="GC185" s="5" t="s">
        <v>206</v>
      </c>
      <c r="GD185" s="5"/>
      <c r="GE185" s="5"/>
      <c r="GF185" s="5"/>
      <c r="GG185" s="5" t="s">
        <v>255</v>
      </c>
      <c r="GH185" s="5" t="s">
        <v>255</v>
      </c>
      <c r="GI185" s="5" t="s">
        <v>298</v>
      </c>
      <c r="GJ185" s="5" t="s">
        <v>266</v>
      </c>
      <c r="GK185" s="5" t="s">
        <v>233</v>
      </c>
      <c r="GL185" s="5" t="s">
        <v>233</v>
      </c>
      <c r="GM185" s="5" t="s">
        <v>233</v>
      </c>
      <c r="GN185" s="5" t="s">
        <v>234</v>
      </c>
      <c r="GO185" s="5" t="s">
        <v>234</v>
      </c>
      <c r="GP185" s="5" t="s">
        <v>234</v>
      </c>
      <c r="GQ185" s="5" t="s">
        <v>234</v>
      </c>
      <c r="GR185" s="5" t="s">
        <v>234</v>
      </c>
      <c r="GS185" s="5" t="s">
        <v>234</v>
      </c>
      <c r="GT185" s="5" t="s">
        <v>234</v>
      </c>
      <c r="GU185" s="5" t="s">
        <v>537</v>
      </c>
      <c r="GV185" s="5" t="str">
        <f>TEXT("6278959180417828451","0")</f>
        <v>6278959180417820000</v>
      </c>
    </row>
    <row r="186" spans="1:204" ht="15.75" hidden="1" customHeight="1" x14ac:dyDescent="0.15">
      <c r="B186" s="4">
        <v>45847.61822916667</v>
      </c>
      <c r="C186" s="5" t="s">
        <v>204</v>
      </c>
      <c r="D186" s="5" t="s">
        <v>206</v>
      </c>
      <c r="F186" s="5" t="s">
        <v>206</v>
      </c>
      <c r="G186" s="5" t="s">
        <v>206</v>
      </c>
      <c r="H186" s="5" t="s">
        <v>206</v>
      </c>
      <c r="J186" s="5" t="s">
        <v>209</v>
      </c>
      <c r="O186" s="5" t="s">
        <v>209</v>
      </c>
      <c r="S186" s="5" t="s">
        <v>208</v>
      </c>
      <c r="Y186" s="5" t="s">
        <v>209</v>
      </c>
      <c r="AC186" s="5" t="s">
        <v>208</v>
      </c>
      <c r="AH186" s="5" t="s">
        <v>268</v>
      </c>
      <c r="AI186" s="5">
        <v>2024</v>
      </c>
      <c r="AJ186" s="5" t="s">
        <v>293</v>
      </c>
      <c r="AK186" s="5"/>
      <c r="AR186" s="5" t="s">
        <v>261</v>
      </c>
      <c r="AS186" s="5" t="s">
        <v>241</v>
      </c>
      <c r="AT186" s="5" t="s">
        <v>241</v>
      </c>
      <c r="AU186" s="5" t="s">
        <v>301</v>
      </c>
      <c r="AV186" s="5" t="s">
        <v>285</v>
      </c>
      <c r="AW186" s="5" t="s">
        <v>204</v>
      </c>
      <c r="AX186" s="5" t="s">
        <v>206</v>
      </c>
      <c r="BF186" s="5" t="s">
        <v>204</v>
      </c>
      <c r="BG186" s="5" t="s">
        <v>242</v>
      </c>
      <c r="BH186" s="5" t="s">
        <v>278</v>
      </c>
      <c r="BI186" s="5" t="s">
        <v>278</v>
      </c>
      <c r="BJ186" s="5" t="s">
        <v>278</v>
      </c>
      <c r="BK186" s="5" t="s">
        <v>243</v>
      </c>
      <c r="BL186" s="5" t="s">
        <v>245</v>
      </c>
      <c r="BM186" s="5" t="s">
        <v>245</v>
      </c>
      <c r="BN186" s="5" t="s">
        <v>245</v>
      </c>
      <c r="BO186" s="5" t="s">
        <v>243</v>
      </c>
      <c r="BP186" s="5" t="s">
        <v>246</v>
      </c>
      <c r="BQ186" s="5" t="s">
        <v>245</v>
      </c>
      <c r="BR186" s="5" t="s">
        <v>244</v>
      </c>
      <c r="BS186" s="5" t="s">
        <v>254</v>
      </c>
      <c r="BT186" s="5" t="s">
        <v>247</v>
      </c>
      <c r="BU186" s="5" t="s">
        <v>254</v>
      </c>
      <c r="BV186" s="5" t="s">
        <v>247</v>
      </c>
      <c r="BW186" s="5" t="s">
        <v>254</v>
      </c>
      <c r="BX186" s="5" t="s">
        <v>254</v>
      </c>
      <c r="BY186" s="5" t="s">
        <v>254</v>
      </c>
      <c r="BZ186" s="5" t="s">
        <v>244</v>
      </c>
      <c r="CA186" s="5" t="s">
        <v>243</v>
      </c>
      <c r="CB186" s="5" t="s">
        <v>245</v>
      </c>
      <c r="CC186" s="5" t="s">
        <v>245</v>
      </c>
      <c r="CD186" s="5" t="s">
        <v>204</v>
      </c>
      <c r="CE186" s="5" t="s">
        <v>286</v>
      </c>
      <c r="CF186" s="5" t="s">
        <v>279</v>
      </c>
      <c r="CG186" s="5" t="s">
        <v>206</v>
      </c>
      <c r="CH186" s="5" t="s">
        <v>206</v>
      </c>
      <c r="CI186" s="5" t="s">
        <v>307</v>
      </c>
      <c r="CJ186" s="5">
        <v>2</v>
      </c>
      <c r="CK186" s="5" t="s">
        <v>223</v>
      </c>
      <c r="CU186" s="5" t="s">
        <v>206</v>
      </c>
      <c r="DA186" s="5" t="s">
        <v>229</v>
      </c>
      <c r="DB186" s="5"/>
      <c r="DC186" s="5" t="s">
        <v>280</v>
      </c>
      <c r="DD186" s="5"/>
      <c r="DE186" s="5" t="s">
        <v>280</v>
      </c>
      <c r="DF186" s="5"/>
      <c r="DG186" s="5" t="s">
        <v>280</v>
      </c>
      <c r="DH186" s="5"/>
      <c r="DI186" s="5" t="s">
        <v>280</v>
      </c>
      <c r="DJ186" s="5"/>
      <c r="DK186" s="5" t="s">
        <v>280</v>
      </c>
      <c r="DL186" s="5"/>
      <c r="DM186" s="5" t="s">
        <v>280</v>
      </c>
      <c r="DN186" s="5"/>
      <c r="DO186" s="5" t="s">
        <v>252</v>
      </c>
      <c r="DP186" s="5"/>
      <c r="DQ186" s="5" t="s">
        <v>231</v>
      </c>
      <c r="DR186" s="5"/>
      <c r="DS186" s="5" t="s">
        <v>252</v>
      </c>
      <c r="DT186" s="5"/>
      <c r="DU186" s="5" t="s">
        <v>229</v>
      </c>
      <c r="DV186" s="5"/>
      <c r="DW186" s="5" t="s">
        <v>231</v>
      </c>
      <c r="DX186" s="5"/>
      <c r="DY186" s="5"/>
      <c r="DZ186" s="5"/>
      <c r="EA186" s="5" t="s">
        <v>247</v>
      </c>
      <c r="EB186" s="5"/>
      <c r="EC186" s="5" t="s">
        <v>248</v>
      </c>
      <c r="ED186" s="5"/>
      <c r="EE186" s="5" t="s">
        <v>253</v>
      </c>
      <c r="EF186" s="5"/>
      <c r="EG186" s="5"/>
      <c r="EH186" s="5"/>
      <c r="EI186" s="5" t="s">
        <v>254</v>
      </c>
      <c r="EJ186" s="5"/>
      <c r="EK186" s="5" t="s">
        <v>248</v>
      </c>
      <c r="EL186" s="5"/>
      <c r="EM186" s="5" t="s">
        <v>232</v>
      </c>
      <c r="EN186" s="5"/>
      <c r="EO186" s="5"/>
      <c r="EP186" s="5"/>
      <c r="EQ186" s="5" t="s">
        <v>248</v>
      </c>
      <c r="ER186" s="5"/>
      <c r="ES186" s="5" t="s">
        <v>253</v>
      </c>
      <c r="ET186" s="5"/>
      <c r="EU186" s="5" t="s">
        <v>247</v>
      </c>
      <c r="EV186" s="5"/>
      <c r="EW186" s="5" t="s">
        <v>248</v>
      </c>
      <c r="EX186" s="5"/>
      <c r="EY186" s="5"/>
      <c r="EZ186" s="5"/>
      <c r="FA186" s="5" t="s">
        <v>254</v>
      </c>
      <c r="FB186" s="5"/>
      <c r="FC186" s="5" t="s">
        <v>254</v>
      </c>
      <c r="FD186" s="5"/>
      <c r="FE186" s="5" t="s">
        <v>254</v>
      </c>
      <c r="FF186" s="5"/>
      <c r="FG186" s="5"/>
      <c r="FH186" s="5"/>
      <c r="FI186" s="5" t="s">
        <v>247</v>
      </c>
      <c r="FJ186" s="5"/>
      <c r="FK186" s="5" t="s">
        <v>247</v>
      </c>
      <c r="FL186" s="5"/>
      <c r="FM186" s="5" t="s">
        <v>247</v>
      </c>
      <c r="FN186" s="5"/>
      <c r="FO186" s="5"/>
      <c r="FP186" s="5"/>
      <c r="FQ186" s="5" t="s">
        <v>265</v>
      </c>
      <c r="FR186" s="5"/>
      <c r="FS186" s="5" t="s">
        <v>361</v>
      </c>
      <c r="FT186" s="5"/>
      <c r="FU186" s="5" t="s">
        <v>206</v>
      </c>
      <c r="FV186" s="5"/>
      <c r="FW186" s="5" t="s">
        <v>265</v>
      </c>
      <c r="FX186" s="5"/>
      <c r="FY186" s="5" t="s">
        <v>206</v>
      </c>
      <c r="FZ186" s="5"/>
      <c r="GA186" s="5" t="s">
        <v>206</v>
      </c>
      <c r="GB186" s="5"/>
      <c r="GC186" s="5" t="s">
        <v>206</v>
      </c>
      <c r="GD186" s="5"/>
      <c r="GE186" s="5"/>
      <c r="GF186" s="5"/>
      <c r="GG186" s="5" t="s">
        <v>273</v>
      </c>
      <c r="GH186" s="5" t="s">
        <v>273</v>
      </c>
      <c r="GI186" s="5" t="s">
        <v>273</v>
      </c>
      <c r="GJ186" s="5" t="s">
        <v>233</v>
      </c>
      <c r="GK186" s="5" t="s">
        <v>233</v>
      </c>
      <c r="GL186" s="5" t="s">
        <v>233</v>
      </c>
      <c r="GM186" s="5" t="s">
        <v>255</v>
      </c>
      <c r="GN186" s="5" t="s">
        <v>244</v>
      </c>
      <c r="GO186" s="5" t="s">
        <v>244</v>
      </c>
      <c r="GP186" s="5" t="s">
        <v>256</v>
      </c>
      <c r="GQ186" s="5" t="s">
        <v>234</v>
      </c>
      <c r="GR186" s="5" t="s">
        <v>234</v>
      </c>
      <c r="GS186" s="5" t="s">
        <v>234</v>
      </c>
      <c r="GT186" s="5" t="s">
        <v>234</v>
      </c>
      <c r="GU186" s="5" t="s">
        <v>538</v>
      </c>
      <c r="GV186" s="5" t="str">
        <f>TEXT("6278962159329199679","0")</f>
        <v>6278962159329190000</v>
      </c>
    </row>
    <row r="187" spans="1:204" ht="15.75" customHeight="1" x14ac:dyDescent="0.15">
      <c r="A187" s="1">
        <f t="shared" ref="A187:A192" si="459">ROW(A187)</f>
        <v>187</v>
      </c>
      <c r="B187" s="4">
        <v>45847.618842592594</v>
      </c>
      <c r="C187" s="5" t="s">
        <v>204</v>
      </c>
      <c r="D187" s="5" t="s">
        <v>206</v>
      </c>
      <c r="F187" s="5" t="s">
        <v>206</v>
      </c>
      <c r="G187" s="5" t="s">
        <v>206</v>
      </c>
      <c r="H187" s="5" t="s">
        <v>206</v>
      </c>
      <c r="K187" s="5" t="s">
        <v>237</v>
      </c>
      <c r="O187" s="5" t="s">
        <v>209</v>
      </c>
      <c r="T187" s="5" t="s">
        <v>209</v>
      </c>
      <c r="X187" s="5" t="s">
        <v>208</v>
      </c>
      <c r="AD187" s="5" t="s">
        <v>209</v>
      </c>
      <c r="AH187" s="5" t="s">
        <v>210</v>
      </c>
      <c r="AI187" s="5">
        <v>2017</v>
      </c>
      <c r="AJ187" s="5" t="s">
        <v>238</v>
      </c>
      <c r="AK187" s="5" t="str">
        <f t="shared" ref="AK187:AK192" si="460">IF(OR(AJ187="Empleada del sector privado",AJ187="Empleada del sector público"),"Asalariada",
IF(AJ187="Trabajadora por cuenta propia","Trabajadora por cuenta propia",""))</f>
        <v>Trabajadora por cuenta propia</v>
      </c>
      <c r="AL187" s="5" t="s">
        <v>239</v>
      </c>
      <c r="AP187" s="5" t="s">
        <v>365</v>
      </c>
      <c r="AR187" s="5" t="s">
        <v>301</v>
      </c>
      <c r="AS187" s="5" t="s">
        <v>301</v>
      </c>
      <c r="AT187" s="5" t="s">
        <v>301</v>
      </c>
      <c r="AU187" s="5" t="s">
        <v>301</v>
      </c>
      <c r="AV187" s="5" t="s">
        <v>285</v>
      </c>
      <c r="AW187" s="5" t="s">
        <v>204</v>
      </c>
      <c r="AX187" s="5" t="s">
        <v>204</v>
      </c>
      <c r="AY187" s="5" t="s">
        <v>214</v>
      </c>
      <c r="AZ187" s="5" t="s">
        <v>204</v>
      </c>
      <c r="BA187" s="5" t="s">
        <v>289</v>
      </c>
      <c r="BB187" s="5" t="s">
        <v>204</v>
      </c>
      <c r="BC187" s="5" t="s">
        <v>204</v>
      </c>
      <c r="BD187" s="5" t="s">
        <v>491</v>
      </c>
      <c r="BE187" s="5" t="s">
        <v>204</v>
      </c>
      <c r="BF187" s="5" t="s">
        <v>204</v>
      </c>
      <c r="BG187" s="5" t="s">
        <v>242</v>
      </c>
      <c r="BH187" s="5" t="s">
        <v>242</v>
      </c>
      <c r="BI187" s="5" t="s">
        <v>242</v>
      </c>
      <c r="BJ187" s="5" t="s">
        <v>242</v>
      </c>
      <c r="BK187" s="5" t="s">
        <v>246</v>
      </c>
      <c r="BL187" s="5" t="s">
        <v>246</v>
      </c>
      <c r="BM187" s="5" t="s">
        <v>244</v>
      </c>
      <c r="BN187" s="5" t="s">
        <v>246</v>
      </c>
      <c r="BO187" s="5" t="s">
        <v>244</v>
      </c>
      <c r="BP187" s="5" t="s">
        <v>244</v>
      </c>
      <c r="BQ187" s="5" t="s">
        <v>244</v>
      </c>
      <c r="BR187" s="5" t="s">
        <v>244</v>
      </c>
      <c r="BS187" s="5" t="s">
        <v>247</v>
      </c>
      <c r="BT187" s="5" t="s">
        <v>248</v>
      </c>
      <c r="BU187" s="5" t="s">
        <v>248</v>
      </c>
      <c r="BV187" s="5" t="s">
        <v>217</v>
      </c>
      <c r="BW187" s="5" t="s">
        <v>217</v>
      </c>
      <c r="BX187" s="5" t="s">
        <v>217</v>
      </c>
      <c r="BY187" s="5" t="s">
        <v>217</v>
      </c>
      <c r="BZ187" s="5" t="s">
        <v>216</v>
      </c>
      <c r="CA187" s="5" t="s">
        <v>216</v>
      </c>
      <c r="CB187" s="5" t="s">
        <v>216</v>
      </c>
      <c r="CC187" s="5" t="s">
        <v>246</v>
      </c>
      <c r="CD187" s="5" t="s">
        <v>206</v>
      </c>
      <c r="CH187" s="5" t="s">
        <v>206</v>
      </c>
      <c r="CI187" s="5" t="s">
        <v>206</v>
      </c>
      <c r="CJ187" s="5">
        <v>0</v>
      </c>
      <c r="CK187" s="5" t="s">
        <v>223</v>
      </c>
      <c r="CU187" s="5" t="s">
        <v>206</v>
      </c>
      <c r="DA187" s="5" t="s">
        <v>272</v>
      </c>
      <c r="DB187" s="5">
        <f t="shared" ref="DB187:DB192" si="461">IF(DA187="Mejor que lo habitual",1,
IF(DA187="Igual que lo habitual",2,
IF(DA187="Menos que lo habitual",3,
IF(DA187="Mucho menos que lo habitual",4,""))))</f>
        <v>1</v>
      </c>
      <c r="DC187" s="5" t="s">
        <v>251</v>
      </c>
      <c r="DD187" s="5">
        <f t="shared" ref="DD187:DD192" si="462">IF(DC187="No, en absoluto",1,
IF(DC187="No más que lo habitual",2,
IF(DC187="Bastante más que lo habitual",3,
IF(DC187="Mucho más que lo habitual",4,""))))</f>
        <v>1</v>
      </c>
      <c r="DE187" s="5" t="s">
        <v>251</v>
      </c>
      <c r="DF187" s="5">
        <f t="shared" ref="DF187:DF192" si="463">IF(DE187="No, en absoluto",1,
IF(DE187="No más que lo habitual",2,
IF(DE187="Bastante más que lo habitual",3,
IF(DE187="Mucho más que lo habitual",4,""))))</f>
        <v>1</v>
      </c>
      <c r="DG187" s="5" t="s">
        <v>251</v>
      </c>
      <c r="DH187" s="5">
        <f t="shared" ref="DH187:DH192" si="464">IF(DG187="No, en absoluto",1,
IF(DG187="No más que lo habitual",2,
IF(DG187="Bastante más que lo habitual",3,
IF(DG187="Mucho más que lo habitual",4,""))))</f>
        <v>1</v>
      </c>
      <c r="DI187" s="5" t="s">
        <v>230</v>
      </c>
      <c r="DJ187" s="5">
        <f t="shared" ref="DJ187:DJ192" si="465">IF(DI187="No, en absoluto",1,
IF(DI187="No más que lo habitual",2,
IF(DI187="Bastante más que lo habitual",3,
IF(DI187="Mucho más que lo habitual",4,""))))</f>
        <v>2</v>
      </c>
      <c r="DK187" s="5" t="s">
        <v>251</v>
      </c>
      <c r="DL187" s="5">
        <f t="shared" ref="DL187:DL192" si="466">IF(DK187="No, en absoluto",1,
IF(DK187="No más que lo habitual",2,
IF(DK187="Bastante más que lo habitual",3,
IF(DK187="Mucho más que lo habitual",4,""))))</f>
        <v>1</v>
      </c>
      <c r="DM187" s="5" t="s">
        <v>251</v>
      </c>
      <c r="DN187" s="5">
        <f t="shared" ref="DN187:DN192" si="467">IF(DM187="No, en absoluto",1,
IF(DM187="No más que lo habitual",2,
IF(DM187="Bastante más que lo habitual",3,
IF(DM187="Mucho más que lo habitual",4,""))))</f>
        <v>1</v>
      </c>
      <c r="DO187" s="5" t="s">
        <v>281</v>
      </c>
      <c r="DP187" s="5">
        <f t="shared" ref="DP187:DP192" si="468">IF(DO187="Más que lo habitual",1,
IF(DO187="Igual que lo habitual",2,
IF(DO187="Menos que lo habitual",3,
IF(DO187="Mucho menos que lo habitual",4,""))))</f>
        <v>1</v>
      </c>
      <c r="DQ187" s="5" t="s">
        <v>281</v>
      </c>
      <c r="DR187" s="5">
        <f t="shared" ref="DR187:DR192" si="469">IF(DQ187="Más que lo habitual",1,
IF(DQ187="Igual que lo habitual",2,
IF(DQ187="Menos que lo habitual",3,
IF(DQ187="Mucho menos que lo habitual",4,""))))</f>
        <v>1</v>
      </c>
      <c r="DS187" s="5" t="s">
        <v>281</v>
      </c>
      <c r="DT187" s="5">
        <f t="shared" ref="DT187:DT192" si="470">IF(DS187="Más que lo habitual",1,
IF(DS187="Igual que lo habitual",2,
IF(DS187="Menos que lo habitual",3,
IF(DS187="Mucho menos que lo habitual",4,""))))</f>
        <v>1</v>
      </c>
      <c r="DU187" s="5" t="s">
        <v>281</v>
      </c>
      <c r="DV187" s="5">
        <f t="shared" ref="DV187:DV192" si="471">IF(DU187="Más que lo habitual",1,
IF(DU187="Igual que lo habitual",2,
IF(DU187="Menos que lo habitual",3,
IF(DU187="Mucho menos que lo habitual",4,""))))</f>
        <v>1</v>
      </c>
      <c r="DW187" s="5" t="s">
        <v>281</v>
      </c>
      <c r="DX187" s="5">
        <f t="shared" ref="DX187:DX192" si="472">IF(DW187="Más que lo habitual",1,
IF(DW187="Igual que lo habitual",2,
IF(DW187="Menos que lo habitual",3,
IF(DW187="Mucho menos que lo habitual",4,""))))</f>
        <v>1</v>
      </c>
      <c r="DY187" s="5">
        <f t="shared" ref="DY187:DY192" si="473">SUM(DB187,DD187,DF187,DH187,DJ187,DL187,DN187,DP187,DR187,DT187,DV187,DX187)</f>
        <v>13</v>
      </c>
      <c r="DZ187" s="5" t="str">
        <f t="shared" ref="DZ187:DZ192" si="474">IF(DY187&lt;=18,"Nivel de riesgo bajo",
IF(DY187&lt;=23,"Nivel de riesgo medio",
"Nivel de riesgo alto"))</f>
        <v>Nivel de riesgo bajo</v>
      </c>
      <c r="EA187" s="5" t="s">
        <v>248</v>
      </c>
      <c r="EB187" s="5">
        <f t="shared" ref="EB187:EB192" si="475">IF(EA187="Nunca/ casi nunca",0,
IF(EA187="Rara vez",1,
IF(EA187="A veces",2,
IF(EA187="A menudo",3,
IF(EA187="Siempre",4,"")))))</f>
        <v>1</v>
      </c>
      <c r="EC187" s="5" t="s">
        <v>248</v>
      </c>
      <c r="ED187" s="5">
        <f t="shared" ref="ED187:ED192" si="476">IF(EC187="Nunca/ casi nunca",0,
IF(EC187="Rara vez",1,
IF(EC187="A veces",2,
IF(EC187="A menudo",3,
IF(EC187="Siempre",4,"")))))</f>
        <v>1</v>
      </c>
      <c r="EE187" s="5" t="s">
        <v>248</v>
      </c>
      <c r="EF187" s="5">
        <f t="shared" ref="EF187:EF192" si="477">IF(EE187="Nunca/ casi nunca",0,
IF(EE187="Rara vez",1,
IF(EE187="A veces",2,
IF(EE187="A menudo",3,
IF(EE187="Siempre",4,"")))))</f>
        <v>1</v>
      </c>
      <c r="EG187" s="5">
        <f t="shared" ref="EG187:EG192" si="478">SUM(EB187,ED187,EF187)</f>
        <v>3</v>
      </c>
      <c r="EH187" s="5" t="str">
        <f t="shared" ref="EH187:EH192" si="479">IF(EG187&lt;=1,"Nivel de riesgo bajo",
IF(EG187&lt;=4,"Nivel de riesgo medio",
"Nivel de riesgo alto"))</f>
        <v>Nivel de riesgo medio</v>
      </c>
      <c r="EI187" s="5" t="s">
        <v>248</v>
      </c>
      <c r="EJ187" s="5">
        <f t="shared" ref="EJ187:EJ192" si="480">IF(EI187="Nunca/ casi nunca",0,
IF(EI187="Rara vez",1,
IF(EI187="A veces",2,
IF(EI187="A menudo",3,
IF(EI187="Siempre",4,"")))))</f>
        <v>1</v>
      </c>
      <c r="EK187" s="5" t="s">
        <v>248</v>
      </c>
      <c r="EL187" s="5">
        <f t="shared" ref="EL187:EL192" si="481">IF(EK187="Nunca/ casi nunca",0,
IF(EK187="Rara vez",1,
IF(EK187="A veces",2,
IF(EK187="A menudo",3,
IF(EK187="Siempre",4,"")))))</f>
        <v>1</v>
      </c>
      <c r="EM187" s="5" t="s">
        <v>248</v>
      </c>
      <c r="EN187" s="5">
        <f t="shared" ref="EN187:EN192" si="482">IF(EM187="Nunca/ casi nunca",0,
IF(EM187="Rara vez",1,
IF(EM187="A veces",2,
IF(EM187="A menudo",3,
IF(EM187="Siempre",4,"")))))</f>
        <v>1</v>
      </c>
      <c r="EO187" s="5">
        <f t="shared" ref="EO187:EO192" si="483">SUM(EJ187,EL187,EN187)</f>
        <v>3</v>
      </c>
      <c r="EP187" s="5" t="str">
        <f t="shared" ref="EP187:EP192" si="484">IF(EO187&lt;=1,"Nivel de riesgo bajo",
IF(EO187&lt;=5,"Nivel de riesgo medio",
"Nivel de riesgo alto"))</f>
        <v>Nivel de riesgo medio</v>
      </c>
      <c r="EQ187" s="5" t="s">
        <v>254</v>
      </c>
      <c r="ER187" s="5">
        <f t="shared" ref="ER187:ER192" si="485">IF(EQ187="Nunca/ casi nunca",4,
IF(EQ187="Rara vez",3,
IF(EQ187="A veces",2,
IF(EQ187="A menudo",1,
IF(EQ187="Siempre",0,"")))))</f>
        <v>0</v>
      </c>
      <c r="ES187" s="5" t="s">
        <v>254</v>
      </c>
      <c r="ET187" s="5">
        <f t="shared" ref="ET187:ET192" si="486">IF(ES187="Nunca/ casi nunca",4,
IF(ES187="Rara vez",3,
IF(ES187="A veces",2,
IF(ES187="A menudo",1,
IF(ES187="Siempre",0,"")))))</f>
        <v>0</v>
      </c>
      <c r="EU187" s="5" t="s">
        <v>254</v>
      </c>
      <c r="EV187" s="5">
        <f t="shared" ref="EV187:EV192" si="487">IF(EU187="Nunca/ casi nunca",4,
IF(EU187="Rara vez",3,
IF(EU187="A veces",2,
IF(EU187="A menudo",1,
IF(EU187="Siempre",0,"")))))</f>
        <v>0</v>
      </c>
      <c r="EW187" s="5" t="s">
        <v>254</v>
      </c>
      <c r="EX187" s="5">
        <f t="shared" ref="EX187:EX192" si="488">IF(EW187="Nunca/ casi nunca",4,
IF(EW187="Rara vez",3,
IF(EW187="A veces",2,
IF(EW187="A menudo",1,
IF(EW187="Siempre",0,"")))))</f>
        <v>0</v>
      </c>
      <c r="EY187" s="5">
        <f t="shared" ref="EY187:EY192" si="489">SUM(ER187,ET187,EV187,EX187)</f>
        <v>0</v>
      </c>
      <c r="EZ187" s="5" t="str">
        <f t="shared" ref="EZ187:EZ192" si="490">IF(EY187&lt;=0,"Nivel de riesgo bajo",
IF(EY187&lt;=4,"Nivel de riesgo medio",
"Nivel de riesgo alto"))</f>
        <v>Nivel de riesgo bajo</v>
      </c>
      <c r="FA187" s="5" t="s">
        <v>248</v>
      </c>
      <c r="FB187" s="5">
        <f t="shared" ref="FB187:FB192" si="491">IF(FA187="Nunca/ casi nunca",0,
IF(FA187="Rara vez",1,
IF(FA187="A veces",2,
IF(FA187="A menudo",3,
IF(FA187="Siempre",4,"")))))</f>
        <v>1</v>
      </c>
      <c r="FC187" s="5" t="s">
        <v>253</v>
      </c>
      <c r="FD187" s="5">
        <f t="shared" ref="FD187:FD192" si="492">IF(FC187="Nunca/ casi nunca",0,
IF(FC187="Rara vez",1,
IF(FC187="A veces",2,
IF(FC187="A menudo",3,
IF(FC187="Siempre",4,"")))))</f>
        <v>0</v>
      </c>
      <c r="FE187" s="5" t="s">
        <v>253</v>
      </c>
      <c r="FF187" s="5">
        <f t="shared" ref="FF187:FF192" si="493">IF(FE187="Nunca/ casi nunca",0,
IF(FE187="Rara vez",1,
IF(FE187="A veces",2,
IF(FE187="A menudo",3,
IF(FE187="Siempre",4,"")))))</f>
        <v>0</v>
      </c>
      <c r="FG187" s="5">
        <f t="shared" ref="FG187:FG192" si="494">SUM(FB187,FD187,FF187)</f>
        <v>1</v>
      </c>
      <c r="FH187" s="5" t="str">
        <f t="shared" ref="FH187:FH192" si="495">IF(FG187&lt;=2,"Nivel de riesgo bajo",
IF(FG187&lt;=5,"Nivel de riesgo medio",
"Nivel de riesgo alto"))</f>
        <v>Nivel de riesgo bajo</v>
      </c>
      <c r="FI187" s="5" t="s">
        <v>253</v>
      </c>
      <c r="FJ187" s="5">
        <f t="shared" ref="FJ187:FJ192" si="496">IF(FI187="Nunca/ casi nunca",0,
IF(FI187="Rara vez",1,
IF(FI187="A veces",2,
IF(FI187="A menudo",3,
IF(FI187="Siempre",4,"")))))</f>
        <v>0</v>
      </c>
      <c r="FK187" s="5" t="s">
        <v>253</v>
      </c>
      <c r="FL187" s="5">
        <f t="shared" ref="FL187:FL192" si="497">IF(FK187="Nunca/ casi nunca",0,
IF(FK187="Rara vez",1,
IF(FK187="A veces",2,
IF(FK187="A menudo",3,
IF(FK187="Siempre",4,"")))))</f>
        <v>0</v>
      </c>
      <c r="FM187" s="5" t="s">
        <v>253</v>
      </c>
      <c r="FN187" s="5">
        <f t="shared" ref="FN187:FN192" si="498">IF(FM187="Nunca/ casi nunca",0,
IF(FM187="Rara vez",1,
IF(FM187="A veces",2,
IF(FM187="A menudo",3,
IF(FM187="Siempre",4,"")))))</f>
        <v>0</v>
      </c>
      <c r="FO187" s="5">
        <f t="shared" ref="FO187:FO192" si="499">SUM(FJ187,FL187,FN187)</f>
        <v>0</v>
      </c>
      <c r="FP187" s="5" t="str">
        <f t="shared" ref="FP187:FP192" si="500">IF(FO187&lt;=2,"Nivel de riesgo bajo",
IF(FO187&lt;=5,"Nivel de riesgo medio",
"Nivel de riesgo alto"))</f>
        <v>Nivel de riesgo bajo</v>
      </c>
      <c r="FQ187" s="5" t="s">
        <v>206</v>
      </c>
      <c r="FR187" s="5">
        <f t="shared" ref="FR187:FR192" si="501">IF(FQ187="No",0,
IF(FQ187="Sí, unas pocas veces",1,
IF(FQ187="Sí, mensualmente",2,
IF(FQ187="Sí, semanalmente",3,
IF(FQ187="Sí, diariamente",4,"")))))</f>
        <v>0</v>
      </c>
      <c r="FS187" s="5" t="s">
        <v>206</v>
      </c>
      <c r="FT187" s="5">
        <f t="shared" ref="FT187:FT192" si="502">IF(FS187="No",0,
IF(FS187="Sí, unas pocas veces",1,
IF(FS187="Sí, mensualmente",2,
IF(FS187="Sí, semanalmente",3,
IF(FS187="Sí, diariamente",4,"")))))</f>
        <v>0</v>
      </c>
      <c r="FU187" s="5" t="s">
        <v>206</v>
      </c>
      <c r="FV187" s="5">
        <f t="shared" ref="FV187:FV192" si="503">IF(FU187="No",0,
IF(FU187="Sí, unas pocas veces",1,
IF(FU187="Sí, mensualmente",2,
IF(FU187="Sí, semanalmente",3,
IF(FU187="Sí, diariamente",4,"")))))</f>
        <v>0</v>
      </c>
      <c r="FW187" s="5" t="s">
        <v>206</v>
      </c>
      <c r="FX187" s="5">
        <f t="shared" ref="FX187:FX192" si="504">IF(FW187="No",0,
IF(FW187="Sí, unas pocas veces",1,
IF(FW187="Sí, mensualmente",2,
IF(FW187="Sí, semanalmente",3,
IF(FW187="Sí, diariamente",4,"")))))</f>
        <v>0</v>
      </c>
      <c r="FY187" s="5" t="s">
        <v>206</v>
      </c>
      <c r="FZ187" s="5">
        <f t="shared" ref="FZ187:FZ192" si="505">IF(FY187="No",0,
IF(FY187="Sí, unas pocas veces",1,
IF(FY187="Sí, mensualmente",2,
IF(FY187="Sí, semanalmente",3,
IF(FY187="Sí, diariamente",4,"")))))</f>
        <v>0</v>
      </c>
      <c r="GA187" s="5" t="s">
        <v>206</v>
      </c>
      <c r="GB187" s="5">
        <f t="shared" ref="GB187:GB192" si="506">IF(GA187="No",0,
IF(GA187="Sí, unas pocas veces",1,
IF(GA187="Sí, mensualmente",2,
IF(GA187="Sí, semanalmente",3,
IF(GA187="Sí, diariamente",4,"")))))</f>
        <v>0</v>
      </c>
      <c r="GC187" s="5" t="s">
        <v>206</v>
      </c>
      <c r="GD187" s="5">
        <f t="shared" ref="GD187:GD192" si="507">IF(GC187="No",0,
IF(GC187="Sí, unas pocas veces",1,
IF(GC187="Sí, mensualmente",2,
IF(GC187="Sí, semanalmente",3,
IF(GC187="Sí, diariamente",4,"")))))</f>
        <v>0</v>
      </c>
      <c r="GE187" s="5">
        <f t="shared" ref="GE187:GE192" si="508">SUM(FR187,FT187,FV187,FX187,FZ187,GB187,GD187)</f>
        <v>0</v>
      </c>
      <c r="GF187" s="5" t="str">
        <f t="shared" ref="GF187:GF192" si="509">IF(GE187&lt;=0,"Nivel de riesgo bajo",
IF(GE187&lt;=14,"Nivel de riesgo medio",
"Nivel de riesgo alto"))</f>
        <v>Nivel de riesgo bajo</v>
      </c>
      <c r="GG187" s="5" t="s">
        <v>255</v>
      </c>
      <c r="GH187" s="5" t="s">
        <v>255</v>
      </c>
      <c r="GI187" s="5" t="s">
        <v>255</v>
      </c>
      <c r="GJ187" s="5" t="s">
        <v>255</v>
      </c>
      <c r="GK187" s="5" t="s">
        <v>233</v>
      </c>
      <c r="GL187" s="5" t="s">
        <v>273</v>
      </c>
      <c r="GM187" s="5" t="s">
        <v>255</v>
      </c>
      <c r="GN187" s="5" t="s">
        <v>256</v>
      </c>
      <c r="GO187" s="5" t="s">
        <v>256</v>
      </c>
      <c r="GP187" s="5" t="s">
        <v>243</v>
      </c>
      <c r="GQ187" s="5" t="s">
        <v>256</v>
      </c>
      <c r="GR187" s="5" t="s">
        <v>243</v>
      </c>
      <c r="GS187" s="5" t="s">
        <v>243</v>
      </c>
      <c r="GT187" s="5" t="s">
        <v>256</v>
      </c>
      <c r="GU187" s="5" t="s">
        <v>360</v>
      </c>
      <c r="GV187" s="5" t="str">
        <f>TEXT("6278962684517573887","0")</f>
        <v>6278962684517570000</v>
      </c>
    </row>
    <row r="188" spans="1:204" ht="15.75" customHeight="1" x14ac:dyDescent="0.15">
      <c r="A188" s="1">
        <f t="shared" si="459"/>
        <v>188</v>
      </c>
      <c r="B188" s="4">
        <v>45847.625706018516</v>
      </c>
      <c r="C188" s="5" t="s">
        <v>204</v>
      </c>
      <c r="D188" s="5" t="s">
        <v>206</v>
      </c>
      <c r="F188" s="5" t="s">
        <v>206</v>
      </c>
      <c r="G188" s="5" t="s">
        <v>204</v>
      </c>
      <c r="H188" s="5" t="s">
        <v>206</v>
      </c>
      <c r="L188" s="5" t="s">
        <v>236</v>
      </c>
      <c r="P188" s="5" t="s">
        <v>237</v>
      </c>
      <c r="T188" s="5" t="s">
        <v>209</v>
      </c>
      <c r="Z188" s="5" t="s">
        <v>237</v>
      </c>
      <c r="AE188" s="5" t="s">
        <v>237</v>
      </c>
      <c r="AH188" s="5" t="s">
        <v>210</v>
      </c>
      <c r="AI188" s="5">
        <v>2023</v>
      </c>
      <c r="AJ188" s="5" t="s">
        <v>238</v>
      </c>
      <c r="AK188" s="5" t="str">
        <f t="shared" si="460"/>
        <v>Trabajadora por cuenta propia</v>
      </c>
      <c r="AO188" s="5" t="s">
        <v>390</v>
      </c>
      <c r="AP188" s="5" t="s">
        <v>240</v>
      </c>
      <c r="AR188" s="5" t="s">
        <v>241</v>
      </c>
      <c r="AS188" s="5" t="s">
        <v>241</v>
      </c>
      <c r="AT188" s="5" t="s">
        <v>241</v>
      </c>
      <c r="AU188" s="5" t="s">
        <v>241</v>
      </c>
      <c r="AV188" s="5" t="s">
        <v>269</v>
      </c>
      <c r="AW188" s="5" t="s">
        <v>204</v>
      </c>
      <c r="AX188" s="5" t="s">
        <v>204</v>
      </c>
      <c r="AY188" s="5" t="s">
        <v>214</v>
      </c>
      <c r="AZ188" s="5" t="s">
        <v>204</v>
      </c>
      <c r="BA188" s="5" t="s">
        <v>263</v>
      </c>
      <c r="BF188" s="5" t="s">
        <v>204</v>
      </c>
      <c r="BG188" s="5" t="s">
        <v>278</v>
      </c>
      <c r="BH188" s="5" t="s">
        <v>271</v>
      </c>
      <c r="BI188" s="5" t="s">
        <v>278</v>
      </c>
      <c r="BJ188" s="5" t="s">
        <v>271</v>
      </c>
      <c r="BK188" s="5" t="s">
        <v>246</v>
      </c>
      <c r="BL188" s="5" t="s">
        <v>246</v>
      </c>
      <c r="BM188" s="5" t="s">
        <v>243</v>
      </c>
      <c r="BN188" s="5" t="s">
        <v>243</v>
      </c>
      <c r="BO188" s="5" t="s">
        <v>246</v>
      </c>
      <c r="BP188" s="5" t="s">
        <v>246</v>
      </c>
      <c r="BQ188" s="5" t="s">
        <v>246</v>
      </c>
      <c r="BR188" s="5" t="s">
        <v>246</v>
      </c>
      <c r="BS188" s="5" t="s">
        <v>254</v>
      </c>
      <c r="BT188" s="5" t="s">
        <v>232</v>
      </c>
      <c r="BU188" s="5" t="s">
        <v>232</v>
      </c>
      <c r="BV188" s="5" t="s">
        <v>248</v>
      </c>
      <c r="BW188" s="5" t="s">
        <v>248</v>
      </c>
      <c r="BX188" s="5" t="s">
        <v>232</v>
      </c>
      <c r="BY188" s="5" t="s">
        <v>247</v>
      </c>
      <c r="BZ188" s="5" t="s">
        <v>246</v>
      </c>
      <c r="CA188" s="5" t="s">
        <v>246</v>
      </c>
      <c r="CB188" s="5" t="s">
        <v>216</v>
      </c>
      <c r="CC188" s="5" t="s">
        <v>246</v>
      </c>
      <c r="CD188" s="5" t="s">
        <v>204</v>
      </c>
      <c r="CE188" s="5" t="s">
        <v>286</v>
      </c>
      <c r="CF188" s="5" t="s">
        <v>219</v>
      </c>
      <c r="CG188" s="5" t="s">
        <v>206</v>
      </c>
      <c r="CH188" s="5" t="s">
        <v>206</v>
      </c>
      <c r="CI188" s="5" t="s">
        <v>206</v>
      </c>
      <c r="CJ188" s="5">
        <v>1</v>
      </c>
      <c r="CK188" s="5" t="s">
        <v>223</v>
      </c>
      <c r="CU188" s="5" t="s">
        <v>206</v>
      </c>
      <c r="DA188" s="5" t="s">
        <v>231</v>
      </c>
      <c r="DB188" s="5">
        <f t="shared" si="461"/>
        <v>2</v>
      </c>
      <c r="DC188" s="5" t="s">
        <v>251</v>
      </c>
      <c r="DD188" s="5">
        <f t="shared" si="462"/>
        <v>1</v>
      </c>
      <c r="DE188" s="5" t="s">
        <v>251</v>
      </c>
      <c r="DF188" s="5">
        <f t="shared" si="463"/>
        <v>1</v>
      </c>
      <c r="DG188" s="5" t="s">
        <v>251</v>
      </c>
      <c r="DH188" s="5">
        <f t="shared" si="464"/>
        <v>1</v>
      </c>
      <c r="DI188" s="5" t="s">
        <v>251</v>
      </c>
      <c r="DJ188" s="5">
        <f t="shared" si="465"/>
        <v>1</v>
      </c>
      <c r="DK188" s="5" t="s">
        <v>251</v>
      </c>
      <c r="DL188" s="5">
        <f t="shared" si="466"/>
        <v>1</v>
      </c>
      <c r="DM188" s="5" t="s">
        <v>251</v>
      </c>
      <c r="DN188" s="5">
        <f t="shared" si="467"/>
        <v>1</v>
      </c>
      <c r="DO188" s="5" t="s">
        <v>229</v>
      </c>
      <c r="DP188" s="5">
        <f t="shared" si="468"/>
        <v>4</v>
      </c>
      <c r="DQ188" s="5" t="s">
        <v>231</v>
      </c>
      <c r="DR188" s="5">
        <f t="shared" si="469"/>
        <v>2</v>
      </c>
      <c r="DS188" s="5" t="s">
        <v>231</v>
      </c>
      <c r="DT188" s="5">
        <f t="shared" si="470"/>
        <v>2</v>
      </c>
      <c r="DU188" s="5" t="s">
        <v>231</v>
      </c>
      <c r="DV188" s="5">
        <f t="shared" si="471"/>
        <v>2</v>
      </c>
      <c r="DW188" s="5" t="s">
        <v>231</v>
      </c>
      <c r="DX188" s="5">
        <f t="shared" si="472"/>
        <v>2</v>
      </c>
      <c r="DY188" s="5">
        <f t="shared" si="473"/>
        <v>20</v>
      </c>
      <c r="DZ188" s="5" t="str">
        <f t="shared" si="474"/>
        <v>Nivel de riesgo medio</v>
      </c>
      <c r="EA188" s="5" t="s">
        <v>248</v>
      </c>
      <c r="EB188" s="5">
        <f t="shared" si="475"/>
        <v>1</v>
      </c>
      <c r="EC188" s="5" t="s">
        <v>248</v>
      </c>
      <c r="ED188" s="5">
        <f t="shared" si="476"/>
        <v>1</v>
      </c>
      <c r="EE188" s="5" t="s">
        <v>253</v>
      </c>
      <c r="EF188" s="5">
        <f t="shared" si="477"/>
        <v>0</v>
      </c>
      <c r="EG188" s="5">
        <f t="shared" si="478"/>
        <v>2</v>
      </c>
      <c r="EH188" s="5" t="str">
        <f t="shared" si="479"/>
        <v>Nivel de riesgo medio</v>
      </c>
      <c r="EI188" s="5" t="s">
        <v>253</v>
      </c>
      <c r="EJ188" s="5">
        <f t="shared" si="480"/>
        <v>0</v>
      </c>
      <c r="EK188" s="5" t="s">
        <v>253</v>
      </c>
      <c r="EL188" s="5">
        <f t="shared" si="481"/>
        <v>0</v>
      </c>
      <c r="EM188" s="5" t="s">
        <v>253</v>
      </c>
      <c r="EN188" s="5">
        <f t="shared" si="482"/>
        <v>0</v>
      </c>
      <c r="EO188" s="5">
        <f t="shared" si="483"/>
        <v>0</v>
      </c>
      <c r="EP188" s="5" t="str">
        <f t="shared" si="484"/>
        <v>Nivel de riesgo bajo</v>
      </c>
      <c r="EQ188" s="5" t="s">
        <v>232</v>
      </c>
      <c r="ER188" s="5">
        <f t="shared" si="485"/>
        <v>1</v>
      </c>
      <c r="ES188" s="5" t="s">
        <v>232</v>
      </c>
      <c r="ET188" s="5">
        <f t="shared" si="486"/>
        <v>1</v>
      </c>
      <c r="EU188" s="5" t="s">
        <v>232</v>
      </c>
      <c r="EV188" s="5">
        <f t="shared" si="487"/>
        <v>1</v>
      </c>
      <c r="EW188" s="5" t="s">
        <v>232</v>
      </c>
      <c r="EX188" s="5">
        <f t="shared" si="488"/>
        <v>1</v>
      </c>
      <c r="EY188" s="5">
        <f t="shared" si="489"/>
        <v>4</v>
      </c>
      <c r="EZ188" s="5" t="str">
        <f t="shared" si="490"/>
        <v>Nivel de riesgo medio</v>
      </c>
      <c r="FA188" s="5" t="s">
        <v>253</v>
      </c>
      <c r="FB188" s="5">
        <f t="shared" si="491"/>
        <v>0</v>
      </c>
      <c r="FC188" s="5" t="s">
        <v>253</v>
      </c>
      <c r="FD188" s="5">
        <f t="shared" si="492"/>
        <v>0</v>
      </c>
      <c r="FE188" s="5" t="s">
        <v>253</v>
      </c>
      <c r="FF188" s="5">
        <f t="shared" si="493"/>
        <v>0</v>
      </c>
      <c r="FG188" s="5">
        <f t="shared" si="494"/>
        <v>0</v>
      </c>
      <c r="FH188" s="5" t="str">
        <f t="shared" si="495"/>
        <v>Nivel de riesgo bajo</v>
      </c>
      <c r="FI188" s="5" t="s">
        <v>248</v>
      </c>
      <c r="FJ188" s="5">
        <f t="shared" si="496"/>
        <v>1</v>
      </c>
      <c r="FK188" s="5" t="s">
        <v>248</v>
      </c>
      <c r="FL188" s="5">
        <f t="shared" si="497"/>
        <v>1</v>
      </c>
      <c r="FM188" s="5" t="s">
        <v>253</v>
      </c>
      <c r="FN188" s="5">
        <f t="shared" si="498"/>
        <v>0</v>
      </c>
      <c r="FO188" s="5">
        <f t="shared" si="499"/>
        <v>2</v>
      </c>
      <c r="FP188" s="5" t="str">
        <f t="shared" si="500"/>
        <v>Nivel de riesgo bajo</v>
      </c>
      <c r="FQ188" s="5" t="s">
        <v>206</v>
      </c>
      <c r="FR188" s="5">
        <f t="shared" si="501"/>
        <v>0</v>
      </c>
      <c r="FS188" s="5" t="s">
        <v>206</v>
      </c>
      <c r="FT188" s="5">
        <f t="shared" si="502"/>
        <v>0</v>
      </c>
      <c r="FU188" s="5" t="s">
        <v>206</v>
      </c>
      <c r="FV188" s="5">
        <f t="shared" si="503"/>
        <v>0</v>
      </c>
      <c r="FW188" s="5" t="s">
        <v>206</v>
      </c>
      <c r="FX188" s="5">
        <f t="shared" si="504"/>
        <v>0</v>
      </c>
      <c r="FY188" s="5" t="s">
        <v>206</v>
      </c>
      <c r="FZ188" s="5">
        <f t="shared" si="505"/>
        <v>0</v>
      </c>
      <c r="GA188" s="5" t="s">
        <v>206</v>
      </c>
      <c r="GB188" s="5">
        <f t="shared" si="506"/>
        <v>0</v>
      </c>
      <c r="GC188" s="5" t="s">
        <v>206</v>
      </c>
      <c r="GD188" s="5">
        <f t="shared" si="507"/>
        <v>0</v>
      </c>
      <c r="GE188" s="5">
        <f t="shared" si="508"/>
        <v>0</v>
      </c>
      <c r="GF188" s="5" t="str">
        <f t="shared" si="509"/>
        <v>Nivel de riesgo bajo</v>
      </c>
      <c r="GG188" s="5" t="s">
        <v>255</v>
      </c>
      <c r="GH188" s="5" t="s">
        <v>255</v>
      </c>
      <c r="GI188" s="5" t="s">
        <v>255</v>
      </c>
      <c r="GJ188" s="5" t="s">
        <v>255</v>
      </c>
      <c r="GK188" s="5" t="s">
        <v>233</v>
      </c>
      <c r="GL188" s="5" t="s">
        <v>233</v>
      </c>
      <c r="GM188" s="5" t="s">
        <v>233</v>
      </c>
      <c r="GN188" s="5" t="s">
        <v>243</v>
      </c>
      <c r="GO188" s="5" t="s">
        <v>243</v>
      </c>
      <c r="GP188" s="5" t="s">
        <v>243</v>
      </c>
      <c r="GQ188" s="5" t="s">
        <v>256</v>
      </c>
      <c r="GR188" s="5" t="s">
        <v>256</v>
      </c>
      <c r="GS188" s="5" t="s">
        <v>243</v>
      </c>
      <c r="GT188" s="5" t="s">
        <v>256</v>
      </c>
      <c r="GU188" s="5" t="s">
        <v>539</v>
      </c>
      <c r="GV188" s="5" t="str">
        <f>TEXT("6278968610914140554","0")</f>
        <v>6278968610914140000</v>
      </c>
    </row>
    <row r="189" spans="1:204" ht="15.75" customHeight="1" x14ac:dyDescent="0.15">
      <c r="A189" s="1">
        <f t="shared" si="459"/>
        <v>189</v>
      </c>
      <c r="B189" s="4">
        <v>45847.628055555557</v>
      </c>
      <c r="C189" s="5" t="s">
        <v>204</v>
      </c>
      <c r="D189" s="5" t="s">
        <v>206</v>
      </c>
      <c r="F189" s="5" t="s">
        <v>206</v>
      </c>
      <c r="G189" s="5" t="s">
        <v>206</v>
      </c>
      <c r="H189" s="5" t="s">
        <v>206</v>
      </c>
      <c r="L189" s="5" t="s">
        <v>236</v>
      </c>
      <c r="O189" s="5" t="s">
        <v>209</v>
      </c>
      <c r="S189" s="5" t="s">
        <v>208</v>
      </c>
      <c r="T189" s="5" t="s">
        <v>209</v>
      </c>
      <c r="Y189" s="5" t="s">
        <v>209</v>
      </c>
      <c r="AC189" s="5" t="s">
        <v>208</v>
      </c>
      <c r="AH189" s="5" t="s">
        <v>275</v>
      </c>
      <c r="AI189" s="5">
        <v>2023</v>
      </c>
      <c r="AJ189" s="5" t="s">
        <v>238</v>
      </c>
      <c r="AK189" s="5" t="str">
        <f t="shared" si="460"/>
        <v>Trabajadora por cuenta propia</v>
      </c>
      <c r="AM189" s="5" t="s">
        <v>309</v>
      </c>
      <c r="AP189" s="5" t="s">
        <v>284</v>
      </c>
      <c r="AR189" s="5" t="s">
        <v>241</v>
      </c>
      <c r="AS189" s="5" t="s">
        <v>301</v>
      </c>
      <c r="AT189" s="5" t="s">
        <v>301</v>
      </c>
      <c r="AU189" s="5" t="s">
        <v>301</v>
      </c>
      <c r="AV189" s="5" t="s">
        <v>285</v>
      </c>
      <c r="AW189" s="5" t="s">
        <v>204</v>
      </c>
      <c r="AX189" s="5" t="s">
        <v>204</v>
      </c>
      <c r="AY189" s="5" t="s">
        <v>214</v>
      </c>
      <c r="AZ189" s="5" t="s">
        <v>204</v>
      </c>
      <c r="BA189" s="5" t="s">
        <v>344</v>
      </c>
      <c r="BF189" s="5" t="s">
        <v>204</v>
      </c>
      <c r="BG189" s="5" t="s">
        <v>278</v>
      </c>
      <c r="BH189" s="5" t="s">
        <v>278</v>
      </c>
      <c r="BI189" s="5" t="s">
        <v>271</v>
      </c>
      <c r="BJ189" s="5" t="s">
        <v>271</v>
      </c>
      <c r="BK189" s="5" t="s">
        <v>244</v>
      </c>
      <c r="BL189" s="5" t="s">
        <v>244</v>
      </c>
      <c r="BM189" s="5" t="s">
        <v>244</v>
      </c>
      <c r="BN189" s="5" t="s">
        <v>245</v>
      </c>
      <c r="BO189" s="5" t="s">
        <v>243</v>
      </c>
      <c r="BP189" s="5" t="s">
        <v>243</v>
      </c>
      <c r="BQ189" s="5" t="s">
        <v>244</v>
      </c>
      <c r="BR189" s="5" t="s">
        <v>243</v>
      </c>
      <c r="BS189" s="5" t="s">
        <v>247</v>
      </c>
      <c r="BT189" s="5" t="s">
        <v>247</v>
      </c>
      <c r="BU189" s="5" t="s">
        <v>248</v>
      </c>
      <c r="BV189" s="5" t="s">
        <v>248</v>
      </c>
      <c r="BW189" s="5" t="s">
        <v>232</v>
      </c>
      <c r="BX189" s="5" t="s">
        <v>248</v>
      </c>
      <c r="BY189" s="5" t="s">
        <v>248</v>
      </c>
      <c r="BZ189" s="5" t="s">
        <v>244</v>
      </c>
      <c r="CA189" s="5" t="s">
        <v>244</v>
      </c>
      <c r="CB189" s="5" t="s">
        <v>244</v>
      </c>
      <c r="CC189" s="5" t="s">
        <v>244</v>
      </c>
      <c r="CD189" s="5" t="s">
        <v>204</v>
      </c>
      <c r="CE189" s="5" t="s">
        <v>218</v>
      </c>
      <c r="CF189" s="5" t="s">
        <v>279</v>
      </c>
      <c r="CG189" s="5" t="s">
        <v>206</v>
      </c>
      <c r="CH189" s="5" t="s">
        <v>206</v>
      </c>
      <c r="CI189" s="5" t="s">
        <v>206</v>
      </c>
      <c r="CJ189" s="5">
        <v>0</v>
      </c>
      <c r="CK189" s="5" t="s">
        <v>223</v>
      </c>
      <c r="CU189" s="5" t="s">
        <v>206</v>
      </c>
      <c r="DA189" s="5" t="s">
        <v>231</v>
      </c>
      <c r="DB189" s="5">
        <f t="shared" si="461"/>
        <v>2</v>
      </c>
      <c r="DC189" s="5" t="s">
        <v>230</v>
      </c>
      <c r="DD189" s="5">
        <f t="shared" si="462"/>
        <v>2</v>
      </c>
      <c r="DE189" s="5" t="s">
        <v>230</v>
      </c>
      <c r="DF189" s="5">
        <f t="shared" si="463"/>
        <v>2</v>
      </c>
      <c r="DG189" s="5" t="s">
        <v>230</v>
      </c>
      <c r="DH189" s="5">
        <f t="shared" si="464"/>
        <v>2</v>
      </c>
      <c r="DI189" s="5" t="s">
        <v>251</v>
      </c>
      <c r="DJ189" s="5">
        <f t="shared" si="465"/>
        <v>1</v>
      </c>
      <c r="DK189" s="5" t="s">
        <v>251</v>
      </c>
      <c r="DL189" s="5">
        <f t="shared" si="466"/>
        <v>1</v>
      </c>
      <c r="DM189" s="5" t="s">
        <v>251</v>
      </c>
      <c r="DN189" s="5">
        <f t="shared" si="467"/>
        <v>1</v>
      </c>
      <c r="DO189" s="5" t="s">
        <v>281</v>
      </c>
      <c r="DP189" s="5">
        <f t="shared" si="468"/>
        <v>1</v>
      </c>
      <c r="DQ189" s="5" t="s">
        <v>231</v>
      </c>
      <c r="DR189" s="5">
        <f t="shared" si="469"/>
        <v>2</v>
      </c>
      <c r="DS189" s="5" t="s">
        <v>231</v>
      </c>
      <c r="DT189" s="5">
        <f t="shared" si="470"/>
        <v>2</v>
      </c>
      <c r="DU189" s="5" t="s">
        <v>231</v>
      </c>
      <c r="DV189" s="5">
        <f t="shared" si="471"/>
        <v>2</v>
      </c>
      <c r="DW189" s="5" t="s">
        <v>231</v>
      </c>
      <c r="DX189" s="5">
        <f t="shared" si="472"/>
        <v>2</v>
      </c>
      <c r="DY189" s="5">
        <f t="shared" si="473"/>
        <v>20</v>
      </c>
      <c r="DZ189" s="5" t="str">
        <f t="shared" si="474"/>
        <v>Nivel de riesgo medio</v>
      </c>
      <c r="EA189" s="5" t="s">
        <v>232</v>
      </c>
      <c r="EB189" s="5">
        <f t="shared" si="475"/>
        <v>3</v>
      </c>
      <c r="EC189" s="5" t="s">
        <v>248</v>
      </c>
      <c r="ED189" s="5">
        <f t="shared" si="476"/>
        <v>1</v>
      </c>
      <c r="EE189" s="5" t="s">
        <v>253</v>
      </c>
      <c r="EF189" s="5">
        <f t="shared" si="477"/>
        <v>0</v>
      </c>
      <c r="EG189" s="5">
        <f t="shared" si="478"/>
        <v>4</v>
      </c>
      <c r="EH189" s="5" t="str">
        <f t="shared" si="479"/>
        <v>Nivel de riesgo medio</v>
      </c>
      <c r="EI189" s="5" t="s">
        <v>247</v>
      </c>
      <c r="EJ189" s="5">
        <f t="shared" si="480"/>
        <v>2</v>
      </c>
      <c r="EK189" s="5" t="s">
        <v>232</v>
      </c>
      <c r="EL189" s="5">
        <f t="shared" si="481"/>
        <v>3</v>
      </c>
      <c r="EM189" s="5" t="s">
        <v>248</v>
      </c>
      <c r="EN189" s="5">
        <f t="shared" si="482"/>
        <v>1</v>
      </c>
      <c r="EO189" s="5">
        <f t="shared" si="483"/>
        <v>6</v>
      </c>
      <c r="EP189" s="5" t="str">
        <f t="shared" si="484"/>
        <v>Nivel de riesgo alto</v>
      </c>
      <c r="EQ189" s="5" t="s">
        <v>248</v>
      </c>
      <c r="ER189" s="5">
        <f t="shared" si="485"/>
        <v>3</v>
      </c>
      <c r="ES189" s="5" t="s">
        <v>248</v>
      </c>
      <c r="ET189" s="5">
        <f t="shared" si="486"/>
        <v>3</v>
      </c>
      <c r="EU189" s="5" t="s">
        <v>232</v>
      </c>
      <c r="EV189" s="5">
        <f t="shared" si="487"/>
        <v>1</v>
      </c>
      <c r="EW189" s="5" t="s">
        <v>232</v>
      </c>
      <c r="EX189" s="5">
        <f t="shared" si="488"/>
        <v>1</v>
      </c>
      <c r="EY189" s="5">
        <f t="shared" si="489"/>
        <v>8</v>
      </c>
      <c r="EZ189" s="5" t="str">
        <f t="shared" si="490"/>
        <v>Nivel de riesgo alto</v>
      </c>
      <c r="FA189" s="5" t="s">
        <v>232</v>
      </c>
      <c r="FB189" s="5">
        <f t="shared" si="491"/>
        <v>3</v>
      </c>
      <c r="FC189" s="5" t="s">
        <v>248</v>
      </c>
      <c r="FD189" s="5">
        <f t="shared" si="492"/>
        <v>1</v>
      </c>
      <c r="FE189" s="5" t="s">
        <v>248</v>
      </c>
      <c r="FF189" s="5">
        <f t="shared" si="493"/>
        <v>1</v>
      </c>
      <c r="FG189" s="5">
        <f t="shared" si="494"/>
        <v>5</v>
      </c>
      <c r="FH189" s="5" t="str">
        <f t="shared" si="495"/>
        <v>Nivel de riesgo medio</v>
      </c>
      <c r="FI189" s="5" t="s">
        <v>248</v>
      </c>
      <c r="FJ189" s="5">
        <f t="shared" si="496"/>
        <v>1</v>
      </c>
      <c r="FK189" s="5" t="s">
        <v>253</v>
      </c>
      <c r="FL189" s="5">
        <f t="shared" si="497"/>
        <v>0</v>
      </c>
      <c r="FM189" s="5" t="s">
        <v>253</v>
      </c>
      <c r="FN189" s="5">
        <f t="shared" si="498"/>
        <v>0</v>
      </c>
      <c r="FO189" s="5">
        <f t="shared" si="499"/>
        <v>1</v>
      </c>
      <c r="FP189" s="5" t="str">
        <f t="shared" si="500"/>
        <v>Nivel de riesgo bajo</v>
      </c>
      <c r="FQ189" s="5" t="s">
        <v>206</v>
      </c>
      <c r="FR189" s="5">
        <f t="shared" si="501"/>
        <v>0</v>
      </c>
      <c r="FS189" s="5" t="s">
        <v>206</v>
      </c>
      <c r="FT189" s="5">
        <f t="shared" si="502"/>
        <v>0</v>
      </c>
      <c r="FU189" s="5" t="s">
        <v>206</v>
      </c>
      <c r="FV189" s="5">
        <f t="shared" si="503"/>
        <v>0</v>
      </c>
      <c r="FW189" s="5" t="s">
        <v>206</v>
      </c>
      <c r="FX189" s="5">
        <f t="shared" si="504"/>
        <v>0</v>
      </c>
      <c r="FY189" s="5" t="s">
        <v>206</v>
      </c>
      <c r="FZ189" s="5">
        <f t="shared" si="505"/>
        <v>0</v>
      </c>
      <c r="GA189" s="5" t="s">
        <v>206</v>
      </c>
      <c r="GB189" s="5">
        <f t="shared" si="506"/>
        <v>0</v>
      </c>
      <c r="GC189" s="5" t="s">
        <v>206</v>
      </c>
      <c r="GD189" s="5">
        <f t="shared" si="507"/>
        <v>0</v>
      </c>
      <c r="GE189" s="5">
        <f t="shared" si="508"/>
        <v>0</v>
      </c>
      <c r="GF189" s="5" t="str">
        <f t="shared" si="509"/>
        <v>Nivel de riesgo bajo</v>
      </c>
      <c r="GG189" s="5" t="s">
        <v>273</v>
      </c>
      <c r="GH189" s="5" t="s">
        <v>266</v>
      </c>
      <c r="GI189" s="5" t="s">
        <v>273</v>
      </c>
      <c r="GJ189" s="5" t="s">
        <v>273</v>
      </c>
      <c r="GK189" s="5" t="s">
        <v>266</v>
      </c>
      <c r="GL189" s="5" t="s">
        <v>273</v>
      </c>
      <c r="GM189" s="5" t="s">
        <v>273</v>
      </c>
      <c r="GN189" s="5" t="s">
        <v>234</v>
      </c>
      <c r="GO189" s="5" t="s">
        <v>234</v>
      </c>
      <c r="GP189" s="5" t="s">
        <v>234</v>
      </c>
      <c r="GQ189" s="5" t="s">
        <v>234</v>
      </c>
      <c r="GR189" s="5" t="s">
        <v>234</v>
      </c>
      <c r="GS189" s="5" t="s">
        <v>234</v>
      </c>
      <c r="GT189" s="5" t="s">
        <v>234</v>
      </c>
      <c r="GU189" s="5" t="s">
        <v>540</v>
      </c>
      <c r="GV189" s="5" t="str">
        <f>TEXT("6278970648817157783","0")</f>
        <v>6278970648817150000</v>
      </c>
    </row>
    <row r="190" spans="1:204" ht="15.75" customHeight="1" x14ac:dyDescent="0.15">
      <c r="A190" s="1">
        <f t="shared" si="459"/>
        <v>190</v>
      </c>
      <c r="B190" s="4">
        <v>45847.631481481483</v>
      </c>
      <c r="C190" s="5" t="s">
        <v>204</v>
      </c>
      <c r="D190" s="5" t="s">
        <v>204</v>
      </c>
      <c r="E190" s="5" t="s">
        <v>335</v>
      </c>
      <c r="F190" s="5" t="s">
        <v>204</v>
      </c>
      <c r="G190" s="5" t="s">
        <v>204</v>
      </c>
      <c r="H190" s="5" t="s">
        <v>204</v>
      </c>
      <c r="L190" s="5" t="s">
        <v>236</v>
      </c>
      <c r="Q190" s="5" t="s">
        <v>236</v>
      </c>
      <c r="V190" s="5" t="s">
        <v>236</v>
      </c>
      <c r="AA190" s="5" t="s">
        <v>236</v>
      </c>
      <c r="AF190" s="5" t="s">
        <v>236</v>
      </c>
      <c r="AH190" s="5" t="s">
        <v>268</v>
      </c>
      <c r="AI190" s="5">
        <v>1970</v>
      </c>
      <c r="AJ190" s="5" t="s">
        <v>238</v>
      </c>
      <c r="AK190" s="5" t="str">
        <f t="shared" si="460"/>
        <v>Trabajadora por cuenta propia</v>
      </c>
      <c r="AM190" s="5" t="s">
        <v>309</v>
      </c>
      <c r="AP190" s="5" t="s">
        <v>297</v>
      </c>
      <c r="AR190" s="5" t="s">
        <v>301</v>
      </c>
      <c r="AS190" s="5" t="s">
        <v>301</v>
      </c>
      <c r="AT190" s="5" t="s">
        <v>301</v>
      </c>
      <c r="AU190" s="5" t="s">
        <v>301</v>
      </c>
      <c r="AV190" s="5" t="s">
        <v>285</v>
      </c>
      <c r="AW190" s="5" t="s">
        <v>204</v>
      </c>
      <c r="AX190" s="5" t="s">
        <v>204</v>
      </c>
      <c r="AY190" s="5" t="s">
        <v>214</v>
      </c>
      <c r="AZ190" s="5" t="s">
        <v>204</v>
      </c>
      <c r="BA190" s="5" t="s">
        <v>295</v>
      </c>
      <c r="BB190" s="5" t="s">
        <v>206</v>
      </c>
      <c r="BC190" s="5" t="s">
        <v>206</v>
      </c>
      <c r="BD190" s="5" t="s">
        <v>206</v>
      </c>
      <c r="BE190" s="5" t="s">
        <v>204</v>
      </c>
      <c r="BF190" s="5" t="s">
        <v>204</v>
      </c>
      <c r="BG190" s="5" t="s">
        <v>207</v>
      </c>
      <c r="BH190" s="5" t="s">
        <v>207</v>
      </c>
      <c r="BI190" s="5" t="s">
        <v>207</v>
      </c>
      <c r="BJ190" s="5" t="s">
        <v>207</v>
      </c>
      <c r="BK190" s="5" t="s">
        <v>245</v>
      </c>
      <c r="BL190" s="5" t="s">
        <v>245</v>
      </c>
      <c r="BM190" s="5" t="s">
        <v>245</v>
      </c>
      <c r="BN190" s="5" t="s">
        <v>245</v>
      </c>
      <c r="BO190" s="5" t="s">
        <v>245</v>
      </c>
      <c r="BP190" s="5" t="s">
        <v>245</v>
      </c>
      <c r="BQ190" s="5" t="s">
        <v>245</v>
      </c>
      <c r="BR190" s="5" t="s">
        <v>245</v>
      </c>
      <c r="BS190" s="5" t="s">
        <v>248</v>
      </c>
      <c r="BT190" s="5" t="s">
        <v>248</v>
      </c>
      <c r="BU190" s="5" t="s">
        <v>248</v>
      </c>
      <c r="BV190" s="5" t="s">
        <v>248</v>
      </c>
      <c r="BW190" s="5" t="s">
        <v>248</v>
      </c>
      <c r="BX190" s="5" t="s">
        <v>248</v>
      </c>
      <c r="BY190" s="5" t="s">
        <v>248</v>
      </c>
      <c r="BZ190" s="5" t="s">
        <v>246</v>
      </c>
      <c r="CA190" s="5" t="s">
        <v>246</v>
      </c>
      <c r="CB190" s="5" t="s">
        <v>246</v>
      </c>
      <c r="CC190" s="5" t="s">
        <v>246</v>
      </c>
      <c r="CD190" s="5" t="s">
        <v>204</v>
      </c>
      <c r="CE190" s="5" t="s">
        <v>218</v>
      </c>
      <c r="CF190" s="5" t="s">
        <v>219</v>
      </c>
      <c r="CG190" s="5" t="s">
        <v>206</v>
      </c>
      <c r="CH190" s="5" t="s">
        <v>206</v>
      </c>
      <c r="CI190" s="5" t="s">
        <v>291</v>
      </c>
      <c r="CJ190" s="5">
        <v>2</v>
      </c>
      <c r="CK190" s="5" t="s">
        <v>223</v>
      </c>
      <c r="CU190" s="5" t="s">
        <v>206</v>
      </c>
      <c r="DA190" s="5" t="s">
        <v>272</v>
      </c>
      <c r="DB190" s="5">
        <f t="shared" si="461"/>
        <v>1</v>
      </c>
      <c r="DC190" s="5" t="s">
        <v>251</v>
      </c>
      <c r="DD190" s="5">
        <f t="shared" si="462"/>
        <v>1</v>
      </c>
      <c r="DE190" s="5" t="s">
        <v>251</v>
      </c>
      <c r="DF190" s="5">
        <f t="shared" si="463"/>
        <v>1</v>
      </c>
      <c r="DG190" s="5" t="s">
        <v>251</v>
      </c>
      <c r="DH190" s="5">
        <f t="shared" si="464"/>
        <v>1</v>
      </c>
      <c r="DI190" s="5" t="s">
        <v>251</v>
      </c>
      <c r="DJ190" s="5">
        <f t="shared" si="465"/>
        <v>1</v>
      </c>
      <c r="DK190" s="5" t="s">
        <v>251</v>
      </c>
      <c r="DL190" s="5">
        <f t="shared" si="466"/>
        <v>1</v>
      </c>
      <c r="DM190" s="5" t="s">
        <v>251</v>
      </c>
      <c r="DN190" s="5">
        <f t="shared" si="467"/>
        <v>1</v>
      </c>
      <c r="DO190" s="5" t="s">
        <v>281</v>
      </c>
      <c r="DP190" s="5">
        <f t="shared" si="468"/>
        <v>1</v>
      </c>
      <c r="DQ190" s="5" t="s">
        <v>281</v>
      </c>
      <c r="DR190" s="5">
        <f t="shared" si="469"/>
        <v>1</v>
      </c>
      <c r="DS190" s="5" t="s">
        <v>281</v>
      </c>
      <c r="DT190" s="5">
        <f t="shared" si="470"/>
        <v>1</v>
      </c>
      <c r="DU190" s="5" t="s">
        <v>281</v>
      </c>
      <c r="DV190" s="5">
        <f t="shared" si="471"/>
        <v>1</v>
      </c>
      <c r="DW190" s="5" t="s">
        <v>281</v>
      </c>
      <c r="DX190" s="5">
        <f t="shared" si="472"/>
        <v>1</v>
      </c>
      <c r="DY190" s="5">
        <f t="shared" si="473"/>
        <v>12</v>
      </c>
      <c r="DZ190" s="5" t="str">
        <f t="shared" si="474"/>
        <v>Nivel de riesgo bajo</v>
      </c>
      <c r="EA190" s="5" t="s">
        <v>248</v>
      </c>
      <c r="EB190" s="5">
        <f t="shared" si="475"/>
        <v>1</v>
      </c>
      <c r="EC190" s="5" t="s">
        <v>248</v>
      </c>
      <c r="ED190" s="5">
        <f t="shared" si="476"/>
        <v>1</v>
      </c>
      <c r="EE190" s="5" t="s">
        <v>248</v>
      </c>
      <c r="EF190" s="5">
        <f t="shared" si="477"/>
        <v>1</v>
      </c>
      <c r="EG190" s="5">
        <f t="shared" si="478"/>
        <v>3</v>
      </c>
      <c r="EH190" s="5" t="str">
        <f t="shared" si="479"/>
        <v>Nivel de riesgo medio</v>
      </c>
      <c r="EI190" s="5" t="s">
        <v>248</v>
      </c>
      <c r="EJ190" s="5">
        <f t="shared" si="480"/>
        <v>1</v>
      </c>
      <c r="EK190" s="5" t="s">
        <v>248</v>
      </c>
      <c r="EL190" s="5">
        <f t="shared" si="481"/>
        <v>1</v>
      </c>
      <c r="EM190" s="5" t="s">
        <v>248</v>
      </c>
      <c r="EN190" s="5">
        <f t="shared" si="482"/>
        <v>1</v>
      </c>
      <c r="EO190" s="5">
        <f t="shared" si="483"/>
        <v>3</v>
      </c>
      <c r="EP190" s="5" t="str">
        <f t="shared" si="484"/>
        <v>Nivel de riesgo medio</v>
      </c>
      <c r="EQ190" s="5" t="s">
        <v>248</v>
      </c>
      <c r="ER190" s="5">
        <f t="shared" si="485"/>
        <v>3</v>
      </c>
      <c r="ES190" s="5" t="s">
        <v>248</v>
      </c>
      <c r="ET190" s="5">
        <f t="shared" si="486"/>
        <v>3</v>
      </c>
      <c r="EU190" s="5" t="s">
        <v>248</v>
      </c>
      <c r="EV190" s="5">
        <f t="shared" si="487"/>
        <v>3</v>
      </c>
      <c r="EW190" s="5" t="s">
        <v>248</v>
      </c>
      <c r="EX190" s="5">
        <f t="shared" si="488"/>
        <v>3</v>
      </c>
      <c r="EY190" s="5">
        <f t="shared" si="489"/>
        <v>12</v>
      </c>
      <c r="EZ190" s="5" t="str">
        <f t="shared" si="490"/>
        <v>Nivel de riesgo alto</v>
      </c>
      <c r="FA190" s="5" t="s">
        <v>248</v>
      </c>
      <c r="FB190" s="5">
        <f t="shared" si="491"/>
        <v>1</v>
      </c>
      <c r="FC190" s="5" t="s">
        <v>248</v>
      </c>
      <c r="FD190" s="5">
        <f t="shared" si="492"/>
        <v>1</v>
      </c>
      <c r="FE190" s="5" t="s">
        <v>248</v>
      </c>
      <c r="FF190" s="5">
        <f t="shared" si="493"/>
        <v>1</v>
      </c>
      <c r="FG190" s="5">
        <f t="shared" si="494"/>
        <v>3</v>
      </c>
      <c r="FH190" s="5" t="str">
        <f t="shared" si="495"/>
        <v>Nivel de riesgo medio</v>
      </c>
      <c r="FI190" s="5" t="s">
        <v>248</v>
      </c>
      <c r="FJ190" s="5">
        <f t="shared" si="496"/>
        <v>1</v>
      </c>
      <c r="FK190" s="5" t="s">
        <v>248</v>
      </c>
      <c r="FL190" s="5">
        <f t="shared" si="497"/>
        <v>1</v>
      </c>
      <c r="FM190" s="5" t="s">
        <v>248</v>
      </c>
      <c r="FN190" s="5">
        <f t="shared" si="498"/>
        <v>1</v>
      </c>
      <c r="FO190" s="5">
        <f t="shared" si="499"/>
        <v>3</v>
      </c>
      <c r="FP190" s="5" t="str">
        <f t="shared" si="500"/>
        <v>Nivel de riesgo medio</v>
      </c>
      <c r="FQ190" s="5" t="s">
        <v>206</v>
      </c>
      <c r="FR190" s="5">
        <f t="shared" si="501"/>
        <v>0</v>
      </c>
      <c r="FS190" s="5" t="s">
        <v>206</v>
      </c>
      <c r="FT190" s="5">
        <f t="shared" si="502"/>
        <v>0</v>
      </c>
      <c r="FU190" s="5" t="s">
        <v>206</v>
      </c>
      <c r="FV190" s="5">
        <f t="shared" si="503"/>
        <v>0</v>
      </c>
      <c r="FW190" s="5" t="s">
        <v>206</v>
      </c>
      <c r="FX190" s="5">
        <f t="shared" si="504"/>
        <v>0</v>
      </c>
      <c r="FY190" s="5" t="s">
        <v>206</v>
      </c>
      <c r="FZ190" s="5">
        <f t="shared" si="505"/>
        <v>0</v>
      </c>
      <c r="GA190" s="5" t="s">
        <v>206</v>
      </c>
      <c r="GB190" s="5">
        <f t="shared" si="506"/>
        <v>0</v>
      </c>
      <c r="GC190" s="5" t="s">
        <v>206</v>
      </c>
      <c r="GD190" s="5">
        <f t="shared" si="507"/>
        <v>0</v>
      </c>
      <c r="GE190" s="5">
        <f t="shared" si="508"/>
        <v>0</v>
      </c>
      <c r="GF190" s="5" t="str">
        <f t="shared" si="509"/>
        <v>Nivel de riesgo bajo</v>
      </c>
      <c r="GG190" s="5" t="s">
        <v>255</v>
      </c>
      <c r="GH190" s="5" t="s">
        <v>255</v>
      </c>
      <c r="GI190" s="5" t="s">
        <v>255</v>
      </c>
      <c r="GJ190" s="5" t="s">
        <v>255</v>
      </c>
      <c r="GK190" s="5" t="s">
        <v>255</v>
      </c>
      <c r="GL190" s="5" t="s">
        <v>255</v>
      </c>
      <c r="GM190" s="5" t="s">
        <v>255</v>
      </c>
      <c r="GN190" s="5" t="s">
        <v>234</v>
      </c>
      <c r="GO190" s="5" t="s">
        <v>234</v>
      </c>
      <c r="GP190" s="5" t="s">
        <v>234</v>
      </c>
      <c r="GQ190" s="5" t="s">
        <v>234</v>
      </c>
      <c r="GR190" s="5" t="s">
        <v>234</v>
      </c>
      <c r="GS190" s="5" t="s">
        <v>234</v>
      </c>
      <c r="GT190" s="5" t="s">
        <v>234</v>
      </c>
      <c r="GU190" s="5" t="s">
        <v>541</v>
      </c>
      <c r="GV190" s="5" t="str">
        <f>TEXT("6278973608326836624","0")</f>
        <v>6278973608326830000</v>
      </c>
    </row>
    <row r="191" spans="1:204" ht="15.75" customHeight="1" x14ac:dyDescent="0.15">
      <c r="A191" s="1">
        <f t="shared" si="459"/>
        <v>191</v>
      </c>
      <c r="B191" s="4">
        <v>45847.632777777777</v>
      </c>
      <c r="C191" s="5" t="s">
        <v>204</v>
      </c>
      <c r="D191" s="5" t="s">
        <v>206</v>
      </c>
      <c r="F191" s="5" t="s">
        <v>204</v>
      </c>
      <c r="G191" s="5" t="s">
        <v>206</v>
      </c>
      <c r="H191" s="5" t="s">
        <v>204</v>
      </c>
      <c r="L191" s="5" t="s">
        <v>236</v>
      </c>
      <c r="P191" s="5" t="s">
        <v>237</v>
      </c>
      <c r="T191" s="5" t="s">
        <v>209</v>
      </c>
      <c r="Z191" s="5" t="s">
        <v>237</v>
      </c>
      <c r="AC191" s="5" t="s">
        <v>208</v>
      </c>
      <c r="AH191" s="5" t="s">
        <v>259</v>
      </c>
      <c r="AI191" s="5">
        <v>2017</v>
      </c>
      <c r="AJ191" s="5" t="s">
        <v>238</v>
      </c>
      <c r="AK191" s="5" t="str">
        <f t="shared" si="460"/>
        <v>Trabajadora por cuenta propia</v>
      </c>
      <c r="AM191" s="5" t="s">
        <v>309</v>
      </c>
      <c r="AP191" s="5" t="s">
        <v>240</v>
      </c>
      <c r="AR191" s="5" t="s">
        <v>241</v>
      </c>
      <c r="AS191" s="5" t="s">
        <v>241</v>
      </c>
      <c r="AT191" s="5" t="s">
        <v>241</v>
      </c>
      <c r="AU191" s="5" t="s">
        <v>241</v>
      </c>
      <c r="AV191" s="5" t="s">
        <v>213</v>
      </c>
      <c r="AW191" s="5" t="s">
        <v>206</v>
      </c>
      <c r="BF191" s="5" t="s">
        <v>204</v>
      </c>
      <c r="BG191" s="5" t="s">
        <v>278</v>
      </c>
      <c r="BH191" s="5" t="s">
        <v>271</v>
      </c>
      <c r="BI191" s="5" t="s">
        <v>215</v>
      </c>
      <c r="BJ191" s="5" t="s">
        <v>264</v>
      </c>
      <c r="BK191" s="5" t="s">
        <v>243</v>
      </c>
      <c r="BL191" s="5" t="s">
        <v>245</v>
      </c>
      <c r="BM191" s="5" t="s">
        <v>243</v>
      </c>
      <c r="BN191" s="5" t="s">
        <v>243</v>
      </c>
      <c r="BO191" s="5" t="s">
        <v>246</v>
      </c>
      <c r="BP191" s="5" t="s">
        <v>243</v>
      </c>
      <c r="BQ191" s="5" t="s">
        <v>243</v>
      </c>
      <c r="BR191" s="5" t="s">
        <v>246</v>
      </c>
      <c r="BS191" s="5" t="s">
        <v>254</v>
      </c>
      <c r="BT191" s="5" t="s">
        <v>232</v>
      </c>
      <c r="BU191" s="5" t="s">
        <v>232</v>
      </c>
      <c r="BV191" s="5" t="s">
        <v>248</v>
      </c>
      <c r="BW191" s="5" t="s">
        <v>247</v>
      </c>
      <c r="BX191" s="5" t="s">
        <v>247</v>
      </c>
      <c r="BY191" s="5" t="s">
        <v>247</v>
      </c>
      <c r="CD191" s="5" t="s">
        <v>206</v>
      </c>
      <c r="CH191" s="5" t="s">
        <v>530</v>
      </c>
      <c r="CI191" s="5" t="s">
        <v>332</v>
      </c>
      <c r="CJ191" s="5">
        <v>2</v>
      </c>
      <c r="CK191" s="5" t="s">
        <v>223</v>
      </c>
      <c r="CU191" s="5" t="s">
        <v>206</v>
      </c>
      <c r="DA191" s="5" t="s">
        <v>252</v>
      </c>
      <c r="DB191" s="5">
        <f t="shared" si="461"/>
        <v>3</v>
      </c>
      <c r="DC191" s="5" t="s">
        <v>230</v>
      </c>
      <c r="DD191" s="5">
        <f t="shared" si="462"/>
        <v>2</v>
      </c>
      <c r="DE191" s="5" t="s">
        <v>230</v>
      </c>
      <c r="DF191" s="5">
        <f t="shared" si="463"/>
        <v>2</v>
      </c>
      <c r="DG191" s="5" t="s">
        <v>250</v>
      </c>
      <c r="DH191" s="5">
        <f t="shared" si="464"/>
        <v>3</v>
      </c>
      <c r="DI191" s="5" t="s">
        <v>230</v>
      </c>
      <c r="DJ191" s="5">
        <f t="shared" si="465"/>
        <v>2</v>
      </c>
      <c r="DK191" s="5" t="s">
        <v>250</v>
      </c>
      <c r="DL191" s="5">
        <f t="shared" si="466"/>
        <v>3</v>
      </c>
      <c r="DM191" s="5" t="s">
        <v>251</v>
      </c>
      <c r="DN191" s="5">
        <f t="shared" si="467"/>
        <v>1</v>
      </c>
      <c r="DO191" s="5" t="s">
        <v>231</v>
      </c>
      <c r="DP191" s="5">
        <f t="shared" si="468"/>
        <v>2</v>
      </c>
      <c r="DQ191" s="5" t="s">
        <v>281</v>
      </c>
      <c r="DR191" s="5">
        <f t="shared" si="469"/>
        <v>1</v>
      </c>
      <c r="DS191" s="5" t="s">
        <v>231</v>
      </c>
      <c r="DT191" s="5">
        <f t="shared" si="470"/>
        <v>2</v>
      </c>
      <c r="DU191" s="5" t="s">
        <v>281</v>
      </c>
      <c r="DV191" s="5">
        <f t="shared" si="471"/>
        <v>1</v>
      </c>
      <c r="DW191" s="5" t="s">
        <v>281</v>
      </c>
      <c r="DX191" s="5">
        <f t="shared" si="472"/>
        <v>1</v>
      </c>
      <c r="DY191" s="5">
        <f t="shared" si="473"/>
        <v>23</v>
      </c>
      <c r="DZ191" s="5" t="str">
        <f t="shared" si="474"/>
        <v>Nivel de riesgo medio</v>
      </c>
      <c r="EA191" s="5" t="s">
        <v>248</v>
      </c>
      <c r="EB191" s="5">
        <f t="shared" si="475"/>
        <v>1</v>
      </c>
      <c r="EC191" s="5" t="s">
        <v>232</v>
      </c>
      <c r="ED191" s="5">
        <f t="shared" si="476"/>
        <v>3</v>
      </c>
      <c r="EE191" s="5" t="s">
        <v>247</v>
      </c>
      <c r="EF191" s="5">
        <f t="shared" si="477"/>
        <v>2</v>
      </c>
      <c r="EG191" s="5">
        <f t="shared" si="478"/>
        <v>6</v>
      </c>
      <c r="EH191" s="5" t="str">
        <f t="shared" si="479"/>
        <v>Nivel de riesgo alto</v>
      </c>
      <c r="EI191" s="5" t="s">
        <v>248</v>
      </c>
      <c r="EJ191" s="5">
        <f t="shared" si="480"/>
        <v>1</v>
      </c>
      <c r="EK191" s="5" t="s">
        <v>247</v>
      </c>
      <c r="EL191" s="5">
        <f t="shared" si="481"/>
        <v>2</v>
      </c>
      <c r="EM191" s="5" t="s">
        <v>232</v>
      </c>
      <c r="EN191" s="5">
        <f t="shared" si="482"/>
        <v>3</v>
      </c>
      <c r="EO191" s="5">
        <f t="shared" si="483"/>
        <v>6</v>
      </c>
      <c r="EP191" s="5" t="str">
        <f t="shared" si="484"/>
        <v>Nivel de riesgo alto</v>
      </c>
      <c r="EQ191" s="5" t="s">
        <v>254</v>
      </c>
      <c r="ER191" s="5">
        <f t="shared" si="485"/>
        <v>0</v>
      </c>
      <c r="ES191" s="5" t="s">
        <v>254</v>
      </c>
      <c r="ET191" s="5">
        <f t="shared" si="486"/>
        <v>0</v>
      </c>
      <c r="EU191" s="5" t="s">
        <v>254</v>
      </c>
      <c r="EV191" s="5">
        <f t="shared" si="487"/>
        <v>0</v>
      </c>
      <c r="EW191" s="5" t="s">
        <v>254</v>
      </c>
      <c r="EX191" s="5">
        <f t="shared" si="488"/>
        <v>0</v>
      </c>
      <c r="EY191" s="5">
        <f t="shared" si="489"/>
        <v>0</v>
      </c>
      <c r="EZ191" s="5" t="str">
        <f t="shared" si="490"/>
        <v>Nivel de riesgo bajo</v>
      </c>
      <c r="FA191" s="5" t="s">
        <v>254</v>
      </c>
      <c r="FB191" s="5">
        <f t="shared" si="491"/>
        <v>4</v>
      </c>
      <c r="FC191" s="5" t="s">
        <v>253</v>
      </c>
      <c r="FD191" s="5">
        <f t="shared" si="492"/>
        <v>0</v>
      </c>
      <c r="FE191" s="5" t="s">
        <v>253</v>
      </c>
      <c r="FF191" s="5">
        <f t="shared" si="493"/>
        <v>0</v>
      </c>
      <c r="FG191" s="5">
        <f t="shared" si="494"/>
        <v>4</v>
      </c>
      <c r="FH191" s="5" t="str">
        <f t="shared" si="495"/>
        <v>Nivel de riesgo medio</v>
      </c>
      <c r="FI191" s="5" t="s">
        <v>247</v>
      </c>
      <c r="FJ191" s="5">
        <f t="shared" si="496"/>
        <v>2</v>
      </c>
      <c r="FK191" s="5" t="s">
        <v>248</v>
      </c>
      <c r="FL191" s="5">
        <f t="shared" si="497"/>
        <v>1</v>
      </c>
      <c r="FM191" s="5" t="s">
        <v>248</v>
      </c>
      <c r="FN191" s="5">
        <f t="shared" si="498"/>
        <v>1</v>
      </c>
      <c r="FO191" s="5">
        <f t="shared" si="499"/>
        <v>4</v>
      </c>
      <c r="FP191" s="5" t="str">
        <f t="shared" si="500"/>
        <v>Nivel de riesgo medio</v>
      </c>
      <c r="FQ191" s="5" t="s">
        <v>206</v>
      </c>
      <c r="FR191" s="5">
        <f t="shared" si="501"/>
        <v>0</v>
      </c>
      <c r="FS191" s="5" t="s">
        <v>206</v>
      </c>
      <c r="FT191" s="5">
        <f t="shared" si="502"/>
        <v>0</v>
      </c>
      <c r="FU191" s="5" t="s">
        <v>206</v>
      </c>
      <c r="FV191" s="5">
        <f t="shared" si="503"/>
        <v>0</v>
      </c>
      <c r="FW191" s="5" t="s">
        <v>206</v>
      </c>
      <c r="FX191" s="5">
        <f t="shared" si="504"/>
        <v>0</v>
      </c>
      <c r="FY191" s="5" t="s">
        <v>206</v>
      </c>
      <c r="FZ191" s="5">
        <f t="shared" si="505"/>
        <v>0</v>
      </c>
      <c r="GA191" s="5" t="s">
        <v>206</v>
      </c>
      <c r="GB191" s="5">
        <f t="shared" si="506"/>
        <v>0</v>
      </c>
      <c r="GC191" s="5" t="s">
        <v>206</v>
      </c>
      <c r="GD191" s="5">
        <f t="shared" si="507"/>
        <v>0</v>
      </c>
      <c r="GE191" s="5">
        <f t="shared" si="508"/>
        <v>0</v>
      </c>
      <c r="GF191" s="5" t="str">
        <f t="shared" si="509"/>
        <v>Nivel de riesgo bajo</v>
      </c>
      <c r="GG191" s="5" t="s">
        <v>255</v>
      </c>
      <c r="GH191" s="5" t="s">
        <v>255</v>
      </c>
      <c r="GI191" s="5" t="s">
        <v>255</v>
      </c>
      <c r="GJ191" s="5" t="s">
        <v>255</v>
      </c>
      <c r="GK191" s="5" t="s">
        <v>233</v>
      </c>
      <c r="GL191" s="5" t="s">
        <v>266</v>
      </c>
      <c r="GM191" s="5" t="s">
        <v>255</v>
      </c>
      <c r="GN191" s="5" t="s">
        <v>256</v>
      </c>
      <c r="GO191" s="5" t="s">
        <v>243</v>
      </c>
      <c r="GP191" s="5" t="s">
        <v>244</v>
      </c>
      <c r="GQ191" s="5" t="s">
        <v>257</v>
      </c>
      <c r="GR191" s="5" t="s">
        <v>243</v>
      </c>
      <c r="GS191" s="5" t="s">
        <v>257</v>
      </c>
      <c r="GT191" s="5" t="s">
        <v>243</v>
      </c>
      <c r="GU191" s="5" t="s">
        <v>542</v>
      </c>
      <c r="GV191" s="5" t="str">
        <f>TEXT("6278974727905916546","0")</f>
        <v>6278974727905910000</v>
      </c>
    </row>
    <row r="192" spans="1:204" ht="15.75" customHeight="1" x14ac:dyDescent="0.15">
      <c r="A192" s="1">
        <f t="shared" si="459"/>
        <v>192</v>
      </c>
      <c r="B192" s="4">
        <v>45847.632986111108</v>
      </c>
      <c r="C192" s="5" t="s">
        <v>204</v>
      </c>
      <c r="D192" s="5" t="s">
        <v>206</v>
      </c>
      <c r="F192" s="5" t="s">
        <v>206</v>
      </c>
      <c r="G192" s="5" t="s">
        <v>206</v>
      </c>
      <c r="H192" s="5" t="s">
        <v>204</v>
      </c>
      <c r="J192" s="5" t="s">
        <v>209</v>
      </c>
      <c r="P192" s="5" t="s">
        <v>237</v>
      </c>
      <c r="S192" s="5" t="s">
        <v>208</v>
      </c>
      <c r="Z192" s="5" t="s">
        <v>237</v>
      </c>
      <c r="AE192" s="5" t="s">
        <v>237</v>
      </c>
      <c r="AH192" s="5" t="s">
        <v>275</v>
      </c>
      <c r="AI192" s="5">
        <v>1999</v>
      </c>
      <c r="AJ192" s="5" t="s">
        <v>238</v>
      </c>
      <c r="AK192" s="5" t="str">
        <f t="shared" si="460"/>
        <v>Trabajadora por cuenta propia</v>
      </c>
      <c r="AM192" s="5" t="s">
        <v>309</v>
      </c>
      <c r="AP192" s="5" t="s">
        <v>240</v>
      </c>
      <c r="AR192" s="5" t="s">
        <v>261</v>
      </c>
      <c r="AS192" s="5" t="s">
        <v>261</v>
      </c>
      <c r="AT192" s="5" t="s">
        <v>241</v>
      </c>
      <c r="AU192" s="5" t="s">
        <v>241</v>
      </c>
      <c r="AV192" s="5" t="s">
        <v>285</v>
      </c>
      <c r="AW192" s="5" t="s">
        <v>204</v>
      </c>
      <c r="AX192" s="5" t="s">
        <v>204</v>
      </c>
      <c r="AY192" s="5" t="s">
        <v>214</v>
      </c>
      <c r="AZ192" s="5" t="s">
        <v>204</v>
      </c>
      <c r="BA192" s="5" t="s">
        <v>263</v>
      </c>
      <c r="BF192" s="5" t="s">
        <v>204</v>
      </c>
      <c r="BG192" s="5" t="s">
        <v>278</v>
      </c>
      <c r="BH192" s="5" t="s">
        <v>278</v>
      </c>
      <c r="BI192" s="5" t="s">
        <v>278</v>
      </c>
      <c r="BJ192" s="5" t="s">
        <v>278</v>
      </c>
      <c r="BK192" s="5" t="s">
        <v>245</v>
      </c>
      <c r="BL192" s="5" t="s">
        <v>246</v>
      </c>
      <c r="BM192" s="5" t="s">
        <v>245</v>
      </c>
      <c r="BN192" s="5" t="s">
        <v>245</v>
      </c>
      <c r="BO192" s="5" t="s">
        <v>245</v>
      </c>
      <c r="BP192" s="5" t="s">
        <v>245</v>
      </c>
      <c r="BQ192" s="5" t="s">
        <v>245</v>
      </c>
      <c r="BR192" s="5" t="s">
        <v>243</v>
      </c>
      <c r="BS192" s="5" t="s">
        <v>254</v>
      </c>
      <c r="BT192" s="5" t="s">
        <v>254</v>
      </c>
      <c r="BU192" s="5" t="s">
        <v>232</v>
      </c>
      <c r="BV192" s="5" t="s">
        <v>247</v>
      </c>
      <c r="BW192" s="5" t="s">
        <v>232</v>
      </c>
      <c r="BX192" s="5" t="s">
        <v>232</v>
      </c>
      <c r="BY192" s="5" t="s">
        <v>254</v>
      </c>
      <c r="BZ192" s="5" t="s">
        <v>246</v>
      </c>
      <c r="CA192" s="5" t="s">
        <v>243</v>
      </c>
      <c r="CB192" s="5" t="s">
        <v>246</v>
      </c>
      <c r="CC192" s="5" t="s">
        <v>243</v>
      </c>
      <c r="CD192" s="5" t="s">
        <v>206</v>
      </c>
      <c r="CH192" s="5" t="s">
        <v>206</v>
      </c>
      <c r="CI192" s="5" t="s">
        <v>291</v>
      </c>
      <c r="CJ192" s="5">
        <v>2</v>
      </c>
      <c r="CK192" s="5" t="s">
        <v>223</v>
      </c>
      <c r="CU192" s="5" t="s">
        <v>206</v>
      </c>
      <c r="DA192" s="5" t="s">
        <v>252</v>
      </c>
      <c r="DB192" s="5">
        <f t="shared" si="461"/>
        <v>3</v>
      </c>
      <c r="DC192" s="5" t="s">
        <v>250</v>
      </c>
      <c r="DD192" s="5">
        <f t="shared" si="462"/>
        <v>3</v>
      </c>
      <c r="DE192" s="5" t="s">
        <v>280</v>
      </c>
      <c r="DF192" s="5">
        <f t="shared" si="463"/>
        <v>4</v>
      </c>
      <c r="DG192" s="5" t="s">
        <v>280</v>
      </c>
      <c r="DH192" s="5">
        <f t="shared" si="464"/>
        <v>4</v>
      </c>
      <c r="DI192" s="5" t="s">
        <v>280</v>
      </c>
      <c r="DJ192" s="5">
        <f t="shared" si="465"/>
        <v>4</v>
      </c>
      <c r="DK192" s="5" t="s">
        <v>230</v>
      </c>
      <c r="DL192" s="5">
        <f t="shared" si="466"/>
        <v>2</v>
      </c>
      <c r="DM192" s="5" t="s">
        <v>250</v>
      </c>
      <c r="DN192" s="5">
        <f t="shared" si="467"/>
        <v>3</v>
      </c>
      <c r="DO192" s="5" t="s">
        <v>229</v>
      </c>
      <c r="DP192" s="5">
        <f t="shared" si="468"/>
        <v>4</v>
      </c>
      <c r="DQ192" s="5" t="s">
        <v>252</v>
      </c>
      <c r="DR192" s="5">
        <f t="shared" si="469"/>
        <v>3</v>
      </c>
      <c r="DS192" s="5" t="s">
        <v>252</v>
      </c>
      <c r="DT192" s="5">
        <f t="shared" si="470"/>
        <v>3</v>
      </c>
      <c r="DU192" s="5" t="s">
        <v>252</v>
      </c>
      <c r="DV192" s="5">
        <f t="shared" si="471"/>
        <v>3</v>
      </c>
      <c r="DW192" s="5" t="s">
        <v>281</v>
      </c>
      <c r="DX192" s="5">
        <f t="shared" si="472"/>
        <v>1</v>
      </c>
      <c r="DY192" s="5">
        <f t="shared" si="473"/>
        <v>37</v>
      </c>
      <c r="DZ192" s="5" t="str">
        <f t="shared" si="474"/>
        <v>Nivel de riesgo alto</v>
      </c>
      <c r="EA192" s="5" t="s">
        <v>232</v>
      </c>
      <c r="EB192" s="5">
        <f t="shared" si="475"/>
        <v>3</v>
      </c>
      <c r="EC192" s="5" t="s">
        <v>232</v>
      </c>
      <c r="ED192" s="5">
        <f t="shared" si="476"/>
        <v>3</v>
      </c>
      <c r="EE192" s="5" t="s">
        <v>247</v>
      </c>
      <c r="EF192" s="5">
        <f t="shared" si="477"/>
        <v>2</v>
      </c>
      <c r="EG192" s="5">
        <f t="shared" si="478"/>
        <v>8</v>
      </c>
      <c r="EH192" s="5" t="str">
        <f t="shared" si="479"/>
        <v>Nivel de riesgo alto</v>
      </c>
      <c r="EI192" s="5" t="s">
        <v>248</v>
      </c>
      <c r="EJ192" s="5">
        <f t="shared" si="480"/>
        <v>1</v>
      </c>
      <c r="EK192" s="5" t="s">
        <v>247</v>
      </c>
      <c r="EL192" s="5">
        <f t="shared" si="481"/>
        <v>2</v>
      </c>
      <c r="EM192" s="5" t="s">
        <v>254</v>
      </c>
      <c r="EN192" s="5">
        <f t="shared" si="482"/>
        <v>4</v>
      </c>
      <c r="EO192" s="5">
        <f t="shared" si="483"/>
        <v>7</v>
      </c>
      <c r="EP192" s="5" t="str">
        <f t="shared" si="484"/>
        <v>Nivel de riesgo alto</v>
      </c>
      <c r="EQ192" s="5" t="s">
        <v>232</v>
      </c>
      <c r="ER192" s="5">
        <f t="shared" si="485"/>
        <v>1</v>
      </c>
      <c r="ES192" s="5" t="s">
        <v>232</v>
      </c>
      <c r="ET192" s="5">
        <f t="shared" si="486"/>
        <v>1</v>
      </c>
      <c r="EU192" s="5" t="s">
        <v>247</v>
      </c>
      <c r="EV192" s="5">
        <f t="shared" si="487"/>
        <v>2</v>
      </c>
      <c r="EW192" s="5" t="s">
        <v>232</v>
      </c>
      <c r="EX192" s="5">
        <f t="shared" si="488"/>
        <v>1</v>
      </c>
      <c r="EY192" s="5">
        <f t="shared" si="489"/>
        <v>5</v>
      </c>
      <c r="EZ192" s="5" t="str">
        <f t="shared" si="490"/>
        <v>Nivel de riesgo alto</v>
      </c>
      <c r="FA192" s="5" t="s">
        <v>232</v>
      </c>
      <c r="FB192" s="5">
        <f t="shared" si="491"/>
        <v>3</v>
      </c>
      <c r="FC192" s="5" t="s">
        <v>232</v>
      </c>
      <c r="FD192" s="5">
        <f t="shared" si="492"/>
        <v>3</v>
      </c>
      <c r="FE192" s="5" t="s">
        <v>232</v>
      </c>
      <c r="FF192" s="5">
        <f t="shared" si="493"/>
        <v>3</v>
      </c>
      <c r="FG192" s="5">
        <f t="shared" si="494"/>
        <v>9</v>
      </c>
      <c r="FH192" s="5" t="str">
        <f t="shared" si="495"/>
        <v>Nivel de riesgo alto</v>
      </c>
      <c r="FI192" s="5" t="s">
        <v>232</v>
      </c>
      <c r="FJ192" s="5">
        <f t="shared" si="496"/>
        <v>3</v>
      </c>
      <c r="FK192" s="5" t="s">
        <v>232</v>
      </c>
      <c r="FL192" s="5">
        <f t="shared" si="497"/>
        <v>3</v>
      </c>
      <c r="FM192" s="5" t="s">
        <v>232</v>
      </c>
      <c r="FN192" s="5">
        <f t="shared" si="498"/>
        <v>3</v>
      </c>
      <c r="FO192" s="5">
        <f t="shared" si="499"/>
        <v>9</v>
      </c>
      <c r="FP192" s="5" t="str">
        <f t="shared" si="500"/>
        <v>Nivel de riesgo alto</v>
      </c>
      <c r="FQ192" s="5" t="s">
        <v>265</v>
      </c>
      <c r="FR192" s="5">
        <f t="shared" si="501"/>
        <v>1</v>
      </c>
      <c r="FS192" s="5" t="s">
        <v>265</v>
      </c>
      <c r="FT192" s="5">
        <f t="shared" si="502"/>
        <v>1</v>
      </c>
      <c r="FU192" s="5" t="s">
        <v>206</v>
      </c>
      <c r="FV192" s="5">
        <f t="shared" si="503"/>
        <v>0</v>
      </c>
      <c r="FW192" s="5" t="s">
        <v>206</v>
      </c>
      <c r="FX192" s="5">
        <f t="shared" si="504"/>
        <v>0</v>
      </c>
      <c r="FY192" s="5" t="s">
        <v>206</v>
      </c>
      <c r="FZ192" s="5">
        <f t="shared" si="505"/>
        <v>0</v>
      </c>
      <c r="GA192" s="5" t="s">
        <v>206</v>
      </c>
      <c r="GB192" s="5">
        <f t="shared" si="506"/>
        <v>0</v>
      </c>
      <c r="GC192" s="5" t="s">
        <v>206</v>
      </c>
      <c r="GD192" s="5">
        <f t="shared" si="507"/>
        <v>0</v>
      </c>
      <c r="GE192" s="5">
        <f t="shared" si="508"/>
        <v>2</v>
      </c>
      <c r="GF192" s="5" t="str">
        <f t="shared" si="509"/>
        <v>Nivel de riesgo medio</v>
      </c>
      <c r="GG192" s="5" t="s">
        <v>255</v>
      </c>
      <c r="GH192" s="5" t="s">
        <v>255</v>
      </c>
      <c r="GI192" s="5" t="s">
        <v>266</v>
      </c>
      <c r="GJ192" s="5" t="s">
        <v>298</v>
      </c>
      <c r="GK192" s="5" t="s">
        <v>233</v>
      </c>
      <c r="GL192" s="5" t="s">
        <v>273</v>
      </c>
      <c r="GM192" s="5" t="s">
        <v>273</v>
      </c>
      <c r="GN192" s="5" t="s">
        <v>243</v>
      </c>
      <c r="GO192" s="5" t="s">
        <v>243</v>
      </c>
      <c r="GP192" s="5" t="s">
        <v>243</v>
      </c>
      <c r="GQ192" s="5" t="s">
        <v>244</v>
      </c>
      <c r="GR192" s="5" t="s">
        <v>244</v>
      </c>
      <c r="GS192" s="5" t="s">
        <v>234</v>
      </c>
      <c r="GT192" s="5" t="s">
        <v>243</v>
      </c>
      <c r="GU192" s="5" t="s">
        <v>543</v>
      </c>
      <c r="GV192" s="5" t="str">
        <f>TEXT("6278974909115672862","0")</f>
        <v>6278974909115670000</v>
      </c>
    </row>
    <row r="193" spans="1:204" ht="15.75" hidden="1" customHeight="1" x14ac:dyDescent="0.15">
      <c r="B193" s="4">
        <v>45847.641736111109</v>
      </c>
      <c r="C193" s="5" t="s">
        <v>204</v>
      </c>
      <c r="D193" s="5" t="s">
        <v>206</v>
      </c>
      <c r="F193" s="5" t="s">
        <v>206</v>
      </c>
      <c r="G193" s="5" t="s">
        <v>204</v>
      </c>
      <c r="H193" s="5" t="s">
        <v>204</v>
      </c>
      <c r="J193" s="5" t="s">
        <v>209</v>
      </c>
      <c r="O193" s="5" t="s">
        <v>209</v>
      </c>
      <c r="S193" s="5" t="s">
        <v>208</v>
      </c>
      <c r="X193" s="5" t="s">
        <v>208</v>
      </c>
      <c r="AC193" s="5" t="s">
        <v>208</v>
      </c>
      <c r="AH193" s="5" t="s">
        <v>210</v>
      </c>
      <c r="AI193" s="5">
        <v>2019</v>
      </c>
      <c r="AJ193" s="5" t="s">
        <v>260</v>
      </c>
      <c r="AK193" s="5"/>
      <c r="AR193" s="5" t="s">
        <v>276</v>
      </c>
      <c r="AS193" s="5" t="s">
        <v>276</v>
      </c>
      <c r="AT193" s="5" t="s">
        <v>294</v>
      </c>
      <c r="AU193" s="5" t="s">
        <v>276</v>
      </c>
      <c r="AV193" s="5" t="s">
        <v>213</v>
      </c>
      <c r="AW193" s="5" t="s">
        <v>204</v>
      </c>
      <c r="AX193" s="5" t="s">
        <v>204</v>
      </c>
      <c r="AY193" s="5" t="s">
        <v>270</v>
      </c>
      <c r="AZ193" s="5" t="s">
        <v>204</v>
      </c>
      <c r="BA193" s="5" t="s">
        <v>348</v>
      </c>
      <c r="BF193" s="5" t="s">
        <v>204</v>
      </c>
      <c r="BG193" s="5" t="s">
        <v>278</v>
      </c>
      <c r="BH193" s="5" t="s">
        <v>215</v>
      </c>
      <c r="BI193" s="5" t="s">
        <v>278</v>
      </c>
      <c r="BJ193" s="5" t="s">
        <v>271</v>
      </c>
      <c r="BK193" s="5" t="s">
        <v>216</v>
      </c>
      <c r="BL193" s="5" t="s">
        <v>216</v>
      </c>
      <c r="BM193" s="5" t="s">
        <v>216</v>
      </c>
      <c r="BN193" s="5" t="s">
        <v>216</v>
      </c>
      <c r="BO193" s="5" t="s">
        <v>216</v>
      </c>
      <c r="BP193" s="5" t="s">
        <v>216</v>
      </c>
      <c r="BQ193" s="5" t="s">
        <v>216</v>
      </c>
      <c r="BR193" s="5" t="s">
        <v>216</v>
      </c>
      <c r="BS193" s="5" t="s">
        <v>248</v>
      </c>
      <c r="BT193" s="5" t="s">
        <v>247</v>
      </c>
      <c r="BU193" s="5" t="s">
        <v>254</v>
      </c>
      <c r="BV193" s="5" t="s">
        <v>248</v>
      </c>
      <c r="BW193" s="5" t="s">
        <v>217</v>
      </c>
      <c r="BX193" s="5" t="s">
        <v>217</v>
      </c>
      <c r="BY193" s="5" t="s">
        <v>217</v>
      </c>
      <c r="BZ193" s="5" t="s">
        <v>216</v>
      </c>
      <c r="CA193" s="5" t="s">
        <v>216</v>
      </c>
      <c r="CB193" s="5" t="s">
        <v>216</v>
      </c>
      <c r="CC193" s="5" t="s">
        <v>216</v>
      </c>
      <c r="CD193" s="5" t="s">
        <v>204</v>
      </c>
      <c r="CE193" s="5" t="s">
        <v>286</v>
      </c>
      <c r="CF193" s="5" t="s">
        <v>219</v>
      </c>
      <c r="CG193" s="5" t="s">
        <v>206</v>
      </c>
      <c r="CH193" s="5" t="s">
        <v>310</v>
      </c>
      <c r="CI193" s="5" t="s">
        <v>332</v>
      </c>
      <c r="CJ193" s="5">
        <v>1</v>
      </c>
      <c r="CK193" s="5" t="s">
        <v>223</v>
      </c>
      <c r="CU193" s="5" t="s">
        <v>206</v>
      </c>
      <c r="DA193" s="5" t="s">
        <v>272</v>
      </c>
      <c r="DB193" s="5"/>
      <c r="DC193" s="5" t="s">
        <v>251</v>
      </c>
      <c r="DD193" s="5"/>
      <c r="DE193" s="5" t="s">
        <v>251</v>
      </c>
      <c r="DF193" s="5"/>
      <c r="DG193" s="5" t="s">
        <v>251</v>
      </c>
      <c r="DH193" s="5"/>
      <c r="DI193" s="5" t="s">
        <v>251</v>
      </c>
      <c r="DJ193" s="5"/>
      <c r="DK193" s="5" t="s">
        <v>251</v>
      </c>
      <c r="DL193" s="5"/>
      <c r="DM193" s="5" t="s">
        <v>251</v>
      </c>
      <c r="DN193" s="5"/>
      <c r="DO193" s="5" t="s">
        <v>229</v>
      </c>
      <c r="DP193" s="5"/>
      <c r="DQ193" s="5" t="s">
        <v>281</v>
      </c>
      <c r="DR193" s="5"/>
      <c r="DS193" s="5" t="s">
        <v>281</v>
      </c>
      <c r="DT193" s="5"/>
      <c r="DU193" s="5" t="s">
        <v>281</v>
      </c>
      <c r="DV193" s="5"/>
      <c r="DW193" s="5" t="s">
        <v>281</v>
      </c>
      <c r="DX193" s="5"/>
      <c r="DY193" s="5"/>
      <c r="DZ193" s="5"/>
      <c r="EA193" s="5" t="s">
        <v>253</v>
      </c>
      <c r="EB193" s="5"/>
      <c r="EC193" s="5" t="s">
        <v>253</v>
      </c>
      <c r="ED193" s="5"/>
      <c r="EE193" s="5" t="s">
        <v>253</v>
      </c>
      <c r="EF193" s="5"/>
      <c r="EG193" s="5"/>
      <c r="EH193" s="5"/>
      <c r="EI193" s="5" t="s">
        <v>247</v>
      </c>
      <c r="EJ193" s="5"/>
      <c r="EK193" s="5" t="s">
        <v>248</v>
      </c>
      <c r="EL193" s="5"/>
      <c r="EM193" s="5" t="s">
        <v>247</v>
      </c>
      <c r="EN193" s="5"/>
      <c r="EO193" s="5"/>
      <c r="EP193" s="5"/>
      <c r="EQ193" s="5" t="s">
        <v>254</v>
      </c>
      <c r="ER193" s="5"/>
      <c r="ES193" s="5" t="s">
        <v>254</v>
      </c>
      <c r="ET193" s="5"/>
      <c r="EU193" s="5" t="s">
        <v>254</v>
      </c>
      <c r="EV193" s="5"/>
      <c r="EW193" s="5" t="s">
        <v>253</v>
      </c>
      <c r="EX193" s="5"/>
      <c r="EY193" s="5"/>
      <c r="EZ193" s="5"/>
      <c r="FA193" s="5" t="s">
        <v>247</v>
      </c>
      <c r="FB193" s="5"/>
      <c r="FC193" s="5" t="s">
        <v>253</v>
      </c>
      <c r="FD193" s="5"/>
      <c r="FE193" s="5" t="s">
        <v>247</v>
      </c>
      <c r="FF193" s="5"/>
      <c r="FG193" s="5"/>
      <c r="FH193" s="5"/>
      <c r="FI193" s="5" t="s">
        <v>247</v>
      </c>
      <c r="FJ193" s="5"/>
      <c r="FK193" s="5" t="s">
        <v>248</v>
      </c>
      <c r="FL193" s="5"/>
      <c r="FM193" s="5" t="s">
        <v>253</v>
      </c>
      <c r="FN193" s="5"/>
      <c r="FO193" s="5"/>
      <c r="FP193" s="5"/>
      <c r="FQ193" s="5" t="s">
        <v>206</v>
      </c>
      <c r="FR193" s="5"/>
      <c r="FS193" s="5" t="s">
        <v>206</v>
      </c>
      <c r="FT193" s="5"/>
      <c r="FU193" s="5" t="s">
        <v>206</v>
      </c>
      <c r="FV193" s="5"/>
      <c r="FW193" s="5" t="s">
        <v>206</v>
      </c>
      <c r="FX193" s="5"/>
      <c r="FY193" s="5" t="s">
        <v>206</v>
      </c>
      <c r="FZ193" s="5"/>
      <c r="GA193" s="5" t="s">
        <v>206</v>
      </c>
      <c r="GB193" s="5"/>
      <c r="GC193" s="5" t="s">
        <v>206</v>
      </c>
      <c r="GD193" s="5"/>
      <c r="GE193" s="5"/>
      <c r="GF193" s="5"/>
      <c r="GG193" s="5" t="s">
        <v>255</v>
      </c>
      <c r="GH193" s="5" t="s">
        <v>255</v>
      </c>
      <c r="GI193" s="5" t="s">
        <v>273</v>
      </c>
      <c r="GJ193" s="5" t="s">
        <v>273</v>
      </c>
      <c r="GK193" s="5" t="s">
        <v>233</v>
      </c>
      <c r="GL193" s="5" t="s">
        <v>255</v>
      </c>
      <c r="GM193" s="5" t="s">
        <v>255</v>
      </c>
      <c r="GN193" s="5" t="s">
        <v>256</v>
      </c>
      <c r="GO193" s="5" t="s">
        <v>256</v>
      </c>
      <c r="GP193" s="5" t="s">
        <v>257</v>
      </c>
      <c r="GQ193" s="5" t="s">
        <v>256</v>
      </c>
      <c r="GR193" s="5" t="s">
        <v>257</v>
      </c>
      <c r="GS193" s="5" t="s">
        <v>257</v>
      </c>
      <c r="GT193" s="5" t="s">
        <v>257</v>
      </c>
      <c r="GU193" s="5" t="s">
        <v>544</v>
      </c>
      <c r="GV193" s="5" t="str">
        <f>TEXT("6278982463216205668","0")</f>
        <v>6278982463216200000</v>
      </c>
    </row>
    <row r="194" spans="1:204" ht="15.75" customHeight="1" x14ac:dyDescent="0.15">
      <c r="A194" s="1">
        <f>ROW(A194)</f>
        <v>194</v>
      </c>
      <c r="B194" s="4">
        <v>45847.641747685186</v>
      </c>
      <c r="C194" s="5" t="s">
        <v>204</v>
      </c>
      <c r="D194" s="5" t="s">
        <v>206</v>
      </c>
      <c r="F194" s="5" t="s">
        <v>206</v>
      </c>
      <c r="G194" s="5" t="s">
        <v>206</v>
      </c>
      <c r="H194" s="5" t="s">
        <v>206</v>
      </c>
      <c r="I194" s="5" t="s">
        <v>208</v>
      </c>
      <c r="O194" s="5" t="s">
        <v>209</v>
      </c>
      <c r="S194" s="5" t="s">
        <v>208</v>
      </c>
      <c r="X194" s="5" t="s">
        <v>208</v>
      </c>
      <c r="AD194" s="5" t="s">
        <v>209</v>
      </c>
      <c r="AH194" s="5" t="s">
        <v>268</v>
      </c>
      <c r="AI194" s="5">
        <v>2014</v>
      </c>
      <c r="AJ194" s="5" t="s">
        <v>238</v>
      </c>
      <c r="AK194" s="5" t="str">
        <f>IF(OR(AJ194="Empleada del sector privado",AJ194="Empleada del sector público"),"Asalariada",
IF(AJ194="Trabajadora por cuenta propia","Trabajadora por cuenta propia",""))</f>
        <v>Trabajadora por cuenta propia</v>
      </c>
      <c r="AN194" s="5" t="s">
        <v>288</v>
      </c>
      <c r="AP194" s="5" t="s">
        <v>321</v>
      </c>
      <c r="AR194" s="5" t="s">
        <v>261</v>
      </c>
      <c r="AS194" s="5" t="s">
        <v>261</v>
      </c>
      <c r="AT194" s="5" t="s">
        <v>261</v>
      </c>
      <c r="AU194" s="5" t="s">
        <v>261</v>
      </c>
      <c r="AV194" s="5" t="s">
        <v>213</v>
      </c>
      <c r="AW194" s="5" t="s">
        <v>206</v>
      </c>
      <c r="BF194" s="5" t="s">
        <v>204</v>
      </c>
      <c r="BG194" s="5" t="s">
        <v>215</v>
      </c>
      <c r="BH194" s="5" t="s">
        <v>215</v>
      </c>
      <c r="BI194" s="5" t="s">
        <v>242</v>
      </c>
      <c r="BJ194" s="5" t="s">
        <v>242</v>
      </c>
      <c r="BK194" s="5" t="s">
        <v>246</v>
      </c>
      <c r="BL194" s="5" t="s">
        <v>246</v>
      </c>
      <c r="BM194" s="5" t="s">
        <v>246</v>
      </c>
      <c r="BN194" s="5" t="s">
        <v>246</v>
      </c>
      <c r="BO194" s="5" t="s">
        <v>246</v>
      </c>
      <c r="BP194" s="5" t="s">
        <v>246</v>
      </c>
      <c r="BQ194" s="5" t="s">
        <v>246</v>
      </c>
      <c r="BR194" s="5" t="s">
        <v>246</v>
      </c>
      <c r="BS194" s="5" t="s">
        <v>247</v>
      </c>
      <c r="BT194" s="5" t="s">
        <v>247</v>
      </c>
      <c r="BU194" s="5" t="s">
        <v>247</v>
      </c>
      <c r="BV194" s="5" t="s">
        <v>247</v>
      </c>
      <c r="BW194" s="5" t="s">
        <v>247</v>
      </c>
      <c r="BX194" s="5" t="s">
        <v>247</v>
      </c>
      <c r="BY194" s="5" t="s">
        <v>247</v>
      </c>
      <c r="CD194" s="5" t="s">
        <v>206</v>
      </c>
      <c r="CH194" s="5" t="s">
        <v>206</v>
      </c>
      <c r="CI194" s="5" t="s">
        <v>206</v>
      </c>
      <c r="CJ194" s="5">
        <v>2</v>
      </c>
      <c r="CK194" s="5" t="s">
        <v>223</v>
      </c>
      <c r="CU194" s="5" t="s">
        <v>206</v>
      </c>
      <c r="DA194" s="5" t="s">
        <v>231</v>
      </c>
      <c r="DB194" s="5">
        <f>IF(DA194="Mejor que lo habitual",1,
IF(DA194="Igual que lo habitual",2,
IF(DA194="Menos que lo habitual",3,
IF(DA194="Mucho menos que lo habitual",4,""))))</f>
        <v>2</v>
      </c>
      <c r="DC194" s="5" t="s">
        <v>250</v>
      </c>
      <c r="DD194" s="5">
        <f>IF(DC194="No, en absoluto",1,
IF(DC194="No más que lo habitual",2,
IF(DC194="Bastante más que lo habitual",3,
IF(DC194="Mucho más que lo habitual",4,""))))</f>
        <v>3</v>
      </c>
      <c r="DE194" s="5" t="s">
        <v>250</v>
      </c>
      <c r="DF194" s="5">
        <f>IF(DE194="No, en absoluto",1,
IF(DE194="No más que lo habitual",2,
IF(DE194="Bastante más que lo habitual",3,
IF(DE194="Mucho más que lo habitual",4,""))))</f>
        <v>3</v>
      </c>
      <c r="DG194" s="5" t="s">
        <v>250</v>
      </c>
      <c r="DH194" s="5">
        <f>IF(DG194="No, en absoluto",1,
IF(DG194="No más que lo habitual",2,
IF(DG194="Bastante más que lo habitual",3,
IF(DG194="Mucho más que lo habitual",4,""))))</f>
        <v>3</v>
      </c>
      <c r="DI194" s="5" t="s">
        <v>250</v>
      </c>
      <c r="DJ194" s="5">
        <f>IF(DI194="No, en absoluto",1,
IF(DI194="No más que lo habitual",2,
IF(DI194="Bastante más que lo habitual",3,
IF(DI194="Mucho más que lo habitual",4,""))))</f>
        <v>3</v>
      </c>
      <c r="DK194" s="5" t="s">
        <v>250</v>
      </c>
      <c r="DL194" s="5">
        <f>IF(DK194="No, en absoluto",1,
IF(DK194="No más que lo habitual",2,
IF(DK194="Bastante más que lo habitual",3,
IF(DK194="Mucho más que lo habitual",4,""))))</f>
        <v>3</v>
      </c>
      <c r="DM194" s="5" t="s">
        <v>250</v>
      </c>
      <c r="DN194" s="5">
        <f>IF(DM194="No, en absoluto",1,
IF(DM194="No más que lo habitual",2,
IF(DM194="Bastante más que lo habitual",3,
IF(DM194="Mucho más que lo habitual",4,""))))</f>
        <v>3</v>
      </c>
      <c r="DO194" s="5" t="s">
        <v>231</v>
      </c>
      <c r="DP194" s="5">
        <f>IF(DO194="Más que lo habitual",1,
IF(DO194="Igual que lo habitual",2,
IF(DO194="Menos que lo habitual",3,
IF(DO194="Mucho menos que lo habitual",4,""))))</f>
        <v>2</v>
      </c>
      <c r="DQ194" s="5" t="s">
        <v>231</v>
      </c>
      <c r="DR194" s="5">
        <f>IF(DQ194="Más que lo habitual",1,
IF(DQ194="Igual que lo habitual",2,
IF(DQ194="Menos que lo habitual",3,
IF(DQ194="Mucho menos que lo habitual",4,""))))</f>
        <v>2</v>
      </c>
      <c r="DS194" s="5" t="s">
        <v>231</v>
      </c>
      <c r="DT194" s="5">
        <f>IF(DS194="Más que lo habitual",1,
IF(DS194="Igual que lo habitual",2,
IF(DS194="Menos que lo habitual",3,
IF(DS194="Mucho menos que lo habitual",4,""))))</f>
        <v>2</v>
      </c>
      <c r="DU194" s="5" t="s">
        <v>231</v>
      </c>
      <c r="DV194" s="5">
        <f>IF(DU194="Más que lo habitual",1,
IF(DU194="Igual que lo habitual",2,
IF(DU194="Menos que lo habitual",3,
IF(DU194="Mucho menos que lo habitual",4,""))))</f>
        <v>2</v>
      </c>
      <c r="DW194" s="5" t="s">
        <v>231</v>
      </c>
      <c r="DX194" s="5">
        <f>IF(DW194="Más que lo habitual",1,
IF(DW194="Igual que lo habitual",2,
IF(DW194="Menos que lo habitual",3,
IF(DW194="Mucho menos que lo habitual",4,""))))</f>
        <v>2</v>
      </c>
      <c r="DY194" s="5">
        <f>SUM(DB194,DD194,DF194,DH194,DJ194,DL194,DN194,DP194,DR194,DT194,DV194,DX194)</f>
        <v>30</v>
      </c>
      <c r="DZ194" s="5" t="str">
        <f>IF(DY194&lt;=18,"Nivel de riesgo bajo",
IF(DY194&lt;=23,"Nivel de riesgo medio",
"Nivel de riesgo alto"))</f>
        <v>Nivel de riesgo alto</v>
      </c>
      <c r="EA194" s="5" t="s">
        <v>232</v>
      </c>
      <c r="EB194" s="5">
        <f>IF(EA194="Nunca/ casi nunca",0,
IF(EA194="Rara vez",1,
IF(EA194="A veces",2,
IF(EA194="A menudo",3,
IF(EA194="Siempre",4,"")))))</f>
        <v>3</v>
      </c>
      <c r="EC194" s="5" t="s">
        <v>232</v>
      </c>
      <c r="ED194" s="5">
        <f>IF(EC194="Nunca/ casi nunca",0,
IF(EC194="Rara vez",1,
IF(EC194="A veces",2,
IF(EC194="A menudo",3,
IF(EC194="Siempre",4,"")))))</f>
        <v>3</v>
      </c>
      <c r="EE194" s="5" t="s">
        <v>232</v>
      </c>
      <c r="EF194" s="5">
        <f>IF(EE194="Nunca/ casi nunca",0,
IF(EE194="Rara vez",1,
IF(EE194="A veces",2,
IF(EE194="A menudo",3,
IF(EE194="Siempre",4,"")))))</f>
        <v>3</v>
      </c>
      <c r="EG194" s="5">
        <f>SUM(EB194,ED194,EF194)</f>
        <v>9</v>
      </c>
      <c r="EH194" s="5" t="str">
        <f>IF(EG194&lt;=1,"Nivel de riesgo bajo",
IF(EG194&lt;=4,"Nivel de riesgo medio",
"Nivel de riesgo alto"))</f>
        <v>Nivel de riesgo alto</v>
      </c>
      <c r="EI194" s="5" t="s">
        <v>232</v>
      </c>
      <c r="EJ194" s="5">
        <f>IF(EI194="Nunca/ casi nunca",0,
IF(EI194="Rara vez",1,
IF(EI194="A veces",2,
IF(EI194="A menudo",3,
IF(EI194="Siempre",4,"")))))</f>
        <v>3</v>
      </c>
      <c r="EK194" s="5" t="s">
        <v>232</v>
      </c>
      <c r="EL194" s="5">
        <f>IF(EK194="Nunca/ casi nunca",0,
IF(EK194="Rara vez",1,
IF(EK194="A veces",2,
IF(EK194="A menudo",3,
IF(EK194="Siempre",4,"")))))</f>
        <v>3</v>
      </c>
      <c r="EM194" s="5" t="s">
        <v>232</v>
      </c>
      <c r="EN194" s="5">
        <f>IF(EM194="Nunca/ casi nunca",0,
IF(EM194="Rara vez",1,
IF(EM194="A veces",2,
IF(EM194="A menudo",3,
IF(EM194="Siempre",4,"")))))</f>
        <v>3</v>
      </c>
      <c r="EO194" s="5">
        <f>SUM(EJ194,EL194,EN194)</f>
        <v>9</v>
      </c>
      <c r="EP194" s="5" t="str">
        <f>IF(EO194&lt;=1,"Nivel de riesgo bajo",
IF(EO194&lt;=5,"Nivel de riesgo medio",
"Nivel de riesgo alto"))</f>
        <v>Nivel de riesgo alto</v>
      </c>
      <c r="EQ194" s="5" t="s">
        <v>232</v>
      </c>
      <c r="ER194" s="5">
        <f>IF(EQ194="Nunca/ casi nunca",4,
IF(EQ194="Rara vez",3,
IF(EQ194="A veces",2,
IF(EQ194="A menudo",1,
IF(EQ194="Siempre",0,"")))))</f>
        <v>1</v>
      </c>
      <c r="ES194" s="5" t="s">
        <v>232</v>
      </c>
      <c r="ET194" s="5">
        <f>IF(ES194="Nunca/ casi nunca",4,
IF(ES194="Rara vez",3,
IF(ES194="A veces",2,
IF(ES194="A menudo",1,
IF(ES194="Siempre",0,"")))))</f>
        <v>1</v>
      </c>
      <c r="EU194" s="5" t="s">
        <v>232</v>
      </c>
      <c r="EV194" s="5">
        <f>IF(EU194="Nunca/ casi nunca",4,
IF(EU194="Rara vez",3,
IF(EU194="A veces",2,
IF(EU194="A menudo",1,
IF(EU194="Siempre",0,"")))))</f>
        <v>1</v>
      </c>
      <c r="EW194" s="5" t="s">
        <v>232</v>
      </c>
      <c r="EX194" s="5">
        <f>IF(EW194="Nunca/ casi nunca",4,
IF(EW194="Rara vez",3,
IF(EW194="A veces",2,
IF(EW194="A menudo",1,
IF(EW194="Siempre",0,"")))))</f>
        <v>1</v>
      </c>
      <c r="EY194" s="5">
        <f>SUM(ER194,ET194,EV194,EX194)</f>
        <v>4</v>
      </c>
      <c r="EZ194" s="5" t="str">
        <f>IF(EY194&lt;=0,"Nivel de riesgo bajo",
IF(EY194&lt;=4,"Nivel de riesgo medio",
"Nivel de riesgo alto"))</f>
        <v>Nivel de riesgo medio</v>
      </c>
      <c r="FA194" s="5" t="s">
        <v>232</v>
      </c>
      <c r="FB194" s="5">
        <f>IF(FA194="Nunca/ casi nunca",0,
IF(FA194="Rara vez",1,
IF(FA194="A veces",2,
IF(FA194="A menudo",3,
IF(FA194="Siempre",4,"")))))</f>
        <v>3</v>
      </c>
      <c r="FC194" s="5" t="s">
        <v>232</v>
      </c>
      <c r="FD194" s="5">
        <f>IF(FC194="Nunca/ casi nunca",0,
IF(FC194="Rara vez",1,
IF(FC194="A veces",2,
IF(FC194="A menudo",3,
IF(FC194="Siempre",4,"")))))</f>
        <v>3</v>
      </c>
      <c r="FE194" s="5" t="s">
        <v>232</v>
      </c>
      <c r="FF194" s="5">
        <f>IF(FE194="Nunca/ casi nunca",0,
IF(FE194="Rara vez",1,
IF(FE194="A veces",2,
IF(FE194="A menudo",3,
IF(FE194="Siempre",4,"")))))</f>
        <v>3</v>
      </c>
      <c r="FG194" s="5">
        <f>SUM(FB194,FD194,FF194)</f>
        <v>9</v>
      </c>
      <c r="FH194" s="5" t="str">
        <f>IF(FG194&lt;=2,"Nivel de riesgo bajo",
IF(FG194&lt;=5,"Nivel de riesgo medio",
"Nivel de riesgo alto"))</f>
        <v>Nivel de riesgo alto</v>
      </c>
      <c r="FI194" s="5" t="s">
        <v>232</v>
      </c>
      <c r="FJ194" s="5">
        <f>IF(FI194="Nunca/ casi nunca",0,
IF(FI194="Rara vez",1,
IF(FI194="A veces",2,
IF(FI194="A menudo",3,
IF(FI194="Siempre",4,"")))))</f>
        <v>3</v>
      </c>
      <c r="FK194" s="5" t="s">
        <v>232</v>
      </c>
      <c r="FL194" s="5">
        <f>IF(FK194="Nunca/ casi nunca",0,
IF(FK194="Rara vez",1,
IF(FK194="A veces",2,
IF(FK194="A menudo",3,
IF(FK194="Siempre",4,"")))))</f>
        <v>3</v>
      </c>
      <c r="FM194" s="5" t="s">
        <v>232</v>
      </c>
      <c r="FN194" s="5">
        <f>IF(FM194="Nunca/ casi nunca",0,
IF(FM194="Rara vez",1,
IF(FM194="A veces",2,
IF(FM194="A menudo",3,
IF(FM194="Siempre",4,"")))))</f>
        <v>3</v>
      </c>
      <c r="FO194" s="5">
        <f>SUM(FJ194,FL194,FN194)</f>
        <v>9</v>
      </c>
      <c r="FP194" s="5" t="str">
        <f>IF(FO194&lt;=2,"Nivel de riesgo bajo",
IF(FO194&lt;=5,"Nivel de riesgo medio",
"Nivel de riesgo alto"))</f>
        <v>Nivel de riesgo alto</v>
      </c>
      <c r="FQ194" s="5" t="s">
        <v>206</v>
      </c>
      <c r="FR194" s="5">
        <f>IF(FQ194="No",0,
IF(FQ194="Sí, unas pocas veces",1,
IF(FQ194="Sí, mensualmente",2,
IF(FQ194="Sí, semanalmente",3,
IF(FQ194="Sí, diariamente",4,"")))))</f>
        <v>0</v>
      </c>
      <c r="FS194" s="5" t="s">
        <v>206</v>
      </c>
      <c r="FT194" s="5">
        <f>IF(FS194="No",0,
IF(FS194="Sí, unas pocas veces",1,
IF(FS194="Sí, mensualmente",2,
IF(FS194="Sí, semanalmente",3,
IF(FS194="Sí, diariamente",4,"")))))</f>
        <v>0</v>
      </c>
      <c r="FU194" s="5" t="s">
        <v>206</v>
      </c>
      <c r="FV194" s="5">
        <f>IF(FU194="No",0,
IF(FU194="Sí, unas pocas veces",1,
IF(FU194="Sí, mensualmente",2,
IF(FU194="Sí, semanalmente",3,
IF(FU194="Sí, diariamente",4,"")))))</f>
        <v>0</v>
      </c>
      <c r="FW194" s="5" t="s">
        <v>206</v>
      </c>
      <c r="FX194" s="5">
        <f>IF(FW194="No",0,
IF(FW194="Sí, unas pocas veces",1,
IF(FW194="Sí, mensualmente",2,
IF(FW194="Sí, semanalmente",3,
IF(FW194="Sí, diariamente",4,"")))))</f>
        <v>0</v>
      </c>
      <c r="FY194" s="5" t="s">
        <v>206</v>
      </c>
      <c r="FZ194" s="5">
        <f>IF(FY194="No",0,
IF(FY194="Sí, unas pocas veces",1,
IF(FY194="Sí, mensualmente",2,
IF(FY194="Sí, semanalmente",3,
IF(FY194="Sí, diariamente",4,"")))))</f>
        <v>0</v>
      </c>
      <c r="GA194" s="5" t="s">
        <v>206</v>
      </c>
      <c r="GB194" s="5">
        <f>IF(GA194="No",0,
IF(GA194="Sí, unas pocas veces",1,
IF(GA194="Sí, mensualmente",2,
IF(GA194="Sí, semanalmente",3,
IF(GA194="Sí, diariamente",4,"")))))</f>
        <v>0</v>
      </c>
      <c r="GC194" s="5" t="s">
        <v>206</v>
      </c>
      <c r="GD194" s="5">
        <f>IF(GC194="No",0,
IF(GC194="Sí, unas pocas veces",1,
IF(GC194="Sí, mensualmente",2,
IF(GC194="Sí, semanalmente",3,
IF(GC194="Sí, diariamente",4,"")))))</f>
        <v>0</v>
      </c>
      <c r="GE194" s="5">
        <f>SUM(FR194,FT194,FV194,FX194,FZ194,GB194,GD194)</f>
        <v>0</v>
      </c>
      <c r="GF194" s="5" t="str">
        <f>IF(GE194&lt;=0,"Nivel de riesgo bajo",
IF(GE194&lt;=14,"Nivel de riesgo medio",
"Nivel de riesgo alto"))</f>
        <v>Nivel de riesgo bajo</v>
      </c>
      <c r="GG194" s="5" t="s">
        <v>266</v>
      </c>
      <c r="GH194" s="5" t="s">
        <v>266</v>
      </c>
      <c r="GI194" s="5" t="s">
        <v>266</v>
      </c>
      <c r="GJ194" s="5" t="s">
        <v>266</v>
      </c>
      <c r="GK194" s="5" t="s">
        <v>266</v>
      </c>
      <c r="GL194" s="5" t="s">
        <v>266</v>
      </c>
      <c r="GM194" s="5" t="s">
        <v>266</v>
      </c>
      <c r="GN194" s="5" t="s">
        <v>257</v>
      </c>
      <c r="GO194" s="5" t="s">
        <v>257</v>
      </c>
      <c r="GP194" s="5" t="s">
        <v>257</v>
      </c>
      <c r="GQ194" s="5" t="s">
        <v>257</v>
      </c>
      <c r="GR194" s="5" t="s">
        <v>257</v>
      </c>
      <c r="GS194" s="5" t="s">
        <v>257</v>
      </c>
      <c r="GT194" s="5" t="s">
        <v>257</v>
      </c>
      <c r="GU194" s="5" t="s">
        <v>545</v>
      </c>
      <c r="GV194" s="5" t="str">
        <f>TEXT("6278982475614167388","0")</f>
        <v>6278982475614160000</v>
      </c>
    </row>
    <row r="195" spans="1:204" ht="15.75" customHeight="1" x14ac:dyDescent="0.15">
      <c r="A195" s="1">
        <f>ROW(A195)</f>
        <v>195</v>
      </c>
      <c r="B195" s="4">
        <v>45847.642175925925</v>
      </c>
      <c r="C195" s="5" t="s">
        <v>204</v>
      </c>
      <c r="D195" s="5" t="s">
        <v>206</v>
      </c>
      <c r="F195" s="5" t="s">
        <v>206</v>
      </c>
      <c r="G195" s="5" t="s">
        <v>206</v>
      </c>
      <c r="H195" s="5" t="s">
        <v>206</v>
      </c>
      <c r="K195" s="5" t="s">
        <v>237</v>
      </c>
      <c r="P195" s="5" t="s">
        <v>237</v>
      </c>
      <c r="T195" s="5" t="s">
        <v>209</v>
      </c>
      <c r="Y195" s="5" t="s">
        <v>209</v>
      </c>
      <c r="AD195" s="5" t="s">
        <v>209</v>
      </c>
      <c r="AH195" s="5" t="s">
        <v>275</v>
      </c>
      <c r="AI195" s="5">
        <v>2023</v>
      </c>
      <c r="AJ195" s="5" t="s">
        <v>238</v>
      </c>
      <c r="AK195" s="5" t="str">
        <f>IF(OR(AJ195="Empleada del sector privado",AJ195="Empleada del sector público"),"Asalariada",
IF(AJ195="Trabajadora por cuenta propia","Trabajadora por cuenta propia",""))</f>
        <v>Trabajadora por cuenta propia</v>
      </c>
      <c r="AM195" s="5" t="s">
        <v>309</v>
      </c>
      <c r="AP195" s="5" t="s">
        <v>240</v>
      </c>
      <c r="AR195" s="5" t="s">
        <v>241</v>
      </c>
      <c r="AS195" s="5" t="s">
        <v>241</v>
      </c>
      <c r="AT195" s="5" t="s">
        <v>241</v>
      </c>
      <c r="AU195" s="5" t="s">
        <v>241</v>
      </c>
      <c r="AV195" s="5" t="s">
        <v>213</v>
      </c>
      <c r="AW195" s="5" t="s">
        <v>206</v>
      </c>
      <c r="BF195" s="5" t="s">
        <v>204</v>
      </c>
      <c r="BG195" s="5" t="s">
        <v>242</v>
      </c>
      <c r="BH195" s="5" t="s">
        <v>242</v>
      </c>
      <c r="BI195" s="5" t="s">
        <v>271</v>
      </c>
      <c r="BJ195" s="5" t="s">
        <v>215</v>
      </c>
      <c r="BK195" s="5" t="s">
        <v>246</v>
      </c>
      <c r="BL195" s="5" t="s">
        <v>246</v>
      </c>
      <c r="BM195" s="5" t="s">
        <v>246</v>
      </c>
      <c r="BN195" s="5" t="s">
        <v>244</v>
      </c>
      <c r="BO195" s="5" t="s">
        <v>246</v>
      </c>
      <c r="BP195" s="5" t="s">
        <v>243</v>
      </c>
      <c r="BQ195" s="5" t="s">
        <v>246</v>
      </c>
      <c r="BR195" s="5" t="s">
        <v>246</v>
      </c>
      <c r="BS195" s="5" t="s">
        <v>247</v>
      </c>
      <c r="BT195" s="5" t="s">
        <v>247</v>
      </c>
      <c r="BU195" s="5" t="s">
        <v>248</v>
      </c>
      <c r="BV195" s="5" t="s">
        <v>247</v>
      </c>
      <c r="BW195" s="5" t="s">
        <v>248</v>
      </c>
      <c r="BX195" s="5" t="s">
        <v>247</v>
      </c>
      <c r="BY195" s="5" t="s">
        <v>248</v>
      </c>
      <c r="CD195" s="5" t="s">
        <v>204</v>
      </c>
      <c r="CE195" s="5" t="s">
        <v>218</v>
      </c>
      <c r="CF195" s="5" t="s">
        <v>219</v>
      </c>
      <c r="CG195" s="5" t="s">
        <v>206</v>
      </c>
      <c r="CH195" s="5" t="s">
        <v>206</v>
      </c>
      <c r="CI195" s="5" t="s">
        <v>206</v>
      </c>
      <c r="CJ195" s="5">
        <v>4</v>
      </c>
      <c r="CK195" s="5" t="s">
        <v>223</v>
      </c>
      <c r="CU195" s="5" t="s">
        <v>206</v>
      </c>
      <c r="DA195" s="5" t="s">
        <v>231</v>
      </c>
      <c r="DB195" s="5">
        <f>IF(DA195="Mejor que lo habitual",1,
IF(DA195="Igual que lo habitual",2,
IF(DA195="Menos que lo habitual",3,
IF(DA195="Mucho menos que lo habitual",4,""))))</f>
        <v>2</v>
      </c>
      <c r="DC195" s="5" t="s">
        <v>230</v>
      </c>
      <c r="DD195" s="5">
        <f>IF(DC195="No, en absoluto",1,
IF(DC195="No más que lo habitual",2,
IF(DC195="Bastante más que lo habitual",3,
IF(DC195="Mucho más que lo habitual",4,""))))</f>
        <v>2</v>
      </c>
      <c r="DE195" s="5" t="s">
        <v>230</v>
      </c>
      <c r="DF195" s="5">
        <f>IF(DE195="No, en absoluto",1,
IF(DE195="No más que lo habitual",2,
IF(DE195="Bastante más que lo habitual",3,
IF(DE195="Mucho más que lo habitual",4,""))))</f>
        <v>2</v>
      </c>
      <c r="DG195" s="5" t="s">
        <v>230</v>
      </c>
      <c r="DH195" s="5">
        <f>IF(DG195="No, en absoluto",1,
IF(DG195="No más que lo habitual",2,
IF(DG195="Bastante más que lo habitual",3,
IF(DG195="Mucho más que lo habitual",4,""))))</f>
        <v>2</v>
      </c>
      <c r="DI195" s="5" t="s">
        <v>251</v>
      </c>
      <c r="DJ195" s="5">
        <f>IF(DI195="No, en absoluto",1,
IF(DI195="No más que lo habitual",2,
IF(DI195="Bastante más que lo habitual",3,
IF(DI195="Mucho más que lo habitual",4,""))))</f>
        <v>1</v>
      </c>
      <c r="DK195" s="5" t="s">
        <v>251</v>
      </c>
      <c r="DL195" s="5">
        <f>IF(DK195="No, en absoluto",1,
IF(DK195="No más que lo habitual",2,
IF(DK195="Bastante más que lo habitual",3,
IF(DK195="Mucho más que lo habitual",4,""))))</f>
        <v>1</v>
      </c>
      <c r="DM195" s="5" t="s">
        <v>251</v>
      </c>
      <c r="DN195" s="5">
        <f>IF(DM195="No, en absoluto",1,
IF(DM195="No más que lo habitual",2,
IF(DM195="Bastante más que lo habitual",3,
IF(DM195="Mucho más que lo habitual",4,""))))</f>
        <v>1</v>
      </c>
      <c r="DO195" s="5" t="s">
        <v>231</v>
      </c>
      <c r="DP195" s="5">
        <f>IF(DO195="Más que lo habitual",1,
IF(DO195="Igual que lo habitual",2,
IF(DO195="Menos que lo habitual",3,
IF(DO195="Mucho menos que lo habitual",4,""))))</f>
        <v>2</v>
      </c>
      <c r="DQ195" s="5" t="s">
        <v>231</v>
      </c>
      <c r="DR195" s="5">
        <f>IF(DQ195="Más que lo habitual",1,
IF(DQ195="Igual que lo habitual",2,
IF(DQ195="Menos que lo habitual",3,
IF(DQ195="Mucho menos que lo habitual",4,""))))</f>
        <v>2</v>
      </c>
      <c r="DS195" s="5" t="s">
        <v>231</v>
      </c>
      <c r="DT195" s="5">
        <f>IF(DS195="Más que lo habitual",1,
IF(DS195="Igual que lo habitual",2,
IF(DS195="Menos que lo habitual",3,
IF(DS195="Mucho menos que lo habitual",4,""))))</f>
        <v>2</v>
      </c>
      <c r="DU195" s="5" t="s">
        <v>231</v>
      </c>
      <c r="DV195" s="5">
        <f>IF(DU195="Más que lo habitual",1,
IF(DU195="Igual que lo habitual",2,
IF(DU195="Menos que lo habitual",3,
IF(DU195="Mucho menos que lo habitual",4,""))))</f>
        <v>2</v>
      </c>
      <c r="DW195" s="5" t="s">
        <v>231</v>
      </c>
      <c r="DX195" s="5">
        <f>IF(DW195="Más que lo habitual",1,
IF(DW195="Igual que lo habitual",2,
IF(DW195="Menos que lo habitual",3,
IF(DW195="Mucho menos que lo habitual",4,""))))</f>
        <v>2</v>
      </c>
      <c r="DY195" s="5">
        <f>SUM(DB195,DD195,DF195,DH195,DJ195,DL195,DN195,DP195,DR195,DT195,DV195,DX195)</f>
        <v>21</v>
      </c>
      <c r="DZ195" s="5" t="str">
        <f>IF(DY195&lt;=18,"Nivel de riesgo bajo",
IF(DY195&lt;=23,"Nivel de riesgo medio",
"Nivel de riesgo alto"))</f>
        <v>Nivel de riesgo medio</v>
      </c>
      <c r="EA195" s="5" t="s">
        <v>247</v>
      </c>
      <c r="EB195" s="5">
        <f>IF(EA195="Nunca/ casi nunca",0,
IF(EA195="Rara vez",1,
IF(EA195="A veces",2,
IF(EA195="A menudo",3,
IF(EA195="Siempre",4,"")))))</f>
        <v>2</v>
      </c>
      <c r="EC195" s="5" t="s">
        <v>247</v>
      </c>
      <c r="ED195" s="5">
        <f>IF(EC195="Nunca/ casi nunca",0,
IF(EC195="Rara vez",1,
IF(EC195="A veces",2,
IF(EC195="A menudo",3,
IF(EC195="Siempre",4,"")))))</f>
        <v>2</v>
      </c>
      <c r="EE195" s="5" t="s">
        <v>248</v>
      </c>
      <c r="EF195" s="5">
        <f>IF(EE195="Nunca/ casi nunca",0,
IF(EE195="Rara vez",1,
IF(EE195="A veces",2,
IF(EE195="A menudo",3,
IF(EE195="Siempre",4,"")))))</f>
        <v>1</v>
      </c>
      <c r="EG195" s="5">
        <f>SUM(EB195,ED195,EF195)</f>
        <v>5</v>
      </c>
      <c r="EH195" s="5" t="str">
        <f>IF(EG195&lt;=1,"Nivel de riesgo bajo",
IF(EG195&lt;=4,"Nivel de riesgo medio",
"Nivel de riesgo alto"))</f>
        <v>Nivel de riesgo alto</v>
      </c>
      <c r="EI195" s="5" t="s">
        <v>248</v>
      </c>
      <c r="EJ195" s="5">
        <f>IF(EI195="Nunca/ casi nunca",0,
IF(EI195="Rara vez",1,
IF(EI195="A veces",2,
IF(EI195="A menudo",3,
IF(EI195="Siempre",4,"")))))</f>
        <v>1</v>
      </c>
      <c r="EK195" s="5" t="s">
        <v>247</v>
      </c>
      <c r="EL195" s="5">
        <f>IF(EK195="Nunca/ casi nunca",0,
IF(EK195="Rara vez",1,
IF(EK195="A veces",2,
IF(EK195="A menudo",3,
IF(EK195="Siempre",4,"")))))</f>
        <v>2</v>
      </c>
      <c r="EM195" s="5" t="s">
        <v>248</v>
      </c>
      <c r="EN195" s="5">
        <f>IF(EM195="Nunca/ casi nunca",0,
IF(EM195="Rara vez",1,
IF(EM195="A veces",2,
IF(EM195="A menudo",3,
IF(EM195="Siempre",4,"")))))</f>
        <v>1</v>
      </c>
      <c r="EO195" s="5">
        <f>SUM(EJ195,EL195,EN195)</f>
        <v>4</v>
      </c>
      <c r="EP195" s="5" t="str">
        <f>IF(EO195&lt;=1,"Nivel de riesgo bajo",
IF(EO195&lt;=5,"Nivel de riesgo medio",
"Nivel de riesgo alto"))</f>
        <v>Nivel de riesgo medio</v>
      </c>
      <c r="EQ195" s="5" t="s">
        <v>247</v>
      </c>
      <c r="ER195" s="5">
        <f>IF(EQ195="Nunca/ casi nunca",4,
IF(EQ195="Rara vez",3,
IF(EQ195="A veces",2,
IF(EQ195="A menudo",1,
IF(EQ195="Siempre",0,"")))))</f>
        <v>2</v>
      </c>
      <c r="ES195" s="5" t="s">
        <v>247</v>
      </c>
      <c r="ET195" s="5">
        <f>IF(ES195="Nunca/ casi nunca",4,
IF(ES195="Rara vez",3,
IF(ES195="A veces",2,
IF(ES195="A menudo",1,
IF(ES195="Siempre",0,"")))))</f>
        <v>2</v>
      </c>
      <c r="EU195" s="5" t="s">
        <v>232</v>
      </c>
      <c r="EV195" s="5">
        <f>IF(EU195="Nunca/ casi nunca",4,
IF(EU195="Rara vez",3,
IF(EU195="A veces",2,
IF(EU195="A menudo",1,
IF(EU195="Siempre",0,"")))))</f>
        <v>1</v>
      </c>
      <c r="EW195" s="5" t="s">
        <v>232</v>
      </c>
      <c r="EX195" s="5">
        <f>IF(EW195="Nunca/ casi nunca",4,
IF(EW195="Rara vez",3,
IF(EW195="A veces",2,
IF(EW195="A menudo",1,
IF(EW195="Siempre",0,"")))))</f>
        <v>1</v>
      </c>
      <c r="EY195" s="5">
        <f>SUM(ER195,ET195,EV195,EX195)</f>
        <v>6</v>
      </c>
      <c r="EZ195" s="5" t="str">
        <f>IF(EY195&lt;=0,"Nivel de riesgo bajo",
IF(EY195&lt;=4,"Nivel de riesgo medio",
"Nivel de riesgo alto"))</f>
        <v>Nivel de riesgo alto</v>
      </c>
      <c r="FA195" s="5" t="s">
        <v>247</v>
      </c>
      <c r="FB195" s="5">
        <f>IF(FA195="Nunca/ casi nunca",0,
IF(FA195="Rara vez",1,
IF(FA195="A veces",2,
IF(FA195="A menudo",3,
IF(FA195="Siempre",4,"")))))</f>
        <v>2</v>
      </c>
      <c r="FC195" s="5" t="s">
        <v>247</v>
      </c>
      <c r="FD195" s="5">
        <f>IF(FC195="Nunca/ casi nunca",0,
IF(FC195="Rara vez",1,
IF(FC195="A veces",2,
IF(FC195="A menudo",3,
IF(FC195="Siempre",4,"")))))</f>
        <v>2</v>
      </c>
      <c r="FE195" s="5" t="s">
        <v>248</v>
      </c>
      <c r="FF195" s="5">
        <f>IF(FE195="Nunca/ casi nunca",0,
IF(FE195="Rara vez",1,
IF(FE195="A veces",2,
IF(FE195="A menudo",3,
IF(FE195="Siempre",4,"")))))</f>
        <v>1</v>
      </c>
      <c r="FG195" s="5">
        <f>SUM(FB195,FD195,FF195)</f>
        <v>5</v>
      </c>
      <c r="FH195" s="5" t="str">
        <f>IF(FG195&lt;=2,"Nivel de riesgo bajo",
IF(FG195&lt;=5,"Nivel de riesgo medio",
"Nivel de riesgo alto"))</f>
        <v>Nivel de riesgo medio</v>
      </c>
      <c r="FI195" s="5" t="s">
        <v>248</v>
      </c>
      <c r="FJ195" s="5">
        <f>IF(FI195="Nunca/ casi nunca",0,
IF(FI195="Rara vez",1,
IF(FI195="A veces",2,
IF(FI195="A menudo",3,
IF(FI195="Siempre",4,"")))))</f>
        <v>1</v>
      </c>
      <c r="FK195" s="5" t="s">
        <v>247</v>
      </c>
      <c r="FL195" s="5">
        <f>IF(FK195="Nunca/ casi nunca",0,
IF(FK195="Rara vez",1,
IF(FK195="A veces",2,
IF(FK195="A menudo",3,
IF(FK195="Siempre",4,"")))))</f>
        <v>2</v>
      </c>
      <c r="FM195" s="5" t="s">
        <v>248</v>
      </c>
      <c r="FN195" s="5">
        <f>IF(FM195="Nunca/ casi nunca",0,
IF(FM195="Rara vez",1,
IF(FM195="A veces",2,
IF(FM195="A menudo",3,
IF(FM195="Siempre",4,"")))))</f>
        <v>1</v>
      </c>
      <c r="FO195" s="5">
        <f>SUM(FJ195,FL195,FN195)</f>
        <v>4</v>
      </c>
      <c r="FP195" s="5" t="str">
        <f>IF(FO195&lt;=2,"Nivel de riesgo bajo",
IF(FO195&lt;=5,"Nivel de riesgo medio",
"Nivel de riesgo alto"))</f>
        <v>Nivel de riesgo medio</v>
      </c>
      <c r="FQ195" s="5" t="s">
        <v>206</v>
      </c>
      <c r="FR195" s="5">
        <f>IF(FQ195="No",0,
IF(FQ195="Sí, unas pocas veces",1,
IF(FQ195="Sí, mensualmente",2,
IF(FQ195="Sí, semanalmente",3,
IF(FQ195="Sí, diariamente",4,"")))))</f>
        <v>0</v>
      </c>
      <c r="FS195" s="5" t="s">
        <v>206</v>
      </c>
      <c r="FT195" s="5">
        <f>IF(FS195="No",0,
IF(FS195="Sí, unas pocas veces",1,
IF(FS195="Sí, mensualmente",2,
IF(FS195="Sí, semanalmente",3,
IF(FS195="Sí, diariamente",4,"")))))</f>
        <v>0</v>
      </c>
      <c r="FU195" s="5" t="s">
        <v>206</v>
      </c>
      <c r="FV195" s="5">
        <f>IF(FU195="No",0,
IF(FU195="Sí, unas pocas veces",1,
IF(FU195="Sí, mensualmente",2,
IF(FU195="Sí, semanalmente",3,
IF(FU195="Sí, diariamente",4,"")))))</f>
        <v>0</v>
      </c>
      <c r="FW195" s="5" t="s">
        <v>206</v>
      </c>
      <c r="FX195" s="5">
        <f>IF(FW195="No",0,
IF(FW195="Sí, unas pocas veces",1,
IF(FW195="Sí, mensualmente",2,
IF(FW195="Sí, semanalmente",3,
IF(FW195="Sí, diariamente",4,"")))))</f>
        <v>0</v>
      </c>
      <c r="FY195" s="5" t="s">
        <v>206</v>
      </c>
      <c r="FZ195" s="5">
        <f>IF(FY195="No",0,
IF(FY195="Sí, unas pocas veces",1,
IF(FY195="Sí, mensualmente",2,
IF(FY195="Sí, semanalmente",3,
IF(FY195="Sí, diariamente",4,"")))))</f>
        <v>0</v>
      </c>
      <c r="GA195" s="5" t="s">
        <v>206</v>
      </c>
      <c r="GB195" s="5">
        <f>IF(GA195="No",0,
IF(GA195="Sí, unas pocas veces",1,
IF(GA195="Sí, mensualmente",2,
IF(GA195="Sí, semanalmente",3,
IF(GA195="Sí, diariamente",4,"")))))</f>
        <v>0</v>
      </c>
      <c r="GC195" s="5" t="s">
        <v>206</v>
      </c>
      <c r="GD195" s="5">
        <f>IF(GC195="No",0,
IF(GC195="Sí, unas pocas veces",1,
IF(GC195="Sí, mensualmente",2,
IF(GC195="Sí, semanalmente",3,
IF(GC195="Sí, diariamente",4,"")))))</f>
        <v>0</v>
      </c>
      <c r="GE195" s="5">
        <f>SUM(FR195,FT195,FV195,FX195,FZ195,GB195,GD195)</f>
        <v>0</v>
      </c>
      <c r="GF195" s="5" t="str">
        <f>IF(GE195&lt;=0,"Nivel de riesgo bajo",
IF(GE195&lt;=14,"Nivel de riesgo medio",
"Nivel de riesgo alto"))</f>
        <v>Nivel de riesgo bajo</v>
      </c>
      <c r="GG195" s="5" t="s">
        <v>273</v>
      </c>
      <c r="GH195" s="5" t="s">
        <v>273</v>
      </c>
      <c r="GI195" s="5" t="s">
        <v>273</v>
      </c>
      <c r="GJ195" s="5" t="s">
        <v>266</v>
      </c>
      <c r="GK195" s="5" t="s">
        <v>233</v>
      </c>
      <c r="GL195" s="5" t="s">
        <v>233</v>
      </c>
      <c r="GM195" s="5" t="s">
        <v>266</v>
      </c>
      <c r="GN195" s="5" t="s">
        <v>243</v>
      </c>
      <c r="GO195" s="5" t="s">
        <v>243</v>
      </c>
      <c r="GP195" s="5" t="s">
        <v>243</v>
      </c>
      <c r="GQ195" s="5" t="s">
        <v>243</v>
      </c>
      <c r="GR195" s="5" t="s">
        <v>243</v>
      </c>
      <c r="GS195" s="5" t="s">
        <v>243</v>
      </c>
      <c r="GT195" s="5" t="s">
        <v>243</v>
      </c>
      <c r="GU195" s="5" t="s">
        <v>546</v>
      </c>
      <c r="GV195" s="5" t="str">
        <f>TEXT("6278982840522906456","0")</f>
        <v>6278982840522900000</v>
      </c>
    </row>
    <row r="196" spans="1:204" ht="15.75" customHeight="1" x14ac:dyDescent="0.15">
      <c r="A196" s="1">
        <f>ROW(A196)</f>
        <v>196</v>
      </c>
      <c r="B196" s="4">
        <v>45847.64640046296</v>
      </c>
      <c r="C196" s="5" t="s">
        <v>204</v>
      </c>
      <c r="D196" s="5" t="s">
        <v>206</v>
      </c>
      <c r="F196" s="5" t="s">
        <v>206</v>
      </c>
      <c r="G196" s="5" t="s">
        <v>204</v>
      </c>
      <c r="H196" s="5" t="s">
        <v>206</v>
      </c>
      <c r="K196" s="5" t="s">
        <v>237</v>
      </c>
      <c r="N196" s="5" t="s">
        <v>208</v>
      </c>
      <c r="T196" s="5" t="s">
        <v>209</v>
      </c>
      <c r="Y196" s="5" t="s">
        <v>209</v>
      </c>
      <c r="AC196" s="5" t="s">
        <v>208</v>
      </c>
      <c r="AH196" s="5" t="s">
        <v>275</v>
      </c>
      <c r="AI196" s="5">
        <v>2011</v>
      </c>
      <c r="AJ196" s="5" t="s">
        <v>238</v>
      </c>
      <c r="AK196" s="5" t="str">
        <f>IF(OR(AJ196="Empleada del sector privado",AJ196="Empleada del sector público"),"Asalariada",
IF(AJ196="Trabajadora por cuenta propia","Trabajadora por cuenta propia",""))</f>
        <v>Trabajadora por cuenta propia</v>
      </c>
      <c r="AM196" s="5" t="s">
        <v>309</v>
      </c>
      <c r="AO196" s="5" t="s">
        <v>390</v>
      </c>
      <c r="AP196" s="5" t="s">
        <v>297</v>
      </c>
      <c r="AR196" s="5" t="s">
        <v>241</v>
      </c>
      <c r="AS196" s="5" t="s">
        <v>301</v>
      </c>
      <c r="AT196" s="5" t="s">
        <v>261</v>
      </c>
      <c r="AU196" s="5" t="s">
        <v>294</v>
      </c>
      <c r="AV196" s="5" t="s">
        <v>285</v>
      </c>
      <c r="AW196" s="5" t="s">
        <v>204</v>
      </c>
      <c r="AX196" s="5" t="s">
        <v>204</v>
      </c>
      <c r="AY196" s="5" t="s">
        <v>339</v>
      </c>
      <c r="AZ196" s="5" t="s">
        <v>204</v>
      </c>
      <c r="BA196" s="5" t="s">
        <v>263</v>
      </c>
      <c r="BF196" s="5" t="s">
        <v>204</v>
      </c>
      <c r="BG196" s="5" t="s">
        <v>271</v>
      </c>
      <c r="BH196" s="5" t="s">
        <v>271</v>
      </c>
      <c r="BI196" s="5" t="s">
        <v>242</v>
      </c>
      <c r="BJ196" s="5" t="s">
        <v>271</v>
      </c>
      <c r="BK196" s="5" t="s">
        <v>244</v>
      </c>
      <c r="BL196" s="5" t="s">
        <v>246</v>
      </c>
      <c r="BM196" s="5" t="s">
        <v>243</v>
      </c>
      <c r="BN196" s="5" t="s">
        <v>246</v>
      </c>
      <c r="BO196" s="5" t="s">
        <v>244</v>
      </c>
      <c r="BP196" s="5" t="s">
        <v>243</v>
      </c>
      <c r="BQ196" s="5" t="s">
        <v>246</v>
      </c>
      <c r="BR196" s="5" t="s">
        <v>243</v>
      </c>
      <c r="BS196" s="5" t="s">
        <v>247</v>
      </c>
      <c r="BT196" s="5" t="s">
        <v>247</v>
      </c>
      <c r="BU196" s="5" t="s">
        <v>247</v>
      </c>
      <c r="BV196" s="5" t="s">
        <v>248</v>
      </c>
      <c r="BW196" s="5" t="s">
        <v>247</v>
      </c>
      <c r="BX196" s="5" t="s">
        <v>247</v>
      </c>
      <c r="BY196" s="5" t="s">
        <v>248</v>
      </c>
      <c r="BZ196" s="5" t="s">
        <v>246</v>
      </c>
      <c r="CA196" s="5" t="s">
        <v>246</v>
      </c>
      <c r="CB196" s="5" t="s">
        <v>243</v>
      </c>
      <c r="CC196" s="5" t="s">
        <v>246</v>
      </c>
      <c r="CD196" s="5" t="s">
        <v>206</v>
      </c>
      <c r="CH196" s="5" t="s">
        <v>206</v>
      </c>
      <c r="CI196" s="5" t="s">
        <v>206</v>
      </c>
      <c r="CJ196" s="5">
        <v>2</v>
      </c>
      <c r="CK196" s="5" t="s">
        <v>223</v>
      </c>
      <c r="CU196" s="5" t="s">
        <v>206</v>
      </c>
      <c r="DA196" s="5" t="s">
        <v>231</v>
      </c>
      <c r="DB196" s="5">
        <f>IF(DA196="Mejor que lo habitual",1,
IF(DA196="Igual que lo habitual",2,
IF(DA196="Menos que lo habitual",3,
IF(DA196="Mucho menos que lo habitual",4,""))))</f>
        <v>2</v>
      </c>
      <c r="DC196" s="5" t="s">
        <v>250</v>
      </c>
      <c r="DD196" s="5">
        <f>IF(DC196="No, en absoluto",1,
IF(DC196="No más que lo habitual",2,
IF(DC196="Bastante más que lo habitual",3,
IF(DC196="Mucho más que lo habitual",4,""))))</f>
        <v>3</v>
      </c>
      <c r="DE196" s="5" t="s">
        <v>250</v>
      </c>
      <c r="DF196" s="5">
        <f>IF(DE196="No, en absoluto",1,
IF(DE196="No más que lo habitual",2,
IF(DE196="Bastante más que lo habitual",3,
IF(DE196="Mucho más que lo habitual",4,""))))</f>
        <v>3</v>
      </c>
      <c r="DG196" s="5" t="s">
        <v>230</v>
      </c>
      <c r="DH196" s="5">
        <f>IF(DG196="No, en absoluto",1,
IF(DG196="No más que lo habitual",2,
IF(DG196="Bastante más que lo habitual",3,
IF(DG196="Mucho más que lo habitual",4,""))))</f>
        <v>2</v>
      </c>
      <c r="DI196" s="5" t="s">
        <v>230</v>
      </c>
      <c r="DJ196" s="5">
        <f>IF(DI196="No, en absoluto",1,
IF(DI196="No más que lo habitual",2,
IF(DI196="Bastante más que lo habitual",3,
IF(DI196="Mucho más que lo habitual",4,""))))</f>
        <v>2</v>
      </c>
      <c r="DK196" s="5" t="s">
        <v>230</v>
      </c>
      <c r="DL196" s="5">
        <f>IF(DK196="No, en absoluto",1,
IF(DK196="No más que lo habitual",2,
IF(DK196="Bastante más que lo habitual",3,
IF(DK196="Mucho más que lo habitual",4,""))))</f>
        <v>2</v>
      </c>
      <c r="DM196" s="5" t="s">
        <v>251</v>
      </c>
      <c r="DN196" s="5">
        <f>IF(DM196="No, en absoluto",1,
IF(DM196="No más que lo habitual",2,
IF(DM196="Bastante más que lo habitual",3,
IF(DM196="Mucho más que lo habitual",4,""))))</f>
        <v>1</v>
      </c>
      <c r="DO196" s="5" t="s">
        <v>231</v>
      </c>
      <c r="DP196" s="5">
        <f>IF(DO196="Más que lo habitual",1,
IF(DO196="Igual que lo habitual",2,
IF(DO196="Menos que lo habitual",3,
IF(DO196="Mucho menos que lo habitual",4,""))))</f>
        <v>2</v>
      </c>
      <c r="DQ196" s="5" t="s">
        <v>252</v>
      </c>
      <c r="DR196" s="5">
        <f>IF(DQ196="Más que lo habitual",1,
IF(DQ196="Igual que lo habitual",2,
IF(DQ196="Menos que lo habitual",3,
IF(DQ196="Mucho menos que lo habitual",4,""))))</f>
        <v>3</v>
      </c>
      <c r="DS196" s="5" t="s">
        <v>252</v>
      </c>
      <c r="DT196" s="5">
        <f>IF(DS196="Más que lo habitual",1,
IF(DS196="Igual que lo habitual",2,
IF(DS196="Menos que lo habitual",3,
IF(DS196="Mucho menos que lo habitual",4,""))))</f>
        <v>3</v>
      </c>
      <c r="DU196" s="5" t="s">
        <v>231</v>
      </c>
      <c r="DV196" s="5">
        <f>IF(DU196="Más que lo habitual",1,
IF(DU196="Igual que lo habitual",2,
IF(DU196="Menos que lo habitual",3,
IF(DU196="Mucho menos que lo habitual",4,""))))</f>
        <v>2</v>
      </c>
      <c r="DW196" s="5" t="s">
        <v>252</v>
      </c>
      <c r="DX196" s="5">
        <f>IF(DW196="Más que lo habitual",1,
IF(DW196="Igual que lo habitual",2,
IF(DW196="Menos que lo habitual",3,
IF(DW196="Mucho menos que lo habitual",4,""))))</f>
        <v>3</v>
      </c>
      <c r="DY196" s="5">
        <f>SUM(DB196,DD196,DF196,DH196,DJ196,DL196,DN196,DP196,DR196,DT196,DV196,DX196)</f>
        <v>28</v>
      </c>
      <c r="DZ196" s="5" t="str">
        <f>IF(DY196&lt;=18,"Nivel de riesgo bajo",
IF(DY196&lt;=23,"Nivel de riesgo medio",
"Nivel de riesgo alto"))</f>
        <v>Nivel de riesgo alto</v>
      </c>
      <c r="EA196" s="5" t="s">
        <v>248</v>
      </c>
      <c r="EB196" s="5">
        <f>IF(EA196="Nunca/ casi nunca",0,
IF(EA196="Rara vez",1,
IF(EA196="A veces",2,
IF(EA196="A menudo",3,
IF(EA196="Siempre",4,"")))))</f>
        <v>1</v>
      </c>
      <c r="EC196" s="5" t="s">
        <v>247</v>
      </c>
      <c r="ED196" s="5">
        <f>IF(EC196="Nunca/ casi nunca",0,
IF(EC196="Rara vez",1,
IF(EC196="A veces",2,
IF(EC196="A menudo",3,
IF(EC196="Siempre",4,"")))))</f>
        <v>2</v>
      </c>
      <c r="EE196" s="5" t="s">
        <v>253</v>
      </c>
      <c r="EF196" s="5">
        <f>IF(EE196="Nunca/ casi nunca",0,
IF(EE196="Rara vez",1,
IF(EE196="A veces",2,
IF(EE196="A menudo",3,
IF(EE196="Siempre",4,"")))))</f>
        <v>0</v>
      </c>
      <c r="EG196" s="5">
        <f>SUM(EB196,ED196,EF196)</f>
        <v>3</v>
      </c>
      <c r="EH196" s="5" t="str">
        <f>IF(EG196&lt;=1,"Nivel de riesgo bajo",
IF(EG196&lt;=4,"Nivel de riesgo medio",
"Nivel de riesgo alto"))</f>
        <v>Nivel de riesgo medio</v>
      </c>
      <c r="EI196" s="5" t="s">
        <v>248</v>
      </c>
      <c r="EJ196" s="5">
        <f>IF(EI196="Nunca/ casi nunca",0,
IF(EI196="Rara vez",1,
IF(EI196="A veces",2,
IF(EI196="A menudo",3,
IF(EI196="Siempre",4,"")))))</f>
        <v>1</v>
      </c>
      <c r="EK196" s="5" t="s">
        <v>247</v>
      </c>
      <c r="EL196" s="5">
        <f>IF(EK196="Nunca/ casi nunca",0,
IF(EK196="Rara vez",1,
IF(EK196="A veces",2,
IF(EK196="A menudo",3,
IF(EK196="Siempre",4,"")))))</f>
        <v>2</v>
      </c>
      <c r="EM196" s="5" t="s">
        <v>248</v>
      </c>
      <c r="EN196" s="5">
        <f>IF(EM196="Nunca/ casi nunca",0,
IF(EM196="Rara vez",1,
IF(EM196="A veces",2,
IF(EM196="A menudo",3,
IF(EM196="Siempre",4,"")))))</f>
        <v>1</v>
      </c>
      <c r="EO196" s="5">
        <f>SUM(EJ196,EL196,EN196)</f>
        <v>4</v>
      </c>
      <c r="EP196" s="5" t="str">
        <f>IF(EO196&lt;=1,"Nivel de riesgo bajo",
IF(EO196&lt;=5,"Nivel de riesgo medio",
"Nivel de riesgo alto"))</f>
        <v>Nivel de riesgo medio</v>
      </c>
      <c r="EQ196" s="5" t="s">
        <v>248</v>
      </c>
      <c r="ER196" s="5">
        <f>IF(EQ196="Nunca/ casi nunca",4,
IF(EQ196="Rara vez",3,
IF(EQ196="A veces",2,
IF(EQ196="A menudo",1,
IF(EQ196="Siempre",0,"")))))</f>
        <v>3</v>
      </c>
      <c r="ES196" s="5" t="s">
        <v>248</v>
      </c>
      <c r="ET196" s="5">
        <f>IF(ES196="Nunca/ casi nunca",4,
IF(ES196="Rara vez",3,
IF(ES196="A veces",2,
IF(ES196="A menudo",1,
IF(ES196="Siempre",0,"")))))</f>
        <v>3</v>
      </c>
      <c r="EU196" s="5" t="s">
        <v>232</v>
      </c>
      <c r="EV196" s="5">
        <f>IF(EU196="Nunca/ casi nunca",4,
IF(EU196="Rara vez",3,
IF(EU196="A veces",2,
IF(EU196="A menudo",1,
IF(EU196="Siempre",0,"")))))</f>
        <v>1</v>
      </c>
      <c r="EW196" s="5" t="s">
        <v>232</v>
      </c>
      <c r="EX196" s="5">
        <f>IF(EW196="Nunca/ casi nunca",4,
IF(EW196="Rara vez",3,
IF(EW196="A veces",2,
IF(EW196="A menudo",1,
IF(EW196="Siempre",0,"")))))</f>
        <v>1</v>
      </c>
      <c r="EY196" s="5">
        <f>SUM(ER196,ET196,EV196,EX196)</f>
        <v>8</v>
      </c>
      <c r="EZ196" s="5" t="str">
        <f>IF(EY196&lt;=0,"Nivel de riesgo bajo",
IF(EY196&lt;=4,"Nivel de riesgo medio",
"Nivel de riesgo alto"))</f>
        <v>Nivel de riesgo alto</v>
      </c>
      <c r="FA196" s="5" t="s">
        <v>247</v>
      </c>
      <c r="FB196" s="5">
        <f>IF(FA196="Nunca/ casi nunca",0,
IF(FA196="Rara vez",1,
IF(FA196="A veces",2,
IF(FA196="A menudo",3,
IF(FA196="Siempre",4,"")))))</f>
        <v>2</v>
      </c>
      <c r="FC196" s="5" t="s">
        <v>248</v>
      </c>
      <c r="FD196" s="5">
        <f>IF(FC196="Nunca/ casi nunca",0,
IF(FC196="Rara vez",1,
IF(FC196="A veces",2,
IF(FC196="A menudo",3,
IF(FC196="Siempre",4,"")))))</f>
        <v>1</v>
      </c>
      <c r="FE196" s="5" t="s">
        <v>248</v>
      </c>
      <c r="FF196" s="5">
        <f>IF(FE196="Nunca/ casi nunca",0,
IF(FE196="Rara vez",1,
IF(FE196="A veces",2,
IF(FE196="A menudo",3,
IF(FE196="Siempre",4,"")))))</f>
        <v>1</v>
      </c>
      <c r="FG196" s="5">
        <f>SUM(FB196,FD196,FF196)</f>
        <v>4</v>
      </c>
      <c r="FH196" s="5" t="str">
        <f>IF(FG196&lt;=2,"Nivel de riesgo bajo",
IF(FG196&lt;=5,"Nivel de riesgo medio",
"Nivel de riesgo alto"))</f>
        <v>Nivel de riesgo medio</v>
      </c>
      <c r="FI196" s="5" t="s">
        <v>248</v>
      </c>
      <c r="FJ196" s="5">
        <f>IF(FI196="Nunca/ casi nunca",0,
IF(FI196="Rara vez",1,
IF(FI196="A veces",2,
IF(FI196="A menudo",3,
IF(FI196="Siempre",4,"")))))</f>
        <v>1</v>
      </c>
      <c r="FK196" s="5" t="s">
        <v>248</v>
      </c>
      <c r="FL196" s="5">
        <f>IF(FK196="Nunca/ casi nunca",0,
IF(FK196="Rara vez",1,
IF(FK196="A veces",2,
IF(FK196="A menudo",3,
IF(FK196="Siempre",4,"")))))</f>
        <v>1</v>
      </c>
      <c r="FM196" s="5" t="s">
        <v>248</v>
      </c>
      <c r="FN196" s="5">
        <f>IF(FM196="Nunca/ casi nunca",0,
IF(FM196="Rara vez",1,
IF(FM196="A veces",2,
IF(FM196="A menudo",3,
IF(FM196="Siempre",4,"")))))</f>
        <v>1</v>
      </c>
      <c r="FO196" s="5">
        <f>SUM(FJ196,FL196,FN196)</f>
        <v>3</v>
      </c>
      <c r="FP196" s="5" t="str">
        <f>IF(FO196&lt;=2,"Nivel de riesgo bajo",
IF(FO196&lt;=5,"Nivel de riesgo medio",
"Nivel de riesgo alto"))</f>
        <v>Nivel de riesgo medio</v>
      </c>
      <c r="FQ196" s="5" t="s">
        <v>206</v>
      </c>
      <c r="FR196" s="5">
        <f>IF(FQ196="No",0,
IF(FQ196="Sí, unas pocas veces",1,
IF(FQ196="Sí, mensualmente",2,
IF(FQ196="Sí, semanalmente",3,
IF(FQ196="Sí, diariamente",4,"")))))</f>
        <v>0</v>
      </c>
      <c r="FS196" s="5" t="s">
        <v>206</v>
      </c>
      <c r="FT196" s="5">
        <f>IF(FS196="No",0,
IF(FS196="Sí, unas pocas veces",1,
IF(FS196="Sí, mensualmente",2,
IF(FS196="Sí, semanalmente",3,
IF(FS196="Sí, diariamente",4,"")))))</f>
        <v>0</v>
      </c>
      <c r="FU196" s="5" t="s">
        <v>265</v>
      </c>
      <c r="FV196" s="5">
        <f>IF(FU196="No",0,
IF(FU196="Sí, unas pocas veces",1,
IF(FU196="Sí, mensualmente",2,
IF(FU196="Sí, semanalmente",3,
IF(FU196="Sí, diariamente",4,"")))))</f>
        <v>1</v>
      </c>
      <c r="FW196" s="5" t="s">
        <v>265</v>
      </c>
      <c r="FX196" s="5">
        <f>IF(FW196="No",0,
IF(FW196="Sí, unas pocas veces",1,
IF(FW196="Sí, mensualmente",2,
IF(FW196="Sí, semanalmente",3,
IF(FW196="Sí, diariamente",4,"")))))</f>
        <v>1</v>
      </c>
      <c r="FY196" s="5" t="s">
        <v>265</v>
      </c>
      <c r="FZ196" s="5">
        <f>IF(FY196="No",0,
IF(FY196="Sí, unas pocas veces",1,
IF(FY196="Sí, mensualmente",2,
IF(FY196="Sí, semanalmente",3,
IF(FY196="Sí, diariamente",4,"")))))</f>
        <v>1</v>
      </c>
      <c r="GA196" s="5" t="s">
        <v>206</v>
      </c>
      <c r="GB196" s="5">
        <f>IF(GA196="No",0,
IF(GA196="Sí, unas pocas veces",1,
IF(GA196="Sí, mensualmente",2,
IF(GA196="Sí, semanalmente",3,
IF(GA196="Sí, diariamente",4,"")))))</f>
        <v>0</v>
      </c>
      <c r="GC196" s="5" t="s">
        <v>265</v>
      </c>
      <c r="GD196" s="5">
        <f>IF(GC196="No",0,
IF(GC196="Sí, unas pocas veces",1,
IF(GC196="Sí, mensualmente",2,
IF(GC196="Sí, semanalmente",3,
IF(GC196="Sí, diariamente",4,"")))))</f>
        <v>1</v>
      </c>
      <c r="GE196" s="5">
        <f>SUM(FR196,FT196,FV196,FX196,FZ196,GB196,GD196)</f>
        <v>4</v>
      </c>
      <c r="GF196" s="5" t="str">
        <f>IF(GE196&lt;=0,"Nivel de riesgo bajo",
IF(GE196&lt;=14,"Nivel de riesgo medio",
"Nivel de riesgo alto"))</f>
        <v>Nivel de riesgo medio</v>
      </c>
      <c r="GG196" s="5" t="s">
        <v>255</v>
      </c>
      <c r="GH196" s="5" t="s">
        <v>255</v>
      </c>
      <c r="GI196" s="5" t="s">
        <v>273</v>
      </c>
      <c r="GJ196" s="5" t="s">
        <v>266</v>
      </c>
      <c r="GK196" s="5" t="s">
        <v>233</v>
      </c>
      <c r="GL196" s="5" t="s">
        <v>273</v>
      </c>
      <c r="GM196" s="5" t="s">
        <v>255</v>
      </c>
      <c r="GN196" s="5" t="s">
        <v>256</v>
      </c>
      <c r="GO196" s="5" t="s">
        <v>256</v>
      </c>
      <c r="GP196" s="5" t="s">
        <v>256</v>
      </c>
      <c r="GQ196" s="5" t="s">
        <v>243</v>
      </c>
      <c r="GR196" s="5" t="s">
        <v>257</v>
      </c>
      <c r="GS196" s="5" t="s">
        <v>257</v>
      </c>
      <c r="GT196" s="5" t="s">
        <v>256</v>
      </c>
      <c r="GU196" s="5" t="s">
        <v>547</v>
      </c>
      <c r="GV196" s="5" t="str">
        <f>TEXT("6278986494248667193","0")</f>
        <v>6278986494248660000</v>
      </c>
    </row>
    <row r="197" spans="1:204" ht="15.75" hidden="1" customHeight="1" x14ac:dyDescent="0.15">
      <c r="B197" s="4">
        <v>45847.651550925926</v>
      </c>
      <c r="C197" s="5" t="s">
        <v>206</v>
      </c>
      <c r="GV197" s="5" t="str">
        <f>TEXT("6278990946414599883","0")</f>
        <v>6278990946414590000</v>
      </c>
    </row>
    <row r="198" spans="1:204" ht="15.75" customHeight="1" x14ac:dyDescent="0.15">
      <c r="A198" s="1">
        <f t="shared" ref="A198:A203" si="510">ROW(A198)</f>
        <v>198</v>
      </c>
      <c r="B198" s="4">
        <v>45847.651574074072</v>
      </c>
      <c r="C198" s="5" t="s">
        <v>204</v>
      </c>
      <c r="D198" s="5" t="s">
        <v>206</v>
      </c>
      <c r="F198" s="5" t="s">
        <v>206</v>
      </c>
      <c r="G198" s="5" t="s">
        <v>206</v>
      </c>
      <c r="H198" s="5" t="s">
        <v>206</v>
      </c>
      <c r="K198" s="5" t="s">
        <v>237</v>
      </c>
      <c r="O198" s="5" t="s">
        <v>209</v>
      </c>
      <c r="T198" s="5" t="s">
        <v>209</v>
      </c>
      <c r="Y198" s="5" t="s">
        <v>209</v>
      </c>
      <c r="AD198" s="5" t="s">
        <v>209</v>
      </c>
      <c r="AH198" s="5" t="s">
        <v>268</v>
      </c>
      <c r="AI198" s="5">
        <v>2020</v>
      </c>
      <c r="AJ198" s="5" t="s">
        <v>330</v>
      </c>
      <c r="AK198" s="5" t="str">
        <f t="shared" ref="AK198:AK203" si="511">IF(OR(AJ198="Empleada del sector privado",AJ198="Empleada del sector público"),"Asalariada",
IF(AJ198="Trabajadora por cuenta propia","Trabajadora por cuenta propia",""))</f>
        <v>Asalariada</v>
      </c>
      <c r="AQ198" s="5" t="s">
        <v>204</v>
      </c>
      <c r="AR198" s="5" t="s">
        <v>261</v>
      </c>
      <c r="AS198" s="5" t="s">
        <v>241</v>
      </c>
      <c r="AT198" s="5" t="s">
        <v>241</v>
      </c>
      <c r="AU198" s="5" t="s">
        <v>241</v>
      </c>
      <c r="AV198" s="5" t="s">
        <v>285</v>
      </c>
      <c r="AW198" s="5" t="s">
        <v>204</v>
      </c>
      <c r="AX198" s="5" t="s">
        <v>206</v>
      </c>
      <c r="BF198" s="5" t="s">
        <v>204</v>
      </c>
      <c r="BG198" s="5" t="s">
        <v>271</v>
      </c>
      <c r="BH198" s="5" t="s">
        <v>271</v>
      </c>
      <c r="BI198" s="5" t="s">
        <v>207</v>
      </c>
      <c r="BJ198" s="5" t="s">
        <v>242</v>
      </c>
      <c r="BK198" s="5" t="s">
        <v>246</v>
      </c>
      <c r="BL198" s="5" t="s">
        <v>244</v>
      </c>
      <c r="BM198" s="5" t="s">
        <v>243</v>
      </c>
      <c r="BN198" s="5" t="s">
        <v>243</v>
      </c>
      <c r="BO198" s="5" t="s">
        <v>246</v>
      </c>
      <c r="BP198" s="5" t="s">
        <v>243</v>
      </c>
      <c r="BQ198" s="5" t="s">
        <v>243</v>
      </c>
      <c r="BR198" s="5" t="s">
        <v>244</v>
      </c>
      <c r="BS198" s="5" t="s">
        <v>247</v>
      </c>
      <c r="BT198" s="5" t="s">
        <v>254</v>
      </c>
      <c r="BU198" s="5" t="s">
        <v>247</v>
      </c>
      <c r="BV198" s="5" t="s">
        <v>217</v>
      </c>
      <c r="BW198" s="5" t="s">
        <v>247</v>
      </c>
      <c r="BX198" s="5" t="s">
        <v>247</v>
      </c>
      <c r="BY198" s="5" t="s">
        <v>254</v>
      </c>
      <c r="BZ198" s="5" t="s">
        <v>246</v>
      </c>
      <c r="CA198" s="5" t="s">
        <v>244</v>
      </c>
      <c r="CB198" s="5" t="s">
        <v>244</v>
      </c>
      <c r="CC198" s="5" t="s">
        <v>243</v>
      </c>
      <c r="CD198" s="5" t="s">
        <v>206</v>
      </c>
      <c r="CH198" s="5" t="s">
        <v>206</v>
      </c>
      <c r="CI198" s="5" t="s">
        <v>206</v>
      </c>
      <c r="CJ198" s="5">
        <v>0</v>
      </c>
      <c r="CK198" s="5" t="s">
        <v>223</v>
      </c>
      <c r="CU198" s="5" t="s">
        <v>206</v>
      </c>
      <c r="DA198" s="5" t="s">
        <v>229</v>
      </c>
      <c r="DB198" s="5">
        <f t="shared" ref="DB198:DB203" si="512">IF(DA198="Mejor que lo habitual",1,
IF(DA198="Igual que lo habitual",2,
IF(DA198="Menos que lo habitual",3,
IF(DA198="Mucho menos que lo habitual",4,""))))</f>
        <v>4</v>
      </c>
      <c r="DC198" s="5" t="s">
        <v>280</v>
      </c>
      <c r="DD198" s="5">
        <f t="shared" ref="DD198:DD203" si="513">IF(DC198="No, en absoluto",1,
IF(DC198="No más que lo habitual",2,
IF(DC198="Bastante más que lo habitual",3,
IF(DC198="Mucho más que lo habitual",4,""))))</f>
        <v>4</v>
      </c>
      <c r="DE198" s="5" t="s">
        <v>280</v>
      </c>
      <c r="DF198" s="5">
        <f t="shared" ref="DF198:DF203" si="514">IF(DE198="No, en absoluto",1,
IF(DE198="No más que lo habitual",2,
IF(DE198="Bastante más que lo habitual",3,
IF(DE198="Mucho más que lo habitual",4,""))))</f>
        <v>4</v>
      </c>
      <c r="DG198" s="5" t="s">
        <v>280</v>
      </c>
      <c r="DH198" s="5">
        <f t="shared" ref="DH198:DH203" si="515">IF(DG198="No, en absoluto",1,
IF(DG198="No más que lo habitual",2,
IF(DG198="Bastante más que lo habitual",3,
IF(DG198="Mucho más que lo habitual",4,""))))</f>
        <v>4</v>
      </c>
      <c r="DI198" s="5" t="s">
        <v>250</v>
      </c>
      <c r="DJ198" s="5">
        <f t="shared" ref="DJ198:DJ203" si="516">IF(DI198="No, en absoluto",1,
IF(DI198="No más que lo habitual",2,
IF(DI198="Bastante más que lo habitual",3,
IF(DI198="Mucho más que lo habitual",4,""))))</f>
        <v>3</v>
      </c>
      <c r="DK198" s="5" t="s">
        <v>250</v>
      </c>
      <c r="DL198" s="5">
        <f t="shared" ref="DL198:DL203" si="517">IF(DK198="No, en absoluto",1,
IF(DK198="No más que lo habitual",2,
IF(DK198="Bastante más que lo habitual",3,
IF(DK198="Mucho más que lo habitual",4,""))))</f>
        <v>3</v>
      </c>
      <c r="DM198" s="5" t="s">
        <v>230</v>
      </c>
      <c r="DN198" s="5">
        <f t="shared" ref="DN198:DN203" si="518">IF(DM198="No, en absoluto",1,
IF(DM198="No más que lo habitual",2,
IF(DM198="Bastante más que lo habitual",3,
IF(DM198="Mucho más que lo habitual",4,""))))</f>
        <v>2</v>
      </c>
      <c r="DO198" s="5" t="s">
        <v>231</v>
      </c>
      <c r="DP198" s="5">
        <f t="shared" ref="DP198:DP203" si="519">IF(DO198="Más que lo habitual",1,
IF(DO198="Igual que lo habitual",2,
IF(DO198="Menos que lo habitual",3,
IF(DO198="Mucho menos que lo habitual",4,""))))</f>
        <v>2</v>
      </c>
      <c r="DQ198" s="5" t="s">
        <v>231</v>
      </c>
      <c r="DR198" s="5">
        <f t="shared" ref="DR198:DR203" si="520">IF(DQ198="Más que lo habitual",1,
IF(DQ198="Igual que lo habitual",2,
IF(DQ198="Menos que lo habitual",3,
IF(DQ198="Mucho menos que lo habitual",4,""))))</f>
        <v>2</v>
      </c>
      <c r="DS198" s="5" t="s">
        <v>231</v>
      </c>
      <c r="DT198" s="5">
        <f t="shared" ref="DT198:DT203" si="521">IF(DS198="Más que lo habitual",1,
IF(DS198="Igual que lo habitual",2,
IF(DS198="Menos que lo habitual",3,
IF(DS198="Mucho menos que lo habitual",4,""))))</f>
        <v>2</v>
      </c>
      <c r="DU198" s="5" t="s">
        <v>231</v>
      </c>
      <c r="DV198" s="5">
        <f t="shared" ref="DV198:DV203" si="522">IF(DU198="Más que lo habitual",1,
IF(DU198="Igual que lo habitual",2,
IF(DU198="Menos que lo habitual",3,
IF(DU198="Mucho menos que lo habitual",4,""))))</f>
        <v>2</v>
      </c>
      <c r="DW198" s="5" t="s">
        <v>252</v>
      </c>
      <c r="DX198" s="5">
        <f t="shared" ref="DX198:DX203" si="523">IF(DW198="Más que lo habitual",1,
IF(DW198="Igual que lo habitual",2,
IF(DW198="Menos que lo habitual",3,
IF(DW198="Mucho menos que lo habitual",4,""))))</f>
        <v>3</v>
      </c>
      <c r="DY198" s="5">
        <f t="shared" ref="DY198:DY203" si="524">SUM(DB198,DD198,DF198,DH198,DJ198,DL198,DN198,DP198,DR198,DT198,DV198,DX198)</f>
        <v>35</v>
      </c>
      <c r="DZ198" s="5" t="str">
        <f t="shared" ref="DZ198:DZ203" si="525">IF(DY198&lt;=18,"Nivel de riesgo bajo",
IF(DY198&lt;=23,"Nivel de riesgo medio",
"Nivel de riesgo alto"))</f>
        <v>Nivel de riesgo alto</v>
      </c>
      <c r="EA198" s="5" t="s">
        <v>253</v>
      </c>
      <c r="EB198" s="5">
        <f t="shared" ref="EB198:EB203" si="526">IF(EA198="Nunca/ casi nunca",0,
IF(EA198="Rara vez",1,
IF(EA198="A veces",2,
IF(EA198="A menudo",3,
IF(EA198="Siempre",4,"")))))</f>
        <v>0</v>
      </c>
      <c r="EC198" s="5" t="s">
        <v>247</v>
      </c>
      <c r="ED198" s="5">
        <f t="shared" ref="ED198:ED203" si="527">IF(EC198="Nunca/ casi nunca",0,
IF(EC198="Rara vez",1,
IF(EC198="A veces",2,
IF(EC198="A menudo",3,
IF(EC198="Siempre",4,"")))))</f>
        <v>2</v>
      </c>
      <c r="EE198" s="5" t="s">
        <v>253</v>
      </c>
      <c r="EF198" s="5">
        <f t="shared" ref="EF198:EF203" si="528">IF(EE198="Nunca/ casi nunca",0,
IF(EE198="Rara vez",1,
IF(EE198="A veces",2,
IF(EE198="A menudo",3,
IF(EE198="Siempre",4,"")))))</f>
        <v>0</v>
      </c>
      <c r="EG198" s="5">
        <f t="shared" ref="EG198:EG203" si="529">SUM(EB198,ED198,EF198)</f>
        <v>2</v>
      </c>
      <c r="EH198" s="5" t="str">
        <f t="shared" ref="EH198:EH203" si="530">IF(EG198&lt;=1,"Nivel de riesgo bajo",
IF(EG198&lt;=4,"Nivel de riesgo medio",
"Nivel de riesgo alto"))</f>
        <v>Nivel de riesgo medio</v>
      </c>
      <c r="EI198" s="5" t="s">
        <v>254</v>
      </c>
      <c r="EJ198" s="5">
        <f t="shared" ref="EJ198:EJ203" si="531">IF(EI198="Nunca/ casi nunca",0,
IF(EI198="Rara vez",1,
IF(EI198="A veces",2,
IF(EI198="A menudo",3,
IF(EI198="Siempre",4,"")))))</f>
        <v>4</v>
      </c>
      <c r="EK198" s="5" t="s">
        <v>254</v>
      </c>
      <c r="EL198" s="5">
        <f t="shared" ref="EL198:EL203" si="532">IF(EK198="Nunca/ casi nunca",0,
IF(EK198="Rara vez",1,
IF(EK198="A veces",2,
IF(EK198="A menudo",3,
IF(EK198="Siempre",4,"")))))</f>
        <v>4</v>
      </c>
      <c r="EM198" s="5" t="s">
        <v>254</v>
      </c>
      <c r="EN198" s="5">
        <f t="shared" ref="EN198:EN203" si="533">IF(EM198="Nunca/ casi nunca",0,
IF(EM198="Rara vez",1,
IF(EM198="A veces",2,
IF(EM198="A menudo",3,
IF(EM198="Siempre",4,"")))))</f>
        <v>4</v>
      </c>
      <c r="EO198" s="5">
        <f t="shared" ref="EO198:EO203" si="534">SUM(EJ198,EL198,EN198)</f>
        <v>12</v>
      </c>
      <c r="EP198" s="5" t="str">
        <f t="shared" ref="EP198:EP203" si="535">IF(EO198&lt;=1,"Nivel de riesgo bajo",
IF(EO198&lt;=5,"Nivel de riesgo medio",
"Nivel de riesgo alto"))</f>
        <v>Nivel de riesgo alto</v>
      </c>
      <c r="EQ198" s="5" t="s">
        <v>253</v>
      </c>
      <c r="ER198" s="5">
        <f t="shared" ref="ER198:ER203" si="536">IF(EQ198="Nunca/ casi nunca",4,
IF(EQ198="Rara vez",3,
IF(EQ198="A veces",2,
IF(EQ198="A menudo",1,
IF(EQ198="Siempre",0,"")))))</f>
        <v>4</v>
      </c>
      <c r="ES198" s="5" t="s">
        <v>253</v>
      </c>
      <c r="ET198" s="5">
        <f t="shared" ref="ET198:ET203" si="537">IF(ES198="Nunca/ casi nunca",4,
IF(ES198="Rara vez",3,
IF(ES198="A veces",2,
IF(ES198="A menudo",1,
IF(ES198="Siempre",0,"")))))</f>
        <v>4</v>
      </c>
      <c r="EU198" s="5" t="s">
        <v>253</v>
      </c>
      <c r="EV198" s="5">
        <f t="shared" ref="EV198:EV203" si="538">IF(EU198="Nunca/ casi nunca",4,
IF(EU198="Rara vez",3,
IF(EU198="A veces",2,
IF(EU198="A menudo",1,
IF(EU198="Siempre",0,"")))))</f>
        <v>4</v>
      </c>
      <c r="EW198" s="5" t="s">
        <v>247</v>
      </c>
      <c r="EX198" s="5">
        <f t="shared" ref="EX198:EX203" si="539">IF(EW198="Nunca/ casi nunca",4,
IF(EW198="Rara vez",3,
IF(EW198="A veces",2,
IF(EW198="A menudo",1,
IF(EW198="Siempre",0,"")))))</f>
        <v>2</v>
      </c>
      <c r="EY198" s="5">
        <f t="shared" ref="EY198:EY203" si="540">SUM(ER198,ET198,EV198,EX198)</f>
        <v>14</v>
      </c>
      <c r="EZ198" s="5" t="str">
        <f t="shared" ref="EZ198:EZ203" si="541">IF(EY198&lt;=0,"Nivel de riesgo bajo",
IF(EY198&lt;=4,"Nivel de riesgo medio",
"Nivel de riesgo alto"))</f>
        <v>Nivel de riesgo alto</v>
      </c>
      <c r="FA198" s="5" t="s">
        <v>248</v>
      </c>
      <c r="FB198" s="5">
        <f t="shared" ref="FB198:FB203" si="542">IF(FA198="Nunca/ casi nunca",0,
IF(FA198="Rara vez",1,
IF(FA198="A veces",2,
IF(FA198="A menudo",3,
IF(FA198="Siempre",4,"")))))</f>
        <v>1</v>
      </c>
      <c r="FC198" s="5" t="s">
        <v>254</v>
      </c>
      <c r="FD198" s="5">
        <f t="shared" ref="FD198:FD203" si="543">IF(FC198="Nunca/ casi nunca",0,
IF(FC198="Rara vez",1,
IF(FC198="A veces",2,
IF(FC198="A menudo",3,
IF(FC198="Siempre",4,"")))))</f>
        <v>4</v>
      </c>
      <c r="FE198" s="5" t="s">
        <v>254</v>
      </c>
      <c r="FF198" s="5">
        <f t="shared" ref="FF198:FF203" si="544">IF(FE198="Nunca/ casi nunca",0,
IF(FE198="Rara vez",1,
IF(FE198="A veces",2,
IF(FE198="A menudo",3,
IF(FE198="Siempre",4,"")))))</f>
        <v>4</v>
      </c>
      <c r="FG198" s="5">
        <f t="shared" ref="FG198:FG203" si="545">SUM(FB198,FD198,FF198)</f>
        <v>9</v>
      </c>
      <c r="FH198" s="5" t="str">
        <f t="shared" ref="FH198:FH203" si="546">IF(FG198&lt;=2,"Nivel de riesgo bajo",
IF(FG198&lt;=5,"Nivel de riesgo medio",
"Nivel de riesgo alto"))</f>
        <v>Nivel de riesgo alto</v>
      </c>
      <c r="FI198" s="5" t="s">
        <v>253</v>
      </c>
      <c r="FJ198" s="5">
        <f t="shared" ref="FJ198:FJ203" si="547">IF(FI198="Nunca/ casi nunca",0,
IF(FI198="Rara vez",1,
IF(FI198="A veces",2,
IF(FI198="A menudo",3,
IF(FI198="Siempre",4,"")))))</f>
        <v>0</v>
      </c>
      <c r="FK198" s="5" t="s">
        <v>247</v>
      </c>
      <c r="FL198" s="5">
        <f t="shared" ref="FL198:FL203" si="548">IF(FK198="Nunca/ casi nunca",0,
IF(FK198="Rara vez",1,
IF(FK198="A veces",2,
IF(FK198="A menudo",3,
IF(FK198="Siempre",4,"")))))</f>
        <v>2</v>
      </c>
      <c r="FM198" s="5" t="s">
        <v>247</v>
      </c>
      <c r="FN198" s="5">
        <f t="shared" ref="FN198:FN203" si="549">IF(FM198="Nunca/ casi nunca",0,
IF(FM198="Rara vez",1,
IF(FM198="A veces",2,
IF(FM198="A menudo",3,
IF(FM198="Siempre",4,"")))))</f>
        <v>2</v>
      </c>
      <c r="FO198" s="5">
        <f t="shared" ref="FO198:FO203" si="550">SUM(FJ198,FL198,FN198)</f>
        <v>4</v>
      </c>
      <c r="FP198" s="5" t="str">
        <f t="shared" ref="FP198:FP203" si="551">IF(FO198&lt;=2,"Nivel de riesgo bajo",
IF(FO198&lt;=5,"Nivel de riesgo medio",
"Nivel de riesgo alto"))</f>
        <v>Nivel de riesgo medio</v>
      </c>
      <c r="FQ198" s="5" t="s">
        <v>206</v>
      </c>
      <c r="FR198" s="5">
        <f t="shared" ref="FR198:FR203" si="552">IF(FQ198="No",0,
IF(FQ198="Sí, unas pocas veces",1,
IF(FQ198="Sí, mensualmente",2,
IF(FQ198="Sí, semanalmente",3,
IF(FQ198="Sí, diariamente",4,"")))))</f>
        <v>0</v>
      </c>
      <c r="FS198" s="5" t="s">
        <v>206</v>
      </c>
      <c r="FT198" s="5">
        <f t="shared" ref="FT198:FT203" si="553">IF(FS198="No",0,
IF(FS198="Sí, unas pocas veces",1,
IF(FS198="Sí, mensualmente",2,
IF(FS198="Sí, semanalmente",3,
IF(FS198="Sí, diariamente",4,"")))))</f>
        <v>0</v>
      </c>
      <c r="FU198" s="5" t="s">
        <v>206</v>
      </c>
      <c r="FV198" s="5">
        <f t="shared" ref="FV198:FV203" si="554">IF(FU198="No",0,
IF(FU198="Sí, unas pocas veces",1,
IF(FU198="Sí, mensualmente",2,
IF(FU198="Sí, semanalmente",3,
IF(FU198="Sí, diariamente",4,"")))))</f>
        <v>0</v>
      </c>
      <c r="FW198" s="5" t="s">
        <v>206</v>
      </c>
      <c r="FX198" s="5">
        <f t="shared" ref="FX198:FX203" si="555">IF(FW198="No",0,
IF(FW198="Sí, unas pocas veces",1,
IF(FW198="Sí, mensualmente",2,
IF(FW198="Sí, semanalmente",3,
IF(FW198="Sí, diariamente",4,"")))))</f>
        <v>0</v>
      </c>
      <c r="FY198" s="5" t="s">
        <v>206</v>
      </c>
      <c r="FZ198" s="5">
        <f t="shared" ref="FZ198:FZ203" si="556">IF(FY198="No",0,
IF(FY198="Sí, unas pocas veces",1,
IF(FY198="Sí, mensualmente",2,
IF(FY198="Sí, semanalmente",3,
IF(FY198="Sí, diariamente",4,"")))))</f>
        <v>0</v>
      </c>
      <c r="GA198" s="5" t="s">
        <v>206</v>
      </c>
      <c r="GB198" s="5">
        <f t="shared" ref="GB198:GB203" si="557">IF(GA198="No",0,
IF(GA198="Sí, unas pocas veces",1,
IF(GA198="Sí, mensualmente",2,
IF(GA198="Sí, semanalmente",3,
IF(GA198="Sí, diariamente",4,"")))))</f>
        <v>0</v>
      </c>
      <c r="GC198" s="5" t="s">
        <v>206</v>
      </c>
      <c r="GD198" s="5">
        <f t="shared" ref="GD198:GD203" si="558">IF(GC198="No",0,
IF(GC198="Sí, unas pocas veces",1,
IF(GC198="Sí, mensualmente",2,
IF(GC198="Sí, semanalmente",3,
IF(GC198="Sí, diariamente",4,"")))))</f>
        <v>0</v>
      </c>
      <c r="GE198" s="5">
        <f t="shared" ref="GE198:GE203" si="559">SUM(FR198,FT198,FV198,FX198,FZ198,GB198,GD198)</f>
        <v>0</v>
      </c>
      <c r="GF198" s="5" t="str">
        <f t="shared" ref="GF198:GF203" si="560">IF(GE198&lt;=0,"Nivel de riesgo bajo",
IF(GE198&lt;=14,"Nivel de riesgo medio",
"Nivel de riesgo alto"))</f>
        <v>Nivel de riesgo bajo</v>
      </c>
      <c r="GG198" s="5" t="s">
        <v>255</v>
      </c>
      <c r="GH198" s="5" t="s">
        <v>233</v>
      </c>
      <c r="GI198" s="5" t="s">
        <v>255</v>
      </c>
      <c r="GJ198" s="5" t="s">
        <v>255</v>
      </c>
      <c r="GK198" s="5" t="s">
        <v>233</v>
      </c>
      <c r="GL198" s="5" t="s">
        <v>233</v>
      </c>
      <c r="GM198" s="5" t="s">
        <v>233</v>
      </c>
      <c r="GN198" s="5" t="s">
        <v>256</v>
      </c>
      <c r="GO198" s="5" t="s">
        <v>256</v>
      </c>
      <c r="GP198" s="5" t="s">
        <v>243</v>
      </c>
      <c r="GQ198" s="5" t="s">
        <v>234</v>
      </c>
      <c r="GR198" s="5" t="s">
        <v>234</v>
      </c>
      <c r="GS198" s="5" t="s">
        <v>234</v>
      </c>
      <c r="GT198" s="5" t="s">
        <v>243</v>
      </c>
      <c r="GU198" s="5" t="s">
        <v>548</v>
      </c>
      <c r="GV198" s="5" t="str">
        <f>TEXT("6278990960395936091","0")</f>
        <v>6278990960395930000</v>
      </c>
    </row>
    <row r="199" spans="1:204" ht="15.75" customHeight="1" x14ac:dyDescent="0.15">
      <c r="A199" s="1">
        <f t="shared" si="510"/>
        <v>199</v>
      </c>
      <c r="B199" s="4">
        <v>45847.654097222221</v>
      </c>
      <c r="C199" s="5" t="s">
        <v>204</v>
      </c>
      <c r="D199" s="5" t="s">
        <v>204</v>
      </c>
      <c r="E199" s="5" t="s">
        <v>335</v>
      </c>
      <c r="F199" s="5" t="s">
        <v>206</v>
      </c>
      <c r="G199" s="5" t="s">
        <v>204</v>
      </c>
      <c r="H199" s="5" t="s">
        <v>206</v>
      </c>
      <c r="J199" s="5" t="s">
        <v>209</v>
      </c>
      <c r="O199" s="5" t="s">
        <v>209</v>
      </c>
      <c r="S199" s="5" t="s">
        <v>208</v>
      </c>
      <c r="X199" s="5" t="s">
        <v>208</v>
      </c>
      <c r="AC199" s="5" t="s">
        <v>208</v>
      </c>
      <c r="AH199" s="5" t="s">
        <v>210</v>
      </c>
      <c r="AI199" s="5">
        <v>2025</v>
      </c>
      <c r="AJ199" s="5" t="s">
        <v>238</v>
      </c>
      <c r="AK199" s="5" t="str">
        <f t="shared" si="511"/>
        <v>Trabajadora por cuenta propia</v>
      </c>
      <c r="AL199" s="5" t="s">
        <v>239</v>
      </c>
      <c r="AP199" s="5" t="s">
        <v>240</v>
      </c>
      <c r="AR199" s="5" t="s">
        <v>241</v>
      </c>
      <c r="AS199" s="5" t="s">
        <v>241</v>
      </c>
      <c r="AT199" s="5" t="s">
        <v>261</v>
      </c>
      <c r="AU199" s="5" t="s">
        <v>294</v>
      </c>
      <c r="AV199" s="5" t="s">
        <v>213</v>
      </c>
      <c r="AW199" s="5" t="s">
        <v>206</v>
      </c>
      <c r="BF199" s="5" t="s">
        <v>204</v>
      </c>
      <c r="BG199" s="5" t="s">
        <v>242</v>
      </c>
      <c r="BH199" s="5" t="s">
        <v>242</v>
      </c>
      <c r="BI199" s="5" t="s">
        <v>278</v>
      </c>
      <c r="BJ199" s="5" t="s">
        <v>278</v>
      </c>
      <c r="BK199" s="5" t="s">
        <v>244</v>
      </c>
      <c r="BL199" s="5" t="s">
        <v>244</v>
      </c>
      <c r="BM199" s="5" t="s">
        <v>244</v>
      </c>
      <c r="BN199" s="5" t="s">
        <v>243</v>
      </c>
      <c r="BO199" s="5" t="s">
        <v>244</v>
      </c>
      <c r="BP199" s="5" t="s">
        <v>246</v>
      </c>
      <c r="BQ199" s="5" t="s">
        <v>244</v>
      </c>
      <c r="BR199" s="5" t="s">
        <v>246</v>
      </c>
      <c r="BS199" s="5" t="s">
        <v>247</v>
      </c>
      <c r="BT199" s="5" t="s">
        <v>232</v>
      </c>
      <c r="BU199" s="5" t="s">
        <v>247</v>
      </c>
      <c r="BV199" s="5" t="s">
        <v>247</v>
      </c>
      <c r="BW199" s="5" t="s">
        <v>254</v>
      </c>
      <c r="BX199" s="5" t="s">
        <v>247</v>
      </c>
      <c r="BY199" s="5" t="s">
        <v>247</v>
      </c>
      <c r="CD199" s="5" t="s">
        <v>206</v>
      </c>
      <c r="CH199" s="5" t="s">
        <v>206</v>
      </c>
      <c r="CI199" s="5" t="s">
        <v>206</v>
      </c>
      <c r="CJ199" s="5">
        <v>0</v>
      </c>
      <c r="CK199" s="5" t="s">
        <v>223</v>
      </c>
      <c r="CU199" s="5" t="s">
        <v>206</v>
      </c>
      <c r="DA199" s="5" t="s">
        <v>231</v>
      </c>
      <c r="DB199" s="5">
        <f t="shared" si="512"/>
        <v>2</v>
      </c>
      <c r="DC199" s="5" t="s">
        <v>250</v>
      </c>
      <c r="DD199" s="5">
        <f t="shared" si="513"/>
        <v>3</v>
      </c>
      <c r="DE199" s="5" t="s">
        <v>230</v>
      </c>
      <c r="DF199" s="5">
        <f t="shared" si="514"/>
        <v>2</v>
      </c>
      <c r="DG199" s="5" t="s">
        <v>230</v>
      </c>
      <c r="DH199" s="5">
        <f t="shared" si="515"/>
        <v>2</v>
      </c>
      <c r="DI199" s="5" t="s">
        <v>230</v>
      </c>
      <c r="DJ199" s="5">
        <f t="shared" si="516"/>
        <v>2</v>
      </c>
      <c r="DK199" s="5" t="s">
        <v>230</v>
      </c>
      <c r="DL199" s="5">
        <f t="shared" si="517"/>
        <v>2</v>
      </c>
      <c r="DM199" s="5" t="s">
        <v>251</v>
      </c>
      <c r="DN199" s="5">
        <f t="shared" si="518"/>
        <v>1</v>
      </c>
      <c r="DO199" s="5" t="s">
        <v>231</v>
      </c>
      <c r="DP199" s="5">
        <f t="shared" si="519"/>
        <v>2</v>
      </c>
      <c r="DQ199" s="5" t="s">
        <v>231</v>
      </c>
      <c r="DR199" s="5">
        <f t="shared" si="520"/>
        <v>2</v>
      </c>
      <c r="DS199" s="5" t="s">
        <v>252</v>
      </c>
      <c r="DT199" s="5">
        <f t="shared" si="521"/>
        <v>3</v>
      </c>
      <c r="DU199" s="5" t="s">
        <v>231</v>
      </c>
      <c r="DV199" s="5">
        <f t="shared" si="522"/>
        <v>2</v>
      </c>
      <c r="DW199" s="5" t="s">
        <v>231</v>
      </c>
      <c r="DX199" s="5">
        <f t="shared" si="523"/>
        <v>2</v>
      </c>
      <c r="DY199" s="5">
        <f t="shared" si="524"/>
        <v>25</v>
      </c>
      <c r="DZ199" s="5" t="str">
        <f t="shared" si="525"/>
        <v>Nivel de riesgo alto</v>
      </c>
      <c r="EA199" s="5" t="s">
        <v>248</v>
      </c>
      <c r="EB199" s="5">
        <f t="shared" si="526"/>
        <v>1</v>
      </c>
      <c r="EC199" s="5" t="s">
        <v>248</v>
      </c>
      <c r="ED199" s="5">
        <f t="shared" si="527"/>
        <v>1</v>
      </c>
      <c r="EE199" s="5" t="s">
        <v>253</v>
      </c>
      <c r="EF199" s="5">
        <f t="shared" si="528"/>
        <v>0</v>
      </c>
      <c r="EG199" s="5">
        <f t="shared" si="529"/>
        <v>2</v>
      </c>
      <c r="EH199" s="5" t="str">
        <f t="shared" si="530"/>
        <v>Nivel de riesgo medio</v>
      </c>
      <c r="EI199" s="5" t="s">
        <v>253</v>
      </c>
      <c r="EJ199" s="5">
        <f t="shared" si="531"/>
        <v>0</v>
      </c>
      <c r="EK199" s="5" t="s">
        <v>253</v>
      </c>
      <c r="EL199" s="5">
        <f t="shared" si="532"/>
        <v>0</v>
      </c>
      <c r="EM199" s="5" t="s">
        <v>248</v>
      </c>
      <c r="EN199" s="5">
        <f t="shared" si="533"/>
        <v>1</v>
      </c>
      <c r="EO199" s="5">
        <f t="shared" si="534"/>
        <v>1</v>
      </c>
      <c r="EP199" s="5" t="str">
        <f t="shared" si="535"/>
        <v>Nivel de riesgo bajo</v>
      </c>
      <c r="EQ199" s="5" t="s">
        <v>253</v>
      </c>
      <c r="ER199" s="5">
        <f t="shared" si="536"/>
        <v>4</v>
      </c>
      <c r="ES199" s="5" t="s">
        <v>253</v>
      </c>
      <c r="ET199" s="5">
        <f t="shared" si="537"/>
        <v>4</v>
      </c>
      <c r="EU199" s="5" t="s">
        <v>254</v>
      </c>
      <c r="EV199" s="5">
        <f t="shared" si="538"/>
        <v>0</v>
      </c>
      <c r="EW199" s="5" t="s">
        <v>254</v>
      </c>
      <c r="EX199" s="5">
        <f t="shared" si="539"/>
        <v>0</v>
      </c>
      <c r="EY199" s="5">
        <f t="shared" si="540"/>
        <v>8</v>
      </c>
      <c r="EZ199" s="5" t="str">
        <f t="shared" si="541"/>
        <v>Nivel de riesgo alto</v>
      </c>
      <c r="FA199" s="5" t="s">
        <v>253</v>
      </c>
      <c r="FB199" s="5">
        <f t="shared" si="542"/>
        <v>0</v>
      </c>
      <c r="FC199" s="5" t="s">
        <v>253</v>
      </c>
      <c r="FD199" s="5">
        <f t="shared" si="543"/>
        <v>0</v>
      </c>
      <c r="FE199" s="5" t="s">
        <v>253</v>
      </c>
      <c r="FF199" s="5">
        <f t="shared" si="544"/>
        <v>0</v>
      </c>
      <c r="FG199" s="5">
        <f t="shared" si="545"/>
        <v>0</v>
      </c>
      <c r="FH199" s="5" t="str">
        <f t="shared" si="546"/>
        <v>Nivel de riesgo bajo</v>
      </c>
      <c r="FI199" s="5" t="s">
        <v>253</v>
      </c>
      <c r="FJ199" s="5">
        <f t="shared" si="547"/>
        <v>0</v>
      </c>
      <c r="FK199" s="5" t="s">
        <v>253</v>
      </c>
      <c r="FL199" s="5">
        <f t="shared" si="548"/>
        <v>0</v>
      </c>
      <c r="FM199" s="5" t="s">
        <v>247</v>
      </c>
      <c r="FN199" s="5">
        <f t="shared" si="549"/>
        <v>2</v>
      </c>
      <c r="FO199" s="5">
        <f t="shared" si="550"/>
        <v>2</v>
      </c>
      <c r="FP199" s="5" t="str">
        <f t="shared" si="551"/>
        <v>Nivel de riesgo bajo</v>
      </c>
      <c r="FQ199" s="5" t="s">
        <v>206</v>
      </c>
      <c r="FR199" s="5">
        <f t="shared" si="552"/>
        <v>0</v>
      </c>
      <c r="FS199" s="5" t="s">
        <v>206</v>
      </c>
      <c r="FT199" s="5">
        <f t="shared" si="553"/>
        <v>0</v>
      </c>
      <c r="FU199" s="5" t="s">
        <v>206</v>
      </c>
      <c r="FV199" s="5">
        <f t="shared" si="554"/>
        <v>0</v>
      </c>
      <c r="FW199" s="5" t="s">
        <v>206</v>
      </c>
      <c r="FX199" s="5">
        <f t="shared" si="555"/>
        <v>0</v>
      </c>
      <c r="FY199" s="5" t="s">
        <v>206</v>
      </c>
      <c r="FZ199" s="5">
        <f t="shared" si="556"/>
        <v>0</v>
      </c>
      <c r="GA199" s="5" t="s">
        <v>206</v>
      </c>
      <c r="GB199" s="5">
        <f t="shared" si="557"/>
        <v>0</v>
      </c>
      <c r="GC199" s="5" t="s">
        <v>206</v>
      </c>
      <c r="GD199" s="5">
        <f t="shared" si="558"/>
        <v>0</v>
      </c>
      <c r="GE199" s="5">
        <f t="shared" si="559"/>
        <v>0</v>
      </c>
      <c r="GF199" s="5" t="str">
        <f t="shared" si="560"/>
        <v>Nivel de riesgo bajo</v>
      </c>
      <c r="GG199" s="5" t="s">
        <v>255</v>
      </c>
      <c r="GH199" s="5" t="s">
        <v>255</v>
      </c>
      <c r="GI199" s="5" t="s">
        <v>255</v>
      </c>
      <c r="GJ199" s="5" t="s">
        <v>233</v>
      </c>
      <c r="GK199" s="5" t="s">
        <v>233</v>
      </c>
      <c r="GL199" s="5" t="s">
        <v>233</v>
      </c>
      <c r="GM199" s="5" t="s">
        <v>233</v>
      </c>
      <c r="GN199" s="5" t="s">
        <v>256</v>
      </c>
      <c r="GO199" s="5" t="s">
        <v>257</v>
      </c>
      <c r="GP199" s="5" t="s">
        <v>257</v>
      </c>
      <c r="GQ199" s="5" t="s">
        <v>257</v>
      </c>
      <c r="GR199" s="5" t="s">
        <v>234</v>
      </c>
      <c r="GS199" s="5" t="s">
        <v>234</v>
      </c>
      <c r="GT199" s="5" t="s">
        <v>256</v>
      </c>
      <c r="GU199" s="5" t="s">
        <v>549</v>
      </c>
      <c r="GV199" s="5" t="str">
        <f>TEXT("6278993142638756666","0")</f>
        <v>6278993142638750000</v>
      </c>
    </row>
    <row r="200" spans="1:204" ht="15.75" customHeight="1" x14ac:dyDescent="0.15">
      <c r="A200" s="1">
        <f t="shared" si="510"/>
        <v>200</v>
      </c>
      <c r="B200" s="4">
        <v>45847.655092592591</v>
      </c>
      <c r="C200" s="5" t="s">
        <v>204</v>
      </c>
      <c r="D200" s="5" t="s">
        <v>206</v>
      </c>
      <c r="F200" s="5" t="s">
        <v>206</v>
      </c>
      <c r="G200" s="5" t="s">
        <v>206</v>
      </c>
      <c r="H200" s="5" t="s">
        <v>206</v>
      </c>
      <c r="K200" s="5" t="s">
        <v>237</v>
      </c>
      <c r="O200" s="5" t="s">
        <v>209</v>
      </c>
      <c r="T200" s="5" t="s">
        <v>209</v>
      </c>
      <c r="Z200" s="5" t="s">
        <v>237</v>
      </c>
      <c r="AD200" s="5" t="s">
        <v>209</v>
      </c>
      <c r="AH200" s="5" t="s">
        <v>268</v>
      </c>
      <c r="AI200" s="5">
        <v>2024</v>
      </c>
      <c r="AJ200" s="5" t="s">
        <v>238</v>
      </c>
      <c r="AK200" s="5" t="str">
        <f t="shared" si="511"/>
        <v>Trabajadora por cuenta propia</v>
      </c>
      <c r="AM200" s="5" t="s">
        <v>309</v>
      </c>
      <c r="AP200" s="5" t="s">
        <v>240</v>
      </c>
      <c r="AR200" s="5" t="s">
        <v>301</v>
      </c>
      <c r="AS200" s="5" t="s">
        <v>301</v>
      </c>
      <c r="AT200" s="5" t="s">
        <v>301</v>
      </c>
      <c r="AU200" s="5" t="s">
        <v>301</v>
      </c>
      <c r="AV200" s="5" t="s">
        <v>269</v>
      </c>
      <c r="AW200" s="5" t="s">
        <v>204</v>
      </c>
      <c r="AX200" s="5" t="s">
        <v>204</v>
      </c>
      <c r="AY200" s="5" t="s">
        <v>339</v>
      </c>
      <c r="AZ200" s="5" t="s">
        <v>204</v>
      </c>
      <c r="BA200" s="5" t="s">
        <v>348</v>
      </c>
      <c r="BF200" s="5" t="s">
        <v>204</v>
      </c>
      <c r="BG200" s="5" t="s">
        <v>207</v>
      </c>
      <c r="BH200" s="5" t="s">
        <v>271</v>
      </c>
      <c r="BI200" s="5" t="s">
        <v>207</v>
      </c>
      <c r="BJ200" s="5" t="s">
        <v>215</v>
      </c>
      <c r="BK200" s="5" t="s">
        <v>246</v>
      </c>
      <c r="BL200" s="5" t="s">
        <v>246</v>
      </c>
      <c r="BM200" s="5" t="s">
        <v>243</v>
      </c>
      <c r="BN200" s="5" t="s">
        <v>246</v>
      </c>
      <c r="BO200" s="5" t="s">
        <v>246</v>
      </c>
      <c r="BP200" s="5" t="s">
        <v>243</v>
      </c>
      <c r="BQ200" s="5" t="s">
        <v>243</v>
      </c>
      <c r="BR200" s="5" t="s">
        <v>244</v>
      </c>
      <c r="BS200" s="5" t="s">
        <v>248</v>
      </c>
      <c r="BT200" s="5" t="s">
        <v>217</v>
      </c>
      <c r="BU200" s="5" t="s">
        <v>217</v>
      </c>
      <c r="BV200" s="5" t="s">
        <v>217</v>
      </c>
      <c r="BW200" s="5" t="s">
        <v>217</v>
      </c>
      <c r="BX200" s="5" t="s">
        <v>217</v>
      </c>
      <c r="BY200" s="5" t="s">
        <v>217</v>
      </c>
      <c r="BZ200" s="5" t="s">
        <v>244</v>
      </c>
      <c r="CA200" s="5" t="s">
        <v>244</v>
      </c>
      <c r="CB200" s="5" t="s">
        <v>244</v>
      </c>
      <c r="CC200" s="5" t="s">
        <v>244</v>
      </c>
      <c r="CD200" s="5" t="s">
        <v>206</v>
      </c>
      <c r="CH200" s="5" t="s">
        <v>206</v>
      </c>
      <c r="CI200" s="5" t="s">
        <v>307</v>
      </c>
      <c r="CJ200" s="5">
        <v>2</v>
      </c>
      <c r="CK200" s="5" t="s">
        <v>223</v>
      </c>
      <c r="CU200" s="5" t="s">
        <v>206</v>
      </c>
      <c r="DA200" s="5" t="s">
        <v>231</v>
      </c>
      <c r="DB200" s="5">
        <f t="shared" si="512"/>
        <v>2</v>
      </c>
      <c r="DC200" s="5" t="s">
        <v>250</v>
      </c>
      <c r="DD200" s="5">
        <f t="shared" si="513"/>
        <v>3</v>
      </c>
      <c r="DE200" s="5" t="s">
        <v>250</v>
      </c>
      <c r="DF200" s="5">
        <f t="shared" si="514"/>
        <v>3</v>
      </c>
      <c r="DG200" s="5" t="s">
        <v>250</v>
      </c>
      <c r="DH200" s="5">
        <f t="shared" si="515"/>
        <v>3</v>
      </c>
      <c r="DI200" s="5" t="s">
        <v>250</v>
      </c>
      <c r="DJ200" s="5">
        <f t="shared" si="516"/>
        <v>3</v>
      </c>
      <c r="DK200" s="5" t="s">
        <v>250</v>
      </c>
      <c r="DL200" s="5">
        <f t="shared" si="517"/>
        <v>3</v>
      </c>
      <c r="DM200" s="5" t="s">
        <v>230</v>
      </c>
      <c r="DN200" s="5">
        <f t="shared" si="518"/>
        <v>2</v>
      </c>
      <c r="DO200" s="5" t="s">
        <v>231</v>
      </c>
      <c r="DP200" s="5">
        <f t="shared" si="519"/>
        <v>2</v>
      </c>
      <c r="DQ200" s="5" t="s">
        <v>281</v>
      </c>
      <c r="DR200" s="5">
        <f t="shared" si="520"/>
        <v>1</v>
      </c>
      <c r="DS200" s="5" t="s">
        <v>281</v>
      </c>
      <c r="DT200" s="5">
        <f t="shared" si="521"/>
        <v>1</v>
      </c>
      <c r="DU200" s="5" t="s">
        <v>281</v>
      </c>
      <c r="DV200" s="5">
        <f t="shared" si="522"/>
        <v>1</v>
      </c>
      <c r="DW200" s="5" t="s">
        <v>231</v>
      </c>
      <c r="DX200" s="5">
        <f t="shared" si="523"/>
        <v>2</v>
      </c>
      <c r="DY200" s="5">
        <f t="shared" si="524"/>
        <v>26</v>
      </c>
      <c r="DZ200" s="5" t="str">
        <f t="shared" si="525"/>
        <v>Nivel de riesgo alto</v>
      </c>
      <c r="EA200" s="5" t="s">
        <v>247</v>
      </c>
      <c r="EB200" s="5">
        <f t="shared" si="526"/>
        <v>2</v>
      </c>
      <c r="EC200" s="5" t="s">
        <v>247</v>
      </c>
      <c r="ED200" s="5">
        <f t="shared" si="527"/>
        <v>2</v>
      </c>
      <c r="EE200" s="5" t="s">
        <v>247</v>
      </c>
      <c r="EF200" s="5">
        <f t="shared" si="528"/>
        <v>2</v>
      </c>
      <c r="EG200" s="5">
        <f t="shared" si="529"/>
        <v>6</v>
      </c>
      <c r="EH200" s="5" t="str">
        <f t="shared" si="530"/>
        <v>Nivel de riesgo alto</v>
      </c>
      <c r="EI200" s="5" t="s">
        <v>247</v>
      </c>
      <c r="EJ200" s="5">
        <f t="shared" si="531"/>
        <v>2</v>
      </c>
      <c r="EK200" s="5" t="s">
        <v>247</v>
      </c>
      <c r="EL200" s="5">
        <f t="shared" si="532"/>
        <v>2</v>
      </c>
      <c r="EM200" s="5" t="s">
        <v>247</v>
      </c>
      <c r="EN200" s="5">
        <f t="shared" si="533"/>
        <v>2</v>
      </c>
      <c r="EO200" s="5">
        <f t="shared" si="534"/>
        <v>6</v>
      </c>
      <c r="EP200" s="5" t="str">
        <f t="shared" si="535"/>
        <v>Nivel de riesgo alto</v>
      </c>
      <c r="EQ200" s="5" t="s">
        <v>247</v>
      </c>
      <c r="ER200" s="5">
        <f t="shared" si="536"/>
        <v>2</v>
      </c>
      <c r="ES200" s="5" t="s">
        <v>247</v>
      </c>
      <c r="ET200" s="5">
        <f t="shared" si="537"/>
        <v>2</v>
      </c>
      <c r="EU200" s="5" t="s">
        <v>247</v>
      </c>
      <c r="EV200" s="5">
        <f t="shared" si="538"/>
        <v>2</v>
      </c>
      <c r="EW200" s="5" t="s">
        <v>247</v>
      </c>
      <c r="EX200" s="5">
        <f t="shared" si="539"/>
        <v>2</v>
      </c>
      <c r="EY200" s="5">
        <f t="shared" si="540"/>
        <v>8</v>
      </c>
      <c r="EZ200" s="5" t="str">
        <f t="shared" si="541"/>
        <v>Nivel de riesgo alto</v>
      </c>
      <c r="FA200" s="5" t="s">
        <v>247</v>
      </c>
      <c r="FB200" s="5">
        <f t="shared" si="542"/>
        <v>2</v>
      </c>
      <c r="FC200" s="5" t="s">
        <v>247</v>
      </c>
      <c r="FD200" s="5">
        <f t="shared" si="543"/>
        <v>2</v>
      </c>
      <c r="FE200" s="5" t="s">
        <v>247</v>
      </c>
      <c r="FF200" s="5">
        <f t="shared" si="544"/>
        <v>2</v>
      </c>
      <c r="FG200" s="5">
        <f t="shared" si="545"/>
        <v>6</v>
      </c>
      <c r="FH200" s="5" t="str">
        <f t="shared" si="546"/>
        <v>Nivel de riesgo alto</v>
      </c>
      <c r="FI200" s="5" t="s">
        <v>247</v>
      </c>
      <c r="FJ200" s="5">
        <f t="shared" si="547"/>
        <v>2</v>
      </c>
      <c r="FK200" s="5" t="s">
        <v>247</v>
      </c>
      <c r="FL200" s="5">
        <f t="shared" si="548"/>
        <v>2</v>
      </c>
      <c r="FM200" s="5" t="s">
        <v>247</v>
      </c>
      <c r="FN200" s="5">
        <f t="shared" si="549"/>
        <v>2</v>
      </c>
      <c r="FO200" s="5">
        <f t="shared" si="550"/>
        <v>6</v>
      </c>
      <c r="FP200" s="5" t="str">
        <f t="shared" si="551"/>
        <v>Nivel de riesgo alto</v>
      </c>
      <c r="FQ200" s="5" t="s">
        <v>206</v>
      </c>
      <c r="FR200" s="5">
        <f t="shared" si="552"/>
        <v>0</v>
      </c>
      <c r="FS200" s="5" t="s">
        <v>206</v>
      </c>
      <c r="FT200" s="5">
        <f t="shared" si="553"/>
        <v>0</v>
      </c>
      <c r="FU200" s="5" t="s">
        <v>206</v>
      </c>
      <c r="FV200" s="5">
        <f t="shared" si="554"/>
        <v>0</v>
      </c>
      <c r="FW200" s="5" t="s">
        <v>206</v>
      </c>
      <c r="FX200" s="5">
        <f t="shared" si="555"/>
        <v>0</v>
      </c>
      <c r="FY200" s="5" t="s">
        <v>206</v>
      </c>
      <c r="FZ200" s="5">
        <f t="shared" si="556"/>
        <v>0</v>
      </c>
      <c r="GA200" s="5" t="s">
        <v>206</v>
      </c>
      <c r="GB200" s="5">
        <f t="shared" si="557"/>
        <v>0</v>
      </c>
      <c r="GC200" s="5" t="s">
        <v>206</v>
      </c>
      <c r="GD200" s="5">
        <f t="shared" si="558"/>
        <v>0</v>
      </c>
      <c r="GE200" s="5">
        <f t="shared" si="559"/>
        <v>0</v>
      </c>
      <c r="GF200" s="5" t="str">
        <f t="shared" si="560"/>
        <v>Nivel de riesgo bajo</v>
      </c>
      <c r="GG200" s="5" t="s">
        <v>255</v>
      </c>
      <c r="GH200" s="5" t="s">
        <v>233</v>
      </c>
      <c r="GI200" s="5" t="s">
        <v>233</v>
      </c>
      <c r="GJ200" s="5" t="s">
        <v>233</v>
      </c>
      <c r="GK200" s="5" t="s">
        <v>233</v>
      </c>
      <c r="GL200" s="5" t="s">
        <v>233</v>
      </c>
      <c r="GM200" s="5" t="s">
        <v>233</v>
      </c>
      <c r="GN200" s="5" t="s">
        <v>256</v>
      </c>
      <c r="GO200" s="5" t="s">
        <v>256</v>
      </c>
      <c r="GP200" s="5" t="s">
        <v>256</v>
      </c>
      <c r="GQ200" s="5" t="s">
        <v>256</v>
      </c>
      <c r="GR200" s="5" t="s">
        <v>256</v>
      </c>
      <c r="GS200" s="5" t="s">
        <v>256</v>
      </c>
      <c r="GT200" s="5" t="s">
        <v>256</v>
      </c>
      <c r="GU200" s="5" t="s">
        <v>550</v>
      </c>
      <c r="GV200" s="5" t="str">
        <f>TEXT("6278994008814579332","0")</f>
        <v>6278994008814570000</v>
      </c>
    </row>
    <row r="201" spans="1:204" ht="15.75" customHeight="1" x14ac:dyDescent="0.15">
      <c r="A201" s="1">
        <f t="shared" si="510"/>
        <v>201</v>
      </c>
      <c r="B201" s="4">
        <v>45847.655671296299</v>
      </c>
      <c r="C201" s="5" t="s">
        <v>204</v>
      </c>
      <c r="D201" s="5" t="s">
        <v>206</v>
      </c>
      <c r="F201" s="5" t="s">
        <v>206</v>
      </c>
      <c r="G201" s="5" t="s">
        <v>206</v>
      </c>
      <c r="H201" s="5" t="s">
        <v>206</v>
      </c>
      <c r="J201" s="5" t="s">
        <v>209</v>
      </c>
      <c r="O201" s="5" t="s">
        <v>209</v>
      </c>
      <c r="S201" s="5" t="s">
        <v>208</v>
      </c>
      <c r="Y201" s="5" t="s">
        <v>209</v>
      </c>
      <c r="AD201" s="5" t="s">
        <v>209</v>
      </c>
      <c r="AH201" s="5" t="s">
        <v>275</v>
      </c>
      <c r="AI201" s="5">
        <v>2021</v>
      </c>
      <c r="AJ201" s="5" t="s">
        <v>238</v>
      </c>
      <c r="AK201" s="5" t="str">
        <f t="shared" si="511"/>
        <v>Trabajadora por cuenta propia</v>
      </c>
      <c r="AN201" s="5" t="s">
        <v>288</v>
      </c>
      <c r="AP201" s="5" t="s">
        <v>297</v>
      </c>
      <c r="AR201" s="5" t="s">
        <v>261</v>
      </c>
      <c r="AS201" s="5" t="s">
        <v>261</v>
      </c>
      <c r="AT201" s="5" t="s">
        <v>261</v>
      </c>
      <c r="AU201" s="5" t="s">
        <v>261</v>
      </c>
      <c r="AV201" s="5" t="s">
        <v>285</v>
      </c>
      <c r="AW201" s="5" t="s">
        <v>204</v>
      </c>
      <c r="AX201" s="5" t="s">
        <v>204</v>
      </c>
      <c r="AY201" s="5" t="s">
        <v>366</v>
      </c>
      <c r="AZ201" s="5" t="s">
        <v>204</v>
      </c>
      <c r="BA201" s="5" t="s">
        <v>263</v>
      </c>
      <c r="BF201" s="5" t="s">
        <v>204</v>
      </c>
      <c r="BG201" s="5" t="s">
        <v>278</v>
      </c>
      <c r="BH201" s="5" t="s">
        <v>278</v>
      </c>
      <c r="BI201" s="5" t="s">
        <v>278</v>
      </c>
      <c r="BJ201" s="5" t="s">
        <v>278</v>
      </c>
      <c r="BK201" s="5" t="s">
        <v>216</v>
      </c>
      <c r="BL201" s="5" t="s">
        <v>216</v>
      </c>
      <c r="BM201" s="5" t="s">
        <v>216</v>
      </c>
      <c r="BN201" s="5" t="s">
        <v>216</v>
      </c>
      <c r="BO201" s="5" t="s">
        <v>216</v>
      </c>
      <c r="BP201" s="5" t="s">
        <v>216</v>
      </c>
      <c r="BQ201" s="5" t="s">
        <v>216</v>
      </c>
      <c r="BR201" s="5" t="s">
        <v>216</v>
      </c>
      <c r="BS201" s="5" t="s">
        <v>254</v>
      </c>
      <c r="BT201" s="5" t="s">
        <v>254</v>
      </c>
      <c r="BU201" s="5" t="s">
        <v>254</v>
      </c>
      <c r="BV201" s="5" t="s">
        <v>254</v>
      </c>
      <c r="BW201" s="5" t="s">
        <v>254</v>
      </c>
      <c r="BX201" s="5" t="s">
        <v>254</v>
      </c>
      <c r="BY201" s="5" t="s">
        <v>254</v>
      </c>
      <c r="BZ201" s="5" t="s">
        <v>243</v>
      </c>
      <c r="CA201" s="5" t="s">
        <v>243</v>
      </c>
      <c r="CB201" s="5" t="s">
        <v>243</v>
      </c>
      <c r="CC201" s="5" t="s">
        <v>243</v>
      </c>
      <c r="CD201" s="5" t="s">
        <v>206</v>
      </c>
      <c r="CH201" s="5" t="s">
        <v>206</v>
      </c>
      <c r="CI201" s="5" t="s">
        <v>206</v>
      </c>
      <c r="CJ201" s="5">
        <v>0</v>
      </c>
      <c r="CK201" s="5" t="s">
        <v>223</v>
      </c>
      <c r="CU201" s="5" t="s">
        <v>206</v>
      </c>
      <c r="DA201" s="5" t="s">
        <v>231</v>
      </c>
      <c r="DB201" s="5">
        <f t="shared" si="512"/>
        <v>2</v>
      </c>
      <c r="DC201" s="5" t="s">
        <v>250</v>
      </c>
      <c r="DD201" s="5">
        <f t="shared" si="513"/>
        <v>3</v>
      </c>
      <c r="DE201" s="5" t="s">
        <v>250</v>
      </c>
      <c r="DF201" s="5">
        <f t="shared" si="514"/>
        <v>3</v>
      </c>
      <c r="DG201" s="5" t="s">
        <v>250</v>
      </c>
      <c r="DH201" s="5">
        <f t="shared" si="515"/>
        <v>3</v>
      </c>
      <c r="DI201" s="5" t="s">
        <v>250</v>
      </c>
      <c r="DJ201" s="5">
        <f t="shared" si="516"/>
        <v>3</v>
      </c>
      <c r="DK201" s="5" t="s">
        <v>250</v>
      </c>
      <c r="DL201" s="5">
        <f t="shared" si="517"/>
        <v>3</v>
      </c>
      <c r="DM201" s="5" t="s">
        <v>251</v>
      </c>
      <c r="DN201" s="5">
        <f t="shared" si="518"/>
        <v>1</v>
      </c>
      <c r="DO201" s="5" t="s">
        <v>281</v>
      </c>
      <c r="DP201" s="5">
        <f t="shared" si="519"/>
        <v>1</v>
      </c>
      <c r="DQ201" s="5" t="s">
        <v>231</v>
      </c>
      <c r="DR201" s="5">
        <f t="shared" si="520"/>
        <v>2</v>
      </c>
      <c r="DS201" s="5" t="s">
        <v>252</v>
      </c>
      <c r="DT201" s="5">
        <f t="shared" si="521"/>
        <v>3</v>
      </c>
      <c r="DU201" s="5" t="s">
        <v>231</v>
      </c>
      <c r="DV201" s="5">
        <f t="shared" si="522"/>
        <v>2</v>
      </c>
      <c r="DW201" s="5" t="s">
        <v>231</v>
      </c>
      <c r="DX201" s="5">
        <f t="shared" si="523"/>
        <v>2</v>
      </c>
      <c r="DY201" s="5">
        <f t="shared" si="524"/>
        <v>28</v>
      </c>
      <c r="DZ201" s="5" t="str">
        <f t="shared" si="525"/>
        <v>Nivel de riesgo alto</v>
      </c>
      <c r="EA201" s="5" t="s">
        <v>232</v>
      </c>
      <c r="EB201" s="5">
        <f t="shared" si="526"/>
        <v>3</v>
      </c>
      <c r="EC201" s="5" t="s">
        <v>232</v>
      </c>
      <c r="ED201" s="5">
        <f t="shared" si="527"/>
        <v>3</v>
      </c>
      <c r="EE201" s="5" t="s">
        <v>232</v>
      </c>
      <c r="EF201" s="5">
        <f t="shared" si="528"/>
        <v>3</v>
      </c>
      <c r="EG201" s="5">
        <f t="shared" si="529"/>
        <v>9</v>
      </c>
      <c r="EH201" s="5" t="str">
        <f t="shared" si="530"/>
        <v>Nivel de riesgo alto</v>
      </c>
      <c r="EI201" s="5" t="s">
        <v>232</v>
      </c>
      <c r="EJ201" s="5">
        <f t="shared" si="531"/>
        <v>3</v>
      </c>
      <c r="EK201" s="5" t="s">
        <v>232</v>
      </c>
      <c r="EL201" s="5">
        <f t="shared" si="532"/>
        <v>3</v>
      </c>
      <c r="EM201" s="5" t="s">
        <v>232</v>
      </c>
      <c r="EN201" s="5">
        <f t="shared" si="533"/>
        <v>3</v>
      </c>
      <c r="EO201" s="5">
        <f t="shared" si="534"/>
        <v>9</v>
      </c>
      <c r="EP201" s="5" t="str">
        <f t="shared" si="535"/>
        <v>Nivel de riesgo alto</v>
      </c>
      <c r="EQ201" s="5" t="s">
        <v>232</v>
      </c>
      <c r="ER201" s="5">
        <f t="shared" si="536"/>
        <v>1</v>
      </c>
      <c r="ES201" s="5" t="s">
        <v>232</v>
      </c>
      <c r="ET201" s="5">
        <f t="shared" si="537"/>
        <v>1</v>
      </c>
      <c r="EU201" s="5" t="s">
        <v>232</v>
      </c>
      <c r="EV201" s="5">
        <f t="shared" si="538"/>
        <v>1</v>
      </c>
      <c r="EW201" s="5" t="s">
        <v>232</v>
      </c>
      <c r="EX201" s="5">
        <f t="shared" si="539"/>
        <v>1</v>
      </c>
      <c r="EY201" s="5">
        <f t="shared" si="540"/>
        <v>4</v>
      </c>
      <c r="EZ201" s="5" t="str">
        <f t="shared" si="541"/>
        <v>Nivel de riesgo medio</v>
      </c>
      <c r="FA201" s="5" t="s">
        <v>232</v>
      </c>
      <c r="FB201" s="5">
        <f t="shared" si="542"/>
        <v>3</v>
      </c>
      <c r="FC201" s="5" t="s">
        <v>232</v>
      </c>
      <c r="FD201" s="5">
        <f t="shared" si="543"/>
        <v>3</v>
      </c>
      <c r="FE201" s="5" t="s">
        <v>232</v>
      </c>
      <c r="FF201" s="5">
        <f t="shared" si="544"/>
        <v>3</v>
      </c>
      <c r="FG201" s="5">
        <f t="shared" si="545"/>
        <v>9</v>
      </c>
      <c r="FH201" s="5" t="str">
        <f t="shared" si="546"/>
        <v>Nivel de riesgo alto</v>
      </c>
      <c r="FI201" s="5" t="s">
        <v>232</v>
      </c>
      <c r="FJ201" s="5">
        <f t="shared" si="547"/>
        <v>3</v>
      </c>
      <c r="FK201" s="5" t="s">
        <v>232</v>
      </c>
      <c r="FL201" s="5">
        <f t="shared" si="548"/>
        <v>3</v>
      </c>
      <c r="FM201" s="5" t="s">
        <v>232</v>
      </c>
      <c r="FN201" s="5">
        <f t="shared" si="549"/>
        <v>3</v>
      </c>
      <c r="FO201" s="5">
        <f t="shared" si="550"/>
        <v>9</v>
      </c>
      <c r="FP201" s="5" t="str">
        <f t="shared" si="551"/>
        <v>Nivel de riesgo alto</v>
      </c>
      <c r="FQ201" s="5" t="s">
        <v>265</v>
      </c>
      <c r="FR201" s="5">
        <f t="shared" si="552"/>
        <v>1</v>
      </c>
      <c r="FS201" s="5" t="s">
        <v>265</v>
      </c>
      <c r="FT201" s="5">
        <f t="shared" si="553"/>
        <v>1</v>
      </c>
      <c r="FU201" s="5" t="s">
        <v>206</v>
      </c>
      <c r="FV201" s="5">
        <f t="shared" si="554"/>
        <v>0</v>
      </c>
      <c r="FW201" s="5" t="s">
        <v>206</v>
      </c>
      <c r="FX201" s="5">
        <f t="shared" si="555"/>
        <v>0</v>
      </c>
      <c r="FY201" s="5" t="s">
        <v>206</v>
      </c>
      <c r="FZ201" s="5">
        <f t="shared" si="556"/>
        <v>0</v>
      </c>
      <c r="GA201" s="5" t="s">
        <v>206</v>
      </c>
      <c r="GB201" s="5">
        <f t="shared" si="557"/>
        <v>0</v>
      </c>
      <c r="GC201" s="5" t="s">
        <v>206</v>
      </c>
      <c r="GD201" s="5">
        <f t="shared" si="558"/>
        <v>0</v>
      </c>
      <c r="GE201" s="5">
        <f t="shared" si="559"/>
        <v>2</v>
      </c>
      <c r="GF201" s="5" t="str">
        <f t="shared" si="560"/>
        <v>Nivel de riesgo medio</v>
      </c>
      <c r="GG201" s="5" t="s">
        <v>255</v>
      </c>
      <c r="GH201" s="5" t="s">
        <v>255</v>
      </c>
      <c r="GI201" s="5" t="s">
        <v>255</v>
      </c>
      <c r="GJ201" s="5" t="s">
        <v>255</v>
      </c>
      <c r="GK201" s="5" t="s">
        <v>233</v>
      </c>
      <c r="GL201" s="5" t="s">
        <v>233</v>
      </c>
      <c r="GM201" s="5" t="s">
        <v>255</v>
      </c>
      <c r="GN201" s="5" t="s">
        <v>243</v>
      </c>
      <c r="GO201" s="5" t="s">
        <v>257</v>
      </c>
      <c r="GP201" s="5" t="s">
        <v>243</v>
      </c>
      <c r="GQ201" s="5" t="s">
        <v>257</v>
      </c>
      <c r="GR201" s="5" t="s">
        <v>257</v>
      </c>
      <c r="GS201" s="5" t="s">
        <v>257</v>
      </c>
      <c r="GT201" s="5" t="s">
        <v>257</v>
      </c>
      <c r="GU201" s="5" t="s">
        <v>551</v>
      </c>
      <c r="GV201" s="5" t="str">
        <f>TEXT("6278994509996653937","0")</f>
        <v>6278994509996650000</v>
      </c>
    </row>
    <row r="202" spans="1:204" ht="15.75" customHeight="1" x14ac:dyDescent="0.15">
      <c r="A202" s="1">
        <f t="shared" si="510"/>
        <v>202</v>
      </c>
      <c r="B202" s="4">
        <v>45847.659699074073</v>
      </c>
      <c r="C202" s="5" t="s">
        <v>204</v>
      </c>
      <c r="D202" s="5" t="s">
        <v>206</v>
      </c>
      <c r="F202" s="5" t="s">
        <v>204</v>
      </c>
      <c r="G202" s="5" t="s">
        <v>204</v>
      </c>
      <c r="H202" s="5" t="s">
        <v>204</v>
      </c>
      <c r="K202" s="5" t="s">
        <v>237</v>
      </c>
      <c r="O202" s="5" t="s">
        <v>209</v>
      </c>
      <c r="S202" s="5" t="s">
        <v>208</v>
      </c>
      <c r="Y202" s="5" t="s">
        <v>209</v>
      </c>
      <c r="AD202" s="5" t="s">
        <v>209</v>
      </c>
      <c r="AH202" s="5" t="s">
        <v>552</v>
      </c>
      <c r="AI202" s="5">
        <v>2019</v>
      </c>
      <c r="AJ202" s="5" t="s">
        <v>238</v>
      </c>
      <c r="AK202" s="5" t="str">
        <f t="shared" si="511"/>
        <v>Trabajadora por cuenta propia</v>
      </c>
      <c r="AO202" s="5" t="s">
        <v>390</v>
      </c>
      <c r="AP202" s="5" t="s">
        <v>297</v>
      </c>
      <c r="AR202" s="5" t="s">
        <v>261</v>
      </c>
      <c r="AS202" s="5" t="s">
        <v>261</v>
      </c>
      <c r="AT202" s="5" t="s">
        <v>261</v>
      </c>
      <c r="AU202" s="5" t="s">
        <v>261</v>
      </c>
      <c r="AV202" s="5" t="s">
        <v>269</v>
      </c>
      <c r="AW202" s="5" t="s">
        <v>204</v>
      </c>
      <c r="AX202" s="5" t="s">
        <v>204</v>
      </c>
      <c r="AY202" s="5" t="s">
        <v>214</v>
      </c>
      <c r="AZ202" s="5" t="s">
        <v>204</v>
      </c>
      <c r="BA202" s="5" t="s">
        <v>295</v>
      </c>
      <c r="BB202" s="5" t="s">
        <v>206</v>
      </c>
      <c r="BC202" s="5" t="s">
        <v>206</v>
      </c>
      <c r="BD202" s="5" t="s">
        <v>206</v>
      </c>
      <c r="BE202" s="5" t="s">
        <v>206</v>
      </c>
      <c r="BF202" s="5" t="s">
        <v>204</v>
      </c>
      <c r="BG202" s="5" t="s">
        <v>242</v>
      </c>
      <c r="BH202" s="5" t="s">
        <v>242</v>
      </c>
      <c r="BI202" s="5" t="s">
        <v>242</v>
      </c>
      <c r="BJ202" s="5" t="s">
        <v>242</v>
      </c>
      <c r="BK202" s="5" t="s">
        <v>216</v>
      </c>
      <c r="BL202" s="5" t="s">
        <v>246</v>
      </c>
      <c r="BM202" s="5" t="s">
        <v>243</v>
      </c>
      <c r="BN202" s="5" t="s">
        <v>244</v>
      </c>
      <c r="BO202" s="5" t="s">
        <v>244</v>
      </c>
      <c r="BP202" s="5" t="s">
        <v>216</v>
      </c>
      <c r="BQ202" s="5" t="s">
        <v>246</v>
      </c>
      <c r="BR202" s="5" t="s">
        <v>244</v>
      </c>
      <c r="BS202" s="5" t="s">
        <v>247</v>
      </c>
      <c r="BT202" s="5" t="s">
        <v>247</v>
      </c>
      <c r="BU202" s="5" t="s">
        <v>247</v>
      </c>
      <c r="BV202" s="5" t="s">
        <v>247</v>
      </c>
      <c r="BW202" s="5" t="s">
        <v>232</v>
      </c>
      <c r="BX202" s="5" t="s">
        <v>248</v>
      </c>
      <c r="BY202" s="5" t="s">
        <v>217</v>
      </c>
      <c r="BZ202" s="5" t="s">
        <v>216</v>
      </c>
      <c r="CA202" s="5" t="s">
        <v>246</v>
      </c>
      <c r="CB202" s="5" t="s">
        <v>244</v>
      </c>
      <c r="CC202" s="5" t="s">
        <v>243</v>
      </c>
      <c r="CD202" s="5" t="s">
        <v>204</v>
      </c>
      <c r="CE202" s="5" t="s">
        <v>218</v>
      </c>
      <c r="CF202" s="5" t="s">
        <v>219</v>
      </c>
      <c r="CG202" s="5" t="s">
        <v>206</v>
      </c>
      <c r="CH202" s="5" t="s">
        <v>206</v>
      </c>
      <c r="CI202" s="5" t="s">
        <v>206</v>
      </c>
      <c r="CJ202" s="5">
        <v>1</v>
      </c>
      <c r="CK202" s="5" t="s">
        <v>223</v>
      </c>
      <c r="CU202" s="5" t="s">
        <v>206</v>
      </c>
      <c r="DA202" s="5" t="s">
        <v>252</v>
      </c>
      <c r="DB202" s="5">
        <f t="shared" si="512"/>
        <v>3</v>
      </c>
      <c r="DC202" s="5" t="s">
        <v>250</v>
      </c>
      <c r="DD202" s="5">
        <f t="shared" si="513"/>
        <v>3</v>
      </c>
      <c r="DE202" s="5" t="s">
        <v>250</v>
      </c>
      <c r="DF202" s="5">
        <f t="shared" si="514"/>
        <v>3</v>
      </c>
      <c r="DG202" s="5" t="s">
        <v>280</v>
      </c>
      <c r="DH202" s="5">
        <f t="shared" si="515"/>
        <v>4</v>
      </c>
      <c r="DI202" s="5" t="s">
        <v>280</v>
      </c>
      <c r="DJ202" s="5">
        <f t="shared" si="516"/>
        <v>4</v>
      </c>
      <c r="DK202" s="5" t="s">
        <v>280</v>
      </c>
      <c r="DL202" s="5">
        <f t="shared" si="517"/>
        <v>4</v>
      </c>
      <c r="DM202" s="5" t="s">
        <v>250</v>
      </c>
      <c r="DN202" s="5">
        <f t="shared" si="518"/>
        <v>3</v>
      </c>
      <c r="DO202" s="5" t="s">
        <v>252</v>
      </c>
      <c r="DP202" s="5">
        <f t="shared" si="519"/>
        <v>3</v>
      </c>
      <c r="DQ202" s="5" t="s">
        <v>281</v>
      </c>
      <c r="DR202" s="5">
        <f t="shared" si="520"/>
        <v>1</v>
      </c>
      <c r="DS202" s="5" t="s">
        <v>252</v>
      </c>
      <c r="DT202" s="5">
        <f t="shared" si="521"/>
        <v>3</v>
      </c>
      <c r="DU202" s="5" t="s">
        <v>281</v>
      </c>
      <c r="DV202" s="5">
        <f t="shared" si="522"/>
        <v>1</v>
      </c>
      <c r="DW202" s="5" t="s">
        <v>229</v>
      </c>
      <c r="DX202" s="5">
        <f t="shared" si="523"/>
        <v>4</v>
      </c>
      <c r="DY202" s="5">
        <f t="shared" si="524"/>
        <v>36</v>
      </c>
      <c r="DZ202" s="5" t="str">
        <f t="shared" si="525"/>
        <v>Nivel de riesgo alto</v>
      </c>
      <c r="EA202" s="5" t="s">
        <v>247</v>
      </c>
      <c r="EB202" s="5">
        <f t="shared" si="526"/>
        <v>2</v>
      </c>
      <c r="EC202" s="5" t="s">
        <v>247</v>
      </c>
      <c r="ED202" s="5">
        <f t="shared" si="527"/>
        <v>2</v>
      </c>
      <c r="EE202" s="5" t="s">
        <v>247</v>
      </c>
      <c r="EF202" s="5">
        <f t="shared" si="528"/>
        <v>2</v>
      </c>
      <c r="EG202" s="5">
        <f t="shared" si="529"/>
        <v>6</v>
      </c>
      <c r="EH202" s="5" t="str">
        <f t="shared" si="530"/>
        <v>Nivel de riesgo alto</v>
      </c>
      <c r="EI202" s="5" t="s">
        <v>253</v>
      </c>
      <c r="EJ202" s="5">
        <f t="shared" si="531"/>
        <v>0</v>
      </c>
      <c r="EK202" s="5" t="s">
        <v>232</v>
      </c>
      <c r="EL202" s="5">
        <f t="shared" si="532"/>
        <v>3</v>
      </c>
      <c r="EM202" s="5" t="s">
        <v>232</v>
      </c>
      <c r="EN202" s="5">
        <f t="shared" si="533"/>
        <v>3</v>
      </c>
      <c r="EO202" s="5">
        <f t="shared" si="534"/>
        <v>6</v>
      </c>
      <c r="EP202" s="5" t="str">
        <f t="shared" si="535"/>
        <v>Nivel de riesgo alto</v>
      </c>
      <c r="EQ202" s="5" t="s">
        <v>254</v>
      </c>
      <c r="ER202" s="5">
        <f t="shared" si="536"/>
        <v>0</v>
      </c>
      <c r="ES202" s="5" t="s">
        <v>232</v>
      </c>
      <c r="ET202" s="5">
        <f t="shared" si="537"/>
        <v>1</v>
      </c>
      <c r="EU202" s="5" t="s">
        <v>232</v>
      </c>
      <c r="EV202" s="5">
        <f t="shared" si="538"/>
        <v>1</v>
      </c>
      <c r="EW202" s="5" t="s">
        <v>254</v>
      </c>
      <c r="EX202" s="5">
        <f t="shared" si="539"/>
        <v>0</v>
      </c>
      <c r="EY202" s="5">
        <f t="shared" si="540"/>
        <v>2</v>
      </c>
      <c r="EZ202" s="5" t="str">
        <f t="shared" si="541"/>
        <v>Nivel de riesgo medio</v>
      </c>
      <c r="FA202" s="5" t="s">
        <v>232</v>
      </c>
      <c r="FB202" s="5">
        <f t="shared" si="542"/>
        <v>3</v>
      </c>
      <c r="FC202" s="5" t="s">
        <v>254</v>
      </c>
      <c r="FD202" s="5">
        <f t="shared" si="543"/>
        <v>4</v>
      </c>
      <c r="FE202" s="5" t="s">
        <v>232</v>
      </c>
      <c r="FF202" s="5">
        <f t="shared" si="544"/>
        <v>3</v>
      </c>
      <c r="FG202" s="5">
        <f t="shared" si="545"/>
        <v>10</v>
      </c>
      <c r="FH202" s="5" t="str">
        <f t="shared" si="546"/>
        <v>Nivel de riesgo alto</v>
      </c>
      <c r="FI202" s="5" t="s">
        <v>254</v>
      </c>
      <c r="FJ202" s="5">
        <f t="shared" si="547"/>
        <v>4</v>
      </c>
      <c r="FK202" s="5" t="s">
        <v>232</v>
      </c>
      <c r="FL202" s="5">
        <f t="shared" si="548"/>
        <v>3</v>
      </c>
      <c r="FM202" s="5" t="s">
        <v>232</v>
      </c>
      <c r="FN202" s="5">
        <f t="shared" si="549"/>
        <v>3</v>
      </c>
      <c r="FO202" s="5">
        <f t="shared" si="550"/>
        <v>10</v>
      </c>
      <c r="FP202" s="5" t="str">
        <f t="shared" si="551"/>
        <v>Nivel de riesgo alto</v>
      </c>
      <c r="FQ202" s="5" t="s">
        <v>206</v>
      </c>
      <c r="FR202" s="5">
        <f t="shared" si="552"/>
        <v>0</v>
      </c>
      <c r="FS202" s="5" t="s">
        <v>265</v>
      </c>
      <c r="FT202" s="5">
        <f t="shared" si="553"/>
        <v>1</v>
      </c>
      <c r="FU202" s="5" t="s">
        <v>206</v>
      </c>
      <c r="FV202" s="5">
        <f t="shared" si="554"/>
        <v>0</v>
      </c>
      <c r="FW202" s="5" t="s">
        <v>206</v>
      </c>
      <c r="FX202" s="5">
        <f t="shared" si="555"/>
        <v>0</v>
      </c>
      <c r="FY202" s="5" t="s">
        <v>206</v>
      </c>
      <c r="FZ202" s="5">
        <f t="shared" si="556"/>
        <v>0</v>
      </c>
      <c r="GA202" s="5" t="s">
        <v>206</v>
      </c>
      <c r="GB202" s="5">
        <f t="shared" si="557"/>
        <v>0</v>
      </c>
      <c r="GC202" s="5" t="s">
        <v>206</v>
      </c>
      <c r="GD202" s="5">
        <f t="shared" si="558"/>
        <v>0</v>
      </c>
      <c r="GE202" s="5">
        <f t="shared" si="559"/>
        <v>1</v>
      </c>
      <c r="GF202" s="5" t="str">
        <f t="shared" si="560"/>
        <v>Nivel de riesgo medio</v>
      </c>
      <c r="GG202" s="5" t="s">
        <v>255</v>
      </c>
      <c r="GH202" s="5" t="s">
        <v>255</v>
      </c>
      <c r="GI202" s="5" t="s">
        <v>255</v>
      </c>
      <c r="GJ202" s="5" t="s">
        <v>233</v>
      </c>
      <c r="GK202" s="5" t="s">
        <v>233</v>
      </c>
      <c r="GL202" s="5" t="s">
        <v>298</v>
      </c>
      <c r="GM202" s="5" t="s">
        <v>233</v>
      </c>
      <c r="GN202" s="5" t="s">
        <v>234</v>
      </c>
      <c r="GO202" s="5" t="s">
        <v>234</v>
      </c>
      <c r="GP202" s="5" t="s">
        <v>234</v>
      </c>
      <c r="GQ202" s="5" t="s">
        <v>243</v>
      </c>
      <c r="GR202" s="5" t="s">
        <v>243</v>
      </c>
      <c r="GS202" s="5" t="s">
        <v>243</v>
      </c>
      <c r="GT202" s="5" t="s">
        <v>256</v>
      </c>
      <c r="GU202" s="5" t="s">
        <v>553</v>
      </c>
      <c r="GV202" s="5" t="str">
        <f>TEXT("6278997981029209672","0")</f>
        <v>6278997981029200000</v>
      </c>
    </row>
    <row r="203" spans="1:204" ht="15.75" customHeight="1" x14ac:dyDescent="0.15">
      <c r="A203" s="1">
        <f t="shared" si="510"/>
        <v>203</v>
      </c>
      <c r="B203" s="4">
        <v>45847.66002314815</v>
      </c>
      <c r="C203" s="5" t="s">
        <v>204</v>
      </c>
      <c r="D203" s="5" t="s">
        <v>204</v>
      </c>
      <c r="E203" s="5" t="s">
        <v>335</v>
      </c>
      <c r="F203" s="5" t="s">
        <v>206</v>
      </c>
      <c r="G203" s="5" t="s">
        <v>206</v>
      </c>
      <c r="H203" s="5" t="s">
        <v>206</v>
      </c>
      <c r="L203" s="5" t="s">
        <v>236</v>
      </c>
      <c r="P203" s="5" t="s">
        <v>237</v>
      </c>
      <c r="T203" s="5" t="s">
        <v>209</v>
      </c>
      <c r="Y203" s="5" t="s">
        <v>209</v>
      </c>
      <c r="AG203" s="5" t="s">
        <v>207</v>
      </c>
      <c r="AH203" s="5" t="s">
        <v>268</v>
      </c>
      <c r="AI203" s="5">
        <v>2023</v>
      </c>
      <c r="AJ203" s="5" t="s">
        <v>238</v>
      </c>
      <c r="AK203" s="5" t="str">
        <f t="shared" si="511"/>
        <v>Trabajadora por cuenta propia</v>
      </c>
      <c r="AL203" s="5" t="s">
        <v>239</v>
      </c>
      <c r="AP203" s="5" t="s">
        <v>321</v>
      </c>
      <c r="AR203" s="5" t="s">
        <v>261</v>
      </c>
      <c r="AS203" s="5" t="s">
        <v>241</v>
      </c>
      <c r="AT203" s="5" t="s">
        <v>241</v>
      </c>
      <c r="AU203" s="5" t="s">
        <v>241</v>
      </c>
      <c r="AV203" s="5" t="s">
        <v>285</v>
      </c>
      <c r="AW203" s="5" t="s">
        <v>204</v>
      </c>
      <c r="AX203" s="5" t="s">
        <v>204</v>
      </c>
      <c r="AY203" s="5" t="s">
        <v>214</v>
      </c>
      <c r="AZ203" s="5" t="s">
        <v>204</v>
      </c>
      <c r="BA203" s="5" t="s">
        <v>295</v>
      </c>
      <c r="BB203" s="5" t="s">
        <v>204</v>
      </c>
      <c r="BC203" s="5" t="s">
        <v>204</v>
      </c>
      <c r="BD203" s="5" t="s">
        <v>290</v>
      </c>
      <c r="BE203" s="5" t="s">
        <v>204</v>
      </c>
      <c r="BF203" s="5" t="s">
        <v>204</v>
      </c>
      <c r="BG203" s="5" t="s">
        <v>207</v>
      </c>
      <c r="BH203" s="5" t="s">
        <v>242</v>
      </c>
      <c r="BI203" s="5" t="s">
        <v>207</v>
      </c>
      <c r="BJ203" s="5" t="s">
        <v>264</v>
      </c>
      <c r="BK203" s="5" t="s">
        <v>243</v>
      </c>
      <c r="BL203" s="5" t="s">
        <v>243</v>
      </c>
      <c r="BM203" s="5" t="s">
        <v>243</v>
      </c>
      <c r="BN203" s="5" t="s">
        <v>243</v>
      </c>
      <c r="BO203" s="5" t="s">
        <v>243</v>
      </c>
      <c r="BP203" s="5" t="s">
        <v>243</v>
      </c>
      <c r="BQ203" s="5" t="s">
        <v>243</v>
      </c>
      <c r="BR203" s="5" t="s">
        <v>243</v>
      </c>
      <c r="BS203" s="5" t="s">
        <v>247</v>
      </c>
      <c r="BT203" s="5" t="s">
        <v>232</v>
      </c>
      <c r="BU203" s="5" t="s">
        <v>247</v>
      </c>
      <c r="BV203" s="5" t="s">
        <v>232</v>
      </c>
      <c r="BW203" s="5" t="s">
        <v>247</v>
      </c>
      <c r="BX203" s="5" t="s">
        <v>247</v>
      </c>
      <c r="BY203" s="5" t="s">
        <v>248</v>
      </c>
      <c r="BZ203" s="5" t="s">
        <v>245</v>
      </c>
      <c r="CA203" s="5" t="s">
        <v>243</v>
      </c>
      <c r="CB203" s="5" t="s">
        <v>243</v>
      </c>
      <c r="CC203" s="5" t="s">
        <v>245</v>
      </c>
      <c r="CD203" s="5" t="s">
        <v>206</v>
      </c>
      <c r="CH203" s="5" t="s">
        <v>206</v>
      </c>
      <c r="CI203" s="5" t="s">
        <v>206</v>
      </c>
      <c r="CJ203" s="5">
        <v>0</v>
      </c>
      <c r="CK203" s="5" t="s">
        <v>223</v>
      </c>
      <c r="CU203" s="5" t="s">
        <v>206</v>
      </c>
      <c r="DA203" s="5" t="s">
        <v>252</v>
      </c>
      <c r="DB203" s="5">
        <f t="shared" si="512"/>
        <v>3</v>
      </c>
      <c r="DC203" s="5" t="s">
        <v>230</v>
      </c>
      <c r="DD203" s="5">
        <f t="shared" si="513"/>
        <v>2</v>
      </c>
      <c r="DE203" s="5" t="s">
        <v>250</v>
      </c>
      <c r="DF203" s="5">
        <f t="shared" si="514"/>
        <v>3</v>
      </c>
      <c r="DG203" s="5" t="s">
        <v>250</v>
      </c>
      <c r="DH203" s="5">
        <f t="shared" si="515"/>
        <v>3</v>
      </c>
      <c r="DI203" s="5" t="s">
        <v>250</v>
      </c>
      <c r="DJ203" s="5">
        <f t="shared" si="516"/>
        <v>3</v>
      </c>
      <c r="DK203" s="5" t="s">
        <v>250</v>
      </c>
      <c r="DL203" s="5">
        <f t="shared" si="517"/>
        <v>3</v>
      </c>
      <c r="DM203" s="5" t="s">
        <v>280</v>
      </c>
      <c r="DN203" s="5">
        <f t="shared" si="518"/>
        <v>4</v>
      </c>
      <c r="DO203" s="5" t="s">
        <v>252</v>
      </c>
      <c r="DP203" s="5">
        <f t="shared" si="519"/>
        <v>3</v>
      </c>
      <c r="DQ203" s="5" t="s">
        <v>231</v>
      </c>
      <c r="DR203" s="5">
        <f t="shared" si="520"/>
        <v>2</v>
      </c>
      <c r="DS203" s="5" t="s">
        <v>231</v>
      </c>
      <c r="DT203" s="5">
        <f t="shared" si="521"/>
        <v>2</v>
      </c>
      <c r="DU203" s="5" t="s">
        <v>231</v>
      </c>
      <c r="DV203" s="5">
        <f t="shared" si="522"/>
        <v>2</v>
      </c>
      <c r="DW203" s="5" t="s">
        <v>231</v>
      </c>
      <c r="DX203" s="5">
        <f t="shared" si="523"/>
        <v>2</v>
      </c>
      <c r="DY203" s="5">
        <f t="shared" si="524"/>
        <v>32</v>
      </c>
      <c r="DZ203" s="5" t="str">
        <f t="shared" si="525"/>
        <v>Nivel de riesgo alto</v>
      </c>
      <c r="EA203" s="5" t="s">
        <v>247</v>
      </c>
      <c r="EB203" s="5">
        <f t="shared" si="526"/>
        <v>2</v>
      </c>
      <c r="EC203" s="5" t="s">
        <v>247</v>
      </c>
      <c r="ED203" s="5">
        <f t="shared" si="527"/>
        <v>2</v>
      </c>
      <c r="EE203" s="5" t="s">
        <v>247</v>
      </c>
      <c r="EF203" s="5">
        <f t="shared" si="528"/>
        <v>2</v>
      </c>
      <c r="EG203" s="5">
        <f t="shared" si="529"/>
        <v>6</v>
      </c>
      <c r="EH203" s="5" t="str">
        <f t="shared" si="530"/>
        <v>Nivel de riesgo alto</v>
      </c>
      <c r="EI203" s="5" t="s">
        <v>248</v>
      </c>
      <c r="EJ203" s="5">
        <f t="shared" si="531"/>
        <v>1</v>
      </c>
      <c r="EK203" s="5" t="s">
        <v>232</v>
      </c>
      <c r="EL203" s="5">
        <f t="shared" si="532"/>
        <v>3</v>
      </c>
      <c r="EM203" s="5" t="s">
        <v>248</v>
      </c>
      <c r="EN203" s="5">
        <f t="shared" si="533"/>
        <v>1</v>
      </c>
      <c r="EO203" s="5">
        <f t="shared" si="534"/>
        <v>5</v>
      </c>
      <c r="EP203" s="5" t="str">
        <f t="shared" si="535"/>
        <v>Nivel de riesgo medio</v>
      </c>
      <c r="EQ203" s="5" t="s">
        <v>232</v>
      </c>
      <c r="ER203" s="5">
        <f t="shared" si="536"/>
        <v>1</v>
      </c>
      <c r="ES203" s="5" t="s">
        <v>232</v>
      </c>
      <c r="ET203" s="5">
        <f t="shared" si="537"/>
        <v>1</v>
      </c>
      <c r="EU203" s="5" t="s">
        <v>254</v>
      </c>
      <c r="EV203" s="5">
        <f t="shared" si="538"/>
        <v>0</v>
      </c>
      <c r="EW203" s="5" t="s">
        <v>232</v>
      </c>
      <c r="EX203" s="5">
        <f t="shared" si="539"/>
        <v>1</v>
      </c>
      <c r="EY203" s="5">
        <f t="shared" si="540"/>
        <v>3</v>
      </c>
      <c r="EZ203" s="5" t="str">
        <f t="shared" si="541"/>
        <v>Nivel de riesgo medio</v>
      </c>
      <c r="FA203" s="5" t="s">
        <v>232</v>
      </c>
      <c r="FB203" s="5">
        <f t="shared" si="542"/>
        <v>3</v>
      </c>
      <c r="FC203" s="5" t="s">
        <v>247</v>
      </c>
      <c r="FD203" s="5">
        <f t="shared" si="543"/>
        <v>2</v>
      </c>
      <c r="FE203" s="5" t="s">
        <v>247</v>
      </c>
      <c r="FF203" s="5">
        <f t="shared" si="544"/>
        <v>2</v>
      </c>
      <c r="FG203" s="5">
        <f t="shared" si="545"/>
        <v>7</v>
      </c>
      <c r="FH203" s="5" t="str">
        <f t="shared" si="546"/>
        <v>Nivel de riesgo alto</v>
      </c>
      <c r="FI203" s="5" t="s">
        <v>232</v>
      </c>
      <c r="FJ203" s="5">
        <f t="shared" si="547"/>
        <v>3</v>
      </c>
      <c r="FK203" s="5" t="s">
        <v>247</v>
      </c>
      <c r="FL203" s="5">
        <f t="shared" si="548"/>
        <v>2</v>
      </c>
      <c r="FM203" s="5" t="s">
        <v>247</v>
      </c>
      <c r="FN203" s="5">
        <f t="shared" si="549"/>
        <v>2</v>
      </c>
      <c r="FO203" s="5">
        <f t="shared" si="550"/>
        <v>7</v>
      </c>
      <c r="FP203" s="5" t="str">
        <f t="shared" si="551"/>
        <v>Nivel de riesgo alto</v>
      </c>
      <c r="FQ203" s="5" t="s">
        <v>206</v>
      </c>
      <c r="FR203" s="5">
        <f t="shared" si="552"/>
        <v>0</v>
      </c>
      <c r="FS203" s="5" t="s">
        <v>206</v>
      </c>
      <c r="FT203" s="5">
        <f t="shared" si="553"/>
        <v>0</v>
      </c>
      <c r="FU203" s="5" t="s">
        <v>206</v>
      </c>
      <c r="FV203" s="5">
        <f t="shared" si="554"/>
        <v>0</v>
      </c>
      <c r="FW203" s="5" t="s">
        <v>206</v>
      </c>
      <c r="FX203" s="5">
        <f t="shared" si="555"/>
        <v>0</v>
      </c>
      <c r="FY203" s="5" t="s">
        <v>206</v>
      </c>
      <c r="FZ203" s="5">
        <f t="shared" si="556"/>
        <v>0</v>
      </c>
      <c r="GA203" s="5" t="s">
        <v>206</v>
      </c>
      <c r="GB203" s="5">
        <f t="shared" si="557"/>
        <v>0</v>
      </c>
      <c r="GC203" s="5" t="s">
        <v>206</v>
      </c>
      <c r="GD203" s="5">
        <f t="shared" si="558"/>
        <v>0</v>
      </c>
      <c r="GE203" s="5">
        <f t="shared" si="559"/>
        <v>0</v>
      </c>
      <c r="GF203" s="5" t="str">
        <f t="shared" si="560"/>
        <v>Nivel de riesgo bajo</v>
      </c>
      <c r="GG203" s="5" t="s">
        <v>255</v>
      </c>
      <c r="GH203" s="5" t="s">
        <v>255</v>
      </c>
      <c r="GI203" s="5" t="s">
        <v>266</v>
      </c>
      <c r="GJ203" s="5" t="s">
        <v>298</v>
      </c>
      <c r="GK203" s="5" t="s">
        <v>298</v>
      </c>
      <c r="GL203" s="5" t="s">
        <v>266</v>
      </c>
      <c r="GM203" s="5" t="s">
        <v>266</v>
      </c>
      <c r="GN203" s="5" t="s">
        <v>243</v>
      </c>
      <c r="GO203" s="5" t="s">
        <v>243</v>
      </c>
      <c r="GP203" s="5" t="s">
        <v>243</v>
      </c>
      <c r="GQ203" s="5" t="s">
        <v>257</v>
      </c>
      <c r="GR203" s="5" t="s">
        <v>243</v>
      </c>
      <c r="GS203" s="5" t="s">
        <v>243</v>
      </c>
      <c r="GT203" s="5" t="s">
        <v>243</v>
      </c>
      <c r="GU203" s="5" t="s">
        <v>554</v>
      </c>
      <c r="GV203" s="5" t="str">
        <f>TEXT("6278998265718181565","0")</f>
        <v>6278998265718180000</v>
      </c>
    </row>
    <row r="204" spans="1:204" ht="15.75" hidden="1" customHeight="1" x14ac:dyDescent="0.15">
      <c r="B204" s="4">
        <v>45847.666319444441</v>
      </c>
      <c r="C204" s="5" t="s">
        <v>204</v>
      </c>
      <c r="D204" s="5" t="s">
        <v>206</v>
      </c>
      <c r="F204" s="5" t="s">
        <v>206</v>
      </c>
      <c r="G204" s="5" t="s">
        <v>206</v>
      </c>
      <c r="H204" s="5" t="s">
        <v>206</v>
      </c>
      <c r="I204" s="5" t="s">
        <v>208</v>
      </c>
      <c r="N204" s="5" t="s">
        <v>208</v>
      </c>
      <c r="S204" s="5" t="s">
        <v>208</v>
      </c>
      <c r="X204" s="5" t="s">
        <v>208</v>
      </c>
      <c r="AG204" s="5" t="s">
        <v>207</v>
      </c>
      <c r="AH204" s="5" t="s">
        <v>555</v>
      </c>
      <c r="AI204" s="5">
        <v>2025</v>
      </c>
      <c r="AJ204" s="5" t="s">
        <v>304</v>
      </c>
      <c r="AK204" s="5"/>
      <c r="AR204" s="5" t="s">
        <v>276</v>
      </c>
      <c r="AS204" s="5" t="s">
        <v>276</v>
      </c>
      <c r="AT204" s="5" t="s">
        <v>276</v>
      </c>
      <c r="AU204" s="5" t="s">
        <v>276</v>
      </c>
      <c r="AV204" s="5" t="s">
        <v>213</v>
      </c>
      <c r="AW204" s="5" t="s">
        <v>206</v>
      </c>
      <c r="BF204" s="5" t="s">
        <v>204</v>
      </c>
      <c r="BG204" s="5" t="s">
        <v>207</v>
      </c>
      <c r="BH204" s="5" t="s">
        <v>264</v>
      </c>
      <c r="BI204" s="5" t="s">
        <v>207</v>
      </c>
      <c r="BJ204" s="5" t="s">
        <v>264</v>
      </c>
      <c r="BK204" s="5" t="s">
        <v>246</v>
      </c>
      <c r="BL204" s="5" t="s">
        <v>246</v>
      </c>
      <c r="BM204" s="5" t="s">
        <v>246</v>
      </c>
      <c r="BN204" s="5" t="s">
        <v>246</v>
      </c>
      <c r="BO204" s="5" t="s">
        <v>246</v>
      </c>
      <c r="BP204" s="5" t="s">
        <v>246</v>
      </c>
      <c r="BQ204" s="5" t="s">
        <v>246</v>
      </c>
      <c r="BR204" s="5" t="s">
        <v>246</v>
      </c>
      <c r="BS204" s="5" t="s">
        <v>217</v>
      </c>
      <c r="BT204" s="5" t="s">
        <v>217</v>
      </c>
      <c r="BU204" s="5" t="s">
        <v>217</v>
      </c>
      <c r="BV204" s="5" t="s">
        <v>217</v>
      </c>
      <c r="BW204" s="5" t="s">
        <v>217</v>
      </c>
      <c r="BX204" s="5" t="s">
        <v>217</v>
      </c>
      <c r="BY204" s="5" t="s">
        <v>217</v>
      </c>
      <c r="CD204" s="5" t="s">
        <v>206</v>
      </c>
      <c r="CH204" s="5" t="s">
        <v>206</v>
      </c>
      <c r="CI204" s="5" t="s">
        <v>206</v>
      </c>
      <c r="CJ204" s="5">
        <v>0</v>
      </c>
      <c r="CK204" s="5" t="s">
        <v>223</v>
      </c>
      <c r="CU204" s="5" t="s">
        <v>206</v>
      </c>
      <c r="DA204" s="5" t="s">
        <v>229</v>
      </c>
      <c r="DB204" s="5"/>
      <c r="DC204" s="5" t="s">
        <v>280</v>
      </c>
      <c r="DD204" s="5"/>
      <c r="DE204" s="5" t="s">
        <v>280</v>
      </c>
      <c r="DF204" s="5"/>
      <c r="DG204" s="5" t="s">
        <v>280</v>
      </c>
      <c r="DH204" s="5"/>
      <c r="DI204" s="5" t="s">
        <v>280</v>
      </c>
      <c r="DJ204" s="5"/>
      <c r="DK204" s="5" t="s">
        <v>280</v>
      </c>
      <c r="DL204" s="5"/>
      <c r="DM204" s="5" t="s">
        <v>280</v>
      </c>
      <c r="DN204" s="5"/>
      <c r="DO204" s="5" t="s">
        <v>252</v>
      </c>
      <c r="DP204" s="5"/>
      <c r="DQ204" s="5" t="s">
        <v>252</v>
      </c>
      <c r="DR204" s="5"/>
      <c r="DS204" s="5" t="s">
        <v>252</v>
      </c>
      <c r="DT204" s="5"/>
      <c r="DU204" s="5" t="s">
        <v>252</v>
      </c>
      <c r="DV204" s="5"/>
      <c r="DW204" s="5" t="s">
        <v>252</v>
      </c>
      <c r="DX204" s="5"/>
      <c r="DY204" s="5"/>
      <c r="DZ204" s="5"/>
      <c r="EA204" s="5" t="s">
        <v>254</v>
      </c>
      <c r="EB204" s="5"/>
      <c r="EC204" s="5" t="s">
        <v>254</v>
      </c>
      <c r="ED204" s="5"/>
      <c r="EE204" s="5" t="s">
        <v>254</v>
      </c>
      <c r="EF204" s="5"/>
      <c r="EG204" s="5"/>
      <c r="EH204" s="5"/>
      <c r="EI204" s="5" t="s">
        <v>254</v>
      </c>
      <c r="EJ204" s="5"/>
      <c r="EK204" s="5" t="s">
        <v>254</v>
      </c>
      <c r="EL204" s="5"/>
      <c r="EM204" s="5" t="s">
        <v>254</v>
      </c>
      <c r="EN204" s="5"/>
      <c r="EO204" s="5"/>
      <c r="EP204" s="5"/>
      <c r="EQ204" s="5" t="s">
        <v>254</v>
      </c>
      <c r="ER204" s="5"/>
      <c r="ES204" s="5" t="s">
        <v>254</v>
      </c>
      <c r="ET204" s="5"/>
      <c r="EU204" s="5" t="s">
        <v>254</v>
      </c>
      <c r="EV204" s="5"/>
      <c r="EW204" s="5" t="s">
        <v>254</v>
      </c>
      <c r="EX204" s="5"/>
      <c r="EY204" s="5"/>
      <c r="EZ204" s="5"/>
      <c r="FA204" s="5" t="s">
        <v>254</v>
      </c>
      <c r="FB204" s="5"/>
      <c r="FC204" s="5" t="s">
        <v>254</v>
      </c>
      <c r="FD204" s="5"/>
      <c r="FE204" s="5" t="s">
        <v>254</v>
      </c>
      <c r="FF204" s="5"/>
      <c r="FG204" s="5"/>
      <c r="FH204" s="5"/>
      <c r="FI204" s="5" t="s">
        <v>254</v>
      </c>
      <c r="FJ204" s="5"/>
      <c r="FK204" s="5" t="s">
        <v>254</v>
      </c>
      <c r="FL204" s="5"/>
      <c r="FM204" s="5" t="s">
        <v>254</v>
      </c>
      <c r="FN204" s="5"/>
      <c r="FO204" s="5"/>
      <c r="FP204" s="5"/>
      <c r="FQ204" s="5" t="s">
        <v>206</v>
      </c>
      <c r="FR204" s="5"/>
      <c r="FS204" s="5" t="s">
        <v>206</v>
      </c>
      <c r="FT204" s="5"/>
      <c r="FU204" s="5" t="s">
        <v>206</v>
      </c>
      <c r="FV204" s="5"/>
      <c r="FW204" s="5" t="s">
        <v>206</v>
      </c>
      <c r="FX204" s="5"/>
      <c r="FY204" s="5" t="s">
        <v>206</v>
      </c>
      <c r="FZ204" s="5"/>
      <c r="GA204" s="5" t="s">
        <v>206</v>
      </c>
      <c r="GB204" s="5"/>
      <c r="GC204" s="5" t="s">
        <v>206</v>
      </c>
      <c r="GD204" s="5"/>
      <c r="GE204" s="5"/>
      <c r="GF204" s="5"/>
      <c r="GG204" s="5" t="s">
        <v>233</v>
      </c>
      <c r="GH204" s="5" t="s">
        <v>233</v>
      </c>
      <c r="GI204" s="5" t="s">
        <v>233</v>
      </c>
      <c r="GJ204" s="5" t="s">
        <v>233</v>
      </c>
      <c r="GK204" s="5" t="s">
        <v>233</v>
      </c>
      <c r="GL204" s="5" t="s">
        <v>233</v>
      </c>
      <c r="GM204" s="5" t="s">
        <v>233</v>
      </c>
      <c r="GN204" s="5" t="s">
        <v>234</v>
      </c>
      <c r="GO204" s="5" t="s">
        <v>234</v>
      </c>
      <c r="GP204" s="5" t="s">
        <v>234</v>
      </c>
      <c r="GQ204" s="5" t="s">
        <v>234</v>
      </c>
      <c r="GR204" s="5" t="s">
        <v>234</v>
      </c>
      <c r="GS204" s="5" t="s">
        <v>234</v>
      </c>
      <c r="GT204" s="5" t="s">
        <v>234</v>
      </c>
      <c r="GU204" s="5" t="s">
        <v>303</v>
      </c>
      <c r="GV204" s="5" t="str">
        <f>TEXT("6279003702022457089","0")</f>
        <v>6279003702022450000</v>
      </c>
    </row>
    <row r="205" spans="1:204" ht="15.75" customHeight="1" x14ac:dyDescent="0.15">
      <c r="A205" s="1">
        <f t="shared" ref="A205:A215" si="561">ROW(A205)</f>
        <v>205</v>
      </c>
      <c r="B205" s="4">
        <v>45847.671446759261</v>
      </c>
      <c r="C205" s="5" t="s">
        <v>204</v>
      </c>
      <c r="D205" s="5" t="s">
        <v>206</v>
      </c>
      <c r="F205" s="5" t="s">
        <v>206</v>
      </c>
      <c r="G205" s="5" t="s">
        <v>206</v>
      </c>
      <c r="H205" s="5" t="s">
        <v>206</v>
      </c>
      <c r="K205" s="5" t="s">
        <v>237</v>
      </c>
      <c r="O205" s="5" t="s">
        <v>209</v>
      </c>
      <c r="T205" s="5" t="s">
        <v>209</v>
      </c>
      <c r="Y205" s="5" t="s">
        <v>209</v>
      </c>
      <c r="AE205" s="5" t="s">
        <v>237</v>
      </c>
      <c r="AH205" s="5" t="s">
        <v>275</v>
      </c>
      <c r="AI205" s="5">
        <v>2023</v>
      </c>
      <c r="AJ205" s="5" t="s">
        <v>238</v>
      </c>
      <c r="AK205" s="5" t="str">
        <f t="shared" ref="AK205:AK215" si="562">IF(OR(AJ205="Empleada del sector privado",AJ205="Empleada del sector público"),"Asalariada",
IF(AJ205="Trabajadora por cuenta propia","Trabajadora por cuenta propia",""))</f>
        <v>Trabajadora por cuenta propia</v>
      </c>
      <c r="AL205" s="5" t="s">
        <v>239</v>
      </c>
      <c r="AP205" s="5" t="s">
        <v>297</v>
      </c>
      <c r="AR205" s="5" t="s">
        <v>241</v>
      </c>
      <c r="AS205" s="5" t="s">
        <v>241</v>
      </c>
      <c r="AT205" s="5" t="s">
        <v>241</v>
      </c>
      <c r="AU205" s="5" t="s">
        <v>241</v>
      </c>
      <c r="AV205" s="5" t="s">
        <v>285</v>
      </c>
      <c r="AW205" s="5" t="s">
        <v>204</v>
      </c>
      <c r="AX205" s="5" t="s">
        <v>206</v>
      </c>
      <c r="BF205" s="5" t="s">
        <v>204</v>
      </c>
      <c r="BG205" s="5" t="s">
        <v>207</v>
      </c>
      <c r="BH205" s="5" t="s">
        <v>207</v>
      </c>
      <c r="BI205" s="5" t="s">
        <v>207</v>
      </c>
      <c r="BJ205" s="5" t="s">
        <v>207</v>
      </c>
      <c r="BK205" s="5" t="s">
        <v>243</v>
      </c>
      <c r="BL205" s="5" t="s">
        <v>243</v>
      </c>
      <c r="BM205" s="5" t="s">
        <v>243</v>
      </c>
      <c r="BN205" s="5" t="s">
        <v>243</v>
      </c>
      <c r="BO205" s="5" t="s">
        <v>243</v>
      </c>
      <c r="BP205" s="5" t="s">
        <v>216</v>
      </c>
      <c r="BQ205" s="5" t="s">
        <v>243</v>
      </c>
      <c r="BR205" s="5" t="s">
        <v>245</v>
      </c>
      <c r="BS205" s="5" t="s">
        <v>254</v>
      </c>
      <c r="BT205" s="5" t="s">
        <v>254</v>
      </c>
      <c r="BU205" s="5" t="s">
        <v>254</v>
      </c>
      <c r="BV205" s="5" t="s">
        <v>254</v>
      </c>
      <c r="BW205" s="5" t="s">
        <v>247</v>
      </c>
      <c r="BX205" s="5" t="s">
        <v>254</v>
      </c>
      <c r="BY205" s="5" t="s">
        <v>217</v>
      </c>
      <c r="BZ205" s="5" t="s">
        <v>243</v>
      </c>
      <c r="CA205" s="5" t="s">
        <v>243</v>
      </c>
      <c r="CB205" s="5" t="s">
        <v>243</v>
      </c>
      <c r="CC205" s="5" t="s">
        <v>243</v>
      </c>
      <c r="CD205" s="5" t="s">
        <v>206</v>
      </c>
      <c r="CH205" s="5" t="s">
        <v>206</v>
      </c>
      <c r="CI205" s="5" t="s">
        <v>249</v>
      </c>
      <c r="CJ205" s="5">
        <v>2</v>
      </c>
      <c r="CK205" s="5" t="s">
        <v>223</v>
      </c>
      <c r="CU205" s="5" t="s">
        <v>206</v>
      </c>
      <c r="DA205" s="5" t="s">
        <v>252</v>
      </c>
      <c r="DB205" s="5">
        <f t="shared" ref="DB205:DB215" si="563">IF(DA205="Mejor que lo habitual",1,
IF(DA205="Igual que lo habitual",2,
IF(DA205="Menos que lo habitual",3,
IF(DA205="Mucho menos que lo habitual",4,""))))</f>
        <v>3</v>
      </c>
      <c r="DC205" s="5" t="s">
        <v>250</v>
      </c>
      <c r="DD205" s="5">
        <f t="shared" ref="DD205:DD215" si="564">IF(DC205="No, en absoluto",1,
IF(DC205="No más que lo habitual",2,
IF(DC205="Bastante más que lo habitual",3,
IF(DC205="Mucho más que lo habitual",4,""))))</f>
        <v>3</v>
      </c>
      <c r="DE205" s="5" t="s">
        <v>250</v>
      </c>
      <c r="DF205" s="5">
        <f t="shared" ref="DF205:DF215" si="565">IF(DE205="No, en absoluto",1,
IF(DE205="No más que lo habitual",2,
IF(DE205="Bastante más que lo habitual",3,
IF(DE205="Mucho más que lo habitual",4,""))))</f>
        <v>3</v>
      </c>
      <c r="DG205" s="5" t="s">
        <v>250</v>
      </c>
      <c r="DH205" s="5">
        <f t="shared" ref="DH205:DH215" si="566">IF(DG205="No, en absoluto",1,
IF(DG205="No más que lo habitual",2,
IF(DG205="Bastante más que lo habitual",3,
IF(DG205="Mucho más que lo habitual",4,""))))</f>
        <v>3</v>
      </c>
      <c r="DI205" s="5" t="s">
        <v>250</v>
      </c>
      <c r="DJ205" s="5">
        <f t="shared" ref="DJ205:DJ215" si="567">IF(DI205="No, en absoluto",1,
IF(DI205="No más que lo habitual",2,
IF(DI205="Bastante más que lo habitual",3,
IF(DI205="Mucho más que lo habitual",4,""))))</f>
        <v>3</v>
      </c>
      <c r="DK205" s="5" t="s">
        <v>250</v>
      </c>
      <c r="DL205" s="5">
        <f t="shared" ref="DL205:DL215" si="568">IF(DK205="No, en absoluto",1,
IF(DK205="No más que lo habitual",2,
IF(DK205="Bastante más que lo habitual",3,
IF(DK205="Mucho más que lo habitual",4,""))))</f>
        <v>3</v>
      </c>
      <c r="DM205" s="5" t="s">
        <v>251</v>
      </c>
      <c r="DN205" s="5">
        <f t="shared" ref="DN205:DN215" si="569">IF(DM205="No, en absoluto",1,
IF(DM205="No más que lo habitual",2,
IF(DM205="Bastante más que lo habitual",3,
IF(DM205="Mucho más que lo habitual",4,""))))</f>
        <v>1</v>
      </c>
      <c r="DO205" s="5" t="s">
        <v>231</v>
      </c>
      <c r="DP205" s="5">
        <f t="shared" ref="DP205:DP215" si="570">IF(DO205="Más que lo habitual",1,
IF(DO205="Igual que lo habitual",2,
IF(DO205="Menos que lo habitual",3,
IF(DO205="Mucho menos que lo habitual",4,""))))</f>
        <v>2</v>
      </c>
      <c r="DQ205" s="5" t="s">
        <v>231</v>
      </c>
      <c r="DR205" s="5">
        <f t="shared" ref="DR205:DR215" si="571">IF(DQ205="Más que lo habitual",1,
IF(DQ205="Igual que lo habitual",2,
IF(DQ205="Menos que lo habitual",3,
IF(DQ205="Mucho menos que lo habitual",4,""))))</f>
        <v>2</v>
      </c>
      <c r="DS205" s="5" t="s">
        <v>231</v>
      </c>
      <c r="DT205" s="5">
        <f t="shared" ref="DT205:DT215" si="572">IF(DS205="Más que lo habitual",1,
IF(DS205="Igual que lo habitual",2,
IF(DS205="Menos que lo habitual",3,
IF(DS205="Mucho menos que lo habitual",4,""))))</f>
        <v>2</v>
      </c>
      <c r="DU205" s="5" t="s">
        <v>252</v>
      </c>
      <c r="DV205" s="5">
        <f t="shared" ref="DV205:DV215" si="573">IF(DU205="Más que lo habitual",1,
IF(DU205="Igual que lo habitual",2,
IF(DU205="Menos que lo habitual",3,
IF(DU205="Mucho menos que lo habitual",4,""))))</f>
        <v>3</v>
      </c>
      <c r="DW205" s="5" t="s">
        <v>231</v>
      </c>
      <c r="DX205" s="5">
        <f t="shared" ref="DX205:DX215" si="574">IF(DW205="Más que lo habitual",1,
IF(DW205="Igual que lo habitual",2,
IF(DW205="Menos que lo habitual",3,
IF(DW205="Mucho menos que lo habitual",4,""))))</f>
        <v>2</v>
      </c>
      <c r="DY205" s="5">
        <f t="shared" ref="DY205:DY215" si="575">SUM(DB205,DD205,DF205,DH205,DJ205,DL205,DN205,DP205,DR205,DT205,DV205,DX205)</f>
        <v>30</v>
      </c>
      <c r="DZ205" s="5" t="str">
        <f t="shared" ref="DZ205:DZ215" si="576">IF(DY205&lt;=18,"Nivel de riesgo bajo",
IF(DY205&lt;=23,"Nivel de riesgo medio",
"Nivel de riesgo alto"))</f>
        <v>Nivel de riesgo alto</v>
      </c>
      <c r="EA205" s="5" t="s">
        <v>248</v>
      </c>
      <c r="EB205" s="5">
        <f t="shared" ref="EB205:EB215" si="577">IF(EA205="Nunca/ casi nunca",0,
IF(EA205="Rara vez",1,
IF(EA205="A veces",2,
IF(EA205="A menudo",3,
IF(EA205="Siempre",4,"")))))</f>
        <v>1</v>
      </c>
      <c r="EC205" s="5" t="s">
        <v>248</v>
      </c>
      <c r="ED205" s="5">
        <f t="shared" ref="ED205:ED215" si="578">IF(EC205="Nunca/ casi nunca",0,
IF(EC205="Rara vez",1,
IF(EC205="A veces",2,
IF(EC205="A menudo",3,
IF(EC205="Siempre",4,"")))))</f>
        <v>1</v>
      </c>
      <c r="EE205" s="5" t="s">
        <v>248</v>
      </c>
      <c r="EF205" s="5">
        <f t="shared" ref="EF205:EF215" si="579">IF(EE205="Nunca/ casi nunca",0,
IF(EE205="Rara vez",1,
IF(EE205="A veces",2,
IF(EE205="A menudo",3,
IF(EE205="Siempre",4,"")))))</f>
        <v>1</v>
      </c>
      <c r="EG205" s="5">
        <f t="shared" ref="EG205:EG215" si="580">SUM(EB205,ED205,EF205)</f>
        <v>3</v>
      </c>
      <c r="EH205" s="5" t="str">
        <f t="shared" ref="EH205:EH215" si="581">IF(EG205&lt;=1,"Nivel de riesgo bajo",
IF(EG205&lt;=4,"Nivel de riesgo medio",
"Nivel de riesgo alto"))</f>
        <v>Nivel de riesgo medio</v>
      </c>
      <c r="EI205" s="5" t="s">
        <v>248</v>
      </c>
      <c r="EJ205" s="5">
        <f t="shared" ref="EJ205:EJ215" si="582">IF(EI205="Nunca/ casi nunca",0,
IF(EI205="Rara vez",1,
IF(EI205="A veces",2,
IF(EI205="A menudo",3,
IF(EI205="Siempre",4,"")))))</f>
        <v>1</v>
      </c>
      <c r="EK205" s="5" t="s">
        <v>248</v>
      </c>
      <c r="EL205" s="5">
        <f t="shared" ref="EL205:EL215" si="583">IF(EK205="Nunca/ casi nunca",0,
IF(EK205="Rara vez",1,
IF(EK205="A veces",2,
IF(EK205="A menudo",3,
IF(EK205="Siempre",4,"")))))</f>
        <v>1</v>
      </c>
      <c r="EM205" s="5" t="s">
        <v>248</v>
      </c>
      <c r="EN205" s="5">
        <f t="shared" ref="EN205:EN215" si="584">IF(EM205="Nunca/ casi nunca",0,
IF(EM205="Rara vez",1,
IF(EM205="A veces",2,
IF(EM205="A menudo",3,
IF(EM205="Siempre",4,"")))))</f>
        <v>1</v>
      </c>
      <c r="EO205" s="5">
        <f t="shared" ref="EO205:EO215" si="585">SUM(EJ205,EL205,EN205)</f>
        <v>3</v>
      </c>
      <c r="EP205" s="5" t="str">
        <f t="shared" ref="EP205:EP215" si="586">IF(EO205&lt;=1,"Nivel de riesgo bajo",
IF(EO205&lt;=5,"Nivel de riesgo medio",
"Nivel de riesgo alto"))</f>
        <v>Nivel de riesgo medio</v>
      </c>
      <c r="EQ205" s="5" t="s">
        <v>248</v>
      </c>
      <c r="ER205" s="5">
        <f t="shared" ref="ER205:ER215" si="587">IF(EQ205="Nunca/ casi nunca",4,
IF(EQ205="Rara vez",3,
IF(EQ205="A veces",2,
IF(EQ205="A menudo",1,
IF(EQ205="Siempre",0,"")))))</f>
        <v>3</v>
      </c>
      <c r="ES205" s="5" t="s">
        <v>248</v>
      </c>
      <c r="ET205" s="5">
        <f t="shared" ref="ET205:ET215" si="588">IF(ES205="Nunca/ casi nunca",4,
IF(ES205="Rara vez",3,
IF(ES205="A veces",2,
IF(ES205="A menudo",1,
IF(ES205="Siempre",0,"")))))</f>
        <v>3</v>
      </c>
      <c r="EU205" s="5" t="s">
        <v>248</v>
      </c>
      <c r="EV205" s="5">
        <f t="shared" ref="EV205:EV215" si="589">IF(EU205="Nunca/ casi nunca",4,
IF(EU205="Rara vez",3,
IF(EU205="A veces",2,
IF(EU205="A menudo",1,
IF(EU205="Siempre",0,"")))))</f>
        <v>3</v>
      </c>
      <c r="EW205" s="5" t="s">
        <v>248</v>
      </c>
      <c r="EX205" s="5">
        <f t="shared" ref="EX205:EX215" si="590">IF(EW205="Nunca/ casi nunca",4,
IF(EW205="Rara vez",3,
IF(EW205="A veces",2,
IF(EW205="A menudo",1,
IF(EW205="Siempre",0,"")))))</f>
        <v>3</v>
      </c>
      <c r="EY205" s="5">
        <f t="shared" ref="EY205:EY215" si="591">SUM(ER205,ET205,EV205,EX205)</f>
        <v>12</v>
      </c>
      <c r="EZ205" s="5" t="str">
        <f t="shared" ref="EZ205:EZ215" si="592">IF(EY205&lt;=0,"Nivel de riesgo bajo",
IF(EY205&lt;=4,"Nivel de riesgo medio",
"Nivel de riesgo alto"))</f>
        <v>Nivel de riesgo alto</v>
      </c>
      <c r="FA205" s="5" t="s">
        <v>248</v>
      </c>
      <c r="FB205" s="5">
        <f t="shared" ref="FB205:FB215" si="593">IF(FA205="Nunca/ casi nunca",0,
IF(FA205="Rara vez",1,
IF(FA205="A veces",2,
IF(FA205="A menudo",3,
IF(FA205="Siempre",4,"")))))</f>
        <v>1</v>
      </c>
      <c r="FC205" s="5" t="s">
        <v>248</v>
      </c>
      <c r="FD205" s="5">
        <f t="shared" ref="FD205:FD215" si="594">IF(FC205="Nunca/ casi nunca",0,
IF(FC205="Rara vez",1,
IF(FC205="A veces",2,
IF(FC205="A menudo",3,
IF(FC205="Siempre",4,"")))))</f>
        <v>1</v>
      </c>
      <c r="FE205" s="5" t="s">
        <v>248</v>
      </c>
      <c r="FF205" s="5">
        <f t="shared" ref="FF205:FF215" si="595">IF(FE205="Nunca/ casi nunca",0,
IF(FE205="Rara vez",1,
IF(FE205="A veces",2,
IF(FE205="A menudo",3,
IF(FE205="Siempre",4,"")))))</f>
        <v>1</v>
      </c>
      <c r="FG205" s="5">
        <f t="shared" ref="FG205:FG215" si="596">SUM(FB205,FD205,FF205)</f>
        <v>3</v>
      </c>
      <c r="FH205" s="5" t="str">
        <f t="shared" ref="FH205:FH215" si="597">IF(FG205&lt;=2,"Nivel de riesgo bajo",
IF(FG205&lt;=5,"Nivel de riesgo medio",
"Nivel de riesgo alto"))</f>
        <v>Nivel de riesgo medio</v>
      </c>
      <c r="FI205" s="5" t="s">
        <v>248</v>
      </c>
      <c r="FJ205" s="5">
        <f t="shared" ref="FJ205:FJ215" si="598">IF(FI205="Nunca/ casi nunca",0,
IF(FI205="Rara vez",1,
IF(FI205="A veces",2,
IF(FI205="A menudo",3,
IF(FI205="Siempre",4,"")))))</f>
        <v>1</v>
      </c>
      <c r="FK205" s="5" t="s">
        <v>248</v>
      </c>
      <c r="FL205" s="5">
        <f t="shared" ref="FL205:FL215" si="599">IF(FK205="Nunca/ casi nunca",0,
IF(FK205="Rara vez",1,
IF(FK205="A veces",2,
IF(FK205="A menudo",3,
IF(FK205="Siempre",4,"")))))</f>
        <v>1</v>
      </c>
      <c r="FM205" s="5" t="s">
        <v>248</v>
      </c>
      <c r="FN205" s="5">
        <f t="shared" ref="FN205:FN215" si="600">IF(FM205="Nunca/ casi nunca",0,
IF(FM205="Rara vez",1,
IF(FM205="A veces",2,
IF(FM205="A menudo",3,
IF(FM205="Siempre",4,"")))))</f>
        <v>1</v>
      </c>
      <c r="FO205" s="5">
        <f t="shared" ref="FO205:FO215" si="601">SUM(FJ205,FL205,FN205)</f>
        <v>3</v>
      </c>
      <c r="FP205" s="5" t="str">
        <f t="shared" ref="FP205:FP215" si="602">IF(FO205&lt;=2,"Nivel de riesgo bajo",
IF(FO205&lt;=5,"Nivel de riesgo medio",
"Nivel de riesgo alto"))</f>
        <v>Nivel de riesgo medio</v>
      </c>
      <c r="FQ205" s="5" t="s">
        <v>206</v>
      </c>
      <c r="FR205" s="5">
        <f t="shared" ref="FR205:FR215" si="603">IF(FQ205="No",0,
IF(FQ205="Sí, unas pocas veces",1,
IF(FQ205="Sí, mensualmente",2,
IF(FQ205="Sí, semanalmente",3,
IF(FQ205="Sí, diariamente",4,"")))))</f>
        <v>0</v>
      </c>
      <c r="FS205" s="5" t="s">
        <v>206</v>
      </c>
      <c r="FT205" s="5">
        <f t="shared" ref="FT205:FT215" si="604">IF(FS205="No",0,
IF(FS205="Sí, unas pocas veces",1,
IF(FS205="Sí, mensualmente",2,
IF(FS205="Sí, semanalmente",3,
IF(FS205="Sí, diariamente",4,"")))))</f>
        <v>0</v>
      </c>
      <c r="FU205" s="5" t="s">
        <v>206</v>
      </c>
      <c r="FV205" s="5">
        <f t="shared" ref="FV205:FV215" si="605">IF(FU205="No",0,
IF(FU205="Sí, unas pocas veces",1,
IF(FU205="Sí, mensualmente",2,
IF(FU205="Sí, semanalmente",3,
IF(FU205="Sí, diariamente",4,"")))))</f>
        <v>0</v>
      </c>
      <c r="FW205" s="5" t="s">
        <v>206</v>
      </c>
      <c r="FX205" s="5">
        <f t="shared" ref="FX205:FX215" si="606">IF(FW205="No",0,
IF(FW205="Sí, unas pocas veces",1,
IF(FW205="Sí, mensualmente",2,
IF(FW205="Sí, semanalmente",3,
IF(FW205="Sí, diariamente",4,"")))))</f>
        <v>0</v>
      </c>
      <c r="FY205" s="5" t="s">
        <v>206</v>
      </c>
      <c r="FZ205" s="5">
        <f t="shared" ref="FZ205:FZ215" si="607">IF(FY205="No",0,
IF(FY205="Sí, unas pocas veces",1,
IF(FY205="Sí, mensualmente",2,
IF(FY205="Sí, semanalmente",3,
IF(FY205="Sí, diariamente",4,"")))))</f>
        <v>0</v>
      </c>
      <c r="GA205" s="5" t="s">
        <v>206</v>
      </c>
      <c r="GB205" s="5">
        <f t="shared" ref="GB205:GB215" si="608">IF(GA205="No",0,
IF(GA205="Sí, unas pocas veces",1,
IF(GA205="Sí, mensualmente",2,
IF(GA205="Sí, semanalmente",3,
IF(GA205="Sí, diariamente",4,"")))))</f>
        <v>0</v>
      </c>
      <c r="GC205" s="5" t="s">
        <v>206</v>
      </c>
      <c r="GD205" s="5">
        <f t="shared" ref="GD205:GD215" si="609">IF(GC205="No",0,
IF(GC205="Sí, unas pocas veces",1,
IF(GC205="Sí, mensualmente",2,
IF(GC205="Sí, semanalmente",3,
IF(GC205="Sí, diariamente",4,"")))))</f>
        <v>0</v>
      </c>
      <c r="GE205" s="5">
        <f t="shared" ref="GE205:GE215" si="610">SUM(FR205,FT205,FV205,FX205,FZ205,GB205,GD205)</f>
        <v>0</v>
      </c>
      <c r="GF205" s="5" t="str">
        <f t="shared" ref="GF205:GF215" si="611">IF(GE205&lt;=0,"Nivel de riesgo bajo",
IF(GE205&lt;=14,"Nivel de riesgo medio",
"Nivel de riesgo alto"))</f>
        <v>Nivel de riesgo bajo</v>
      </c>
      <c r="GG205" s="5" t="s">
        <v>255</v>
      </c>
      <c r="GH205" s="5" t="s">
        <v>255</v>
      </c>
      <c r="GI205" s="5" t="s">
        <v>255</v>
      </c>
      <c r="GJ205" s="5" t="s">
        <v>233</v>
      </c>
      <c r="GK205" s="5" t="s">
        <v>233</v>
      </c>
      <c r="GL205" s="5" t="s">
        <v>233</v>
      </c>
      <c r="GM205" s="5" t="s">
        <v>233</v>
      </c>
      <c r="GN205" s="5" t="s">
        <v>243</v>
      </c>
      <c r="GO205" s="5" t="s">
        <v>243</v>
      </c>
      <c r="GP205" s="5" t="s">
        <v>243</v>
      </c>
      <c r="GQ205" s="5" t="s">
        <v>257</v>
      </c>
      <c r="GR205" s="5" t="s">
        <v>257</v>
      </c>
      <c r="GS205" s="5" t="s">
        <v>257</v>
      </c>
      <c r="GT205" s="5" t="s">
        <v>257</v>
      </c>
      <c r="GU205" s="5" t="s">
        <v>556</v>
      </c>
      <c r="GV205" s="5" t="str">
        <f>TEXT("6279008139569742396","0")</f>
        <v>6279008139569740000</v>
      </c>
    </row>
    <row r="206" spans="1:204" ht="15.75" customHeight="1" x14ac:dyDescent="0.15">
      <c r="A206" s="1">
        <f t="shared" si="561"/>
        <v>206</v>
      </c>
      <c r="B206" s="4">
        <v>45847.683333333334</v>
      </c>
      <c r="C206" s="5" t="s">
        <v>204</v>
      </c>
      <c r="D206" s="5" t="s">
        <v>206</v>
      </c>
      <c r="F206" s="5" t="s">
        <v>206</v>
      </c>
      <c r="G206" s="5" t="s">
        <v>206</v>
      </c>
      <c r="H206" s="5" t="s">
        <v>206</v>
      </c>
      <c r="K206" s="5" t="s">
        <v>237</v>
      </c>
      <c r="O206" s="5" t="s">
        <v>209</v>
      </c>
      <c r="T206" s="5" t="s">
        <v>209</v>
      </c>
      <c r="Y206" s="5" t="s">
        <v>209</v>
      </c>
      <c r="AD206" s="5" t="s">
        <v>209</v>
      </c>
      <c r="AH206" s="5" t="s">
        <v>210</v>
      </c>
      <c r="AI206" s="5">
        <v>2020</v>
      </c>
      <c r="AJ206" s="5" t="s">
        <v>238</v>
      </c>
      <c r="AK206" s="5" t="str">
        <f t="shared" si="562"/>
        <v>Trabajadora por cuenta propia</v>
      </c>
      <c r="AL206" s="5" t="s">
        <v>239</v>
      </c>
      <c r="AP206" s="5" t="s">
        <v>240</v>
      </c>
      <c r="AR206" s="5" t="s">
        <v>241</v>
      </c>
      <c r="AS206" s="5" t="s">
        <v>241</v>
      </c>
      <c r="AT206" s="5" t="s">
        <v>241</v>
      </c>
      <c r="AU206" s="5" t="s">
        <v>241</v>
      </c>
      <c r="AV206" s="5" t="s">
        <v>269</v>
      </c>
      <c r="AW206" s="5" t="s">
        <v>204</v>
      </c>
      <c r="AX206" s="5" t="s">
        <v>204</v>
      </c>
      <c r="AY206" s="5" t="s">
        <v>270</v>
      </c>
      <c r="AZ206" s="5" t="s">
        <v>204</v>
      </c>
      <c r="BA206" s="5" t="s">
        <v>295</v>
      </c>
      <c r="BB206" s="5" t="s">
        <v>206</v>
      </c>
      <c r="BC206" s="5" t="s">
        <v>206</v>
      </c>
      <c r="BD206" s="5" t="s">
        <v>290</v>
      </c>
      <c r="BE206" s="5" t="s">
        <v>204</v>
      </c>
      <c r="BF206" s="5" t="s">
        <v>204</v>
      </c>
      <c r="BG206" s="5" t="s">
        <v>271</v>
      </c>
      <c r="BH206" s="5" t="s">
        <v>271</v>
      </c>
      <c r="BI206" s="5" t="s">
        <v>242</v>
      </c>
      <c r="BJ206" s="5" t="s">
        <v>271</v>
      </c>
      <c r="BK206" s="5" t="s">
        <v>246</v>
      </c>
      <c r="BL206" s="5" t="s">
        <v>244</v>
      </c>
      <c r="BM206" s="5" t="s">
        <v>243</v>
      </c>
      <c r="BN206" s="5" t="s">
        <v>243</v>
      </c>
      <c r="BO206" s="5" t="s">
        <v>246</v>
      </c>
      <c r="BP206" s="5" t="s">
        <v>246</v>
      </c>
      <c r="BQ206" s="5" t="s">
        <v>246</v>
      </c>
      <c r="BR206" s="5" t="s">
        <v>246</v>
      </c>
      <c r="BS206" s="5" t="s">
        <v>232</v>
      </c>
      <c r="BT206" s="5" t="s">
        <v>232</v>
      </c>
      <c r="BU206" s="5" t="s">
        <v>247</v>
      </c>
      <c r="BV206" s="5" t="s">
        <v>247</v>
      </c>
      <c r="BW206" s="5" t="s">
        <v>232</v>
      </c>
      <c r="BX206" s="5" t="s">
        <v>232</v>
      </c>
      <c r="BY206" s="5" t="s">
        <v>247</v>
      </c>
      <c r="BZ206" s="5" t="s">
        <v>246</v>
      </c>
      <c r="CA206" s="5" t="s">
        <v>246</v>
      </c>
      <c r="CB206" s="5" t="s">
        <v>246</v>
      </c>
      <c r="CC206" s="5" t="s">
        <v>246</v>
      </c>
      <c r="CD206" s="5" t="s">
        <v>206</v>
      </c>
      <c r="CH206" s="5" t="s">
        <v>310</v>
      </c>
      <c r="CI206" s="5" t="s">
        <v>307</v>
      </c>
      <c r="CJ206" s="5">
        <v>3</v>
      </c>
      <c r="CP206" s="5" t="s">
        <v>557</v>
      </c>
      <c r="CU206" s="5" t="s">
        <v>206</v>
      </c>
      <c r="DA206" s="5" t="s">
        <v>231</v>
      </c>
      <c r="DB206" s="5">
        <f t="shared" si="563"/>
        <v>2</v>
      </c>
      <c r="DC206" s="5" t="s">
        <v>230</v>
      </c>
      <c r="DD206" s="5">
        <f t="shared" si="564"/>
        <v>2</v>
      </c>
      <c r="DE206" s="5" t="s">
        <v>230</v>
      </c>
      <c r="DF206" s="5">
        <f t="shared" si="565"/>
        <v>2</v>
      </c>
      <c r="DG206" s="5" t="s">
        <v>230</v>
      </c>
      <c r="DH206" s="5">
        <f t="shared" si="566"/>
        <v>2</v>
      </c>
      <c r="DI206" s="5" t="s">
        <v>230</v>
      </c>
      <c r="DJ206" s="5">
        <f t="shared" si="567"/>
        <v>2</v>
      </c>
      <c r="DK206" s="5" t="s">
        <v>230</v>
      </c>
      <c r="DL206" s="5">
        <f t="shared" si="568"/>
        <v>2</v>
      </c>
      <c r="DM206" s="5" t="s">
        <v>230</v>
      </c>
      <c r="DN206" s="5">
        <f t="shared" si="569"/>
        <v>2</v>
      </c>
      <c r="DO206" s="5" t="s">
        <v>231</v>
      </c>
      <c r="DP206" s="5">
        <f t="shared" si="570"/>
        <v>2</v>
      </c>
      <c r="DQ206" s="5" t="s">
        <v>231</v>
      </c>
      <c r="DR206" s="5">
        <f t="shared" si="571"/>
        <v>2</v>
      </c>
      <c r="DS206" s="5" t="s">
        <v>231</v>
      </c>
      <c r="DT206" s="5">
        <f t="shared" si="572"/>
        <v>2</v>
      </c>
      <c r="DU206" s="5" t="s">
        <v>231</v>
      </c>
      <c r="DV206" s="5">
        <f t="shared" si="573"/>
        <v>2</v>
      </c>
      <c r="DW206" s="5" t="s">
        <v>231</v>
      </c>
      <c r="DX206" s="5">
        <f t="shared" si="574"/>
        <v>2</v>
      </c>
      <c r="DY206" s="5">
        <f t="shared" si="575"/>
        <v>24</v>
      </c>
      <c r="DZ206" s="5" t="str">
        <f t="shared" si="576"/>
        <v>Nivel de riesgo alto</v>
      </c>
      <c r="EA206" s="5" t="s">
        <v>248</v>
      </c>
      <c r="EB206" s="5">
        <f t="shared" si="577"/>
        <v>1</v>
      </c>
      <c r="EC206" s="5" t="s">
        <v>247</v>
      </c>
      <c r="ED206" s="5">
        <f t="shared" si="578"/>
        <v>2</v>
      </c>
      <c r="EE206" s="5" t="s">
        <v>248</v>
      </c>
      <c r="EF206" s="5">
        <f t="shared" si="579"/>
        <v>1</v>
      </c>
      <c r="EG206" s="5">
        <f t="shared" si="580"/>
        <v>4</v>
      </c>
      <c r="EH206" s="5" t="str">
        <f t="shared" si="581"/>
        <v>Nivel de riesgo medio</v>
      </c>
      <c r="EI206" s="5" t="s">
        <v>248</v>
      </c>
      <c r="EJ206" s="5">
        <f t="shared" si="582"/>
        <v>1</v>
      </c>
      <c r="EK206" s="5" t="s">
        <v>248</v>
      </c>
      <c r="EL206" s="5">
        <f t="shared" si="583"/>
        <v>1</v>
      </c>
      <c r="EM206" s="5" t="s">
        <v>247</v>
      </c>
      <c r="EN206" s="5">
        <f t="shared" si="584"/>
        <v>2</v>
      </c>
      <c r="EO206" s="5">
        <f t="shared" si="585"/>
        <v>4</v>
      </c>
      <c r="EP206" s="5" t="str">
        <f t="shared" si="586"/>
        <v>Nivel de riesgo medio</v>
      </c>
      <c r="EQ206" s="5" t="s">
        <v>247</v>
      </c>
      <c r="ER206" s="5">
        <f t="shared" si="587"/>
        <v>2</v>
      </c>
      <c r="ES206" s="5" t="s">
        <v>247</v>
      </c>
      <c r="ET206" s="5">
        <f t="shared" si="588"/>
        <v>2</v>
      </c>
      <c r="EU206" s="5" t="s">
        <v>247</v>
      </c>
      <c r="EV206" s="5">
        <f t="shared" si="589"/>
        <v>2</v>
      </c>
      <c r="EW206" s="5" t="s">
        <v>247</v>
      </c>
      <c r="EX206" s="5">
        <f t="shared" si="590"/>
        <v>2</v>
      </c>
      <c r="EY206" s="5">
        <f t="shared" si="591"/>
        <v>8</v>
      </c>
      <c r="EZ206" s="5" t="str">
        <f t="shared" si="592"/>
        <v>Nivel de riesgo alto</v>
      </c>
      <c r="FA206" s="5" t="s">
        <v>247</v>
      </c>
      <c r="FB206" s="5">
        <f t="shared" si="593"/>
        <v>2</v>
      </c>
      <c r="FC206" s="5" t="s">
        <v>248</v>
      </c>
      <c r="FD206" s="5">
        <f t="shared" si="594"/>
        <v>1</v>
      </c>
      <c r="FE206" s="5" t="s">
        <v>248</v>
      </c>
      <c r="FF206" s="5">
        <f t="shared" si="595"/>
        <v>1</v>
      </c>
      <c r="FG206" s="5">
        <f t="shared" si="596"/>
        <v>4</v>
      </c>
      <c r="FH206" s="5" t="str">
        <f t="shared" si="597"/>
        <v>Nivel de riesgo medio</v>
      </c>
      <c r="FI206" s="5" t="s">
        <v>248</v>
      </c>
      <c r="FJ206" s="5">
        <f t="shared" si="598"/>
        <v>1</v>
      </c>
      <c r="FK206" s="5" t="s">
        <v>248</v>
      </c>
      <c r="FL206" s="5">
        <f t="shared" si="599"/>
        <v>1</v>
      </c>
      <c r="FM206" s="5" t="s">
        <v>248</v>
      </c>
      <c r="FN206" s="5">
        <f t="shared" si="600"/>
        <v>1</v>
      </c>
      <c r="FO206" s="5">
        <f t="shared" si="601"/>
        <v>3</v>
      </c>
      <c r="FP206" s="5" t="str">
        <f t="shared" si="602"/>
        <v>Nivel de riesgo medio</v>
      </c>
      <c r="FQ206" s="5" t="s">
        <v>206</v>
      </c>
      <c r="FR206" s="5">
        <f t="shared" si="603"/>
        <v>0</v>
      </c>
      <c r="FS206" s="5" t="s">
        <v>206</v>
      </c>
      <c r="FT206" s="5">
        <f t="shared" si="604"/>
        <v>0</v>
      </c>
      <c r="FU206" s="5" t="s">
        <v>206</v>
      </c>
      <c r="FV206" s="5">
        <f t="shared" si="605"/>
        <v>0</v>
      </c>
      <c r="FW206" s="5" t="s">
        <v>206</v>
      </c>
      <c r="FX206" s="5">
        <f t="shared" si="606"/>
        <v>0</v>
      </c>
      <c r="FY206" s="5" t="s">
        <v>206</v>
      </c>
      <c r="FZ206" s="5">
        <f t="shared" si="607"/>
        <v>0</v>
      </c>
      <c r="GA206" s="5" t="s">
        <v>206</v>
      </c>
      <c r="GB206" s="5">
        <f t="shared" si="608"/>
        <v>0</v>
      </c>
      <c r="GC206" s="5" t="s">
        <v>206</v>
      </c>
      <c r="GD206" s="5">
        <f t="shared" si="609"/>
        <v>0</v>
      </c>
      <c r="GE206" s="5">
        <f t="shared" si="610"/>
        <v>0</v>
      </c>
      <c r="GF206" s="5" t="str">
        <f t="shared" si="611"/>
        <v>Nivel de riesgo bajo</v>
      </c>
      <c r="GG206" s="5" t="s">
        <v>255</v>
      </c>
      <c r="GH206" s="5" t="s">
        <v>255</v>
      </c>
      <c r="GI206" s="5" t="s">
        <v>255</v>
      </c>
      <c r="GJ206" s="5" t="s">
        <v>255</v>
      </c>
      <c r="GK206" s="5" t="s">
        <v>233</v>
      </c>
      <c r="GL206" s="5" t="s">
        <v>255</v>
      </c>
      <c r="GM206" s="5" t="s">
        <v>255</v>
      </c>
      <c r="GN206" s="5" t="s">
        <v>243</v>
      </c>
      <c r="GO206" s="5" t="s">
        <v>243</v>
      </c>
      <c r="GP206" s="5" t="s">
        <v>243</v>
      </c>
      <c r="GQ206" s="5" t="s">
        <v>243</v>
      </c>
      <c r="GR206" s="5" t="s">
        <v>243</v>
      </c>
      <c r="GS206" s="5" t="s">
        <v>243</v>
      </c>
      <c r="GT206" s="5" t="s">
        <v>243</v>
      </c>
      <c r="GU206" s="5" t="s">
        <v>388</v>
      </c>
      <c r="GV206" s="5" t="str">
        <f>TEXT("6279018400815325546","0")</f>
        <v>6279018400815320000</v>
      </c>
    </row>
    <row r="207" spans="1:204" ht="15.75" customHeight="1" x14ac:dyDescent="0.15">
      <c r="A207" s="1">
        <f t="shared" si="561"/>
        <v>207</v>
      </c>
      <c r="B207" s="4">
        <v>45847.686481481483</v>
      </c>
      <c r="C207" s="5" t="s">
        <v>204</v>
      </c>
      <c r="D207" s="5" t="s">
        <v>206</v>
      </c>
      <c r="F207" s="5" t="s">
        <v>206</v>
      </c>
      <c r="G207" s="5" t="s">
        <v>206</v>
      </c>
      <c r="H207" s="5" t="s">
        <v>206</v>
      </c>
      <c r="K207" s="5" t="s">
        <v>237</v>
      </c>
      <c r="N207" s="5" t="s">
        <v>208</v>
      </c>
      <c r="S207" s="5" t="s">
        <v>208</v>
      </c>
      <c r="X207" s="5" t="s">
        <v>208</v>
      </c>
      <c r="AG207" s="5" t="s">
        <v>207</v>
      </c>
      <c r="AH207" s="5" t="s">
        <v>558</v>
      </c>
      <c r="AI207" s="5">
        <v>2023</v>
      </c>
      <c r="AJ207" s="5" t="s">
        <v>238</v>
      </c>
      <c r="AK207" s="5" t="str">
        <f t="shared" si="562"/>
        <v>Trabajadora por cuenta propia</v>
      </c>
      <c r="AM207" s="5" t="s">
        <v>309</v>
      </c>
      <c r="AP207" s="5" t="s">
        <v>240</v>
      </c>
      <c r="AR207" s="5" t="s">
        <v>241</v>
      </c>
      <c r="AS207" s="5" t="s">
        <v>241</v>
      </c>
      <c r="AT207" s="5" t="s">
        <v>241</v>
      </c>
      <c r="AU207" s="5" t="s">
        <v>241</v>
      </c>
      <c r="AV207" s="5" t="s">
        <v>262</v>
      </c>
      <c r="AW207" s="5" t="s">
        <v>204</v>
      </c>
      <c r="AX207" s="5" t="s">
        <v>204</v>
      </c>
      <c r="AY207" s="5" t="s">
        <v>214</v>
      </c>
      <c r="AZ207" s="5" t="s">
        <v>204</v>
      </c>
      <c r="BA207" s="5" t="s">
        <v>344</v>
      </c>
      <c r="BF207" s="5" t="s">
        <v>204</v>
      </c>
      <c r="BG207" s="5" t="s">
        <v>207</v>
      </c>
      <c r="BH207" s="5" t="s">
        <v>264</v>
      </c>
      <c r="BI207" s="5" t="s">
        <v>207</v>
      </c>
      <c r="BJ207" s="5" t="s">
        <v>264</v>
      </c>
      <c r="BK207" s="5" t="s">
        <v>246</v>
      </c>
      <c r="BL207" s="5" t="s">
        <v>244</v>
      </c>
      <c r="BM207" s="5" t="s">
        <v>244</v>
      </c>
      <c r="BN207" s="5" t="s">
        <v>244</v>
      </c>
      <c r="BO207" s="5" t="s">
        <v>244</v>
      </c>
      <c r="BP207" s="5" t="s">
        <v>244</v>
      </c>
      <c r="BQ207" s="5" t="s">
        <v>244</v>
      </c>
      <c r="BR207" s="5" t="s">
        <v>244</v>
      </c>
      <c r="BS207" s="5" t="s">
        <v>217</v>
      </c>
      <c r="BT207" s="5" t="s">
        <v>217</v>
      </c>
      <c r="BU207" s="5" t="s">
        <v>247</v>
      </c>
      <c r="BV207" s="5" t="s">
        <v>248</v>
      </c>
      <c r="BW207" s="5" t="s">
        <v>217</v>
      </c>
      <c r="BX207" s="5" t="s">
        <v>217</v>
      </c>
      <c r="BY207" s="5" t="s">
        <v>217</v>
      </c>
      <c r="BZ207" s="5" t="s">
        <v>216</v>
      </c>
      <c r="CA207" s="5" t="s">
        <v>216</v>
      </c>
      <c r="CB207" s="5" t="s">
        <v>216</v>
      </c>
      <c r="CC207" s="5" t="s">
        <v>216</v>
      </c>
      <c r="CD207" s="5" t="s">
        <v>206</v>
      </c>
      <c r="CH207" s="5" t="s">
        <v>206</v>
      </c>
      <c r="CI207" s="5" t="s">
        <v>206</v>
      </c>
      <c r="CJ207" s="5">
        <v>0</v>
      </c>
      <c r="CK207" s="5" t="s">
        <v>223</v>
      </c>
      <c r="CU207" s="5" t="s">
        <v>206</v>
      </c>
      <c r="DA207" s="5" t="s">
        <v>272</v>
      </c>
      <c r="DB207" s="5">
        <f t="shared" si="563"/>
        <v>1</v>
      </c>
      <c r="DC207" s="5" t="s">
        <v>251</v>
      </c>
      <c r="DD207" s="5">
        <f t="shared" si="564"/>
        <v>1</v>
      </c>
      <c r="DE207" s="5" t="s">
        <v>251</v>
      </c>
      <c r="DF207" s="5">
        <f t="shared" si="565"/>
        <v>1</v>
      </c>
      <c r="DG207" s="5" t="s">
        <v>251</v>
      </c>
      <c r="DH207" s="5">
        <f t="shared" si="566"/>
        <v>1</v>
      </c>
      <c r="DI207" s="5" t="s">
        <v>251</v>
      </c>
      <c r="DJ207" s="5">
        <f t="shared" si="567"/>
        <v>1</v>
      </c>
      <c r="DK207" s="5" t="s">
        <v>251</v>
      </c>
      <c r="DL207" s="5">
        <f t="shared" si="568"/>
        <v>1</v>
      </c>
      <c r="DM207" s="5" t="s">
        <v>251</v>
      </c>
      <c r="DN207" s="5">
        <f t="shared" si="569"/>
        <v>1</v>
      </c>
      <c r="DO207" s="5" t="s">
        <v>281</v>
      </c>
      <c r="DP207" s="5">
        <f t="shared" si="570"/>
        <v>1</v>
      </c>
      <c r="DQ207" s="5" t="s">
        <v>281</v>
      </c>
      <c r="DR207" s="5">
        <f t="shared" si="571"/>
        <v>1</v>
      </c>
      <c r="DS207" s="5" t="s">
        <v>281</v>
      </c>
      <c r="DT207" s="5">
        <f t="shared" si="572"/>
        <v>1</v>
      </c>
      <c r="DU207" s="5" t="s">
        <v>281</v>
      </c>
      <c r="DV207" s="5">
        <f t="shared" si="573"/>
        <v>1</v>
      </c>
      <c r="DW207" s="5" t="s">
        <v>281</v>
      </c>
      <c r="DX207" s="5">
        <f t="shared" si="574"/>
        <v>1</v>
      </c>
      <c r="DY207" s="5">
        <f t="shared" si="575"/>
        <v>12</v>
      </c>
      <c r="DZ207" s="5" t="str">
        <f t="shared" si="576"/>
        <v>Nivel de riesgo bajo</v>
      </c>
      <c r="EA207" s="5" t="s">
        <v>253</v>
      </c>
      <c r="EB207" s="5">
        <f t="shared" si="577"/>
        <v>0</v>
      </c>
      <c r="EC207" s="5" t="s">
        <v>253</v>
      </c>
      <c r="ED207" s="5">
        <f t="shared" si="578"/>
        <v>0</v>
      </c>
      <c r="EE207" s="5" t="s">
        <v>253</v>
      </c>
      <c r="EF207" s="5">
        <f t="shared" si="579"/>
        <v>0</v>
      </c>
      <c r="EG207" s="5">
        <f t="shared" si="580"/>
        <v>0</v>
      </c>
      <c r="EH207" s="5" t="str">
        <f t="shared" si="581"/>
        <v>Nivel de riesgo bajo</v>
      </c>
      <c r="EI207" s="5" t="s">
        <v>253</v>
      </c>
      <c r="EJ207" s="5">
        <f t="shared" si="582"/>
        <v>0</v>
      </c>
      <c r="EK207" s="5" t="s">
        <v>253</v>
      </c>
      <c r="EL207" s="5">
        <f t="shared" si="583"/>
        <v>0</v>
      </c>
      <c r="EM207" s="5" t="s">
        <v>253</v>
      </c>
      <c r="EN207" s="5">
        <f t="shared" si="584"/>
        <v>0</v>
      </c>
      <c r="EO207" s="5">
        <f t="shared" si="585"/>
        <v>0</v>
      </c>
      <c r="EP207" s="5" t="str">
        <f t="shared" si="586"/>
        <v>Nivel de riesgo bajo</v>
      </c>
      <c r="EQ207" s="5" t="s">
        <v>254</v>
      </c>
      <c r="ER207" s="5">
        <f t="shared" si="587"/>
        <v>0</v>
      </c>
      <c r="ES207" s="5" t="s">
        <v>254</v>
      </c>
      <c r="ET207" s="5">
        <f t="shared" si="588"/>
        <v>0</v>
      </c>
      <c r="EU207" s="5" t="s">
        <v>253</v>
      </c>
      <c r="EV207" s="5">
        <f t="shared" si="589"/>
        <v>4</v>
      </c>
      <c r="EW207" s="5" t="s">
        <v>254</v>
      </c>
      <c r="EX207" s="5">
        <f t="shared" si="590"/>
        <v>0</v>
      </c>
      <c r="EY207" s="5">
        <f t="shared" si="591"/>
        <v>4</v>
      </c>
      <c r="EZ207" s="5" t="str">
        <f t="shared" si="592"/>
        <v>Nivel de riesgo medio</v>
      </c>
      <c r="FA207" s="5" t="s">
        <v>254</v>
      </c>
      <c r="FB207" s="5">
        <f t="shared" si="593"/>
        <v>4</v>
      </c>
      <c r="FC207" s="5" t="s">
        <v>254</v>
      </c>
      <c r="FD207" s="5">
        <f t="shared" si="594"/>
        <v>4</v>
      </c>
      <c r="FE207" s="5" t="s">
        <v>254</v>
      </c>
      <c r="FF207" s="5">
        <f t="shared" si="595"/>
        <v>4</v>
      </c>
      <c r="FG207" s="5">
        <f t="shared" si="596"/>
        <v>12</v>
      </c>
      <c r="FH207" s="5" t="str">
        <f t="shared" si="597"/>
        <v>Nivel de riesgo alto</v>
      </c>
      <c r="FI207" s="5" t="s">
        <v>248</v>
      </c>
      <c r="FJ207" s="5">
        <f t="shared" si="598"/>
        <v>1</v>
      </c>
      <c r="FK207" s="5" t="s">
        <v>248</v>
      </c>
      <c r="FL207" s="5">
        <f t="shared" si="599"/>
        <v>1</v>
      </c>
      <c r="FM207" s="5" t="s">
        <v>248</v>
      </c>
      <c r="FN207" s="5">
        <f t="shared" si="600"/>
        <v>1</v>
      </c>
      <c r="FO207" s="5">
        <f t="shared" si="601"/>
        <v>3</v>
      </c>
      <c r="FP207" s="5" t="str">
        <f t="shared" si="602"/>
        <v>Nivel de riesgo medio</v>
      </c>
      <c r="FQ207" s="5" t="s">
        <v>206</v>
      </c>
      <c r="FR207" s="5">
        <f t="shared" si="603"/>
        <v>0</v>
      </c>
      <c r="FS207" s="5" t="s">
        <v>206</v>
      </c>
      <c r="FT207" s="5">
        <f t="shared" si="604"/>
        <v>0</v>
      </c>
      <c r="FU207" s="5" t="s">
        <v>206</v>
      </c>
      <c r="FV207" s="5">
        <f t="shared" si="605"/>
        <v>0</v>
      </c>
      <c r="FW207" s="5" t="s">
        <v>206</v>
      </c>
      <c r="FX207" s="5">
        <f t="shared" si="606"/>
        <v>0</v>
      </c>
      <c r="FY207" s="5" t="s">
        <v>206</v>
      </c>
      <c r="FZ207" s="5">
        <f t="shared" si="607"/>
        <v>0</v>
      </c>
      <c r="GA207" s="5" t="s">
        <v>206</v>
      </c>
      <c r="GB207" s="5">
        <f t="shared" si="608"/>
        <v>0</v>
      </c>
      <c r="GC207" s="5" t="s">
        <v>206</v>
      </c>
      <c r="GD207" s="5">
        <f t="shared" si="609"/>
        <v>0</v>
      </c>
      <c r="GE207" s="5">
        <f t="shared" si="610"/>
        <v>0</v>
      </c>
      <c r="GF207" s="5" t="str">
        <f t="shared" si="611"/>
        <v>Nivel de riesgo bajo</v>
      </c>
      <c r="GG207" s="5" t="s">
        <v>255</v>
      </c>
      <c r="GH207" s="5" t="s">
        <v>255</v>
      </c>
      <c r="GI207" s="5" t="s">
        <v>255</v>
      </c>
      <c r="GJ207" s="5" t="s">
        <v>233</v>
      </c>
      <c r="GK207" s="5" t="s">
        <v>233</v>
      </c>
      <c r="GL207" s="5" t="s">
        <v>255</v>
      </c>
      <c r="GM207" s="5" t="s">
        <v>233</v>
      </c>
      <c r="GN207" s="5" t="s">
        <v>256</v>
      </c>
      <c r="GO207" s="5" t="s">
        <v>257</v>
      </c>
      <c r="GP207" s="5" t="s">
        <v>257</v>
      </c>
      <c r="GQ207" s="5" t="s">
        <v>256</v>
      </c>
      <c r="GR207" s="5" t="s">
        <v>256</v>
      </c>
      <c r="GS207" s="5" t="s">
        <v>234</v>
      </c>
      <c r="GT207" s="5" t="s">
        <v>256</v>
      </c>
      <c r="GU207" s="5" t="s">
        <v>559</v>
      </c>
      <c r="GV207" s="5" t="str">
        <f>TEXT("6279021125024457934","0")</f>
        <v>6279021125024450000</v>
      </c>
    </row>
    <row r="208" spans="1:204" ht="15.75" customHeight="1" x14ac:dyDescent="0.15">
      <c r="A208" s="1">
        <f t="shared" si="561"/>
        <v>208</v>
      </c>
      <c r="B208" s="4">
        <v>45847.686516203707</v>
      </c>
      <c r="C208" s="5" t="s">
        <v>204</v>
      </c>
      <c r="D208" s="5" t="s">
        <v>204</v>
      </c>
      <c r="E208" s="5" t="s">
        <v>495</v>
      </c>
      <c r="F208" s="5" t="s">
        <v>206</v>
      </c>
      <c r="G208" s="5" t="s">
        <v>204</v>
      </c>
      <c r="H208" s="5" t="s">
        <v>206</v>
      </c>
      <c r="K208" s="5" t="s">
        <v>237</v>
      </c>
      <c r="O208" s="5" t="s">
        <v>209</v>
      </c>
      <c r="W208" s="5" t="s">
        <v>207</v>
      </c>
      <c r="X208" s="5" t="s">
        <v>208</v>
      </c>
      <c r="AC208" s="5" t="s">
        <v>208</v>
      </c>
      <c r="AH208" s="5" t="s">
        <v>268</v>
      </c>
      <c r="AI208" s="5">
        <v>2019</v>
      </c>
      <c r="AJ208" s="5" t="s">
        <v>238</v>
      </c>
      <c r="AK208" s="5" t="str">
        <f t="shared" si="562"/>
        <v>Trabajadora por cuenta propia</v>
      </c>
      <c r="AL208" s="5" t="s">
        <v>239</v>
      </c>
      <c r="AO208" s="5" t="s">
        <v>390</v>
      </c>
      <c r="AP208" s="5" t="s">
        <v>284</v>
      </c>
      <c r="AR208" s="5" t="s">
        <v>241</v>
      </c>
      <c r="AS208" s="5" t="s">
        <v>241</v>
      </c>
      <c r="AT208" s="5" t="s">
        <v>301</v>
      </c>
      <c r="AU208" s="5" t="s">
        <v>261</v>
      </c>
      <c r="AV208" s="5" t="s">
        <v>213</v>
      </c>
      <c r="AW208" s="5" t="s">
        <v>206</v>
      </c>
      <c r="BF208" s="5" t="s">
        <v>204</v>
      </c>
      <c r="BG208" s="5" t="s">
        <v>242</v>
      </c>
      <c r="BH208" s="5" t="s">
        <v>242</v>
      </c>
      <c r="BI208" s="5" t="s">
        <v>242</v>
      </c>
      <c r="BJ208" s="5" t="s">
        <v>242</v>
      </c>
      <c r="BK208" s="5" t="s">
        <v>243</v>
      </c>
      <c r="BL208" s="5" t="s">
        <v>245</v>
      </c>
      <c r="BM208" s="5" t="s">
        <v>243</v>
      </c>
      <c r="BN208" s="5" t="s">
        <v>246</v>
      </c>
      <c r="BO208" s="5" t="s">
        <v>246</v>
      </c>
      <c r="BP208" s="5" t="s">
        <v>246</v>
      </c>
      <c r="BQ208" s="5" t="s">
        <v>243</v>
      </c>
      <c r="BR208" s="5" t="s">
        <v>246</v>
      </c>
      <c r="BS208" s="5" t="s">
        <v>254</v>
      </c>
      <c r="BT208" s="5" t="s">
        <v>254</v>
      </c>
      <c r="BU208" s="5" t="s">
        <v>248</v>
      </c>
      <c r="BV208" s="5" t="s">
        <v>247</v>
      </c>
      <c r="BW208" s="5" t="s">
        <v>247</v>
      </c>
      <c r="BX208" s="5" t="s">
        <v>247</v>
      </c>
      <c r="BY208" s="5" t="s">
        <v>247</v>
      </c>
      <c r="CD208" s="5" t="s">
        <v>206</v>
      </c>
      <c r="CH208" s="5" t="s">
        <v>206</v>
      </c>
      <c r="CI208" s="5" t="s">
        <v>249</v>
      </c>
      <c r="CJ208" s="5">
        <v>1</v>
      </c>
      <c r="CK208" s="5" t="s">
        <v>223</v>
      </c>
      <c r="CU208" s="5" t="s">
        <v>206</v>
      </c>
      <c r="DA208" s="5" t="s">
        <v>231</v>
      </c>
      <c r="DB208" s="5">
        <f t="shared" si="563"/>
        <v>2</v>
      </c>
      <c r="DC208" s="5" t="s">
        <v>230</v>
      </c>
      <c r="DD208" s="5">
        <f t="shared" si="564"/>
        <v>2</v>
      </c>
      <c r="DE208" s="5" t="s">
        <v>230</v>
      </c>
      <c r="DF208" s="5">
        <f t="shared" si="565"/>
        <v>2</v>
      </c>
      <c r="DG208" s="5" t="s">
        <v>280</v>
      </c>
      <c r="DH208" s="5">
        <f t="shared" si="566"/>
        <v>4</v>
      </c>
      <c r="DI208" s="5" t="s">
        <v>280</v>
      </c>
      <c r="DJ208" s="5">
        <f t="shared" si="567"/>
        <v>4</v>
      </c>
      <c r="DK208" s="5" t="s">
        <v>280</v>
      </c>
      <c r="DL208" s="5">
        <f t="shared" si="568"/>
        <v>4</v>
      </c>
      <c r="DM208" s="5" t="s">
        <v>251</v>
      </c>
      <c r="DN208" s="5">
        <f t="shared" si="569"/>
        <v>1</v>
      </c>
      <c r="DO208" s="5" t="s">
        <v>281</v>
      </c>
      <c r="DP208" s="5">
        <f t="shared" si="570"/>
        <v>1</v>
      </c>
      <c r="DQ208" s="5" t="s">
        <v>252</v>
      </c>
      <c r="DR208" s="5">
        <f t="shared" si="571"/>
        <v>3</v>
      </c>
      <c r="DS208" s="5" t="s">
        <v>281</v>
      </c>
      <c r="DT208" s="5">
        <f t="shared" si="572"/>
        <v>1</v>
      </c>
      <c r="DU208" s="5" t="s">
        <v>229</v>
      </c>
      <c r="DV208" s="5">
        <f t="shared" si="573"/>
        <v>4</v>
      </c>
      <c r="DW208" s="5" t="s">
        <v>281</v>
      </c>
      <c r="DX208" s="5">
        <f t="shared" si="574"/>
        <v>1</v>
      </c>
      <c r="DY208" s="5">
        <f t="shared" si="575"/>
        <v>29</v>
      </c>
      <c r="DZ208" s="5" t="str">
        <f t="shared" si="576"/>
        <v>Nivel de riesgo alto</v>
      </c>
      <c r="EA208" s="5" t="s">
        <v>248</v>
      </c>
      <c r="EB208" s="5">
        <f t="shared" si="577"/>
        <v>1</v>
      </c>
      <c r="EC208" s="5" t="s">
        <v>247</v>
      </c>
      <c r="ED208" s="5">
        <f t="shared" si="578"/>
        <v>2</v>
      </c>
      <c r="EE208" s="5" t="s">
        <v>248</v>
      </c>
      <c r="EF208" s="5">
        <f t="shared" si="579"/>
        <v>1</v>
      </c>
      <c r="EG208" s="5">
        <f t="shared" si="580"/>
        <v>4</v>
      </c>
      <c r="EH208" s="5" t="str">
        <f t="shared" si="581"/>
        <v>Nivel de riesgo medio</v>
      </c>
      <c r="EI208" s="5" t="s">
        <v>253</v>
      </c>
      <c r="EJ208" s="5">
        <f t="shared" si="582"/>
        <v>0</v>
      </c>
      <c r="EK208" s="5" t="s">
        <v>253</v>
      </c>
      <c r="EL208" s="5">
        <f t="shared" si="583"/>
        <v>0</v>
      </c>
      <c r="EM208" s="5" t="s">
        <v>253</v>
      </c>
      <c r="EN208" s="5">
        <f t="shared" si="584"/>
        <v>0</v>
      </c>
      <c r="EO208" s="5">
        <f t="shared" si="585"/>
        <v>0</v>
      </c>
      <c r="EP208" s="5" t="str">
        <f t="shared" si="586"/>
        <v>Nivel de riesgo bajo</v>
      </c>
      <c r="EQ208" s="5" t="s">
        <v>253</v>
      </c>
      <c r="ER208" s="5">
        <f t="shared" si="587"/>
        <v>4</v>
      </c>
      <c r="ES208" s="5" t="s">
        <v>253</v>
      </c>
      <c r="ET208" s="5">
        <f t="shared" si="588"/>
        <v>4</v>
      </c>
      <c r="EU208" s="5" t="s">
        <v>253</v>
      </c>
      <c r="EV208" s="5">
        <f t="shared" si="589"/>
        <v>4</v>
      </c>
      <c r="EW208" s="5" t="s">
        <v>253</v>
      </c>
      <c r="EX208" s="5">
        <f t="shared" si="590"/>
        <v>4</v>
      </c>
      <c r="EY208" s="5">
        <f t="shared" si="591"/>
        <v>16</v>
      </c>
      <c r="EZ208" s="5" t="str">
        <f t="shared" si="592"/>
        <v>Nivel de riesgo alto</v>
      </c>
      <c r="FA208" s="5" t="s">
        <v>253</v>
      </c>
      <c r="FB208" s="5">
        <f t="shared" si="593"/>
        <v>0</v>
      </c>
      <c r="FC208" s="5" t="s">
        <v>253</v>
      </c>
      <c r="FD208" s="5">
        <f t="shared" si="594"/>
        <v>0</v>
      </c>
      <c r="FE208" s="5" t="s">
        <v>253</v>
      </c>
      <c r="FF208" s="5">
        <f t="shared" si="595"/>
        <v>0</v>
      </c>
      <c r="FG208" s="5">
        <f t="shared" si="596"/>
        <v>0</v>
      </c>
      <c r="FH208" s="5" t="str">
        <f t="shared" si="597"/>
        <v>Nivel de riesgo bajo</v>
      </c>
      <c r="FI208" s="5" t="s">
        <v>253</v>
      </c>
      <c r="FJ208" s="5">
        <f t="shared" si="598"/>
        <v>0</v>
      </c>
      <c r="FK208" s="5" t="s">
        <v>253</v>
      </c>
      <c r="FL208" s="5">
        <f t="shared" si="599"/>
        <v>0</v>
      </c>
      <c r="FM208" s="5" t="s">
        <v>253</v>
      </c>
      <c r="FN208" s="5">
        <f t="shared" si="600"/>
        <v>0</v>
      </c>
      <c r="FO208" s="5">
        <f t="shared" si="601"/>
        <v>0</v>
      </c>
      <c r="FP208" s="5" t="str">
        <f t="shared" si="602"/>
        <v>Nivel de riesgo bajo</v>
      </c>
      <c r="FQ208" s="5" t="s">
        <v>206</v>
      </c>
      <c r="FR208" s="5">
        <f t="shared" si="603"/>
        <v>0</v>
      </c>
      <c r="FS208" s="5" t="s">
        <v>206</v>
      </c>
      <c r="FT208" s="5">
        <f t="shared" si="604"/>
        <v>0</v>
      </c>
      <c r="FU208" s="5" t="s">
        <v>206</v>
      </c>
      <c r="FV208" s="5">
        <f t="shared" si="605"/>
        <v>0</v>
      </c>
      <c r="FW208" s="5" t="s">
        <v>206</v>
      </c>
      <c r="FX208" s="5">
        <f t="shared" si="606"/>
        <v>0</v>
      </c>
      <c r="FY208" s="5" t="s">
        <v>206</v>
      </c>
      <c r="FZ208" s="5">
        <f t="shared" si="607"/>
        <v>0</v>
      </c>
      <c r="GA208" s="5" t="s">
        <v>206</v>
      </c>
      <c r="GB208" s="5">
        <f t="shared" si="608"/>
        <v>0</v>
      </c>
      <c r="GC208" s="5" t="s">
        <v>206</v>
      </c>
      <c r="GD208" s="5">
        <f t="shared" si="609"/>
        <v>0</v>
      </c>
      <c r="GE208" s="5">
        <f t="shared" si="610"/>
        <v>0</v>
      </c>
      <c r="GF208" s="5" t="str">
        <f t="shared" si="611"/>
        <v>Nivel de riesgo bajo</v>
      </c>
      <c r="GG208" s="5" t="s">
        <v>255</v>
      </c>
      <c r="GH208" s="5" t="s">
        <v>255</v>
      </c>
      <c r="GI208" s="5" t="s">
        <v>255</v>
      </c>
      <c r="GJ208" s="5" t="s">
        <v>255</v>
      </c>
      <c r="GK208" s="5" t="s">
        <v>233</v>
      </c>
      <c r="GL208" s="5" t="s">
        <v>255</v>
      </c>
      <c r="GM208" s="5" t="s">
        <v>233</v>
      </c>
      <c r="GN208" s="5" t="s">
        <v>256</v>
      </c>
      <c r="GO208" s="5" t="s">
        <v>256</v>
      </c>
      <c r="GP208" s="5" t="s">
        <v>256</v>
      </c>
      <c r="GQ208" s="5" t="s">
        <v>256</v>
      </c>
      <c r="GR208" s="5" t="s">
        <v>256</v>
      </c>
      <c r="GS208" s="5" t="s">
        <v>256</v>
      </c>
      <c r="GT208" s="5" t="s">
        <v>256</v>
      </c>
      <c r="GU208" s="5" t="s">
        <v>560</v>
      </c>
      <c r="GV208" s="5" t="str">
        <f>TEXT("6279021158635372531","0")</f>
        <v>6279021158635370000</v>
      </c>
    </row>
    <row r="209" spans="1:204" ht="15.75" customHeight="1" x14ac:dyDescent="0.15">
      <c r="A209" s="1">
        <f t="shared" si="561"/>
        <v>209</v>
      </c>
      <c r="B209" s="4">
        <v>45847.687476851854</v>
      </c>
      <c r="C209" s="5" t="s">
        <v>204</v>
      </c>
      <c r="D209" s="5" t="s">
        <v>206</v>
      </c>
      <c r="F209" s="5" t="s">
        <v>204</v>
      </c>
      <c r="G209" s="5" t="s">
        <v>204</v>
      </c>
      <c r="H209" s="5" t="s">
        <v>206</v>
      </c>
      <c r="K209" s="5" t="s">
        <v>237</v>
      </c>
      <c r="P209" s="5" t="s">
        <v>237</v>
      </c>
      <c r="T209" s="5" t="s">
        <v>209</v>
      </c>
      <c r="Z209" s="5" t="s">
        <v>237</v>
      </c>
      <c r="AF209" s="5" t="s">
        <v>236</v>
      </c>
      <c r="AH209" s="5" t="s">
        <v>210</v>
      </c>
      <c r="AI209" s="5">
        <v>2023</v>
      </c>
      <c r="AJ209" s="5" t="s">
        <v>238</v>
      </c>
      <c r="AK209" s="5" t="str">
        <f t="shared" si="562"/>
        <v>Trabajadora por cuenta propia</v>
      </c>
      <c r="AL209" s="5" t="s">
        <v>239</v>
      </c>
      <c r="AP209" s="5" t="s">
        <v>561</v>
      </c>
      <c r="AR209" s="5" t="s">
        <v>241</v>
      </c>
      <c r="AS209" s="5" t="s">
        <v>301</v>
      </c>
      <c r="AT209" s="5" t="s">
        <v>261</v>
      </c>
      <c r="AU209" s="5" t="s">
        <v>261</v>
      </c>
      <c r="AV209" s="5" t="s">
        <v>285</v>
      </c>
      <c r="AW209" s="5" t="s">
        <v>204</v>
      </c>
      <c r="AX209" s="5" t="s">
        <v>204</v>
      </c>
      <c r="AY209" s="5" t="s">
        <v>214</v>
      </c>
      <c r="AZ209" s="5" t="s">
        <v>204</v>
      </c>
      <c r="BA209" s="5" t="s">
        <v>263</v>
      </c>
      <c r="BF209" s="5" t="s">
        <v>204</v>
      </c>
      <c r="BG209" s="5" t="s">
        <v>242</v>
      </c>
      <c r="BH209" s="5" t="s">
        <v>215</v>
      </c>
      <c r="BI209" s="5" t="s">
        <v>242</v>
      </c>
      <c r="BJ209" s="5" t="s">
        <v>242</v>
      </c>
      <c r="BK209" s="5" t="s">
        <v>243</v>
      </c>
      <c r="BL209" s="5" t="s">
        <v>246</v>
      </c>
      <c r="BM209" s="5" t="s">
        <v>246</v>
      </c>
      <c r="BN209" s="5" t="s">
        <v>244</v>
      </c>
      <c r="BO209" s="5" t="s">
        <v>246</v>
      </c>
      <c r="BP209" s="5" t="s">
        <v>246</v>
      </c>
      <c r="BQ209" s="5" t="s">
        <v>246</v>
      </c>
      <c r="BR209" s="5" t="s">
        <v>246</v>
      </c>
      <c r="BS209" s="5" t="s">
        <v>247</v>
      </c>
      <c r="BT209" s="5" t="s">
        <v>247</v>
      </c>
      <c r="BU209" s="5" t="s">
        <v>248</v>
      </c>
      <c r="BV209" s="5" t="s">
        <v>248</v>
      </c>
      <c r="BW209" s="5" t="s">
        <v>248</v>
      </c>
      <c r="BX209" s="5" t="s">
        <v>247</v>
      </c>
      <c r="BY209" s="5" t="s">
        <v>248</v>
      </c>
      <c r="BZ209" s="5" t="s">
        <v>246</v>
      </c>
      <c r="CA209" s="5" t="s">
        <v>246</v>
      </c>
      <c r="CB209" s="5" t="s">
        <v>244</v>
      </c>
      <c r="CC209" s="5" t="s">
        <v>244</v>
      </c>
      <c r="CD209" s="5" t="s">
        <v>206</v>
      </c>
      <c r="CH209" s="5" t="s">
        <v>331</v>
      </c>
      <c r="CI209" s="5" t="s">
        <v>332</v>
      </c>
      <c r="CJ209" s="5">
        <v>2</v>
      </c>
      <c r="CK209" s="5" t="s">
        <v>223</v>
      </c>
      <c r="CU209" s="5" t="s">
        <v>206</v>
      </c>
      <c r="DA209" s="5" t="s">
        <v>231</v>
      </c>
      <c r="DB209" s="5">
        <f t="shared" si="563"/>
        <v>2</v>
      </c>
      <c r="DC209" s="5" t="s">
        <v>230</v>
      </c>
      <c r="DD209" s="5">
        <f t="shared" si="564"/>
        <v>2</v>
      </c>
      <c r="DE209" s="5" t="s">
        <v>230</v>
      </c>
      <c r="DF209" s="5">
        <f t="shared" si="565"/>
        <v>2</v>
      </c>
      <c r="DG209" s="5" t="s">
        <v>251</v>
      </c>
      <c r="DH209" s="5">
        <f t="shared" si="566"/>
        <v>1</v>
      </c>
      <c r="DI209" s="5" t="s">
        <v>230</v>
      </c>
      <c r="DJ209" s="5">
        <f t="shared" si="567"/>
        <v>2</v>
      </c>
      <c r="DK209" s="5" t="s">
        <v>251</v>
      </c>
      <c r="DL209" s="5">
        <f t="shared" si="568"/>
        <v>1</v>
      </c>
      <c r="DM209" s="5" t="s">
        <v>251</v>
      </c>
      <c r="DN209" s="5">
        <f t="shared" si="569"/>
        <v>1</v>
      </c>
      <c r="DO209" s="5" t="s">
        <v>231</v>
      </c>
      <c r="DP209" s="5">
        <f t="shared" si="570"/>
        <v>2</v>
      </c>
      <c r="DQ209" s="5" t="s">
        <v>281</v>
      </c>
      <c r="DR209" s="5">
        <f t="shared" si="571"/>
        <v>1</v>
      </c>
      <c r="DS209" s="5" t="s">
        <v>281</v>
      </c>
      <c r="DT209" s="5">
        <f t="shared" si="572"/>
        <v>1</v>
      </c>
      <c r="DU209" s="5" t="s">
        <v>281</v>
      </c>
      <c r="DV209" s="5">
        <f t="shared" si="573"/>
        <v>1</v>
      </c>
      <c r="DW209" s="5" t="s">
        <v>281</v>
      </c>
      <c r="DX209" s="5">
        <f t="shared" si="574"/>
        <v>1</v>
      </c>
      <c r="DY209" s="5">
        <f t="shared" si="575"/>
        <v>17</v>
      </c>
      <c r="DZ209" s="5" t="str">
        <f t="shared" si="576"/>
        <v>Nivel de riesgo bajo</v>
      </c>
      <c r="EA209" s="5" t="s">
        <v>247</v>
      </c>
      <c r="EB209" s="5">
        <f t="shared" si="577"/>
        <v>2</v>
      </c>
      <c r="EC209" s="5" t="s">
        <v>248</v>
      </c>
      <c r="ED209" s="5">
        <f t="shared" si="578"/>
        <v>1</v>
      </c>
      <c r="EE209" s="5" t="s">
        <v>253</v>
      </c>
      <c r="EF209" s="5">
        <f t="shared" si="579"/>
        <v>0</v>
      </c>
      <c r="EG209" s="5">
        <f t="shared" si="580"/>
        <v>3</v>
      </c>
      <c r="EH209" s="5" t="str">
        <f t="shared" si="581"/>
        <v>Nivel de riesgo medio</v>
      </c>
      <c r="EI209" s="5" t="s">
        <v>248</v>
      </c>
      <c r="EJ209" s="5">
        <f t="shared" si="582"/>
        <v>1</v>
      </c>
      <c r="EK209" s="5" t="s">
        <v>254</v>
      </c>
      <c r="EL209" s="5">
        <f t="shared" si="583"/>
        <v>4</v>
      </c>
      <c r="EM209" s="5" t="s">
        <v>248</v>
      </c>
      <c r="EN209" s="5">
        <f t="shared" si="584"/>
        <v>1</v>
      </c>
      <c r="EO209" s="5">
        <f t="shared" si="585"/>
        <v>6</v>
      </c>
      <c r="EP209" s="5" t="str">
        <f t="shared" si="586"/>
        <v>Nivel de riesgo alto</v>
      </c>
      <c r="EQ209" s="5" t="s">
        <v>248</v>
      </c>
      <c r="ER209" s="5">
        <f t="shared" si="587"/>
        <v>3</v>
      </c>
      <c r="ES209" s="5" t="s">
        <v>232</v>
      </c>
      <c r="ET209" s="5">
        <f t="shared" si="588"/>
        <v>1</v>
      </c>
      <c r="EU209" s="5" t="s">
        <v>232</v>
      </c>
      <c r="EV209" s="5">
        <f t="shared" si="589"/>
        <v>1</v>
      </c>
      <c r="EW209" s="5" t="s">
        <v>232</v>
      </c>
      <c r="EX209" s="5">
        <f t="shared" si="590"/>
        <v>1</v>
      </c>
      <c r="EY209" s="5">
        <f t="shared" si="591"/>
        <v>6</v>
      </c>
      <c r="EZ209" s="5" t="str">
        <f t="shared" si="592"/>
        <v>Nivel de riesgo alto</v>
      </c>
      <c r="FA209" s="5" t="s">
        <v>253</v>
      </c>
      <c r="FB209" s="5">
        <f t="shared" si="593"/>
        <v>0</v>
      </c>
      <c r="FC209" s="5" t="s">
        <v>232</v>
      </c>
      <c r="FD209" s="5">
        <f t="shared" si="594"/>
        <v>3</v>
      </c>
      <c r="FE209" s="5" t="s">
        <v>248</v>
      </c>
      <c r="FF209" s="5">
        <f t="shared" si="595"/>
        <v>1</v>
      </c>
      <c r="FG209" s="5">
        <f t="shared" si="596"/>
        <v>4</v>
      </c>
      <c r="FH209" s="5" t="str">
        <f t="shared" si="597"/>
        <v>Nivel de riesgo medio</v>
      </c>
      <c r="FI209" s="5" t="s">
        <v>248</v>
      </c>
      <c r="FJ209" s="5">
        <f t="shared" si="598"/>
        <v>1</v>
      </c>
      <c r="FK209" s="5" t="s">
        <v>248</v>
      </c>
      <c r="FL209" s="5">
        <f t="shared" si="599"/>
        <v>1</v>
      </c>
      <c r="FM209" s="5" t="s">
        <v>232</v>
      </c>
      <c r="FN209" s="5">
        <f t="shared" si="600"/>
        <v>3</v>
      </c>
      <c r="FO209" s="5">
        <f t="shared" si="601"/>
        <v>5</v>
      </c>
      <c r="FP209" s="5" t="str">
        <f t="shared" si="602"/>
        <v>Nivel de riesgo medio</v>
      </c>
      <c r="FQ209" s="5" t="s">
        <v>265</v>
      </c>
      <c r="FR209" s="5">
        <f t="shared" si="603"/>
        <v>1</v>
      </c>
      <c r="FS209" s="5" t="s">
        <v>206</v>
      </c>
      <c r="FT209" s="5">
        <f t="shared" si="604"/>
        <v>0</v>
      </c>
      <c r="FU209" s="5" t="s">
        <v>265</v>
      </c>
      <c r="FV209" s="5">
        <f t="shared" si="605"/>
        <v>1</v>
      </c>
      <c r="FW209" s="5" t="s">
        <v>206</v>
      </c>
      <c r="FX209" s="5">
        <f t="shared" si="606"/>
        <v>0</v>
      </c>
      <c r="FY209" s="5" t="s">
        <v>206</v>
      </c>
      <c r="FZ209" s="5">
        <f t="shared" si="607"/>
        <v>0</v>
      </c>
      <c r="GA209" s="5" t="s">
        <v>206</v>
      </c>
      <c r="GB209" s="5">
        <f t="shared" si="608"/>
        <v>0</v>
      </c>
      <c r="GC209" s="5" t="s">
        <v>265</v>
      </c>
      <c r="GD209" s="5">
        <f t="shared" si="609"/>
        <v>1</v>
      </c>
      <c r="GE209" s="5">
        <f t="shared" si="610"/>
        <v>3</v>
      </c>
      <c r="GF209" s="5" t="str">
        <f t="shared" si="611"/>
        <v>Nivel de riesgo medio</v>
      </c>
      <c r="GG209" s="5" t="s">
        <v>255</v>
      </c>
      <c r="GH209" s="5" t="s">
        <v>255</v>
      </c>
      <c r="GI209" s="5" t="s">
        <v>255</v>
      </c>
      <c r="GJ209" s="5" t="s">
        <v>255</v>
      </c>
      <c r="GK209" s="5" t="s">
        <v>298</v>
      </c>
      <c r="GL209" s="5" t="s">
        <v>266</v>
      </c>
      <c r="GM209" s="5" t="s">
        <v>273</v>
      </c>
      <c r="GN209" s="5" t="s">
        <v>256</v>
      </c>
      <c r="GO209" s="5" t="s">
        <v>243</v>
      </c>
      <c r="GP209" s="5" t="s">
        <v>243</v>
      </c>
      <c r="GQ209" s="5" t="s">
        <v>243</v>
      </c>
      <c r="GR209" s="5" t="s">
        <v>243</v>
      </c>
      <c r="GS209" s="5" t="s">
        <v>256</v>
      </c>
      <c r="GT209" s="5" t="s">
        <v>256</v>
      </c>
      <c r="GU209" s="5" t="s">
        <v>562</v>
      </c>
      <c r="GV209" s="5" t="str">
        <f>TEXT("6279021988029070942","0")</f>
        <v>6279021988029070000</v>
      </c>
    </row>
    <row r="210" spans="1:204" ht="15.75" customHeight="1" x14ac:dyDescent="0.15">
      <c r="A210" s="1">
        <f t="shared" si="561"/>
        <v>210</v>
      </c>
      <c r="B210" s="4">
        <v>45847.688032407408</v>
      </c>
      <c r="C210" s="5" t="s">
        <v>204</v>
      </c>
      <c r="D210" s="5" t="s">
        <v>206</v>
      </c>
      <c r="F210" s="5" t="s">
        <v>204</v>
      </c>
      <c r="G210" s="5" t="s">
        <v>206</v>
      </c>
      <c r="H210" s="5" t="s">
        <v>206</v>
      </c>
      <c r="L210" s="5" t="s">
        <v>236</v>
      </c>
      <c r="O210" s="5" t="s">
        <v>209</v>
      </c>
      <c r="S210" s="5" t="s">
        <v>208</v>
      </c>
      <c r="X210" s="5" t="s">
        <v>208</v>
      </c>
      <c r="AG210" s="5" t="s">
        <v>207</v>
      </c>
      <c r="AH210" s="5" t="s">
        <v>268</v>
      </c>
      <c r="AI210" s="5">
        <v>2010</v>
      </c>
      <c r="AJ210" s="5" t="s">
        <v>330</v>
      </c>
      <c r="AK210" s="5" t="str">
        <f t="shared" si="562"/>
        <v>Asalariada</v>
      </c>
      <c r="AQ210" s="5" t="s">
        <v>204</v>
      </c>
      <c r="AR210" s="5" t="s">
        <v>241</v>
      </c>
      <c r="AS210" s="5" t="s">
        <v>241</v>
      </c>
      <c r="AT210" s="5" t="s">
        <v>241</v>
      </c>
      <c r="AU210" s="5" t="s">
        <v>241</v>
      </c>
      <c r="AV210" s="5" t="s">
        <v>285</v>
      </c>
      <c r="AW210" s="5" t="s">
        <v>204</v>
      </c>
      <c r="AX210" s="5" t="s">
        <v>206</v>
      </c>
      <c r="BF210" s="5" t="s">
        <v>204</v>
      </c>
      <c r="BG210" s="5" t="s">
        <v>215</v>
      </c>
      <c r="BH210" s="5" t="s">
        <v>264</v>
      </c>
      <c r="BI210" s="5" t="s">
        <v>242</v>
      </c>
      <c r="BJ210" s="5" t="s">
        <v>242</v>
      </c>
      <c r="BK210" s="5" t="s">
        <v>246</v>
      </c>
      <c r="BL210" s="5" t="s">
        <v>244</v>
      </c>
      <c r="BM210" s="5" t="s">
        <v>246</v>
      </c>
      <c r="BN210" s="5" t="s">
        <v>243</v>
      </c>
      <c r="BO210" s="5" t="s">
        <v>246</v>
      </c>
      <c r="BP210" s="5" t="s">
        <v>246</v>
      </c>
      <c r="BQ210" s="5" t="s">
        <v>216</v>
      </c>
      <c r="BR210" s="5" t="s">
        <v>244</v>
      </c>
      <c r="BS210" s="5" t="s">
        <v>248</v>
      </c>
      <c r="BT210" s="5" t="s">
        <v>254</v>
      </c>
      <c r="BU210" s="5" t="s">
        <v>217</v>
      </c>
      <c r="BV210" s="5" t="s">
        <v>217</v>
      </c>
      <c r="BW210" s="5" t="s">
        <v>248</v>
      </c>
      <c r="BX210" s="5" t="s">
        <v>248</v>
      </c>
      <c r="BY210" s="5" t="s">
        <v>248</v>
      </c>
      <c r="BZ210" s="5" t="s">
        <v>216</v>
      </c>
      <c r="CA210" s="5" t="s">
        <v>216</v>
      </c>
      <c r="CB210" s="5" t="s">
        <v>216</v>
      </c>
      <c r="CC210" s="5" t="s">
        <v>244</v>
      </c>
      <c r="CD210" s="5" t="s">
        <v>206</v>
      </c>
      <c r="CH210" s="5" t="s">
        <v>206</v>
      </c>
      <c r="CI210" s="5" t="s">
        <v>332</v>
      </c>
      <c r="CJ210" s="5">
        <v>3</v>
      </c>
      <c r="CK210" s="5" t="s">
        <v>223</v>
      </c>
      <c r="CU210" s="5" t="s">
        <v>206</v>
      </c>
      <c r="DA210" s="5" t="s">
        <v>272</v>
      </c>
      <c r="DB210" s="5">
        <f t="shared" si="563"/>
        <v>1</v>
      </c>
      <c r="DC210" s="5" t="s">
        <v>230</v>
      </c>
      <c r="DD210" s="5">
        <f t="shared" si="564"/>
        <v>2</v>
      </c>
      <c r="DE210" s="5" t="s">
        <v>250</v>
      </c>
      <c r="DF210" s="5">
        <f t="shared" si="565"/>
        <v>3</v>
      </c>
      <c r="DG210" s="5" t="s">
        <v>251</v>
      </c>
      <c r="DH210" s="5">
        <f t="shared" si="566"/>
        <v>1</v>
      </c>
      <c r="DI210" s="5" t="s">
        <v>251</v>
      </c>
      <c r="DJ210" s="5">
        <f t="shared" si="567"/>
        <v>1</v>
      </c>
      <c r="DK210" s="5" t="s">
        <v>251</v>
      </c>
      <c r="DL210" s="5">
        <f t="shared" si="568"/>
        <v>1</v>
      </c>
      <c r="DM210" s="5" t="s">
        <v>251</v>
      </c>
      <c r="DN210" s="5">
        <f t="shared" si="569"/>
        <v>1</v>
      </c>
      <c r="DO210" s="5" t="s">
        <v>281</v>
      </c>
      <c r="DP210" s="5">
        <f t="shared" si="570"/>
        <v>1</v>
      </c>
      <c r="DQ210" s="5" t="s">
        <v>281</v>
      </c>
      <c r="DR210" s="5">
        <f t="shared" si="571"/>
        <v>1</v>
      </c>
      <c r="DS210" s="5" t="s">
        <v>281</v>
      </c>
      <c r="DT210" s="5">
        <f t="shared" si="572"/>
        <v>1</v>
      </c>
      <c r="DU210" s="5" t="s">
        <v>281</v>
      </c>
      <c r="DV210" s="5">
        <f t="shared" si="573"/>
        <v>1</v>
      </c>
      <c r="DW210" s="5" t="s">
        <v>281</v>
      </c>
      <c r="DX210" s="5">
        <f t="shared" si="574"/>
        <v>1</v>
      </c>
      <c r="DY210" s="5">
        <f t="shared" si="575"/>
        <v>15</v>
      </c>
      <c r="DZ210" s="5" t="str">
        <f t="shared" si="576"/>
        <v>Nivel de riesgo bajo</v>
      </c>
      <c r="EA210" s="5" t="s">
        <v>253</v>
      </c>
      <c r="EB210" s="5">
        <f t="shared" si="577"/>
        <v>0</v>
      </c>
      <c r="EC210" s="5" t="s">
        <v>248</v>
      </c>
      <c r="ED210" s="5">
        <f t="shared" si="578"/>
        <v>1</v>
      </c>
      <c r="EE210" s="5" t="s">
        <v>253</v>
      </c>
      <c r="EF210" s="5">
        <f t="shared" si="579"/>
        <v>0</v>
      </c>
      <c r="EG210" s="5">
        <f t="shared" si="580"/>
        <v>1</v>
      </c>
      <c r="EH210" s="5" t="str">
        <f t="shared" si="581"/>
        <v>Nivel de riesgo bajo</v>
      </c>
      <c r="EI210" s="5" t="s">
        <v>253</v>
      </c>
      <c r="EJ210" s="5">
        <f t="shared" si="582"/>
        <v>0</v>
      </c>
      <c r="EK210" s="5" t="s">
        <v>253</v>
      </c>
      <c r="EL210" s="5">
        <f t="shared" si="583"/>
        <v>0</v>
      </c>
      <c r="EM210" s="5" t="s">
        <v>253</v>
      </c>
      <c r="EN210" s="5">
        <f t="shared" si="584"/>
        <v>0</v>
      </c>
      <c r="EO210" s="5">
        <f t="shared" si="585"/>
        <v>0</v>
      </c>
      <c r="EP210" s="5" t="str">
        <f t="shared" si="586"/>
        <v>Nivel de riesgo bajo</v>
      </c>
      <c r="EQ210" s="5" t="s">
        <v>254</v>
      </c>
      <c r="ER210" s="5">
        <f t="shared" si="587"/>
        <v>0</v>
      </c>
      <c r="ES210" s="5" t="s">
        <v>254</v>
      </c>
      <c r="ET210" s="5">
        <f t="shared" si="588"/>
        <v>0</v>
      </c>
      <c r="EU210" s="5" t="s">
        <v>254</v>
      </c>
      <c r="EV210" s="5">
        <f t="shared" si="589"/>
        <v>0</v>
      </c>
      <c r="EW210" s="5" t="s">
        <v>254</v>
      </c>
      <c r="EX210" s="5">
        <f t="shared" si="590"/>
        <v>0</v>
      </c>
      <c r="EY210" s="5">
        <f t="shared" si="591"/>
        <v>0</v>
      </c>
      <c r="EZ210" s="5" t="str">
        <f t="shared" si="592"/>
        <v>Nivel de riesgo bajo</v>
      </c>
      <c r="FA210" s="5" t="s">
        <v>253</v>
      </c>
      <c r="FB210" s="5">
        <f t="shared" si="593"/>
        <v>0</v>
      </c>
      <c r="FC210" s="5" t="s">
        <v>248</v>
      </c>
      <c r="FD210" s="5">
        <f t="shared" si="594"/>
        <v>1</v>
      </c>
      <c r="FE210" s="5" t="s">
        <v>248</v>
      </c>
      <c r="FF210" s="5">
        <f t="shared" si="595"/>
        <v>1</v>
      </c>
      <c r="FG210" s="5">
        <f t="shared" si="596"/>
        <v>2</v>
      </c>
      <c r="FH210" s="5" t="str">
        <f t="shared" si="597"/>
        <v>Nivel de riesgo bajo</v>
      </c>
      <c r="FI210" s="5" t="s">
        <v>253</v>
      </c>
      <c r="FJ210" s="5">
        <f t="shared" si="598"/>
        <v>0</v>
      </c>
      <c r="FK210" s="5" t="s">
        <v>253</v>
      </c>
      <c r="FL210" s="5">
        <f t="shared" si="599"/>
        <v>0</v>
      </c>
      <c r="FM210" s="5" t="s">
        <v>253</v>
      </c>
      <c r="FN210" s="5">
        <f t="shared" si="600"/>
        <v>0</v>
      </c>
      <c r="FO210" s="5">
        <f t="shared" si="601"/>
        <v>0</v>
      </c>
      <c r="FP210" s="5" t="str">
        <f t="shared" si="602"/>
        <v>Nivel de riesgo bajo</v>
      </c>
      <c r="FQ210" s="5" t="s">
        <v>206</v>
      </c>
      <c r="FR210" s="5">
        <f t="shared" si="603"/>
        <v>0</v>
      </c>
      <c r="FS210" s="5" t="s">
        <v>206</v>
      </c>
      <c r="FT210" s="5">
        <f t="shared" si="604"/>
        <v>0</v>
      </c>
      <c r="FU210" s="5" t="s">
        <v>206</v>
      </c>
      <c r="FV210" s="5">
        <f t="shared" si="605"/>
        <v>0</v>
      </c>
      <c r="FW210" s="5" t="s">
        <v>206</v>
      </c>
      <c r="FX210" s="5">
        <f t="shared" si="606"/>
        <v>0</v>
      </c>
      <c r="FY210" s="5" t="s">
        <v>206</v>
      </c>
      <c r="FZ210" s="5">
        <f t="shared" si="607"/>
        <v>0</v>
      </c>
      <c r="GA210" s="5" t="s">
        <v>206</v>
      </c>
      <c r="GB210" s="5">
        <f t="shared" si="608"/>
        <v>0</v>
      </c>
      <c r="GC210" s="5" t="s">
        <v>206</v>
      </c>
      <c r="GD210" s="5">
        <f t="shared" si="609"/>
        <v>0</v>
      </c>
      <c r="GE210" s="5">
        <f t="shared" si="610"/>
        <v>0</v>
      </c>
      <c r="GF210" s="5" t="str">
        <f t="shared" si="611"/>
        <v>Nivel de riesgo bajo</v>
      </c>
      <c r="GG210" s="5" t="s">
        <v>255</v>
      </c>
      <c r="GH210" s="5" t="s">
        <v>298</v>
      </c>
      <c r="GI210" s="5" t="s">
        <v>255</v>
      </c>
      <c r="GJ210" s="5" t="s">
        <v>273</v>
      </c>
      <c r="GK210" s="5" t="s">
        <v>233</v>
      </c>
      <c r="GL210" s="5" t="s">
        <v>273</v>
      </c>
      <c r="GM210" s="5" t="s">
        <v>255</v>
      </c>
      <c r="GN210" s="5" t="s">
        <v>256</v>
      </c>
      <c r="GO210" s="5" t="s">
        <v>243</v>
      </c>
      <c r="GP210" s="5" t="s">
        <v>243</v>
      </c>
      <c r="GQ210" s="5" t="s">
        <v>257</v>
      </c>
      <c r="GR210" s="5" t="s">
        <v>257</v>
      </c>
      <c r="GS210" s="5" t="s">
        <v>257</v>
      </c>
      <c r="GT210" s="5" t="s">
        <v>257</v>
      </c>
      <c r="GU210" s="5" t="s">
        <v>563</v>
      </c>
      <c r="GV210" s="5" t="str">
        <f>TEXT("6279022463026961066","0")</f>
        <v>6279022463026960000</v>
      </c>
    </row>
    <row r="211" spans="1:204" ht="15.75" customHeight="1" x14ac:dyDescent="0.15">
      <c r="A211" s="1">
        <f t="shared" si="561"/>
        <v>211</v>
      </c>
      <c r="B211" s="4">
        <v>45847.692800925928</v>
      </c>
      <c r="C211" s="5" t="s">
        <v>204</v>
      </c>
      <c r="D211" s="5" t="s">
        <v>206</v>
      </c>
      <c r="F211" s="5" t="s">
        <v>204</v>
      </c>
      <c r="G211" s="5" t="s">
        <v>206</v>
      </c>
      <c r="H211" s="5" t="s">
        <v>206</v>
      </c>
      <c r="J211" s="5" t="s">
        <v>209</v>
      </c>
      <c r="Q211" s="5" t="s">
        <v>236</v>
      </c>
      <c r="S211" s="5" t="s">
        <v>208</v>
      </c>
      <c r="X211" s="5" t="s">
        <v>208</v>
      </c>
      <c r="AC211" s="5" t="s">
        <v>208</v>
      </c>
      <c r="AH211" s="5" t="s">
        <v>210</v>
      </c>
      <c r="AI211" s="5">
        <v>2010</v>
      </c>
      <c r="AJ211" s="5" t="s">
        <v>238</v>
      </c>
      <c r="AK211" s="5" t="str">
        <f t="shared" si="562"/>
        <v>Trabajadora por cuenta propia</v>
      </c>
      <c r="AN211" s="5" t="s">
        <v>288</v>
      </c>
      <c r="AP211" s="5" t="s">
        <v>284</v>
      </c>
      <c r="AR211" s="5" t="s">
        <v>241</v>
      </c>
      <c r="AS211" s="5" t="s">
        <v>241</v>
      </c>
      <c r="AT211" s="5" t="s">
        <v>241</v>
      </c>
      <c r="AU211" s="5" t="s">
        <v>241</v>
      </c>
      <c r="AV211" s="5" t="s">
        <v>302</v>
      </c>
      <c r="AW211" s="5" t="s">
        <v>204</v>
      </c>
      <c r="AX211" s="5" t="s">
        <v>204</v>
      </c>
      <c r="AY211" s="5" t="s">
        <v>270</v>
      </c>
      <c r="AZ211" s="5" t="s">
        <v>204</v>
      </c>
      <c r="BA211" s="5" t="s">
        <v>289</v>
      </c>
      <c r="BB211" s="5" t="s">
        <v>206</v>
      </c>
      <c r="BC211" s="5" t="s">
        <v>206</v>
      </c>
      <c r="BD211" s="5" t="s">
        <v>206</v>
      </c>
      <c r="BE211" s="5" t="s">
        <v>206</v>
      </c>
      <c r="BF211" s="5" t="s">
        <v>206</v>
      </c>
      <c r="CK211" s="5" t="s">
        <v>223</v>
      </c>
      <c r="CL211" s="5" t="s">
        <v>414</v>
      </c>
      <c r="CU211" s="5" t="s">
        <v>206</v>
      </c>
      <c r="DA211" s="5" t="s">
        <v>229</v>
      </c>
      <c r="DB211" s="5">
        <f t="shared" si="563"/>
        <v>4</v>
      </c>
      <c r="DC211" s="5" t="s">
        <v>250</v>
      </c>
      <c r="DD211" s="5">
        <f t="shared" si="564"/>
        <v>3</v>
      </c>
      <c r="DE211" s="5" t="s">
        <v>230</v>
      </c>
      <c r="DF211" s="5">
        <f t="shared" si="565"/>
        <v>2</v>
      </c>
      <c r="DG211" s="5" t="s">
        <v>251</v>
      </c>
      <c r="DH211" s="5">
        <f t="shared" si="566"/>
        <v>1</v>
      </c>
      <c r="DI211" s="5" t="s">
        <v>251</v>
      </c>
      <c r="DJ211" s="5">
        <f t="shared" si="567"/>
        <v>1</v>
      </c>
      <c r="DK211" s="5" t="s">
        <v>251</v>
      </c>
      <c r="DL211" s="5">
        <f t="shared" si="568"/>
        <v>1</v>
      </c>
      <c r="DM211" s="5" t="s">
        <v>251</v>
      </c>
      <c r="DN211" s="5">
        <f t="shared" si="569"/>
        <v>1</v>
      </c>
      <c r="DO211" s="5" t="s">
        <v>229</v>
      </c>
      <c r="DP211" s="5">
        <f t="shared" si="570"/>
        <v>4</v>
      </c>
      <c r="DQ211" s="5" t="s">
        <v>229</v>
      </c>
      <c r="DR211" s="5">
        <f t="shared" si="571"/>
        <v>4</v>
      </c>
      <c r="DS211" s="5" t="s">
        <v>229</v>
      </c>
      <c r="DT211" s="5">
        <f t="shared" si="572"/>
        <v>4</v>
      </c>
      <c r="DU211" s="5" t="s">
        <v>229</v>
      </c>
      <c r="DV211" s="5">
        <f t="shared" si="573"/>
        <v>4</v>
      </c>
      <c r="DW211" s="5" t="s">
        <v>229</v>
      </c>
      <c r="DX211" s="5">
        <f t="shared" si="574"/>
        <v>4</v>
      </c>
      <c r="DY211" s="5">
        <f t="shared" si="575"/>
        <v>33</v>
      </c>
      <c r="DZ211" s="5" t="str">
        <f t="shared" si="576"/>
        <v>Nivel de riesgo alto</v>
      </c>
      <c r="EA211" s="5" t="s">
        <v>254</v>
      </c>
      <c r="EB211" s="5">
        <f t="shared" si="577"/>
        <v>4</v>
      </c>
      <c r="EC211" s="5" t="s">
        <v>232</v>
      </c>
      <c r="ED211" s="5">
        <f t="shared" si="578"/>
        <v>3</v>
      </c>
      <c r="EE211" s="5" t="s">
        <v>248</v>
      </c>
      <c r="EF211" s="5">
        <f t="shared" si="579"/>
        <v>1</v>
      </c>
      <c r="EG211" s="5">
        <f t="shared" si="580"/>
        <v>8</v>
      </c>
      <c r="EH211" s="5" t="str">
        <f t="shared" si="581"/>
        <v>Nivel de riesgo alto</v>
      </c>
      <c r="EI211" s="5" t="s">
        <v>248</v>
      </c>
      <c r="EJ211" s="5">
        <f t="shared" si="582"/>
        <v>1</v>
      </c>
      <c r="EK211" s="5" t="s">
        <v>254</v>
      </c>
      <c r="EL211" s="5">
        <f t="shared" si="583"/>
        <v>4</v>
      </c>
      <c r="EM211" s="5" t="s">
        <v>253</v>
      </c>
      <c r="EN211" s="5">
        <f t="shared" si="584"/>
        <v>0</v>
      </c>
      <c r="EO211" s="5">
        <f t="shared" si="585"/>
        <v>5</v>
      </c>
      <c r="EP211" s="5" t="str">
        <f t="shared" si="586"/>
        <v>Nivel de riesgo medio</v>
      </c>
      <c r="EQ211" s="5" t="s">
        <v>253</v>
      </c>
      <c r="ER211" s="5">
        <f t="shared" si="587"/>
        <v>4</v>
      </c>
      <c r="ES211" s="5" t="s">
        <v>253</v>
      </c>
      <c r="ET211" s="5">
        <f t="shared" si="588"/>
        <v>4</v>
      </c>
      <c r="EU211" s="5" t="s">
        <v>254</v>
      </c>
      <c r="EV211" s="5">
        <f t="shared" si="589"/>
        <v>0</v>
      </c>
      <c r="EW211" s="5" t="s">
        <v>254</v>
      </c>
      <c r="EX211" s="5">
        <f t="shared" si="590"/>
        <v>0</v>
      </c>
      <c r="EY211" s="5">
        <f t="shared" si="591"/>
        <v>8</v>
      </c>
      <c r="EZ211" s="5" t="str">
        <f t="shared" si="592"/>
        <v>Nivel de riesgo alto</v>
      </c>
      <c r="FA211" s="5" t="s">
        <v>253</v>
      </c>
      <c r="FB211" s="5">
        <f t="shared" si="593"/>
        <v>0</v>
      </c>
      <c r="FC211" s="5" t="s">
        <v>253</v>
      </c>
      <c r="FD211" s="5">
        <f t="shared" si="594"/>
        <v>0</v>
      </c>
      <c r="FE211" s="5" t="s">
        <v>254</v>
      </c>
      <c r="FF211" s="5">
        <f t="shared" si="595"/>
        <v>4</v>
      </c>
      <c r="FG211" s="5">
        <f t="shared" si="596"/>
        <v>4</v>
      </c>
      <c r="FH211" s="5" t="str">
        <f t="shared" si="597"/>
        <v>Nivel de riesgo medio</v>
      </c>
      <c r="FI211" s="5" t="s">
        <v>253</v>
      </c>
      <c r="FJ211" s="5">
        <f t="shared" si="598"/>
        <v>0</v>
      </c>
      <c r="FK211" s="5" t="s">
        <v>253</v>
      </c>
      <c r="FL211" s="5">
        <f t="shared" si="599"/>
        <v>0</v>
      </c>
      <c r="FM211" s="5" t="s">
        <v>253</v>
      </c>
      <c r="FN211" s="5">
        <f t="shared" si="600"/>
        <v>0</v>
      </c>
      <c r="FO211" s="5">
        <f t="shared" si="601"/>
        <v>0</v>
      </c>
      <c r="FP211" s="5" t="str">
        <f t="shared" si="602"/>
        <v>Nivel de riesgo bajo</v>
      </c>
      <c r="FQ211" s="5" t="s">
        <v>206</v>
      </c>
      <c r="FR211" s="5">
        <f t="shared" si="603"/>
        <v>0</v>
      </c>
      <c r="FS211" s="5" t="s">
        <v>206</v>
      </c>
      <c r="FT211" s="5">
        <f t="shared" si="604"/>
        <v>0</v>
      </c>
      <c r="FU211" s="5" t="s">
        <v>206</v>
      </c>
      <c r="FV211" s="5">
        <f t="shared" si="605"/>
        <v>0</v>
      </c>
      <c r="FW211" s="5" t="s">
        <v>206</v>
      </c>
      <c r="FX211" s="5">
        <f t="shared" si="606"/>
        <v>0</v>
      </c>
      <c r="FY211" s="5" t="s">
        <v>206</v>
      </c>
      <c r="FZ211" s="5">
        <f t="shared" si="607"/>
        <v>0</v>
      </c>
      <c r="GA211" s="5" t="s">
        <v>206</v>
      </c>
      <c r="GB211" s="5">
        <f t="shared" si="608"/>
        <v>0</v>
      </c>
      <c r="GC211" s="5" t="s">
        <v>206</v>
      </c>
      <c r="GD211" s="5">
        <f t="shared" si="609"/>
        <v>0</v>
      </c>
      <c r="GE211" s="5">
        <f t="shared" si="610"/>
        <v>0</v>
      </c>
      <c r="GF211" s="5" t="str">
        <f t="shared" si="611"/>
        <v>Nivel de riesgo bajo</v>
      </c>
      <c r="GG211" s="5" t="s">
        <v>255</v>
      </c>
      <c r="GH211" s="5" t="s">
        <v>233</v>
      </c>
      <c r="GI211" s="5" t="s">
        <v>255</v>
      </c>
      <c r="GJ211" s="5" t="s">
        <v>233</v>
      </c>
      <c r="GK211" s="5" t="s">
        <v>233</v>
      </c>
      <c r="GL211" s="5" t="s">
        <v>233</v>
      </c>
      <c r="GM211" s="5" t="s">
        <v>273</v>
      </c>
      <c r="GN211" s="5" t="s">
        <v>234</v>
      </c>
      <c r="GO211" s="5" t="s">
        <v>257</v>
      </c>
      <c r="GP211" s="5" t="s">
        <v>257</v>
      </c>
      <c r="GQ211" s="5" t="s">
        <v>257</v>
      </c>
      <c r="GR211" s="5" t="s">
        <v>257</v>
      </c>
      <c r="GS211" s="5" t="s">
        <v>257</v>
      </c>
      <c r="GT211" s="5" t="s">
        <v>257</v>
      </c>
      <c r="GU211" s="5" t="s">
        <v>303</v>
      </c>
      <c r="GV211" s="5" t="str">
        <f>TEXT("6279026586266970223","0")</f>
        <v>6279026586266970000</v>
      </c>
    </row>
    <row r="212" spans="1:204" ht="15.75" customHeight="1" x14ac:dyDescent="0.15">
      <c r="A212" s="1">
        <f t="shared" si="561"/>
        <v>212</v>
      </c>
      <c r="B212" s="4">
        <v>45847.694722222222</v>
      </c>
      <c r="C212" s="5" t="s">
        <v>204</v>
      </c>
      <c r="D212" s="5" t="s">
        <v>206</v>
      </c>
      <c r="F212" s="5" t="s">
        <v>204</v>
      </c>
      <c r="G212" s="5" t="s">
        <v>204</v>
      </c>
      <c r="H212" s="5" t="s">
        <v>206</v>
      </c>
      <c r="J212" s="5" t="s">
        <v>209</v>
      </c>
      <c r="N212" s="5" t="s">
        <v>208</v>
      </c>
      <c r="S212" s="5" t="s">
        <v>208</v>
      </c>
      <c r="Z212" s="5" t="s">
        <v>237</v>
      </c>
      <c r="AC212" s="5" t="s">
        <v>208</v>
      </c>
      <c r="AH212" s="5" t="s">
        <v>210</v>
      </c>
      <c r="AI212" s="5">
        <v>2023</v>
      </c>
      <c r="AJ212" s="5" t="s">
        <v>330</v>
      </c>
      <c r="AK212" s="5" t="str">
        <f t="shared" si="562"/>
        <v>Asalariada</v>
      </c>
      <c r="AQ212" s="5" t="s">
        <v>206</v>
      </c>
      <c r="AR212" s="5" t="s">
        <v>261</v>
      </c>
      <c r="AS212" s="5" t="s">
        <v>241</v>
      </c>
      <c r="AT212" s="5" t="s">
        <v>294</v>
      </c>
      <c r="AU212" s="5" t="s">
        <v>241</v>
      </c>
      <c r="AV212" s="5" t="s">
        <v>302</v>
      </c>
      <c r="AW212" s="5" t="s">
        <v>204</v>
      </c>
      <c r="AX212" s="5" t="s">
        <v>204</v>
      </c>
      <c r="AY212" s="5" t="s">
        <v>214</v>
      </c>
      <c r="AZ212" s="5" t="s">
        <v>204</v>
      </c>
      <c r="BA212" s="5" t="s">
        <v>263</v>
      </c>
      <c r="BF212" s="5" t="s">
        <v>204</v>
      </c>
      <c r="BG212" s="5" t="s">
        <v>242</v>
      </c>
      <c r="BH212" s="5" t="s">
        <v>215</v>
      </c>
      <c r="BI212" s="5" t="s">
        <v>207</v>
      </c>
      <c r="BJ212" s="5" t="s">
        <v>215</v>
      </c>
      <c r="BK212" s="5" t="s">
        <v>244</v>
      </c>
      <c r="BL212" s="5" t="s">
        <v>216</v>
      </c>
      <c r="BM212" s="5" t="s">
        <v>243</v>
      </c>
      <c r="BN212" s="5" t="s">
        <v>244</v>
      </c>
      <c r="BO212" s="5" t="s">
        <v>244</v>
      </c>
      <c r="BP212" s="5" t="s">
        <v>243</v>
      </c>
      <c r="BQ212" s="5" t="s">
        <v>243</v>
      </c>
      <c r="BR212" s="5" t="s">
        <v>244</v>
      </c>
      <c r="BS212" s="5" t="s">
        <v>247</v>
      </c>
      <c r="BT212" s="5" t="s">
        <v>248</v>
      </c>
      <c r="BU212" s="5" t="s">
        <v>217</v>
      </c>
      <c r="BV212" s="5" t="s">
        <v>247</v>
      </c>
      <c r="BW212" s="5" t="s">
        <v>248</v>
      </c>
      <c r="BX212" s="5" t="s">
        <v>247</v>
      </c>
      <c r="BY212" s="5" t="s">
        <v>248</v>
      </c>
      <c r="BZ212" s="5" t="s">
        <v>244</v>
      </c>
      <c r="CA212" s="5" t="s">
        <v>244</v>
      </c>
      <c r="CB212" s="5" t="s">
        <v>244</v>
      </c>
      <c r="CC212" s="5" t="s">
        <v>244</v>
      </c>
      <c r="CD212" s="5" t="s">
        <v>206</v>
      </c>
      <c r="CH212" s="5" t="s">
        <v>221</v>
      </c>
      <c r="CI212" s="5" t="s">
        <v>206</v>
      </c>
      <c r="CJ212" s="5">
        <v>0</v>
      </c>
      <c r="CK212" s="5" t="s">
        <v>223</v>
      </c>
      <c r="CU212" s="5" t="s">
        <v>206</v>
      </c>
      <c r="DA212" s="5" t="s">
        <v>272</v>
      </c>
      <c r="DB212" s="5">
        <f t="shared" si="563"/>
        <v>1</v>
      </c>
      <c r="DC212" s="5" t="s">
        <v>251</v>
      </c>
      <c r="DD212" s="5">
        <f t="shared" si="564"/>
        <v>1</v>
      </c>
      <c r="DE212" s="5" t="s">
        <v>230</v>
      </c>
      <c r="DF212" s="5">
        <f t="shared" si="565"/>
        <v>2</v>
      </c>
      <c r="DG212" s="5" t="s">
        <v>251</v>
      </c>
      <c r="DH212" s="5">
        <f t="shared" si="566"/>
        <v>1</v>
      </c>
      <c r="DI212" s="5" t="s">
        <v>251</v>
      </c>
      <c r="DJ212" s="5">
        <f t="shared" si="567"/>
        <v>1</v>
      </c>
      <c r="DK212" s="5" t="s">
        <v>251</v>
      </c>
      <c r="DL212" s="5">
        <f t="shared" si="568"/>
        <v>1</v>
      </c>
      <c r="DM212" s="5" t="s">
        <v>251</v>
      </c>
      <c r="DN212" s="5">
        <f t="shared" si="569"/>
        <v>1</v>
      </c>
      <c r="DO212" s="5" t="s">
        <v>281</v>
      </c>
      <c r="DP212" s="5">
        <f t="shared" si="570"/>
        <v>1</v>
      </c>
      <c r="DQ212" s="5" t="s">
        <v>281</v>
      </c>
      <c r="DR212" s="5">
        <f t="shared" si="571"/>
        <v>1</v>
      </c>
      <c r="DS212" s="5" t="s">
        <v>281</v>
      </c>
      <c r="DT212" s="5">
        <f t="shared" si="572"/>
        <v>1</v>
      </c>
      <c r="DU212" s="5" t="s">
        <v>281</v>
      </c>
      <c r="DV212" s="5">
        <f t="shared" si="573"/>
        <v>1</v>
      </c>
      <c r="DW212" s="5" t="s">
        <v>231</v>
      </c>
      <c r="DX212" s="5">
        <f t="shared" si="574"/>
        <v>2</v>
      </c>
      <c r="DY212" s="5">
        <f t="shared" si="575"/>
        <v>14</v>
      </c>
      <c r="DZ212" s="5" t="str">
        <f t="shared" si="576"/>
        <v>Nivel de riesgo bajo</v>
      </c>
      <c r="EA212" s="5" t="s">
        <v>247</v>
      </c>
      <c r="EB212" s="5">
        <f t="shared" si="577"/>
        <v>2</v>
      </c>
      <c r="EC212" s="5" t="s">
        <v>248</v>
      </c>
      <c r="ED212" s="5">
        <f t="shared" si="578"/>
        <v>1</v>
      </c>
      <c r="EE212" s="5" t="s">
        <v>253</v>
      </c>
      <c r="EF212" s="5">
        <f t="shared" si="579"/>
        <v>0</v>
      </c>
      <c r="EG212" s="5">
        <f t="shared" si="580"/>
        <v>3</v>
      </c>
      <c r="EH212" s="5" t="str">
        <f t="shared" si="581"/>
        <v>Nivel de riesgo medio</v>
      </c>
      <c r="EI212" s="5" t="s">
        <v>253</v>
      </c>
      <c r="EJ212" s="5">
        <f t="shared" si="582"/>
        <v>0</v>
      </c>
      <c r="EK212" s="5" t="s">
        <v>253</v>
      </c>
      <c r="EL212" s="5">
        <f t="shared" si="583"/>
        <v>0</v>
      </c>
      <c r="EM212" s="5" t="s">
        <v>248</v>
      </c>
      <c r="EN212" s="5">
        <f t="shared" si="584"/>
        <v>1</v>
      </c>
      <c r="EO212" s="5">
        <f t="shared" si="585"/>
        <v>1</v>
      </c>
      <c r="EP212" s="5" t="str">
        <f t="shared" si="586"/>
        <v>Nivel de riesgo bajo</v>
      </c>
      <c r="EQ212" s="5" t="s">
        <v>248</v>
      </c>
      <c r="ER212" s="5">
        <f t="shared" si="587"/>
        <v>3</v>
      </c>
      <c r="ES212" s="5" t="s">
        <v>248</v>
      </c>
      <c r="ET212" s="5">
        <f t="shared" si="588"/>
        <v>3</v>
      </c>
      <c r="EU212" s="5" t="s">
        <v>254</v>
      </c>
      <c r="EV212" s="5">
        <f t="shared" si="589"/>
        <v>0</v>
      </c>
      <c r="EW212" s="5" t="s">
        <v>247</v>
      </c>
      <c r="EX212" s="5">
        <f t="shared" si="590"/>
        <v>2</v>
      </c>
      <c r="EY212" s="5">
        <f t="shared" si="591"/>
        <v>8</v>
      </c>
      <c r="EZ212" s="5" t="str">
        <f t="shared" si="592"/>
        <v>Nivel de riesgo alto</v>
      </c>
      <c r="FA212" s="5" t="s">
        <v>248</v>
      </c>
      <c r="FB212" s="5">
        <f t="shared" si="593"/>
        <v>1</v>
      </c>
      <c r="FC212" s="5" t="s">
        <v>248</v>
      </c>
      <c r="FD212" s="5">
        <f t="shared" si="594"/>
        <v>1</v>
      </c>
      <c r="FE212" s="5" t="s">
        <v>247</v>
      </c>
      <c r="FF212" s="5">
        <f t="shared" si="595"/>
        <v>2</v>
      </c>
      <c r="FG212" s="5">
        <f t="shared" si="596"/>
        <v>4</v>
      </c>
      <c r="FH212" s="5" t="str">
        <f t="shared" si="597"/>
        <v>Nivel de riesgo medio</v>
      </c>
      <c r="FI212" s="5" t="s">
        <v>253</v>
      </c>
      <c r="FJ212" s="5">
        <f t="shared" si="598"/>
        <v>0</v>
      </c>
      <c r="FK212" s="5" t="s">
        <v>253</v>
      </c>
      <c r="FL212" s="5">
        <f t="shared" si="599"/>
        <v>0</v>
      </c>
      <c r="FM212" s="5" t="s">
        <v>248</v>
      </c>
      <c r="FN212" s="5">
        <f t="shared" si="600"/>
        <v>1</v>
      </c>
      <c r="FO212" s="5">
        <f t="shared" si="601"/>
        <v>1</v>
      </c>
      <c r="FP212" s="5" t="str">
        <f t="shared" si="602"/>
        <v>Nivel de riesgo bajo</v>
      </c>
      <c r="FQ212" s="5" t="s">
        <v>206</v>
      </c>
      <c r="FR212" s="5">
        <f t="shared" si="603"/>
        <v>0</v>
      </c>
      <c r="FS212" s="5" t="s">
        <v>206</v>
      </c>
      <c r="FT212" s="5">
        <f t="shared" si="604"/>
        <v>0</v>
      </c>
      <c r="FU212" s="5" t="s">
        <v>206</v>
      </c>
      <c r="FV212" s="5">
        <f t="shared" si="605"/>
        <v>0</v>
      </c>
      <c r="FW212" s="5" t="s">
        <v>206</v>
      </c>
      <c r="FX212" s="5">
        <f t="shared" si="606"/>
        <v>0</v>
      </c>
      <c r="FY212" s="5" t="s">
        <v>206</v>
      </c>
      <c r="FZ212" s="5">
        <f t="shared" si="607"/>
        <v>0</v>
      </c>
      <c r="GA212" s="5" t="s">
        <v>265</v>
      </c>
      <c r="GB212" s="5">
        <f t="shared" si="608"/>
        <v>1</v>
      </c>
      <c r="GC212" s="5" t="s">
        <v>265</v>
      </c>
      <c r="GD212" s="5">
        <f t="shared" si="609"/>
        <v>1</v>
      </c>
      <c r="GE212" s="5">
        <f t="shared" si="610"/>
        <v>2</v>
      </c>
      <c r="GF212" s="5" t="str">
        <f t="shared" si="611"/>
        <v>Nivel de riesgo medio</v>
      </c>
      <c r="GG212" s="5" t="s">
        <v>255</v>
      </c>
      <c r="GH212" s="5" t="s">
        <v>266</v>
      </c>
      <c r="GI212" s="5" t="s">
        <v>273</v>
      </c>
      <c r="GJ212" s="5" t="s">
        <v>233</v>
      </c>
      <c r="GK212" s="5" t="s">
        <v>233</v>
      </c>
      <c r="GL212" s="5" t="s">
        <v>233</v>
      </c>
      <c r="GM212" s="5" t="s">
        <v>233</v>
      </c>
      <c r="GN212" s="5" t="s">
        <v>243</v>
      </c>
      <c r="GO212" s="5" t="s">
        <v>257</v>
      </c>
      <c r="GP212" s="5" t="s">
        <v>257</v>
      </c>
      <c r="GQ212" s="5" t="s">
        <v>243</v>
      </c>
      <c r="GR212" s="5" t="s">
        <v>257</v>
      </c>
      <c r="GS212" s="5" t="s">
        <v>257</v>
      </c>
      <c r="GT212" s="5" t="s">
        <v>257</v>
      </c>
      <c r="GU212" s="5" t="s">
        <v>564</v>
      </c>
      <c r="GV212" s="5" t="str">
        <f>TEXT("6279028242074461054","0")</f>
        <v>6279028242074460000</v>
      </c>
    </row>
    <row r="213" spans="1:204" ht="15.75" customHeight="1" x14ac:dyDescent="0.15">
      <c r="A213" s="1">
        <f t="shared" si="561"/>
        <v>213</v>
      </c>
      <c r="B213" s="4">
        <v>45847.703148148146</v>
      </c>
      <c r="C213" s="5" t="s">
        <v>204</v>
      </c>
      <c r="D213" s="5" t="s">
        <v>206</v>
      </c>
      <c r="F213" s="5" t="s">
        <v>206</v>
      </c>
      <c r="G213" s="5" t="s">
        <v>204</v>
      </c>
      <c r="H213" s="5" t="s">
        <v>204</v>
      </c>
      <c r="K213" s="5" t="s">
        <v>237</v>
      </c>
      <c r="N213" s="5" t="s">
        <v>208</v>
      </c>
      <c r="T213" s="5" t="s">
        <v>209</v>
      </c>
      <c r="X213" s="5" t="s">
        <v>208</v>
      </c>
      <c r="AC213" s="5" t="s">
        <v>208</v>
      </c>
      <c r="AH213" s="5" t="s">
        <v>210</v>
      </c>
      <c r="AI213" s="5">
        <v>2022</v>
      </c>
      <c r="AJ213" s="5" t="s">
        <v>238</v>
      </c>
      <c r="AK213" s="5" t="str">
        <f t="shared" si="562"/>
        <v>Trabajadora por cuenta propia</v>
      </c>
      <c r="AM213" s="5" t="s">
        <v>309</v>
      </c>
      <c r="AP213" s="5" t="s">
        <v>284</v>
      </c>
      <c r="AR213" s="5" t="s">
        <v>301</v>
      </c>
      <c r="AS213" s="5" t="s">
        <v>241</v>
      </c>
      <c r="AT213" s="5" t="s">
        <v>261</v>
      </c>
      <c r="AU213" s="5" t="s">
        <v>301</v>
      </c>
      <c r="AV213" s="5" t="s">
        <v>285</v>
      </c>
      <c r="AW213" s="5" t="s">
        <v>204</v>
      </c>
      <c r="AX213" s="5" t="s">
        <v>204</v>
      </c>
      <c r="AY213" s="5" t="s">
        <v>214</v>
      </c>
      <c r="AZ213" s="5" t="s">
        <v>204</v>
      </c>
      <c r="BA213" s="5" t="s">
        <v>263</v>
      </c>
      <c r="BF213" s="5" t="s">
        <v>204</v>
      </c>
      <c r="BG213" s="5" t="s">
        <v>215</v>
      </c>
      <c r="BH213" s="5" t="s">
        <v>242</v>
      </c>
      <c r="BI213" s="5" t="s">
        <v>215</v>
      </c>
      <c r="BJ213" s="5" t="s">
        <v>242</v>
      </c>
      <c r="BK213" s="5" t="s">
        <v>244</v>
      </c>
      <c r="BL213" s="5" t="s">
        <v>216</v>
      </c>
      <c r="BM213" s="5" t="s">
        <v>216</v>
      </c>
      <c r="BN213" s="5" t="s">
        <v>246</v>
      </c>
      <c r="BO213" s="5" t="s">
        <v>216</v>
      </c>
      <c r="BP213" s="5" t="s">
        <v>246</v>
      </c>
      <c r="BQ213" s="5" t="s">
        <v>244</v>
      </c>
      <c r="BR213" s="5" t="s">
        <v>216</v>
      </c>
      <c r="BS213" s="5" t="s">
        <v>232</v>
      </c>
      <c r="BT213" s="5" t="s">
        <v>247</v>
      </c>
      <c r="BU213" s="5" t="s">
        <v>217</v>
      </c>
      <c r="BV213" s="5" t="s">
        <v>217</v>
      </c>
      <c r="BW213" s="5" t="s">
        <v>217</v>
      </c>
      <c r="BX213" s="5" t="s">
        <v>217</v>
      </c>
      <c r="BY213" s="5" t="s">
        <v>217</v>
      </c>
      <c r="BZ213" s="5" t="s">
        <v>244</v>
      </c>
      <c r="CA213" s="5" t="s">
        <v>244</v>
      </c>
      <c r="CB213" s="5" t="s">
        <v>244</v>
      </c>
      <c r="CC213" s="5" t="s">
        <v>244</v>
      </c>
      <c r="CD213" s="5" t="s">
        <v>204</v>
      </c>
      <c r="CE213" s="5" t="s">
        <v>218</v>
      </c>
      <c r="CF213" s="5" t="s">
        <v>279</v>
      </c>
      <c r="CG213" s="5" t="s">
        <v>206</v>
      </c>
      <c r="CH213" s="5" t="s">
        <v>206</v>
      </c>
      <c r="CI213" s="5" t="s">
        <v>206</v>
      </c>
      <c r="CJ213" s="5">
        <v>0</v>
      </c>
      <c r="CK213" s="5" t="s">
        <v>223</v>
      </c>
      <c r="CU213" s="5" t="s">
        <v>206</v>
      </c>
      <c r="DA213" s="5" t="s">
        <v>231</v>
      </c>
      <c r="DB213" s="5">
        <f t="shared" si="563"/>
        <v>2</v>
      </c>
      <c r="DC213" s="5" t="s">
        <v>251</v>
      </c>
      <c r="DD213" s="5">
        <f t="shared" si="564"/>
        <v>1</v>
      </c>
      <c r="DE213" s="5" t="s">
        <v>251</v>
      </c>
      <c r="DF213" s="5">
        <f t="shared" si="565"/>
        <v>1</v>
      </c>
      <c r="DG213" s="5" t="s">
        <v>251</v>
      </c>
      <c r="DH213" s="5">
        <f t="shared" si="566"/>
        <v>1</v>
      </c>
      <c r="DI213" s="5" t="s">
        <v>251</v>
      </c>
      <c r="DJ213" s="5">
        <f t="shared" si="567"/>
        <v>1</v>
      </c>
      <c r="DK213" s="5" t="s">
        <v>251</v>
      </c>
      <c r="DL213" s="5">
        <f t="shared" si="568"/>
        <v>1</v>
      </c>
      <c r="DM213" s="5" t="s">
        <v>230</v>
      </c>
      <c r="DN213" s="5">
        <f t="shared" si="569"/>
        <v>2</v>
      </c>
      <c r="DO213" s="5" t="s">
        <v>231</v>
      </c>
      <c r="DP213" s="5">
        <f t="shared" si="570"/>
        <v>2</v>
      </c>
      <c r="DQ213" s="5" t="s">
        <v>281</v>
      </c>
      <c r="DR213" s="5">
        <f t="shared" si="571"/>
        <v>1</v>
      </c>
      <c r="DS213" s="5" t="s">
        <v>281</v>
      </c>
      <c r="DT213" s="5">
        <f t="shared" si="572"/>
        <v>1</v>
      </c>
      <c r="DU213" s="5" t="s">
        <v>281</v>
      </c>
      <c r="DV213" s="5">
        <f t="shared" si="573"/>
        <v>1</v>
      </c>
      <c r="DW213" s="5" t="s">
        <v>281</v>
      </c>
      <c r="DX213" s="5">
        <f t="shared" si="574"/>
        <v>1</v>
      </c>
      <c r="DY213" s="5">
        <f t="shared" si="575"/>
        <v>15</v>
      </c>
      <c r="DZ213" s="5" t="str">
        <f t="shared" si="576"/>
        <v>Nivel de riesgo bajo</v>
      </c>
      <c r="EA213" s="5" t="s">
        <v>253</v>
      </c>
      <c r="EB213" s="5">
        <f t="shared" si="577"/>
        <v>0</v>
      </c>
      <c r="EC213" s="5" t="s">
        <v>248</v>
      </c>
      <c r="ED213" s="5">
        <f t="shared" si="578"/>
        <v>1</v>
      </c>
      <c r="EE213" s="5" t="s">
        <v>248</v>
      </c>
      <c r="EF213" s="5">
        <f t="shared" si="579"/>
        <v>1</v>
      </c>
      <c r="EG213" s="5">
        <f t="shared" si="580"/>
        <v>2</v>
      </c>
      <c r="EH213" s="5" t="str">
        <f t="shared" si="581"/>
        <v>Nivel de riesgo medio</v>
      </c>
      <c r="EI213" s="5" t="s">
        <v>248</v>
      </c>
      <c r="EJ213" s="5">
        <f t="shared" si="582"/>
        <v>1</v>
      </c>
      <c r="EK213" s="5" t="s">
        <v>253</v>
      </c>
      <c r="EL213" s="5">
        <f t="shared" si="583"/>
        <v>0</v>
      </c>
      <c r="EM213" s="5" t="s">
        <v>248</v>
      </c>
      <c r="EN213" s="5">
        <f t="shared" si="584"/>
        <v>1</v>
      </c>
      <c r="EO213" s="5">
        <f t="shared" si="585"/>
        <v>2</v>
      </c>
      <c r="EP213" s="5" t="str">
        <f t="shared" si="586"/>
        <v>Nivel de riesgo medio</v>
      </c>
      <c r="EQ213" s="5" t="s">
        <v>247</v>
      </c>
      <c r="ER213" s="5">
        <f t="shared" si="587"/>
        <v>2</v>
      </c>
      <c r="ES213" s="5" t="s">
        <v>232</v>
      </c>
      <c r="ET213" s="5">
        <f t="shared" si="588"/>
        <v>1</v>
      </c>
      <c r="EU213" s="5" t="s">
        <v>254</v>
      </c>
      <c r="EV213" s="5">
        <f t="shared" si="589"/>
        <v>0</v>
      </c>
      <c r="EW213" s="5" t="s">
        <v>248</v>
      </c>
      <c r="EX213" s="5">
        <f t="shared" si="590"/>
        <v>3</v>
      </c>
      <c r="EY213" s="5">
        <f t="shared" si="591"/>
        <v>6</v>
      </c>
      <c r="EZ213" s="5" t="str">
        <f t="shared" si="592"/>
        <v>Nivel de riesgo alto</v>
      </c>
      <c r="FA213" s="5" t="s">
        <v>247</v>
      </c>
      <c r="FB213" s="5">
        <f t="shared" si="593"/>
        <v>2</v>
      </c>
      <c r="FC213" s="5" t="s">
        <v>253</v>
      </c>
      <c r="FD213" s="5">
        <f t="shared" si="594"/>
        <v>0</v>
      </c>
      <c r="FE213" s="5" t="s">
        <v>253</v>
      </c>
      <c r="FF213" s="5">
        <f t="shared" si="595"/>
        <v>0</v>
      </c>
      <c r="FG213" s="5">
        <f t="shared" si="596"/>
        <v>2</v>
      </c>
      <c r="FH213" s="5" t="str">
        <f t="shared" si="597"/>
        <v>Nivel de riesgo bajo</v>
      </c>
      <c r="FI213" s="5" t="s">
        <v>253</v>
      </c>
      <c r="FJ213" s="5">
        <f t="shared" si="598"/>
        <v>0</v>
      </c>
      <c r="FK213" s="5" t="s">
        <v>253</v>
      </c>
      <c r="FL213" s="5">
        <f t="shared" si="599"/>
        <v>0</v>
      </c>
      <c r="FM213" s="5" t="s">
        <v>253</v>
      </c>
      <c r="FN213" s="5">
        <f t="shared" si="600"/>
        <v>0</v>
      </c>
      <c r="FO213" s="5">
        <f t="shared" si="601"/>
        <v>0</v>
      </c>
      <c r="FP213" s="5" t="str">
        <f t="shared" si="602"/>
        <v>Nivel de riesgo bajo</v>
      </c>
      <c r="FQ213" s="5" t="s">
        <v>206</v>
      </c>
      <c r="FR213" s="5">
        <f t="shared" si="603"/>
        <v>0</v>
      </c>
      <c r="FS213" s="5" t="s">
        <v>206</v>
      </c>
      <c r="FT213" s="5">
        <f t="shared" si="604"/>
        <v>0</v>
      </c>
      <c r="FU213" s="5" t="s">
        <v>206</v>
      </c>
      <c r="FV213" s="5">
        <f t="shared" si="605"/>
        <v>0</v>
      </c>
      <c r="FW213" s="5" t="s">
        <v>206</v>
      </c>
      <c r="FX213" s="5">
        <f t="shared" si="606"/>
        <v>0</v>
      </c>
      <c r="FY213" s="5" t="s">
        <v>206</v>
      </c>
      <c r="FZ213" s="5">
        <f t="shared" si="607"/>
        <v>0</v>
      </c>
      <c r="GA213" s="5" t="s">
        <v>206</v>
      </c>
      <c r="GB213" s="5">
        <f t="shared" si="608"/>
        <v>0</v>
      </c>
      <c r="GC213" s="5" t="s">
        <v>206</v>
      </c>
      <c r="GD213" s="5">
        <f t="shared" si="609"/>
        <v>0</v>
      </c>
      <c r="GE213" s="5">
        <f t="shared" si="610"/>
        <v>0</v>
      </c>
      <c r="GF213" s="5" t="str">
        <f t="shared" si="611"/>
        <v>Nivel de riesgo bajo</v>
      </c>
      <c r="GG213" s="5" t="s">
        <v>255</v>
      </c>
      <c r="GH213" s="5" t="s">
        <v>255</v>
      </c>
      <c r="GI213" s="5" t="s">
        <v>255</v>
      </c>
      <c r="GJ213" s="5" t="s">
        <v>255</v>
      </c>
      <c r="GK213" s="5" t="s">
        <v>255</v>
      </c>
      <c r="GL213" s="5" t="s">
        <v>255</v>
      </c>
      <c r="GM213" s="5" t="s">
        <v>255</v>
      </c>
      <c r="GN213" s="5" t="s">
        <v>256</v>
      </c>
      <c r="GO213" s="5" t="s">
        <v>256</v>
      </c>
      <c r="GP213" s="5" t="s">
        <v>256</v>
      </c>
      <c r="GQ213" s="5" t="s">
        <v>257</v>
      </c>
      <c r="GR213" s="5" t="s">
        <v>257</v>
      </c>
      <c r="GS213" s="5" t="s">
        <v>243</v>
      </c>
      <c r="GT213" s="5" t="s">
        <v>257</v>
      </c>
      <c r="GU213" s="5" t="s">
        <v>565</v>
      </c>
      <c r="GV213" s="5" t="str">
        <f>TEXT("6279035527122081771","0")</f>
        <v>6279035527122080000</v>
      </c>
    </row>
    <row r="214" spans="1:204" ht="15.75" customHeight="1" x14ac:dyDescent="0.15">
      <c r="A214" s="1">
        <f t="shared" si="561"/>
        <v>214</v>
      </c>
      <c r="B214" s="4">
        <v>45847.720104166663</v>
      </c>
      <c r="C214" s="5" t="s">
        <v>204</v>
      </c>
      <c r="D214" s="5" t="s">
        <v>204</v>
      </c>
      <c r="E214" s="5" t="s">
        <v>335</v>
      </c>
      <c r="F214" s="5" t="s">
        <v>204</v>
      </c>
      <c r="G214" s="5" t="s">
        <v>204</v>
      </c>
      <c r="H214" s="5" t="s">
        <v>204</v>
      </c>
      <c r="L214" s="5" t="s">
        <v>236</v>
      </c>
      <c r="O214" s="5" t="s">
        <v>209</v>
      </c>
      <c r="T214" s="5" t="s">
        <v>209</v>
      </c>
      <c r="Z214" s="5" t="s">
        <v>237</v>
      </c>
      <c r="AF214" s="5" t="s">
        <v>236</v>
      </c>
      <c r="AH214" s="5" t="s">
        <v>210</v>
      </c>
      <c r="AI214" s="5">
        <v>2024</v>
      </c>
      <c r="AJ214" s="5" t="s">
        <v>238</v>
      </c>
      <c r="AK214" s="5" t="str">
        <f t="shared" si="562"/>
        <v>Trabajadora por cuenta propia</v>
      </c>
      <c r="AL214" s="5" t="s">
        <v>239</v>
      </c>
      <c r="AP214" s="5" t="s">
        <v>321</v>
      </c>
      <c r="AR214" s="5" t="s">
        <v>301</v>
      </c>
      <c r="AS214" s="5" t="s">
        <v>301</v>
      </c>
      <c r="AT214" s="5" t="s">
        <v>301</v>
      </c>
      <c r="AU214" s="5" t="s">
        <v>301</v>
      </c>
      <c r="AV214" s="5" t="s">
        <v>213</v>
      </c>
      <c r="AW214" s="5" t="s">
        <v>204</v>
      </c>
      <c r="AX214" s="5" t="s">
        <v>206</v>
      </c>
      <c r="BF214" s="5" t="s">
        <v>204</v>
      </c>
      <c r="BG214" s="5" t="s">
        <v>271</v>
      </c>
      <c r="BH214" s="5" t="s">
        <v>242</v>
      </c>
      <c r="BI214" s="5" t="s">
        <v>278</v>
      </c>
      <c r="BJ214" s="5" t="s">
        <v>278</v>
      </c>
      <c r="BK214" s="5" t="s">
        <v>243</v>
      </c>
      <c r="BL214" s="5" t="s">
        <v>244</v>
      </c>
      <c r="BM214" s="5" t="s">
        <v>244</v>
      </c>
      <c r="BN214" s="5" t="s">
        <v>244</v>
      </c>
      <c r="BO214" s="5" t="s">
        <v>244</v>
      </c>
      <c r="BP214" s="5" t="s">
        <v>244</v>
      </c>
      <c r="BQ214" s="5" t="s">
        <v>244</v>
      </c>
      <c r="BR214" s="5" t="s">
        <v>243</v>
      </c>
      <c r="BS214" s="5" t="s">
        <v>232</v>
      </c>
      <c r="BT214" s="5" t="s">
        <v>232</v>
      </c>
      <c r="BU214" s="5" t="s">
        <v>232</v>
      </c>
      <c r="BV214" s="5" t="s">
        <v>232</v>
      </c>
      <c r="BW214" s="5" t="s">
        <v>232</v>
      </c>
      <c r="BX214" s="5" t="s">
        <v>232</v>
      </c>
      <c r="BY214" s="5" t="s">
        <v>232</v>
      </c>
      <c r="BZ214" s="5" t="s">
        <v>246</v>
      </c>
      <c r="CA214" s="5" t="s">
        <v>243</v>
      </c>
      <c r="CB214" s="5" t="s">
        <v>244</v>
      </c>
      <c r="CC214" s="5" t="s">
        <v>243</v>
      </c>
      <c r="CD214" s="5" t="s">
        <v>206</v>
      </c>
      <c r="CH214" s="5" t="s">
        <v>310</v>
      </c>
      <c r="CI214" s="5" t="s">
        <v>347</v>
      </c>
      <c r="CJ214" s="5">
        <v>5</v>
      </c>
      <c r="CK214" s="5" t="s">
        <v>223</v>
      </c>
      <c r="CU214" s="5" t="s">
        <v>206</v>
      </c>
      <c r="DA214" s="5" t="s">
        <v>229</v>
      </c>
      <c r="DB214" s="5">
        <f t="shared" si="563"/>
        <v>4</v>
      </c>
      <c r="DC214" s="5" t="s">
        <v>250</v>
      </c>
      <c r="DD214" s="5">
        <f t="shared" si="564"/>
        <v>3</v>
      </c>
      <c r="DE214" s="5" t="s">
        <v>250</v>
      </c>
      <c r="DF214" s="5">
        <f t="shared" si="565"/>
        <v>3</v>
      </c>
      <c r="DG214" s="5" t="s">
        <v>250</v>
      </c>
      <c r="DH214" s="5">
        <f t="shared" si="566"/>
        <v>3</v>
      </c>
      <c r="DI214" s="5" t="s">
        <v>250</v>
      </c>
      <c r="DJ214" s="5">
        <f t="shared" si="567"/>
        <v>3</v>
      </c>
      <c r="DK214" s="5" t="s">
        <v>250</v>
      </c>
      <c r="DL214" s="5">
        <f t="shared" si="568"/>
        <v>3</v>
      </c>
      <c r="DM214" s="5" t="s">
        <v>251</v>
      </c>
      <c r="DN214" s="5">
        <f t="shared" si="569"/>
        <v>1</v>
      </c>
      <c r="DO214" s="5" t="s">
        <v>281</v>
      </c>
      <c r="DP214" s="5">
        <f t="shared" si="570"/>
        <v>1</v>
      </c>
      <c r="DQ214" s="5" t="s">
        <v>281</v>
      </c>
      <c r="DR214" s="5">
        <f t="shared" si="571"/>
        <v>1</v>
      </c>
      <c r="DS214" s="5" t="s">
        <v>281</v>
      </c>
      <c r="DT214" s="5">
        <f t="shared" si="572"/>
        <v>1</v>
      </c>
      <c r="DU214" s="5" t="s">
        <v>281</v>
      </c>
      <c r="DV214" s="5">
        <f t="shared" si="573"/>
        <v>1</v>
      </c>
      <c r="DW214" s="5" t="s">
        <v>281</v>
      </c>
      <c r="DX214" s="5">
        <f t="shared" si="574"/>
        <v>1</v>
      </c>
      <c r="DY214" s="5">
        <f t="shared" si="575"/>
        <v>25</v>
      </c>
      <c r="DZ214" s="5" t="str">
        <f t="shared" si="576"/>
        <v>Nivel de riesgo alto</v>
      </c>
      <c r="EA214" s="5" t="s">
        <v>254</v>
      </c>
      <c r="EB214" s="5">
        <f t="shared" si="577"/>
        <v>4</v>
      </c>
      <c r="EC214" s="5" t="s">
        <v>254</v>
      </c>
      <c r="ED214" s="5">
        <f t="shared" si="578"/>
        <v>4</v>
      </c>
      <c r="EE214" s="5" t="s">
        <v>254</v>
      </c>
      <c r="EF214" s="5">
        <f t="shared" si="579"/>
        <v>4</v>
      </c>
      <c r="EG214" s="5">
        <f t="shared" si="580"/>
        <v>12</v>
      </c>
      <c r="EH214" s="5" t="str">
        <f t="shared" si="581"/>
        <v>Nivel de riesgo alto</v>
      </c>
      <c r="EI214" s="5" t="s">
        <v>247</v>
      </c>
      <c r="EJ214" s="5">
        <f t="shared" si="582"/>
        <v>2</v>
      </c>
      <c r="EK214" s="5" t="s">
        <v>247</v>
      </c>
      <c r="EL214" s="5">
        <f t="shared" si="583"/>
        <v>2</v>
      </c>
      <c r="EM214" s="5" t="s">
        <v>247</v>
      </c>
      <c r="EN214" s="5">
        <f t="shared" si="584"/>
        <v>2</v>
      </c>
      <c r="EO214" s="5">
        <f t="shared" si="585"/>
        <v>6</v>
      </c>
      <c r="EP214" s="5" t="str">
        <f t="shared" si="586"/>
        <v>Nivel de riesgo alto</v>
      </c>
      <c r="EQ214" s="5" t="s">
        <v>247</v>
      </c>
      <c r="ER214" s="5">
        <f t="shared" si="587"/>
        <v>2</v>
      </c>
      <c r="ES214" s="5" t="s">
        <v>247</v>
      </c>
      <c r="ET214" s="5">
        <f t="shared" si="588"/>
        <v>2</v>
      </c>
      <c r="EU214" s="5" t="s">
        <v>247</v>
      </c>
      <c r="EV214" s="5">
        <f t="shared" si="589"/>
        <v>2</v>
      </c>
      <c r="EW214" s="5" t="s">
        <v>247</v>
      </c>
      <c r="EX214" s="5">
        <f t="shared" si="590"/>
        <v>2</v>
      </c>
      <c r="EY214" s="5">
        <f t="shared" si="591"/>
        <v>8</v>
      </c>
      <c r="EZ214" s="5" t="str">
        <f t="shared" si="592"/>
        <v>Nivel de riesgo alto</v>
      </c>
      <c r="FA214" s="5" t="s">
        <v>247</v>
      </c>
      <c r="FB214" s="5">
        <f t="shared" si="593"/>
        <v>2</v>
      </c>
      <c r="FC214" s="5" t="s">
        <v>247</v>
      </c>
      <c r="FD214" s="5">
        <f t="shared" si="594"/>
        <v>2</v>
      </c>
      <c r="FE214" s="5" t="s">
        <v>247</v>
      </c>
      <c r="FF214" s="5">
        <f t="shared" si="595"/>
        <v>2</v>
      </c>
      <c r="FG214" s="5">
        <f t="shared" si="596"/>
        <v>6</v>
      </c>
      <c r="FH214" s="5" t="str">
        <f t="shared" si="597"/>
        <v>Nivel de riesgo alto</v>
      </c>
      <c r="FI214" s="5" t="s">
        <v>247</v>
      </c>
      <c r="FJ214" s="5">
        <f t="shared" si="598"/>
        <v>2</v>
      </c>
      <c r="FK214" s="5" t="s">
        <v>247</v>
      </c>
      <c r="FL214" s="5">
        <f t="shared" si="599"/>
        <v>2</v>
      </c>
      <c r="FM214" s="5" t="s">
        <v>247</v>
      </c>
      <c r="FN214" s="5">
        <f t="shared" si="600"/>
        <v>2</v>
      </c>
      <c r="FO214" s="5">
        <f t="shared" si="601"/>
        <v>6</v>
      </c>
      <c r="FP214" s="5" t="str">
        <f t="shared" si="602"/>
        <v>Nivel de riesgo alto</v>
      </c>
      <c r="FQ214" s="5" t="s">
        <v>206</v>
      </c>
      <c r="FR214" s="5">
        <f t="shared" si="603"/>
        <v>0</v>
      </c>
      <c r="FS214" s="5" t="s">
        <v>206</v>
      </c>
      <c r="FT214" s="5">
        <f t="shared" si="604"/>
        <v>0</v>
      </c>
      <c r="FU214" s="5" t="s">
        <v>206</v>
      </c>
      <c r="FV214" s="5">
        <f t="shared" si="605"/>
        <v>0</v>
      </c>
      <c r="FW214" s="5" t="s">
        <v>206</v>
      </c>
      <c r="FX214" s="5">
        <f t="shared" si="606"/>
        <v>0</v>
      </c>
      <c r="FY214" s="5" t="s">
        <v>206</v>
      </c>
      <c r="FZ214" s="5">
        <f t="shared" si="607"/>
        <v>0</v>
      </c>
      <c r="GA214" s="5" t="s">
        <v>206</v>
      </c>
      <c r="GB214" s="5">
        <f t="shared" si="608"/>
        <v>0</v>
      </c>
      <c r="GC214" s="5" t="s">
        <v>206</v>
      </c>
      <c r="GD214" s="5">
        <f t="shared" si="609"/>
        <v>0</v>
      </c>
      <c r="GE214" s="5">
        <f t="shared" si="610"/>
        <v>0</v>
      </c>
      <c r="GF214" s="5" t="str">
        <f t="shared" si="611"/>
        <v>Nivel de riesgo bajo</v>
      </c>
      <c r="GG214" s="5" t="s">
        <v>255</v>
      </c>
      <c r="GH214" s="5" t="s">
        <v>255</v>
      </c>
      <c r="GI214" s="5" t="s">
        <v>255</v>
      </c>
      <c r="GJ214" s="5" t="s">
        <v>255</v>
      </c>
      <c r="GK214" s="5" t="s">
        <v>255</v>
      </c>
      <c r="GL214" s="5" t="s">
        <v>255</v>
      </c>
      <c r="GM214" s="5" t="s">
        <v>255</v>
      </c>
      <c r="GN214" s="5" t="s">
        <v>234</v>
      </c>
      <c r="GO214" s="5" t="s">
        <v>234</v>
      </c>
      <c r="GP214" s="5" t="s">
        <v>234</v>
      </c>
      <c r="GQ214" s="5" t="s">
        <v>234</v>
      </c>
      <c r="GR214" s="5" t="s">
        <v>244</v>
      </c>
      <c r="GS214" s="5" t="s">
        <v>244</v>
      </c>
      <c r="GT214" s="5" t="s">
        <v>234</v>
      </c>
      <c r="GU214" s="5" t="s">
        <v>566</v>
      </c>
      <c r="GV214" s="5" t="str">
        <f>TEXT("6279050176753778987","0")</f>
        <v>6279050176753770000</v>
      </c>
    </row>
    <row r="215" spans="1:204" ht="15.75" customHeight="1" x14ac:dyDescent="0.15">
      <c r="A215" s="1">
        <f t="shared" si="561"/>
        <v>215</v>
      </c>
      <c r="B215" s="4">
        <v>45847.72729166667</v>
      </c>
      <c r="C215" s="5" t="s">
        <v>204</v>
      </c>
      <c r="D215" s="5" t="s">
        <v>206</v>
      </c>
      <c r="F215" s="5" t="s">
        <v>206</v>
      </c>
      <c r="G215" s="5" t="s">
        <v>206</v>
      </c>
      <c r="H215" s="5" t="s">
        <v>206</v>
      </c>
      <c r="L215" s="5" t="s">
        <v>236</v>
      </c>
      <c r="Q215" s="5" t="s">
        <v>236</v>
      </c>
      <c r="T215" s="5" t="s">
        <v>209</v>
      </c>
      <c r="Y215" s="5" t="s">
        <v>209</v>
      </c>
      <c r="AE215" s="5" t="s">
        <v>237</v>
      </c>
      <c r="AH215" s="5" t="s">
        <v>210</v>
      </c>
      <c r="AI215" s="5">
        <v>2005</v>
      </c>
      <c r="AJ215" s="5" t="s">
        <v>238</v>
      </c>
      <c r="AK215" s="5" t="str">
        <f t="shared" si="562"/>
        <v>Trabajadora por cuenta propia</v>
      </c>
      <c r="AN215" s="5" t="s">
        <v>288</v>
      </c>
      <c r="AP215" s="5" t="s">
        <v>240</v>
      </c>
      <c r="AR215" s="5" t="s">
        <v>241</v>
      </c>
      <c r="AS215" s="5" t="s">
        <v>241</v>
      </c>
      <c r="AT215" s="5" t="s">
        <v>261</v>
      </c>
      <c r="AU215" s="5" t="s">
        <v>261</v>
      </c>
      <c r="AV215" s="5" t="s">
        <v>277</v>
      </c>
      <c r="AW215" s="5" t="s">
        <v>204</v>
      </c>
      <c r="AX215" s="5" t="s">
        <v>204</v>
      </c>
      <c r="AY215" s="5" t="s">
        <v>214</v>
      </c>
      <c r="AZ215" s="5" t="s">
        <v>204</v>
      </c>
      <c r="BA215" s="5" t="s">
        <v>263</v>
      </c>
      <c r="BF215" s="5" t="s">
        <v>204</v>
      </c>
      <c r="BG215" s="5" t="s">
        <v>242</v>
      </c>
      <c r="BH215" s="5" t="s">
        <v>242</v>
      </c>
      <c r="BI215" s="5" t="s">
        <v>278</v>
      </c>
      <c r="BJ215" s="5" t="s">
        <v>278</v>
      </c>
      <c r="BK215" s="5" t="s">
        <v>245</v>
      </c>
      <c r="BL215" s="5" t="s">
        <v>246</v>
      </c>
      <c r="BM215" s="5" t="s">
        <v>246</v>
      </c>
      <c r="BN215" s="5" t="s">
        <v>243</v>
      </c>
      <c r="BO215" s="5" t="s">
        <v>243</v>
      </c>
      <c r="BP215" s="5" t="s">
        <v>243</v>
      </c>
      <c r="BQ215" s="5" t="s">
        <v>246</v>
      </c>
      <c r="BR215" s="5" t="s">
        <v>246</v>
      </c>
      <c r="BS215" s="5" t="s">
        <v>217</v>
      </c>
      <c r="BT215" s="5" t="s">
        <v>217</v>
      </c>
      <c r="BU215" s="5" t="s">
        <v>217</v>
      </c>
      <c r="BV215" s="5" t="s">
        <v>217</v>
      </c>
      <c r="BW215" s="5" t="s">
        <v>217</v>
      </c>
      <c r="BX215" s="5" t="s">
        <v>217</v>
      </c>
      <c r="BY215" s="5" t="s">
        <v>217</v>
      </c>
      <c r="BZ215" s="5" t="s">
        <v>246</v>
      </c>
      <c r="CA215" s="5" t="s">
        <v>246</v>
      </c>
      <c r="CB215" s="5" t="s">
        <v>246</v>
      </c>
      <c r="CC215" s="5" t="s">
        <v>246</v>
      </c>
      <c r="CD215" s="5" t="s">
        <v>204</v>
      </c>
      <c r="CE215" s="5" t="s">
        <v>286</v>
      </c>
      <c r="CF215" s="5" t="s">
        <v>279</v>
      </c>
      <c r="CG215" s="5" t="s">
        <v>206</v>
      </c>
      <c r="CH215" s="5" t="s">
        <v>206</v>
      </c>
      <c r="CI215" s="5" t="s">
        <v>307</v>
      </c>
      <c r="CJ215" s="5">
        <v>3</v>
      </c>
      <c r="CK215" s="5" t="s">
        <v>223</v>
      </c>
      <c r="CU215" s="5" t="s">
        <v>206</v>
      </c>
      <c r="DA215" s="5" t="s">
        <v>229</v>
      </c>
      <c r="DB215" s="5">
        <f t="shared" si="563"/>
        <v>4</v>
      </c>
      <c r="DC215" s="5" t="s">
        <v>230</v>
      </c>
      <c r="DD215" s="5">
        <f t="shared" si="564"/>
        <v>2</v>
      </c>
      <c r="DE215" s="5" t="s">
        <v>230</v>
      </c>
      <c r="DF215" s="5">
        <f t="shared" si="565"/>
        <v>2</v>
      </c>
      <c r="DG215" s="5" t="s">
        <v>230</v>
      </c>
      <c r="DH215" s="5">
        <f t="shared" si="566"/>
        <v>2</v>
      </c>
      <c r="DI215" s="5" t="s">
        <v>230</v>
      </c>
      <c r="DJ215" s="5">
        <f t="shared" si="567"/>
        <v>2</v>
      </c>
      <c r="DK215" s="5" t="s">
        <v>230</v>
      </c>
      <c r="DL215" s="5">
        <f t="shared" si="568"/>
        <v>2</v>
      </c>
      <c r="DM215" s="5" t="s">
        <v>230</v>
      </c>
      <c r="DN215" s="5">
        <f t="shared" si="569"/>
        <v>2</v>
      </c>
      <c r="DO215" s="5" t="s">
        <v>231</v>
      </c>
      <c r="DP215" s="5">
        <f t="shared" si="570"/>
        <v>2</v>
      </c>
      <c r="DQ215" s="5" t="s">
        <v>231</v>
      </c>
      <c r="DR215" s="5">
        <f t="shared" si="571"/>
        <v>2</v>
      </c>
      <c r="DS215" s="5" t="s">
        <v>231</v>
      </c>
      <c r="DT215" s="5">
        <f t="shared" si="572"/>
        <v>2</v>
      </c>
      <c r="DU215" s="5" t="s">
        <v>231</v>
      </c>
      <c r="DV215" s="5">
        <f t="shared" si="573"/>
        <v>2</v>
      </c>
      <c r="DW215" s="5" t="s">
        <v>231</v>
      </c>
      <c r="DX215" s="5">
        <f t="shared" si="574"/>
        <v>2</v>
      </c>
      <c r="DY215" s="5">
        <f t="shared" si="575"/>
        <v>26</v>
      </c>
      <c r="DZ215" s="5" t="str">
        <f t="shared" si="576"/>
        <v>Nivel de riesgo alto</v>
      </c>
      <c r="EA215" s="5" t="s">
        <v>247</v>
      </c>
      <c r="EB215" s="5">
        <f t="shared" si="577"/>
        <v>2</v>
      </c>
      <c r="EC215" s="5" t="s">
        <v>247</v>
      </c>
      <c r="ED215" s="5">
        <f t="shared" si="578"/>
        <v>2</v>
      </c>
      <c r="EE215" s="5" t="s">
        <v>248</v>
      </c>
      <c r="EF215" s="5">
        <f t="shared" si="579"/>
        <v>1</v>
      </c>
      <c r="EG215" s="5">
        <f t="shared" si="580"/>
        <v>5</v>
      </c>
      <c r="EH215" s="5" t="str">
        <f t="shared" si="581"/>
        <v>Nivel de riesgo alto</v>
      </c>
      <c r="EI215" s="5" t="s">
        <v>253</v>
      </c>
      <c r="EJ215" s="5">
        <f t="shared" si="582"/>
        <v>0</v>
      </c>
      <c r="EK215" s="5" t="s">
        <v>248</v>
      </c>
      <c r="EL215" s="5">
        <f t="shared" si="583"/>
        <v>1</v>
      </c>
      <c r="EM215" s="5" t="s">
        <v>248</v>
      </c>
      <c r="EN215" s="5">
        <f t="shared" si="584"/>
        <v>1</v>
      </c>
      <c r="EO215" s="5">
        <f t="shared" si="585"/>
        <v>2</v>
      </c>
      <c r="EP215" s="5" t="str">
        <f t="shared" si="586"/>
        <v>Nivel de riesgo medio</v>
      </c>
      <c r="EQ215" s="5" t="s">
        <v>247</v>
      </c>
      <c r="ER215" s="5">
        <f t="shared" si="587"/>
        <v>2</v>
      </c>
      <c r="ES215" s="5" t="s">
        <v>232</v>
      </c>
      <c r="ET215" s="5">
        <f t="shared" si="588"/>
        <v>1</v>
      </c>
      <c r="EU215" s="5" t="s">
        <v>254</v>
      </c>
      <c r="EV215" s="5">
        <f t="shared" si="589"/>
        <v>0</v>
      </c>
      <c r="EW215" s="5" t="s">
        <v>254</v>
      </c>
      <c r="EX215" s="5">
        <f t="shared" si="590"/>
        <v>0</v>
      </c>
      <c r="EY215" s="5">
        <f t="shared" si="591"/>
        <v>3</v>
      </c>
      <c r="EZ215" s="5" t="str">
        <f t="shared" si="592"/>
        <v>Nivel de riesgo medio</v>
      </c>
      <c r="FA215" s="5" t="s">
        <v>248</v>
      </c>
      <c r="FB215" s="5">
        <f t="shared" si="593"/>
        <v>1</v>
      </c>
      <c r="FC215" s="5" t="s">
        <v>232</v>
      </c>
      <c r="FD215" s="5">
        <f t="shared" si="594"/>
        <v>3</v>
      </c>
      <c r="FE215" s="5" t="s">
        <v>247</v>
      </c>
      <c r="FF215" s="5">
        <f t="shared" si="595"/>
        <v>2</v>
      </c>
      <c r="FG215" s="5">
        <f t="shared" si="596"/>
        <v>6</v>
      </c>
      <c r="FH215" s="5" t="str">
        <f t="shared" si="597"/>
        <v>Nivel de riesgo alto</v>
      </c>
      <c r="FI215" s="5" t="s">
        <v>247</v>
      </c>
      <c r="FJ215" s="5">
        <f t="shared" si="598"/>
        <v>2</v>
      </c>
      <c r="FK215" s="5" t="s">
        <v>248</v>
      </c>
      <c r="FL215" s="5">
        <f t="shared" si="599"/>
        <v>1</v>
      </c>
      <c r="FM215" s="5" t="s">
        <v>248</v>
      </c>
      <c r="FN215" s="5">
        <f t="shared" si="600"/>
        <v>1</v>
      </c>
      <c r="FO215" s="5">
        <f t="shared" si="601"/>
        <v>4</v>
      </c>
      <c r="FP215" s="5" t="str">
        <f t="shared" si="602"/>
        <v>Nivel de riesgo medio</v>
      </c>
      <c r="FQ215" s="5" t="s">
        <v>206</v>
      </c>
      <c r="FR215" s="5">
        <f t="shared" si="603"/>
        <v>0</v>
      </c>
      <c r="FS215" s="5" t="s">
        <v>206</v>
      </c>
      <c r="FT215" s="5">
        <f t="shared" si="604"/>
        <v>0</v>
      </c>
      <c r="FU215" s="5" t="s">
        <v>206</v>
      </c>
      <c r="FV215" s="5">
        <f t="shared" si="605"/>
        <v>0</v>
      </c>
      <c r="FW215" s="5" t="s">
        <v>206</v>
      </c>
      <c r="FX215" s="5">
        <f t="shared" si="606"/>
        <v>0</v>
      </c>
      <c r="FY215" s="5" t="s">
        <v>206</v>
      </c>
      <c r="FZ215" s="5">
        <f t="shared" si="607"/>
        <v>0</v>
      </c>
      <c r="GA215" s="5" t="s">
        <v>206</v>
      </c>
      <c r="GB215" s="5">
        <f t="shared" si="608"/>
        <v>0</v>
      </c>
      <c r="GC215" s="5" t="s">
        <v>206</v>
      </c>
      <c r="GD215" s="5">
        <f t="shared" si="609"/>
        <v>0</v>
      </c>
      <c r="GE215" s="5">
        <f t="shared" si="610"/>
        <v>0</v>
      </c>
      <c r="GF215" s="5" t="str">
        <f t="shared" si="611"/>
        <v>Nivel de riesgo bajo</v>
      </c>
      <c r="GG215" s="5" t="s">
        <v>255</v>
      </c>
      <c r="GH215" s="5" t="s">
        <v>266</v>
      </c>
      <c r="GI215" s="5" t="s">
        <v>255</v>
      </c>
      <c r="GJ215" s="5" t="s">
        <v>255</v>
      </c>
      <c r="GK215" s="5" t="s">
        <v>233</v>
      </c>
      <c r="GL215" s="5" t="s">
        <v>273</v>
      </c>
      <c r="GM215" s="5" t="s">
        <v>266</v>
      </c>
      <c r="GN215" s="5" t="s">
        <v>256</v>
      </c>
      <c r="GO215" s="5" t="s">
        <v>256</v>
      </c>
      <c r="GP215" s="5" t="s">
        <v>256</v>
      </c>
      <c r="GQ215" s="5" t="s">
        <v>243</v>
      </c>
      <c r="GR215" s="5" t="s">
        <v>257</v>
      </c>
      <c r="GS215" s="5" t="s">
        <v>256</v>
      </c>
      <c r="GT215" s="5" t="s">
        <v>256</v>
      </c>
      <c r="GU215" s="5" t="s">
        <v>567</v>
      </c>
      <c r="GV215" s="5" t="str">
        <f>TEXT("6279056386017711159","0")</f>
        <v>6279056386017710000</v>
      </c>
    </row>
    <row r="216" spans="1:204" ht="15.75" hidden="1" customHeight="1" x14ac:dyDescent="0.15">
      <c r="B216" s="4">
        <v>45847.728101851855</v>
      </c>
      <c r="C216" s="5" t="s">
        <v>204</v>
      </c>
      <c r="D216" s="5" t="s">
        <v>206</v>
      </c>
      <c r="F216" s="5" t="s">
        <v>204</v>
      </c>
      <c r="G216" s="5" t="s">
        <v>204</v>
      </c>
      <c r="H216" s="5" t="s">
        <v>206</v>
      </c>
      <c r="K216" s="5" t="s">
        <v>237</v>
      </c>
      <c r="P216" s="5" t="s">
        <v>237</v>
      </c>
      <c r="T216" s="5" t="s">
        <v>209</v>
      </c>
      <c r="Y216" s="5" t="s">
        <v>209</v>
      </c>
      <c r="AC216" s="5" t="s">
        <v>208</v>
      </c>
      <c r="AH216" s="5" t="s">
        <v>268</v>
      </c>
      <c r="AI216" s="5">
        <v>2000</v>
      </c>
      <c r="AJ216" s="5" t="s">
        <v>211</v>
      </c>
      <c r="AK216" s="5"/>
      <c r="AQ216" s="5" t="s">
        <v>206</v>
      </c>
      <c r="AR216" s="5" t="s">
        <v>294</v>
      </c>
      <c r="AS216" s="5" t="s">
        <v>261</v>
      </c>
      <c r="AT216" s="5" t="s">
        <v>301</v>
      </c>
      <c r="AU216" s="5" t="s">
        <v>301</v>
      </c>
      <c r="AV216" s="5" t="s">
        <v>285</v>
      </c>
      <c r="AW216" s="5" t="s">
        <v>204</v>
      </c>
      <c r="AX216" s="5" t="s">
        <v>204</v>
      </c>
      <c r="AY216" s="5" t="s">
        <v>214</v>
      </c>
      <c r="AZ216" s="5" t="s">
        <v>204</v>
      </c>
      <c r="BA216" s="5" t="s">
        <v>263</v>
      </c>
      <c r="BF216" s="5" t="s">
        <v>204</v>
      </c>
      <c r="BG216" s="5" t="s">
        <v>242</v>
      </c>
      <c r="BH216" s="5" t="s">
        <v>242</v>
      </c>
      <c r="BI216" s="5" t="s">
        <v>242</v>
      </c>
      <c r="BJ216" s="5" t="s">
        <v>215</v>
      </c>
      <c r="BK216" s="5" t="s">
        <v>216</v>
      </c>
      <c r="BL216" s="5" t="s">
        <v>244</v>
      </c>
      <c r="BM216" s="5" t="s">
        <v>243</v>
      </c>
      <c r="BN216" s="5" t="s">
        <v>243</v>
      </c>
      <c r="BO216" s="5" t="s">
        <v>244</v>
      </c>
      <c r="BP216" s="5" t="s">
        <v>244</v>
      </c>
      <c r="BQ216" s="5" t="s">
        <v>244</v>
      </c>
      <c r="BR216" s="5" t="s">
        <v>244</v>
      </c>
      <c r="BS216" s="5" t="s">
        <v>247</v>
      </c>
      <c r="BT216" s="5" t="s">
        <v>247</v>
      </c>
      <c r="BU216" s="5" t="s">
        <v>247</v>
      </c>
      <c r="BV216" s="5" t="s">
        <v>247</v>
      </c>
      <c r="BW216" s="5" t="s">
        <v>247</v>
      </c>
      <c r="BX216" s="5" t="s">
        <v>232</v>
      </c>
      <c r="BY216" s="5" t="s">
        <v>247</v>
      </c>
      <c r="BZ216" s="5" t="s">
        <v>244</v>
      </c>
      <c r="CA216" s="5" t="s">
        <v>244</v>
      </c>
      <c r="CB216" s="5" t="s">
        <v>216</v>
      </c>
      <c r="CC216" s="5" t="s">
        <v>216</v>
      </c>
      <c r="CD216" s="5" t="s">
        <v>206</v>
      </c>
      <c r="CH216" s="5" t="s">
        <v>310</v>
      </c>
      <c r="CI216" s="5" t="s">
        <v>291</v>
      </c>
      <c r="CJ216" s="5">
        <v>3</v>
      </c>
      <c r="CK216" s="5" t="s">
        <v>223</v>
      </c>
      <c r="CU216" s="5" t="s">
        <v>206</v>
      </c>
      <c r="DA216" s="5" t="s">
        <v>272</v>
      </c>
      <c r="DB216" s="5"/>
      <c r="DC216" s="5" t="s">
        <v>251</v>
      </c>
      <c r="DD216" s="5"/>
      <c r="DE216" s="5" t="s">
        <v>230</v>
      </c>
      <c r="DF216" s="5"/>
      <c r="DG216" s="5" t="s">
        <v>230</v>
      </c>
      <c r="DH216" s="5"/>
      <c r="DI216" s="5" t="s">
        <v>230</v>
      </c>
      <c r="DJ216" s="5"/>
      <c r="DK216" s="5" t="s">
        <v>230</v>
      </c>
      <c r="DL216" s="5"/>
      <c r="DM216" s="5" t="s">
        <v>251</v>
      </c>
      <c r="DN216" s="5"/>
      <c r="DO216" s="5" t="s">
        <v>231</v>
      </c>
      <c r="DP216" s="5"/>
      <c r="DQ216" s="5" t="s">
        <v>281</v>
      </c>
      <c r="DR216" s="5"/>
      <c r="DS216" s="5" t="s">
        <v>281</v>
      </c>
      <c r="DT216" s="5"/>
      <c r="DU216" s="5" t="s">
        <v>281</v>
      </c>
      <c r="DV216" s="5"/>
      <c r="DW216" s="5" t="s">
        <v>281</v>
      </c>
      <c r="DX216" s="5"/>
      <c r="DY216" s="5"/>
      <c r="DZ216" s="5"/>
      <c r="EA216" s="5" t="s">
        <v>247</v>
      </c>
      <c r="EB216" s="5"/>
      <c r="EC216" s="5" t="s">
        <v>248</v>
      </c>
      <c r="ED216" s="5"/>
      <c r="EE216" s="5" t="s">
        <v>248</v>
      </c>
      <c r="EF216" s="5"/>
      <c r="EG216" s="5"/>
      <c r="EH216" s="5"/>
      <c r="EI216" s="5" t="s">
        <v>248</v>
      </c>
      <c r="EJ216" s="5"/>
      <c r="EK216" s="5" t="s">
        <v>248</v>
      </c>
      <c r="EL216" s="5"/>
      <c r="EM216" s="5" t="s">
        <v>247</v>
      </c>
      <c r="EN216" s="5"/>
      <c r="EO216" s="5"/>
      <c r="EP216" s="5"/>
      <c r="EQ216" s="5" t="s">
        <v>253</v>
      </c>
      <c r="ER216" s="5"/>
      <c r="ES216" s="5" t="s">
        <v>253</v>
      </c>
      <c r="ET216" s="5"/>
      <c r="EU216" s="5" t="s">
        <v>254</v>
      </c>
      <c r="EV216" s="5"/>
      <c r="EW216" s="5" t="s">
        <v>254</v>
      </c>
      <c r="EX216" s="5"/>
      <c r="EY216" s="5"/>
      <c r="EZ216" s="5"/>
      <c r="FA216" s="5" t="s">
        <v>253</v>
      </c>
      <c r="FB216" s="5"/>
      <c r="FC216" s="5" t="s">
        <v>253</v>
      </c>
      <c r="FD216" s="5"/>
      <c r="FE216" s="5" t="s">
        <v>253</v>
      </c>
      <c r="FF216" s="5"/>
      <c r="FG216" s="5"/>
      <c r="FH216" s="5"/>
      <c r="FI216" s="5" t="s">
        <v>254</v>
      </c>
      <c r="FJ216" s="5"/>
      <c r="FK216" s="5" t="s">
        <v>254</v>
      </c>
      <c r="FL216" s="5"/>
      <c r="FM216" s="5" t="s">
        <v>254</v>
      </c>
      <c r="FN216" s="5"/>
      <c r="FO216" s="5"/>
      <c r="FP216" s="5"/>
      <c r="FQ216" s="5" t="s">
        <v>206</v>
      </c>
      <c r="FR216" s="5"/>
      <c r="FS216" s="5" t="s">
        <v>206</v>
      </c>
      <c r="FT216" s="5"/>
      <c r="FU216" s="5" t="s">
        <v>206</v>
      </c>
      <c r="FV216" s="5"/>
      <c r="FW216" s="5" t="s">
        <v>206</v>
      </c>
      <c r="FX216" s="5"/>
      <c r="FY216" s="5" t="s">
        <v>206</v>
      </c>
      <c r="FZ216" s="5"/>
      <c r="GA216" s="5" t="s">
        <v>206</v>
      </c>
      <c r="GB216" s="5"/>
      <c r="GC216" s="5" t="s">
        <v>206</v>
      </c>
      <c r="GD216" s="5"/>
      <c r="GE216" s="5"/>
      <c r="GF216" s="5"/>
      <c r="GG216" s="5" t="s">
        <v>255</v>
      </c>
      <c r="GH216" s="5" t="s">
        <v>266</v>
      </c>
      <c r="GI216" s="5" t="s">
        <v>255</v>
      </c>
      <c r="GJ216" s="5" t="s">
        <v>255</v>
      </c>
      <c r="GK216" s="5" t="s">
        <v>233</v>
      </c>
      <c r="GL216" s="5" t="s">
        <v>255</v>
      </c>
      <c r="GM216" s="5" t="s">
        <v>255</v>
      </c>
      <c r="GN216" s="5" t="s">
        <v>256</v>
      </c>
      <c r="GO216" s="5" t="s">
        <v>234</v>
      </c>
      <c r="GP216" s="5" t="s">
        <v>234</v>
      </c>
      <c r="GQ216" s="5" t="s">
        <v>256</v>
      </c>
      <c r="GR216" s="5" t="s">
        <v>256</v>
      </c>
      <c r="GS216" s="5" t="s">
        <v>256</v>
      </c>
      <c r="GT216" s="5" t="s">
        <v>256</v>
      </c>
      <c r="GU216" s="5" t="s">
        <v>568</v>
      </c>
      <c r="GV216" s="5" t="str">
        <f>TEXT("6279057082096669609","0")</f>
        <v>6279057082096660000</v>
      </c>
    </row>
    <row r="217" spans="1:204" ht="15.75" customHeight="1" x14ac:dyDescent="0.15">
      <c r="A217" s="1">
        <f>ROW(A217)</f>
        <v>217</v>
      </c>
      <c r="B217" s="4">
        <v>45847.736238425925</v>
      </c>
      <c r="C217" s="5" t="s">
        <v>204</v>
      </c>
      <c r="D217" s="5" t="s">
        <v>206</v>
      </c>
      <c r="F217" s="5" t="s">
        <v>206</v>
      </c>
      <c r="G217" s="5" t="s">
        <v>204</v>
      </c>
      <c r="H217" s="5" t="s">
        <v>206</v>
      </c>
      <c r="L217" s="5" t="s">
        <v>236</v>
      </c>
      <c r="O217" s="5" t="s">
        <v>209</v>
      </c>
      <c r="T217" s="5" t="s">
        <v>209</v>
      </c>
      <c r="Y217" s="5" t="s">
        <v>209</v>
      </c>
      <c r="AC217" s="5" t="s">
        <v>208</v>
      </c>
      <c r="AH217" s="5" t="s">
        <v>275</v>
      </c>
      <c r="AI217" s="5">
        <v>1993</v>
      </c>
      <c r="AJ217" s="5" t="s">
        <v>238</v>
      </c>
      <c r="AK217" s="5" t="str">
        <f>IF(OR(AJ217="Empleada del sector privado",AJ217="Empleada del sector público"),"Asalariada",
IF(AJ217="Trabajadora por cuenta propia","Trabajadora por cuenta propia",""))</f>
        <v>Trabajadora por cuenta propia</v>
      </c>
      <c r="AL217" s="5" t="s">
        <v>239</v>
      </c>
      <c r="AP217" s="5" t="s">
        <v>297</v>
      </c>
      <c r="AR217" s="5" t="s">
        <v>241</v>
      </c>
      <c r="AS217" s="5" t="s">
        <v>294</v>
      </c>
      <c r="AT217" s="5" t="s">
        <v>261</v>
      </c>
      <c r="AU217" s="5" t="s">
        <v>294</v>
      </c>
      <c r="AV217" s="5" t="s">
        <v>213</v>
      </c>
      <c r="AW217" s="5" t="s">
        <v>206</v>
      </c>
      <c r="BF217" s="5" t="s">
        <v>204</v>
      </c>
      <c r="BG217" s="5" t="s">
        <v>242</v>
      </c>
      <c r="BH217" s="5" t="s">
        <v>242</v>
      </c>
      <c r="BI217" s="5" t="s">
        <v>242</v>
      </c>
      <c r="BJ217" s="5" t="s">
        <v>242</v>
      </c>
      <c r="BK217" s="5" t="s">
        <v>243</v>
      </c>
      <c r="BL217" s="5" t="s">
        <v>243</v>
      </c>
      <c r="BM217" s="5" t="s">
        <v>246</v>
      </c>
      <c r="BN217" s="5" t="s">
        <v>243</v>
      </c>
      <c r="BO217" s="5" t="s">
        <v>243</v>
      </c>
      <c r="BP217" s="5" t="s">
        <v>243</v>
      </c>
      <c r="BQ217" s="5" t="s">
        <v>243</v>
      </c>
      <c r="BR217" s="5" t="s">
        <v>243</v>
      </c>
      <c r="BS217" s="5" t="s">
        <v>254</v>
      </c>
      <c r="BT217" s="5" t="s">
        <v>232</v>
      </c>
      <c r="BU217" s="5" t="s">
        <v>232</v>
      </c>
      <c r="BV217" s="5" t="s">
        <v>232</v>
      </c>
      <c r="BW217" s="5" t="s">
        <v>254</v>
      </c>
      <c r="BX217" s="5" t="s">
        <v>254</v>
      </c>
      <c r="BY217" s="5" t="s">
        <v>247</v>
      </c>
      <c r="CD217" s="5" t="s">
        <v>206</v>
      </c>
      <c r="CH217" s="5" t="s">
        <v>369</v>
      </c>
      <c r="CI217" s="5" t="s">
        <v>206</v>
      </c>
      <c r="CJ217" s="5">
        <v>0</v>
      </c>
      <c r="CK217" s="5" t="s">
        <v>223</v>
      </c>
      <c r="CU217" s="5" t="s">
        <v>206</v>
      </c>
      <c r="DA217" s="5" t="s">
        <v>252</v>
      </c>
      <c r="DB217" s="5">
        <f>IF(DA217="Mejor que lo habitual",1,
IF(DA217="Igual que lo habitual",2,
IF(DA217="Menos que lo habitual",3,
IF(DA217="Mucho menos que lo habitual",4,""))))</f>
        <v>3</v>
      </c>
      <c r="DC217" s="5" t="s">
        <v>250</v>
      </c>
      <c r="DD217" s="5">
        <f>IF(DC217="No, en absoluto",1,
IF(DC217="No más que lo habitual",2,
IF(DC217="Bastante más que lo habitual",3,
IF(DC217="Mucho más que lo habitual",4,""))))</f>
        <v>3</v>
      </c>
      <c r="DE217" s="5" t="s">
        <v>280</v>
      </c>
      <c r="DF217" s="5">
        <f>IF(DE217="No, en absoluto",1,
IF(DE217="No más que lo habitual",2,
IF(DE217="Bastante más que lo habitual",3,
IF(DE217="Mucho más que lo habitual",4,""))))</f>
        <v>4</v>
      </c>
      <c r="DG217" s="5" t="s">
        <v>250</v>
      </c>
      <c r="DH217" s="5">
        <f>IF(DG217="No, en absoluto",1,
IF(DG217="No más que lo habitual",2,
IF(DG217="Bastante más que lo habitual",3,
IF(DG217="Mucho más que lo habitual",4,""))))</f>
        <v>3</v>
      </c>
      <c r="DI217" s="5" t="s">
        <v>280</v>
      </c>
      <c r="DJ217" s="5">
        <f>IF(DI217="No, en absoluto",1,
IF(DI217="No más que lo habitual",2,
IF(DI217="Bastante más que lo habitual",3,
IF(DI217="Mucho más que lo habitual",4,""))))</f>
        <v>4</v>
      </c>
      <c r="DK217" s="5" t="s">
        <v>250</v>
      </c>
      <c r="DL217" s="5">
        <f>IF(DK217="No, en absoluto",1,
IF(DK217="No más que lo habitual",2,
IF(DK217="Bastante más que lo habitual",3,
IF(DK217="Mucho más que lo habitual",4,""))))</f>
        <v>3</v>
      </c>
      <c r="DM217" s="5" t="s">
        <v>251</v>
      </c>
      <c r="DN217" s="5">
        <f>IF(DM217="No, en absoluto",1,
IF(DM217="No más que lo habitual",2,
IF(DM217="Bastante más que lo habitual",3,
IF(DM217="Mucho más que lo habitual",4,""))))</f>
        <v>1</v>
      </c>
      <c r="DO217" s="5" t="s">
        <v>231</v>
      </c>
      <c r="DP217" s="5">
        <f>IF(DO217="Más que lo habitual",1,
IF(DO217="Igual que lo habitual",2,
IF(DO217="Menos que lo habitual",3,
IF(DO217="Mucho menos que lo habitual",4,""))))</f>
        <v>2</v>
      </c>
      <c r="DQ217" s="5" t="s">
        <v>231</v>
      </c>
      <c r="DR217" s="5">
        <f>IF(DQ217="Más que lo habitual",1,
IF(DQ217="Igual que lo habitual",2,
IF(DQ217="Menos que lo habitual",3,
IF(DQ217="Mucho menos que lo habitual",4,""))))</f>
        <v>2</v>
      </c>
      <c r="DS217" s="5" t="s">
        <v>252</v>
      </c>
      <c r="DT217" s="5">
        <f>IF(DS217="Más que lo habitual",1,
IF(DS217="Igual que lo habitual",2,
IF(DS217="Menos que lo habitual",3,
IF(DS217="Mucho menos que lo habitual",4,""))))</f>
        <v>3</v>
      </c>
      <c r="DU217" s="5" t="s">
        <v>231</v>
      </c>
      <c r="DV217" s="5">
        <f>IF(DU217="Más que lo habitual",1,
IF(DU217="Igual que lo habitual",2,
IF(DU217="Menos que lo habitual",3,
IF(DU217="Mucho menos que lo habitual",4,""))))</f>
        <v>2</v>
      </c>
      <c r="DW217" s="5" t="s">
        <v>231</v>
      </c>
      <c r="DX217" s="5">
        <f>IF(DW217="Más que lo habitual",1,
IF(DW217="Igual que lo habitual",2,
IF(DW217="Menos que lo habitual",3,
IF(DW217="Mucho menos que lo habitual",4,""))))</f>
        <v>2</v>
      </c>
      <c r="DY217" s="5">
        <f>SUM(DB217,DD217,DF217,DH217,DJ217,DL217,DN217,DP217,DR217,DT217,DV217,DX217)</f>
        <v>32</v>
      </c>
      <c r="DZ217" s="5" t="str">
        <f>IF(DY217&lt;=18,"Nivel de riesgo bajo",
IF(DY217&lt;=23,"Nivel de riesgo medio",
"Nivel de riesgo alto"))</f>
        <v>Nivel de riesgo alto</v>
      </c>
      <c r="EA217" s="5" t="s">
        <v>254</v>
      </c>
      <c r="EB217" s="5">
        <f>IF(EA217="Nunca/ casi nunca",0,
IF(EA217="Rara vez",1,
IF(EA217="A veces",2,
IF(EA217="A menudo",3,
IF(EA217="Siempre",4,"")))))</f>
        <v>4</v>
      </c>
      <c r="EC217" s="5" t="s">
        <v>232</v>
      </c>
      <c r="ED217" s="5">
        <f>IF(EC217="Nunca/ casi nunca",0,
IF(EC217="Rara vez",1,
IF(EC217="A veces",2,
IF(EC217="A menudo",3,
IF(EC217="Siempre",4,"")))))</f>
        <v>3</v>
      </c>
      <c r="EE217" s="5" t="s">
        <v>247</v>
      </c>
      <c r="EF217" s="5">
        <f>IF(EE217="Nunca/ casi nunca",0,
IF(EE217="Rara vez",1,
IF(EE217="A veces",2,
IF(EE217="A menudo",3,
IF(EE217="Siempre",4,"")))))</f>
        <v>2</v>
      </c>
      <c r="EG217" s="5">
        <f>SUM(EB217,ED217,EF217)</f>
        <v>9</v>
      </c>
      <c r="EH217" s="5" t="str">
        <f>IF(EG217&lt;=1,"Nivel de riesgo bajo",
IF(EG217&lt;=4,"Nivel de riesgo medio",
"Nivel de riesgo alto"))</f>
        <v>Nivel de riesgo alto</v>
      </c>
      <c r="EI217" s="5" t="s">
        <v>247</v>
      </c>
      <c r="EJ217" s="5">
        <f>IF(EI217="Nunca/ casi nunca",0,
IF(EI217="Rara vez",1,
IF(EI217="A veces",2,
IF(EI217="A menudo",3,
IF(EI217="Siempre",4,"")))))</f>
        <v>2</v>
      </c>
      <c r="EK217" s="5" t="s">
        <v>248</v>
      </c>
      <c r="EL217" s="5">
        <f>IF(EK217="Nunca/ casi nunca",0,
IF(EK217="Rara vez",1,
IF(EK217="A veces",2,
IF(EK217="A menudo",3,
IF(EK217="Siempre",4,"")))))</f>
        <v>1</v>
      </c>
      <c r="EM217" s="5" t="s">
        <v>232</v>
      </c>
      <c r="EN217" s="5">
        <f>IF(EM217="Nunca/ casi nunca",0,
IF(EM217="Rara vez",1,
IF(EM217="A veces",2,
IF(EM217="A menudo",3,
IF(EM217="Siempre",4,"")))))</f>
        <v>3</v>
      </c>
      <c r="EO217" s="5">
        <f>SUM(EJ217,EL217,EN217)</f>
        <v>6</v>
      </c>
      <c r="EP217" s="5" t="str">
        <f>IF(EO217&lt;=1,"Nivel de riesgo bajo",
IF(EO217&lt;=5,"Nivel de riesgo medio",
"Nivel de riesgo alto"))</f>
        <v>Nivel de riesgo alto</v>
      </c>
      <c r="EQ217" s="5" t="s">
        <v>253</v>
      </c>
      <c r="ER217" s="5">
        <f>IF(EQ217="Nunca/ casi nunca",4,
IF(EQ217="Rara vez",3,
IF(EQ217="A veces",2,
IF(EQ217="A menudo",1,
IF(EQ217="Siempre",0,"")))))</f>
        <v>4</v>
      </c>
      <c r="ES217" s="5" t="s">
        <v>253</v>
      </c>
      <c r="ET217" s="5">
        <f>IF(ES217="Nunca/ casi nunca",4,
IF(ES217="Rara vez",3,
IF(ES217="A veces",2,
IF(ES217="A menudo",1,
IF(ES217="Siempre",0,"")))))</f>
        <v>4</v>
      </c>
      <c r="EU217" s="5" t="s">
        <v>253</v>
      </c>
      <c r="EV217" s="5">
        <f>IF(EU217="Nunca/ casi nunca",4,
IF(EU217="Rara vez",3,
IF(EU217="A veces",2,
IF(EU217="A menudo",1,
IF(EU217="Siempre",0,"")))))</f>
        <v>4</v>
      </c>
      <c r="EW217" s="5" t="s">
        <v>253</v>
      </c>
      <c r="EX217" s="5">
        <f>IF(EW217="Nunca/ casi nunca",4,
IF(EW217="Rara vez",3,
IF(EW217="A veces",2,
IF(EW217="A menudo",1,
IF(EW217="Siempre",0,"")))))</f>
        <v>4</v>
      </c>
      <c r="EY217" s="5">
        <f>SUM(ER217,ET217,EV217,EX217)</f>
        <v>16</v>
      </c>
      <c r="EZ217" s="5" t="str">
        <f>IF(EY217&lt;=0,"Nivel de riesgo bajo",
IF(EY217&lt;=4,"Nivel de riesgo medio",
"Nivel de riesgo alto"))</f>
        <v>Nivel de riesgo alto</v>
      </c>
      <c r="FA217" s="5" t="s">
        <v>253</v>
      </c>
      <c r="FB217" s="5">
        <f>IF(FA217="Nunca/ casi nunca",0,
IF(FA217="Rara vez",1,
IF(FA217="A veces",2,
IF(FA217="A menudo",3,
IF(FA217="Siempre",4,"")))))</f>
        <v>0</v>
      </c>
      <c r="FC217" s="5" t="s">
        <v>253</v>
      </c>
      <c r="FD217" s="5">
        <f>IF(FC217="Nunca/ casi nunca",0,
IF(FC217="Rara vez",1,
IF(FC217="A veces",2,
IF(FC217="A menudo",3,
IF(FC217="Siempre",4,"")))))</f>
        <v>0</v>
      </c>
      <c r="FE217" s="5" t="s">
        <v>253</v>
      </c>
      <c r="FF217" s="5">
        <f>IF(FE217="Nunca/ casi nunca",0,
IF(FE217="Rara vez",1,
IF(FE217="A veces",2,
IF(FE217="A menudo",3,
IF(FE217="Siempre",4,"")))))</f>
        <v>0</v>
      </c>
      <c r="FG217" s="5">
        <f>SUM(FB217,FD217,FF217)</f>
        <v>0</v>
      </c>
      <c r="FH217" s="5" t="str">
        <f>IF(FG217&lt;=2,"Nivel de riesgo bajo",
IF(FG217&lt;=5,"Nivel de riesgo medio",
"Nivel de riesgo alto"))</f>
        <v>Nivel de riesgo bajo</v>
      </c>
      <c r="FI217" s="5" t="s">
        <v>232</v>
      </c>
      <c r="FJ217" s="5">
        <f>IF(FI217="Nunca/ casi nunca",0,
IF(FI217="Rara vez",1,
IF(FI217="A veces",2,
IF(FI217="A menudo",3,
IF(FI217="Siempre",4,"")))))</f>
        <v>3</v>
      </c>
      <c r="FK217" s="5" t="s">
        <v>247</v>
      </c>
      <c r="FL217" s="5">
        <f>IF(FK217="Nunca/ casi nunca",0,
IF(FK217="Rara vez",1,
IF(FK217="A veces",2,
IF(FK217="A menudo",3,
IF(FK217="Siempre",4,"")))))</f>
        <v>2</v>
      </c>
      <c r="FM217" s="5" t="s">
        <v>247</v>
      </c>
      <c r="FN217" s="5">
        <f>IF(FM217="Nunca/ casi nunca",0,
IF(FM217="Rara vez",1,
IF(FM217="A veces",2,
IF(FM217="A menudo",3,
IF(FM217="Siempre",4,"")))))</f>
        <v>2</v>
      </c>
      <c r="FO217" s="5">
        <f>SUM(FJ217,FL217,FN217)</f>
        <v>7</v>
      </c>
      <c r="FP217" s="5" t="str">
        <f>IF(FO217&lt;=2,"Nivel de riesgo bajo",
IF(FO217&lt;=5,"Nivel de riesgo medio",
"Nivel de riesgo alto"))</f>
        <v>Nivel de riesgo alto</v>
      </c>
      <c r="FQ217" s="5" t="s">
        <v>206</v>
      </c>
      <c r="FR217" s="5">
        <f>IF(FQ217="No",0,
IF(FQ217="Sí, unas pocas veces",1,
IF(FQ217="Sí, mensualmente",2,
IF(FQ217="Sí, semanalmente",3,
IF(FQ217="Sí, diariamente",4,"")))))</f>
        <v>0</v>
      </c>
      <c r="FS217" s="5" t="s">
        <v>206</v>
      </c>
      <c r="FT217" s="5">
        <f>IF(FS217="No",0,
IF(FS217="Sí, unas pocas veces",1,
IF(FS217="Sí, mensualmente",2,
IF(FS217="Sí, semanalmente",3,
IF(FS217="Sí, diariamente",4,"")))))</f>
        <v>0</v>
      </c>
      <c r="FU217" s="5" t="s">
        <v>206</v>
      </c>
      <c r="FV217" s="5">
        <f>IF(FU217="No",0,
IF(FU217="Sí, unas pocas veces",1,
IF(FU217="Sí, mensualmente",2,
IF(FU217="Sí, semanalmente",3,
IF(FU217="Sí, diariamente",4,"")))))</f>
        <v>0</v>
      </c>
      <c r="FW217" s="5" t="s">
        <v>206</v>
      </c>
      <c r="FX217" s="5">
        <f>IF(FW217="No",0,
IF(FW217="Sí, unas pocas veces",1,
IF(FW217="Sí, mensualmente",2,
IF(FW217="Sí, semanalmente",3,
IF(FW217="Sí, diariamente",4,"")))))</f>
        <v>0</v>
      </c>
      <c r="FY217" s="5" t="s">
        <v>206</v>
      </c>
      <c r="FZ217" s="5">
        <f>IF(FY217="No",0,
IF(FY217="Sí, unas pocas veces",1,
IF(FY217="Sí, mensualmente",2,
IF(FY217="Sí, semanalmente",3,
IF(FY217="Sí, diariamente",4,"")))))</f>
        <v>0</v>
      </c>
      <c r="GA217" s="5" t="s">
        <v>206</v>
      </c>
      <c r="GB217" s="5">
        <f>IF(GA217="No",0,
IF(GA217="Sí, unas pocas veces",1,
IF(GA217="Sí, mensualmente",2,
IF(GA217="Sí, semanalmente",3,
IF(GA217="Sí, diariamente",4,"")))))</f>
        <v>0</v>
      </c>
      <c r="GC217" s="5" t="s">
        <v>206</v>
      </c>
      <c r="GD217" s="5">
        <f>IF(GC217="No",0,
IF(GC217="Sí, unas pocas veces",1,
IF(GC217="Sí, mensualmente",2,
IF(GC217="Sí, semanalmente",3,
IF(GC217="Sí, diariamente",4,"")))))</f>
        <v>0</v>
      </c>
      <c r="GE217" s="5">
        <f>SUM(FR217,FT217,FV217,FX217,FZ217,GB217,GD217)</f>
        <v>0</v>
      </c>
      <c r="GF217" s="5" t="str">
        <f>IF(GE217&lt;=0,"Nivel de riesgo bajo",
IF(GE217&lt;=14,"Nivel de riesgo medio",
"Nivel de riesgo alto"))</f>
        <v>Nivel de riesgo bajo</v>
      </c>
      <c r="GG217" s="5" t="s">
        <v>255</v>
      </c>
      <c r="GH217" s="5" t="s">
        <v>233</v>
      </c>
      <c r="GI217" s="5" t="s">
        <v>255</v>
      </c>
      <c r="GJ217" s="5" t="s">
        <v>233</v>
      </c>
      <c r="GK217" s="5" t="s">
        <v>233</v>
      </c>
      <c r="GL217" s="5" t="s">
        <v>255</v>
      </c>
      <c r="GM217" s="5" t="s">
        <v>233</v>
      </c>
      <c r="GN217" s="5" t="s">
        <v>243</v>
      </c>
      <c r="GO217" s="5" t="s">
        <v>243</v>
      </c>
      <c r="GP217" s="5" t="s">
        <v>243</v>
      </c>
      <c r="GQ217" s="5" t="s">
        <v>257</v>
      </c>
      <c r="GR217" s="5" t="s">
        <v>244</v>
      </c>
      <c r="GS217" s="5" t="s">
        <v>244</v>
      </c>
      <c r="GT217" s="5" t="s">
        <v>244</v>
      </c>
      <c r="GU217" s="5" t="s">
        <v>569</v>
      </c>
      <c r="GV217" s="5" t="str">
        <f>TEXT("6279064111387091175","0")</f>
        <v>6279064111387090000</v>
      </c>
    </row>
    <row r="218" spans="1:204" ht="15.75" customHeight="1" x14ac:dyDescent="0.15">
      <c r="A218" s="1">
        <f>ROW(A218)</f>
        <v>218</v>
      </c>
      <c r="B218" s="4">
        <v>45847.736851851849</v>
      </c>
      <c r="C218" s="5" t="s">
        <v>204</v>
      </c>
      <c r="D218" s="5" t="s">
        <v>206</v>
      </c>
      <c r="F218" s="5" t="s">
        <v>206</v>
      </c>
      <c r="G218" s="5" t="s">
        <v>206</v>
      </c>
      <c r="H218" s="5" t="s">
        <v>206</v>
      </c>
      <c r="K218" s="5" t="s">
        <v>237</v>
      </c>
      <c r="O218" s="5" t="s">
        <v>209</v>
      </c>
      <c r="S218" s="5" t="s">
        <v>208</v>
      </c>
      <c r="X218" s="5" t="s">
        <v>208</v>
      </c>
      <c r="AD218" s="5" t="s">
        <v>209</v>
      </c>
      <c r="AH218" s="5" t="s">
        <v>268</v>
      </c>
      <c r="AI218" s="5">
        <v>2022</v>
      </c>
      <c r="AJ218" s="5" t="s">
        <v>330</v>
      </c>
      <c r="AK218" s="5" t="str">
        <f>IF(OR(AJ218="Empleada del sector privado",AJ218="Empleada del sector público"),"Asalariada",
IF(AJ218="Trabajadora por cuenta propia","Trabajadora por cuenta propia",""))</f>
        <v>Asalariada</v>
      </c>
      <c r="AQ218" s="5" t="s">
        <v>204</v>
      </c>
      <c r="AR218" s="5" t="s">
        <v>241</v>
      </c>
      <c r="AS218" s="5" t="s">
        <v>301</v>
      </c>
      <c r="AT218" s="5" t="s">
        <v>241</v>
      </c>
      <c r="AU218" s="5" t="s">
        <v>301</v>
      </c>
      <c r="AV218" s="5" t="s">
        <v>285</v>
      </c>
      <c r="AW218" s="5" t="s">
        <v>204</v>
      </c>
      <c r="AX218" s="5" t="s">
        <v>204</v>
      </c>
      <c r="AY218" s="5" t="s">
        <v>406</v>
      </c>
      <c r="AZ218" s="5" t="s">
        <v>204</v>
      </c>
      <c r="BA218" s="5" t="s">
        <v>263</v>
      </c>
      <c r="BF218" s="5" t="s">
        <v>204</v>
      </c>
      <c r="BG218" s="5" t="s">
        <v>242</v>
      </c>
      <c r="BH218" s="5" t="s">
        <v>242</v>
      </c>
      <c r="BI218" s="5" t="s">
        <v>242</v>
      </c>
      <c r="BJ218" s="5" t="s">
        <v>242</v>
      </c>
      <c r="BK218" s="5" t="s">
        <v>245</v>
      </c>
      <c r="BL218" s="5" t="s">
        <v>243</v>
      </c>
      <c r="BM218" s="5" t="s">
        <v>245</v>
      </c>
      <c r="BN218" s="5" t="s">
        <v>245</v>
      </c>
      <c r="BO218" s="5" t="s">
        <v>244</v>
      </c>
      <c r="BP218" s="5" t="s">
        <v>245</v>
      </c>
      <c r="BQ218" s="5" t="s">
        <v>246</v>
      </c>
      <c r="BR218" s="5" t="s">
        <v>244</v>
      </c>
      <c r="BS218" s="5" t="s">
        <v>254</v>
      </c>
      <c r="BT218" s="5" t="s">
        <v>232</v>
      </c>
      <c r="BU218" s="5" t="s">
        <v>232</v>
      </c>
      <c r="BV218" s="5" t="s">
        <v>232</v>
      </c>
      <c r="BW218" s="5" t="s">
        <v>247</v>
      </c>
      <c r="BX218" s="5" t="s">
        <v>247</v>
      </c>
      <c r="BY218" s="5" t="s">
        <v>248</v>
      </c>
      <c r="BZ218" s="5" t="s">
        <v>244</v>
      </c>
      <c r="CA218" s="5" t="s">
        <v>244</v>
      </c>
      <c r="CB218" s="5" t="s">
        <v>244</v>
      </c>
      <c r="CC218" s="5" t="s">
        <v>243</v>
      </c>
      <c r="CD218" s="5" t="s">
        <v>206</v>
      </c>
      <c r="CH218" s="5" t="s">
        <v>206</v>
      </c>
      <c r="CI218" s="5" t="s">
        <v>206</v>
      </c>
      <c r="CJ218" s="5">
        <v>0</v>
      </c>
      <c r="CK218" s="5" t="s">
        <v>223</v>
      </c>
      <c r="CU218" s="5" t="s">
        <v>206</v>
      </c>
      <c r="DA218" s="5" t="s">
        <v>231</v>
      </c>
      <c r="DB218" s="5">
        <f>IF(DA218="Mejor que lo habitual",1,
IF(DA218="Igual que lo habitual",2,
IF(DA218="Menos que lo habitual",3,
IF(DA218="Mucho menos que lo habitual",4,""))))</f>
        <v>2</v>
      </c>
      <c r="DC218" s="5" t="s">
        <v>230</v>
      </c>
      <c r="DD218" s="5">
        <f>IF(DC218="No, en absoluto",1,
IF(DC218="No más que lo habitual",2,
IF(DC218="Bastante más que lo habitual",3,
IF(DC218="Mucho más que lo habitual",4,""))))</f>
        <v>2</v>
      </c>
      <c r="DE218" s="5" t="s">
        <v>230</v>
      </c>
      <c r="DF218" s="5">
        <f>IF(DE218="No, en absoluto",1,
IF(DE218="No más que lo habitual",2,
IF(DE218="Bastante más que lo habitual",3,
IF(DE218="Mucho más que lo habitual",4,""))))</f>
        <v>2</v>
      </c>
      <c r="DG218" s="5" t="s">
        <v>230</v>
      </c>
      <c r="DH218" s="5">
        <f>IF(DG218="No, en absoluto",1,
IF(DG218="No más que lo habitual",2,
IF(DG218="Bastante más que lo habitual",3,
IF(DG218="Mucho más que lo habitual",4,""))))</f>
        <v>2</v>
      </c>
      <c r="DI218" s="5" t="s">
        <v>251</v>
      </c>
      <c r="DJ218" s="5">
        <f>IF(DI218="No, en absoluto",1,
IF(DI218="No más que lo habitual",2,
IF(DI218="Bastante más que lo habitual",3,
IF(DI218="Mucho más que lo habitual",4,""))))</f>
        <v>1</v>
      </c>
      <c r="DK218" s="5" t="s">
        <v>251</v>
      </c>
      <c r="DL218" s="5">
        <f>IF(DK218="No, en absoluto",1,
IF(DK218="No más que lo habitual",2,
IF(DK218="Bastante más que lo habitual",3,
IF(DK218="Mucho más que lo habitual",4,""))))</f>
        <v>1</v>
      </c>
      <c r="DM218" s="5" t="s">
        <v>251</v>
      </c>
      <c r="DN218" s="5">
        <f>IF(DM218="No, en absoluto",1,
IF(DM218="No más que lo habitual",2,
IF(DM218="Bastante más que lo habitual",3,
IF(DM218="Mucho más que lo habitual",4,""))))</f>
        <v>1</v>
      </c>
      <c r="DO218" s="5" t="s">
        <v>281</v>
      </c>
      <c r="DP218" s="5">
        <f>IF(DO218="Más que lo habitual",1,
IF(DO218="Igual que lo habitual",2,
IF(DO218="Menos que lo habitual",3,
IF(DO218="Mucho menos que lo habitual",4,""))))</f>
        <v>1</v>
      </c>
      <c r="DQ218" s="5" t="s">
        <v>281</v>
      </c>
      <c r="DR218" s="5">
        <f>IF(DQ218="Más que lo habitual",1,
IF(DQ218="Igual que lo habitual",2,
IF(DQ218="Menos que lo habitual",3,
IF(DQ218="Mucho menos que lo habitual",4,""))))</f>
        <v>1</v>
      </c>
      <c r="DS218" s="5" t="s">
        <v>231</v>
      </c>
      <c r="DT218" s="5">
        <f>IF(DS218="Más que lo habitual",1,
IF(DS218="Igual que lo habitual",2,
IF(DS218="Menos que lo habitual",3,
IF(DS218="Mucho menos que lo habitual",4,""))))</f>
        <v>2</v>
      </c>
      <c r="DU218" s="5" t="s">
        <v>281</v>
      </c>
      <c r="DV218" s="5">
        <f>IF(DU218="Más que lo habitual",1,
IF(DU218="Igual que lo habitual",2,
IF(DU218="Menos que lo habitual",3,
IF(DU218="Mucho menos que lo habitual",4,""))))</f>
        <v>1</v>
      </c>
      <c r="DW218" s="5" t="s">
        <v>281</v>
      </c>
      <c r="DX218" s="5">
        <f>IF(DW218="Más que lo habitual",1,
IF(DW218="Igual que lo habitual",2,
IF(DW218="Menos que lo habitual",3,
IF(DW218="Mucho menos que lo habitual",4,""))))</f>
        <v>1</v>
      </c>
      <c r="DY218" s="5">
        <f>SUM(DB218,DD218,DF218,DH218,DJ218,DL218,DN218,DP218,DR218,DT218,DV218,DX218)</f>
        <v>17</v>
      </c>
      <c r="DZ218" s="5" t="str">
        <f>IF(DY218&lt;=18,"Nivel de riesgo bajo",
IF(DY218&lt;=23,"Nivel de riesgo medio",
"Nivel de riesgo alto"))</f>
        <v>Nivel de riesgo bajo</v>
      </c>
      <c r="EA218" s="5" t="s">
        <v>253</v>
      </c>
      <c r="EB218" s="5">
        <f>IF(EA218="Nunca/ casi nunca",0,
IF(EA218="Rara vez",1,
IF(EA218="A veces",2,
IF(EA218="A menudo",3,
IF(EA218="Siempre",4,"")))))</f>
        <v>0</v>
      </c>
      <c r="EC218" s="5" t="s">
        <v>248</v>
      </c>
      <c r="ED218" s="5">
        <f>IF(EC218="Nunca/ casi nunca",0,
IF(EC218="Rara vez",1,
IF(EC218="A veces",2,
IF(EC218="A menudo",3,
IF(EC218="Siempre",4,"")))))</f>
        <v>1</v>
      </c>
      <c r="EE218" s="5" t="s">
        <v>248</v>
      </c>
      <c r="EF218" s="5">
        <f>IF(EE218="Nunca/ casi nunca",0,
IF(EE218="Rara vez",1,
IF(EE218="A veces",2,
IF(EE218="A menudo",3,
IF(EE218="Siempre",4,"")))))</f>
        <v>1</v>
      </c>
      <c r="EG218" s="5">
        <f>SUM(EB218,ED218,EF218)</f>
        <v>2</v>
      </c>
      <c r="EH218" s="5" t="str">
        <f>IF(EG218&lt;=1,"Nivel de riesgo bajo",
IF(EG218&lt;=4,"Nivel de riesgo medio",
"Nivel de riesgo alto"))</f>
        <v>Nivel de riesgo medio</v>
      </c>
      <c r="EI218" s="5" t="s">
        <v>247</v>
      </c>
      <c r="EJ218" s="5">
        <f>IF(EI218="Nunca/ casi nunca",0,
IF(EI218="Rara vez",1,
IF(EI218="A veces",2,
IF(EI218="A menudo",3,
IF(EI218="Siempre",4,"")))))</f>
        <v>2</v>
      </c>
      <c r="EK218" s="5" t="s">
        <v>253</v>
      </c>
      <c r="EL218" s="5">
        <f>IF(EK218="Nunca/ casi nunca",0,
IF(EK218="Rara vez",1,
IF(EK218="A veces",2,
IF(EK218="A menudo",3,
IF(EK218="Siempre",4,"")))))</f>
        <v>0</v>
      </c>
      <c r="EM218" s="5" t="s">
        <v>248</v>
      </c>
      <c r="EN218" s="5">
        <f>IF(EM218="Nunca/ casi nunca",0,
IF(EM218="Rara vez",1,
IF(EM218="A veces",2,
IF(EM218="A menudo",3,
IF(EM218="Siempre",4,"")))))</f>
        <v>1</v>
      </c>
      <c r="EO218" s="5">
        <f>SUM(EJ218,EL218,EN218)</f>
        <v>3</v>
      </c>
      <c r="EP218" s="5" t="str">
        <f>IF(EO218&lt;=1,"Nivel de riesgo bajo",
IF(EO218&lt;=5,"Nivel de riesgo medio",
"Nivel de riesgo alto"))</f>
        <v>Nivel de riesgo medio</v>
      </c>
      <c r="EQ218" s="5" t="s">
        <v>232</v>
      </c>
      <c r="ER218" s="5">
        <f>IF(EQ218="Nunca/ casi nunca",4,
IF(EQ218="Rara vez",3,
IF(EQ218="A veces",2,
IF(EQ218="A menudo",1,
IF(EQ218="Siempre",0,"")))))</f>
        <v>1</v>
      </c>
      <c r="ES218" s="5" t="s">
        <v>232</v>
      </c>
      <c r="ET218" s="5">
        <f>IF(ES218="Nunca/ casi nunca",4,
IF(ES218="Rara vez",3,
IF(ES218="A veces",2,
IF(ES218="A menudo",1,
IF(ES218="Siempre",0,"")))))</f>
        <v>1</v>
      </c>
      <c r="EU218" s="5" t="s">
        <v>232</v>
      </c>
      <c r="EV218" s="5">
        <f>IF(EU218="Nunca/ casi nunca",4,
IF(EU218="Rara vez",3,
IF(EU218="A veces",2,
IF(EU218="A menudo",1,
IF(EU218="Siempre",0,"")))))</f>
        <v>1</v>
      </c>
      <c r="EW218" s="5" t="s">
        <v>232</v>
      </c>
      <c r="EX218" s="5">
        <f>IF(EW218="Nunca/ casi nunca",4,
IF(EW218="Rara vez",3,
IF(EW218="A veces",2,
IF(EW218="A menudo",1,
IF(EW218="Siempre",0,"")))))</f>
        <v>1</v>
      </c>
      <c r="EY218" s="5">
        <f>SUM(ER218,ET218,EV218,EX218)</f>
        <v>4</v>
      </c>
      <c r="EZ218" s="5" t="str">
        <f>IF(EY218&lt;=0,"Nivel de riesgo bajo",
IF(EY218&lt;=4,"Nivel de riesgo medio",
"Nivel de riesgo alto"))</f>
        <v>Nivel de riesgo medio</v>
      </c>
      <c r="FA218" s="5" t="s">
        <v>248</v>
      </c>
      <c r="FB218" s="5">
        <f>IF(FA218="Nunca/ casi nunca",0,
IF(FA218="Rara vez",1,
IF(FA218="A veces",2,
IF(FA218="A menudo",3,
IF(FA218="Siempre",4,"")))))</f>
        <v>1</v>
      </c>
      <c r="FC218" s="5" t="s">
        <v>248</v>
      </c>
      <c r="FD218" s="5">
        <f>IF(FC218="Nunca/ casi nunca",0,
IF(FC218="Rara vez",1,
IF(FC218="A veces",2,
IF(FC218="A menudo",3,
IF(FC218="Siempre",4,"")))))</f>
        <v>1</v>
      </c>
      <c r="FE218" s="5" t="s">
        <v>248</v>
      </c>
      <c r="FF218" s="5">
        <f>IF(FE218="Nunca/ casi nunca",0,
IF(FE218="Rara vez",1,
IF(FE218="A veces",2,
IF(FE218="A menudo",3,
IF(FE218="Siempre",4,"")))))</f>
        <v>1</v>
      </c>
      <c r="FG218" s="5">
        <f>SUM(FB218,FD218,FF218)</f>
        <v>3</v>
      </c>
      <c r="FH218" s="5" t="str">
        <f>IF(FG218&lt;=2,"Nivel de riesgo bajo",
IF(FG218&lt;=5,"Nivel de riesgo medio",
"Nivel de riesgo alto"))</f>
        <v>Nivel de riesgo medio</v>
      </c>
      <c r="FI218" s="5" t="s">
        <v>247</v>
      </c>
      <c r="FJ218" s="5">
        <f>IF(FI218="Nunca/ casi nunca",0,
IF(FI218="Rara vez",1,
IF(FI218="A veces",2,
IF(FI218="A menudo",3,
IF(FI218="Siempre",4,"")))))</f>
        <v>2</v>
      </c>
      <c r="FK218" s="5" t="s">
        <v>247</v>
      </c>
      <c r="FL218" s="5">
        <f>IF(FK218="Nunca/ casi nunca",0,
IF(FK218="Rara vez",1,
IF(FK218="A veces",2,
IF(FK218="A menudo",3,
IF(FK218="Siempre",4,"")))))</f>
        <v>2</v>
      </c>
      <c r="FM218" s="5" t="s">
        <v>247</v>
      </c>
      <c r="FN218" s="5">
        <f>IF(FM218="Nunca/ casi nunca",0,
IF(FM218="Rara vez",1,
IF(FM218="A veces",2,
IF(FM218="A menudo",3,
IF(FM218="Siempre",4,"")))))</f>
        <v>2</v>
      </c>
      <c r="FO218" s="5">
        <f>SUM(FJ218,FL218,FN218)</f>
        <v>6</v>
      </c>
      <c r="FP218" s="5" t="str">
        <f>IF(FO218&lt;=2,"Nivel de riesgo bajo",
IF(FO218&lt;=5,"Nivel de riesgo medio",
"Nivel de riesgo alto"))</f>
        <v>Nivel de riesgo alto</v>
      </c>
      <c r="FQ218" s="5" t="s">
        <v>206</v>
      </c>
      <c r="FR218" s="5">
        <f>IF(FQ218="No",0,
IF(FQ218="Sí, unas pocas veces",1,
IF(FQ218="Sí, mensualmente",2,
IF(FQ218="Sí, semanalmente",3,
IF(FQ218="Sí, diariamente",4,"")))))</f>
        <v>0</v>
      </c>
      <c r="FS218" s="5" t="s">
        <v>206</v>
      </c>
      <c r="FT218" s="5">
        <f>IF(FS218="No",0,
IF(FS218="Sí, unas pocas veces",1,
IF(FS218="Sí, mensualmente",2,
IF(FS218="Sí, semanalmente",3,
IF(FS218="Sí, diariamente",4,"")))))</f>
        <v>0</v>
      </c>
      <c r="FU218" s="5" t="s">
        <v>206</v>
      </c>
      <c r="FV218" s="5">
        <f>IF(FU218="No",0,
IF(FU218="Sí, unas pocas veces",1,
IF(FU218="Sí, mensualmente",2,
IF(FU218="Sí, semanalmente",3,
IF(FU218="Sí, diariamente",4,"")))))</f>
        <v>0</v>
      </c>
      <c r="FW218" s="5" t="s">
        <v>206</v>
      </c>
      <c r="FX218" s="5">
        <f>IF(FW218="No",0,
IF(FW218="Sí, unas pocas veces",1,
IF(FW218="Sí, mensualmente",2,
IF(FW218="Sí, semanalmente",3,
IF(FW218="Sí, diariamente",4,"")))))</f>
        <v>0</v>
      </c>
      <c r="FY218" s="5" t="s">
        <v>206</v>
      </c>
      <c r="FZ218" s="5">
        <f>IF(FY218="No",0,
IF(FY218="Sí, unas pocas veces",1,
IF(FY218="Sí, mensualmente",2,
IF(FY218="Sí, semanalmente",3,
IF(FY218="Sí, diariamente",4,"")))))</f>
        <v>0</v>
      </c>
      <c r="GA218" s="5" t="s">
        <v>206</v>
      </c>
      <c r="GB218" s="5">
        <f>IF(GA218="No",0,
IF(GA218="Sí, unas pocas veces",1,
IF(GA218="Sí, mensualmente",2,
IF(GA218="Sí, semanalmente",3,
IF(GA218="Sí, diariamente",4,"")))))</f>
        <v>0</v>
      </c>
      <c r="GC218" s="5" t="s">
        <v>206</v>
      </c>
      <c r="GD218" s="5">
        <f>IF(GC218="No",0,
IF(GC218="Sí, unas pocas veces",1,
IF(GC218="Sí, mensualmente",2,
IF(GC218="Sí, semanalmente",3,
IF(GC218="Sí, diariamente",4,"")))))</f>
        <v>0</v>
      </c>
      <c r="GE218" s="5">
        <f>SUM(FR218,FT218,FV218,FX218,FZ218,GB218,GD218)</f>
        <v>0</v>
      </c>
      <c r="GF218" s="5" t="str">
        <f>IF(GE218&lt;=0,"Nivel de riesgo bajo",
IF(GE218&lt;=14,"Nivel de riesgo medio",
"Nivel de riesgo alto"))</f>
        <v>Nivel de riesgo bajo</v>
      </c>
      <c r="GG218" s="5" t="s">
        <v>255</v>
      </c>
      <c r="GH218" s="5" t="s">
        <v>255</v>
      </c>
      <c r="GI218" s="5" t="s">
        <v>255</v>
      </c>
      <c r="GJ218" s="5" t="s">
        <v>255</v>
      </c>
      <c r="GK218" s="5" t="s">
        <v>233</v>
      </c>
      <c r="GL218" s="5" t="s">
        <v>233</v>
      </c>
      <c r="GM218" s="5" t="s">
        <v>233</v>
      </c>
      <c r="GN218" s="5" t="s">
        <v>243</v>
      </c>
      <c r="GO218" s="5" t="s">
        <v>243</v>
      </c>
      <c r="GP218" s="5" t="s">
        <v>234</v>
      </c>
      <c r="GQ218" s="5" t="s">
        <v>243</v>
      </c>
      <c r="GR218" s="5" t="s">
        <v>243</v>
      </c>
      <c r="GS218" s="5" t="s">
        <v>243</v>
      </c>
      <c r="GT218" s="5" t="s">
        <v>243</v>
      </c>
      <c r="GU218" s="5" t="s">
        <v>570</v>
      </c>
      <c r="GV218" s="5" t="str">
        <f>TEXT("6279064640696115569","0")</f>
        <v>6279064640696110000</v>
      </c>
    </row>
    <row r="219" spans="1:204" ht="15.75" customHeight="1" x14ac:dyDescent="0.15">
      <c r="A219" s="1">
        <f>ROW(A219)</f>
        <v>219</v>
      </c>
      <c r="B219" s="4">
        <v>45847.737824074073</v>
      </c>
      <c r="C219" s="5" t="s">
        <v>204</v>
      </c>
      <c r="D219" s="5" t="s">
        <v>206</v>
      </c>
      <c r="F219" s="5" t="s">
        <v>206</v>
      </c>
      <c r="G219" s="5" t="s">
        <v>204</v>
      </c>
      <c r="H219" s="5" t="s">
        <v>206</v>
      </c>
      <c r="K219" s="5" t="s">
        <v>237</v>
      </c>
      <c r="O219" s="5" t="s">
        <v>209</v>
      </c>
      <c r="T219" s="5" t="s">
        <v>209</v>
      </c>
      <c r="X219" s="5" t="s">
        <v>208</v>
      </c>
      <c r="AG219" s="5" t="s">
        <v>207</v>
      </c>
      <c r="AH219" s="5" t="s">
        <v>268</v>
      </c>
      <c r="AI219" s="5">
        <v>2019</v>
      </c>
      <c r="AJ219" s="5" t="s">
        <v>330</v>
      </c>
      <c r="AK219" s="5" t="str">
        <f>IF(OR(AJ219="Empleada del sector privado",AJ219="Empleada del sector público"),"Asalariada",
IF(AJ219="Trabajadora por cuenta propia","Trabajadora por cuenta propia",""))</f>
        <v>Asalariada</v>
      </c>
      <c r="AQ219" s="5" t="s">
        <v>204</v>
      </c>
      <c r="AR219" s="5" t="s">
        <v>241</v>
      </c>
      <c r="AS219" s="5" t="s">
        <v>241</v>
      </c>
      <c r="AT219" s="5" t="s">
        <v>241</v>
      </c>
      <c r="AU219" s="5" t="s">
        <v>241</v>
      </c>
      <c r="AV219" s="5" t="s">
        <v>269</v>
      </c>
      <c r="AW219" s="5" t="s">
        <v>204</v>
      </c>
      <c r="AX219" s="5" t="s">
        <v>204</v>
      </c>
      <c r="AY219" s="5" t="s">
        <v>406</v>
      </c>
      <c r="AZ219" s="5" t="s">
        <v>204</v>
      </c>
      <c r="BA219" s="5" t="s">
        <v>263</v>
      </c>
      <c r="BF219" s="5" t="s">
        <v>204</v>
      </c>
      <c r="BG219" s="5" t="s">
        <v>278</v>
      </c>
      <c r="BH219" s="5" t="s">
        <v>271</v>
      </c>
      <c r="BI219" s="5" t="s">
        <v>278</v>
      </c>
      <c r="BJ219" s="5" t="s">
        <v>271</v>
      </c>
      <c r="BK219" s="5" t="s">
        <v>243</v>
      </c>
      <c r="BL219" s="5" t="s">
        <v>243</v>
      </c>
      <c r="BM219" s="5" t="s">
        <v>246</v>
      </c>
      <c r="BN219" s="5" t="s">
        <v>246</v>
      </c>
      <c r="BO219" s="5" t="s">
        <v>246</v>
      </c>
      <c r="BP219" s="5" t="s">
        <v>243</v>
      </c>
      <c r="BQ219" s="5" t="s">
        <v>243</v>
      </c>
      <c r="BR219" s="5" t="s">
        <v>246</v>
      </c>
      <c r="BS219" s="5" t="s">
        <v>247</v>
      </c>
      <c r="BT219" s="5" t="s">
        <v>247</v>
      </c>
      <c r="BU219" s="5" t="s">
        <v>247</v>
      </c>
      <c r="BV219" s="5" t="s">
        <v>248</v>
      </c>
      <c r="BW219" s="5" t="s">
        <v>248</v>
      </c>
      <c r="BX219" s="5" t="s">
        <v>248</v>
      </c>
      <c r="BY219" s="5" t="s">
        <v>248</v>
      </c>
      <c r="BZ219" s="5" t="s">
        <v>246</v>
      </c>
      <c r="CA219" s="5" t="s">
        <v>246</v>
      </c>
      <c r="CB219" s="5" t="s">
        <v>244</v>
      </c>
      <c r="CC219" s="5" t="s">
        <v>243</v>
      </c>
      <c r="CD219" s="5" t="s">
        <v>204</v>
      </c>
      <c r="CE219" s="5" t="s">
        <v>218</v>
      </c>
      <c r="CF219" s="5" t="s">
        <v>219</v>
      </c>
      <c r="CG219" s="5" t="s">
        <v>206</v>
      </c>
      <c r="CH219" s="5" t="s">
        <v>206</v>
      </c>
      <c r="CI219" s="5" t="s">
        <v>307</v>
      </c>
      <c r="CJ219" s="5">
        <v>2</v>
      </c>
      <c r="CK219" s="5" t="s">
        <v>223</v>
      </c>
      <c r="CU219" s="5" t="s">
        <v>206</v>
      </c>
      <c r="DA219" s="5" t="s">
        <v>231</v>
      </c>
      <c r="DB219" s="5">
        <f>IF(DA219="Mejor que lo habitual",1,
IF(DA219="Igual que lo habitual",2,
IF(DA219="Menos que lo habitual",3,
IF(DA219="Mucho menos que lo habitual",4,""))))</f>
        <v>2</v>
      </c>
      <c r="DC219" s="5" t="s">
        <v>250</v>
      </c>
      <c r="DD219" s="5">
        <f>IF(DC219="No, en absoluto",1,
IF(DC219="No más que lo habitual",2,
IF(DC219="Bastante más que lo habitual",3,
IF(DC219="Mucho más que lo habitual",4,""))))</f>
        <v>3</v>
      </c>
      <c r="DE219" s="5" t="s">
        <v>250</v>
      </c>
      <c r="DF219" s="5">
        <f>IF(DE219="No, en absoluto",1,
IF(DE219="No más que lo habitual",2,
IF(DE219="Bastante más que lo habitual",3,
IF(DE219="Mucho más que lo habitual",4,""))))</f>
        <v>3</v>
      </c>
      <c r="DG219" s="5" t="s">
        <v>230</v>
      </c>
      <c r="DH219" s="5">
        <f>IF(DG219="No, en absoluto",1,
IF(DG219="No más que lo habitual",2,
IF(DG219="Bastante más que lo habitual",3,
IF(DG219="Mucho más que lo habitual",4,""))))</f>
        <v>2</v>
      </c>
      <c r="DI219" s="5" t="s">
        <v>251</v>
      </c>
      <c r="DJ219" s="5">
        <f>IF(DI219="No, en absoluto",1,
IF(DI219="No más que lo habitual",2,
IF(DI219="Bastante más que lo habitual",3,
IF(DI219="Mucho más que lo habitual",4,""))))</f>
        <v>1</v>
      </c>
      <c r="DK219" s="5" t="s">
        <v>251</v>
      </c>
      <c r="DL219" s="5">
        <f>IF(DK219="No, en absoluto",1,
IF(DK219="No más que lo habitual",2,
IF(DK219="Bastante más que lo habitual",3,
IF(DK219="Mucho más que lo habitual",4,""))))</f>
        <v>1</v>
      </c>
      <c r="DM219" s="5" t="s">
        <v>251</v>
      </c>
      <c r="DN219" s="5">
        <f>IF(DM219="No, en absoluto",1,
IF(DM219="No más que lo habitual",2,
IF(DM219="Bastante más que lo habitual",3,
IF(DM219="Mucho más que lo habitual",4,""))))</f>
        <v>1</v>
      </c>
      <c r="DO219" s="5" t="s">
        <v>231</v>
      </c>
      <c r="DP219" s="5">
        <f>IF(DO219="Más que lo habitual",1,
IF(DO219="Igual que lo habitual",2,
IF(DO219="Menos que lo habitual",3,
IF(DO219="Mucho menos que lo habitual",4,""))))</f>
        <v>2</v>
      </c>
      <c r="DQ219" s="5" t="s">
        <v>281</v>
      </c>
      <c r="DR219" s="5">
        <f>IF(DQ219="Más que lo habitual",1,
IF(DQ219="Igual que lo habitual",2,
IF(DQ219="Menos que lo habitual",3,
IF(DQ219="Mucho menos que lo habitual",4,""))))</f>
        <v>1</v>
      </c>
      <c r="DS219" s="5" t="s">
        <v>231</v>
      </c>
      <c r="DT219" s="5">
        <f>IF(DS219="Más que lo habitual",1,
IF(DS219="Igual que lo habitual",2,
IF(DS219="Menos que lo habitual",3,
IF(DS219="Mucho menos que lo habitual",4,""))))</f>
        <v>2</v>
      </c>
      <c r="DU219" s="5" t="s">
        <v>231</v>
      </c>
      <c r="DV219" s="5">
        <f>IF(DU219="Más que lo habitual",1,
IF(DU219="Igual que lo habitual",2,
IF(DU219="Menos que lo habitual",3,
IF(DU219="Mucho menos que lo habitual",4,""))))</f>
        <v>2</v>
      </c>
      <c r="DW219" s="5" t="s">
        <v>281</v>
      </c>
      <c r="DX219" s="5">
        <f>IF(DW219="Más que lo habitual",1,
IF(DW219="Igual que lo habitual",2,
IF(DW219="Menos que lo habitual",3,
IF(DW219="Mucho menos que lo habitual",4,""))))</f>
        <v>1</v>
      </c>
      <c r="DY219" s="5">
        <f>SUM(DB219,DD219,DF219,DH219,DJ219,DL219,DN219,DP219,DR219,DT219,DV219,DX219)</f>
        <v>21</v>
      </c>
      <c r="DZ219" s="5" t="str">
        <f>IF(DY219&lt;=18,"Nivel de riesgo bajo",
IF(DY219&lt;=23,"Nivel de riesgo medio",
"Nivel de riesgo alto"))</f>
        <v>Nivel de riesgo medio</v>
      </c>
      <c r="EA219" s="5" t="s">
        <v>247</v>
      </c>
      <c r="EB219" s="5">
        <f>IF(EA219="Nunca/ casi nunca",0,
IF(EA219="Rara vez",1,
IF(EA219="A veces",2,
IF(EA219="A menudo",3,
IF(EA219="Siempre",4,"")))))</f>
        <v>2</v>
      </c>
      <c r="EC219" s="5" t="s">
        <v>247</v>
      </c>
      <c r="ED219" s="5">
        <f>IF(EC219="Nunca/ casi nunca",0,
IF(EC219="Rara vez",1,
IF(EC219="A veces",2,
IF(EC219="A menudo",3,
IF(EC219="Siempre",4,"")))))</f>
        <v>2</v>
      </c>
      <c r="EE219" s="5" t="s">
        <v>253</v>
      </c>
      <c r="EF219" s="5">
        <f>IF(EE219="Nunca/ casi nunca",0,
IF(EE219="Rara vez",1,
IF(EE219="A veces",2,
IF(EE219="A menudo",3,
IF(EE219="Siempre",4,"")))))</f>
        <v>0</v>
      </c>
      <c r="EG219" s="5">
        <f>SUM(EB219,ED219,EF219)</f>
        <v>4</v>
      </c>
      <c r="EH219" s="5" t="str">
        <f>IF(EG219&lt;=1,"Nivel de riesgo bajo",
IF(EG219&lt;=4,"Nivel de riesgo medio",
"Nivel de riesgo alto"))</f>
        <v>Nivel de riesgo medio</v>
      </c>
      <c r="EI219" s="5" t="s">
        <v>253</v>
      </c>
      <c r="EJ219" s="5">
        <f>IF(EI219="Nunca/ casi nunca",0,
IF(EI219="Rara vez",1,
IF(EI219="A veces",2,
IF(EI219="A menudo",3,
IF(EI219="Siempre",4,"")))))</f>
        <v>0</v>
      </c>
      <c r="EK219" s="5" t="s">
        <v>232</v>
      </c>
      <c r="EL219" s="5">
        <f>IF(EK219="Nunca/ casi nunca",0,
IF(EK219="Rara vez",1,
IF(EK219="A veces",2,
IF(EK219="A menudo",3,
IF(EK219="Siempre",4,"")))))</f>
        <v>3</v>
      </c>
      <c r="EM219" s="5" t="s">
        <v>247</v>
      </c>
      <c r="EN219" s="5">
        <f>IF(EM219="Nunca/ casi nunca",0,
IF(EM219="Rara vez",1,
IF(EM219="A veces",2,
IF(EM219="A menudo",3,
IF(EM219="Siempre",4,"")))))</f>
        <v>2</v>
      </c>
      <c r="EO219" s="5">
        <f>SUM(EJ219,EL219,EN219)</f>
        <v>5</v>
      </c>
      <c r="EP219" s="5" t="str">
        <f>IF(EO219&lt;=1,"Nivel de riesgo bajo",
IF(EO219&lt;=5,"Nivel de riesgo medio",
"Nivel de riesgo alto"))</f>
        <v>Nivel de riesgo medio</v>
      </c>
      <c r="EQ219" s="5" t="s">
        <v>247</v>
      </c>
      <c r="ER219" s="5">
        <f>IF(EQ219="Nunca/ casi nunca",4,
IF(EQ219="Rara vez",3,
IF(EQ219="A veces",2,
IF(EQ219="A menudo",1,
IF(EQ219="Siempre",0,"")))))</f>
        <v>2</v>
      </c>
      <c r="ES219" s="5" t="s">
        <v>232</v>
      </c>
      <c r="ET219" s="5">
        <f>IF(ES219="Nunca/ casi nunca",4,
IF(ES219="Rara vez",3,
IF(ES219="A veces",2,
IF(ES219="A menudo",1,
IF(ES219="Siempre",0,"")))))</f>
        <v>1</v>
      </c>
      <c r="EU219" s="5" t="s">
        <v>254</v>
      </c>
      <c r="EV219" s="5">
        <f>IF(EU219="Nunca/ casi nunca",4,
IF(EU219="Rara vez",3,
IF(EU219="A veces",2,
IF(EU219="A menudo",1,
IF(EU219="Siempre",0,"")))))</f>
        <v>0</v>
      </c>
      <c r="EW219" s="5" t="s">
        <v>254</v>
      </c>
      <c r="EX219" s="5">
        <f>IF(EW219="Nunca/ casi nunca",4,
IF(EW219="Rara vez",3,
IF(EW219="A veces",2,
IF(EW219="A menudo",1,
IF(EW219="Siempre",0,"")))))</f>
        <v>0</v>
      </c>
      <c r="EY219" s="5">
        <f>SUM(ER219,ET219,EV219,EX219)</f>
        <v>3</v>
      </c>
      <c r="EZ219" s="5" t="str">
        <f>IF(EY219&lt;=0,"Nivel de riesgo bajo",
IF(EY219&lt;=4,"Nivel de riesgo medio",
"Nivel de riesgo alto"))</f>
        <v>Nivel de riesgo medio</v>
      </c>
      <c r="FA219" s="5" t="s">
        <v>253</v>
      </c>
      <c r="FB219" s="5">
        <f>IF(FA219="Nunca/ casi nunca",0,
IF(FA219="Rara vez",1,
IF(FA219="A veces",2,
IF(FA219="A menudo",3,
IF(FA219="Siempre",4,"")))))</f>
        <v>0</v>
      </c>
      <c r="FC219" s="5" t="s">
        <v>253</v>
      </c>
      <c r="FD219" s="5">
        <f>IF(FC219="Nunca/ casi nunca",0,
IF(FC219="Rara vez",1,
IF(FC219="A veces",2,
IF(FC219="A menudo",3,
IF(FC219="Siempre",4,"")))))</f>
        <v>0</v>
      </c>
      <c r="FE219" s="5" t="s">
        <v>253</v>
      </c>
      <c r="FF219" s="5">
        <f>IF(FE219="Nunca/ casi nunca",0,
IF(FE219="Rara vez",1,
IF(FE219="A veces",2,
IF(FE219="A menudo",3,
IF(FE219="Siempre",4,"")))))</f>
        <v>0</v>
      </c>
      <c r="FG219" s="5">
        <f>SUM(FB219,FD219,FF219)</f>
        <v>0</v>
      </c>
      <c r="FH219" s="5" t="str">
        <f>IF(FG219&lt;=2,"Nivel de riesgo bajo",
IF(FG219&lt;=5,"Nivel de riesgo medio",
"Nivel de riesgo alto"))</f>
        <v>Nivel de riesgo bajo</v>
      </c>
      <c r="FI219" s="5" t="s">
        <v>247</v>
      </c>
      <c r="FJ219" s="5">
        <f>IF(FI219="Nunca/ casi nunca",0,
IF(FI219="Rara vez",1,
IF(FI219="A veces",2,
IF(FI219="A menudo",3,
IF(FI219="Siempre",4,"")))))</f>
        <v>2</v>
      </c>
      <c r="FK219" s="5" t="s">
        <v>247</v>
      </c>
      <c r="FL219" s="5">
        <f>IF(FK219="Nunca/ casi nunca",0,
IF(FK219="Rara vez",1,
IF(FK219="A veces",2,
IF(FK219="A menudo",3,
IF(FK219="Siempre",4,"")))))</f>
        <v>2</v>
      </c>
      <c r="FM219" s="5" t="s">
        <v>247</v>
      </c>
      <c r="FN219" s="5">
        <f>IF(FM219="Nunca/ casi nunca",0,
IF(FM219="Rara vez",1,
IF(FM219="A veces",2,
IF(FM219="A menudo",3,
IF(FM219="Siempre",4,"")))))</f>
        <v>2</v>
      </c>
      <c r="FO219" s="5">
        <f>SUM(FJ219,FL219,FN219)</f>
        <v>6</v>
      </c>
      <c r="FP219" s="5" t="str">
        <f>IF(FO219&lt;=2,"Nivel de riesgo bajo",
IF(FO219&lt;=5,"Nivel de riesgo medio",
"Nivel de riesgo alto"))</f>
        <v>Nivel de riesgo alto</v>
      </c>
      <c r="FQ219" s="5" t="s">
        <v>206</v>
      </c>
      <c r="FR219" s="5">
        <f>IF(FQ219="No",0,
IF(FQ219="Sí, unas pocas veces",1,
IF(FQ219="Sí, mensualmente",2,
IF(FQ219="Sí, semanalmente",3,
IF(FQ219="Sí, diariamente",4,"")))))</f>
        <v>0</v>
      </c>
      <c r="FS219" s="5" t="s">
        <v>206</v>
      </c>
      <c r="FT219" s="5">
        <f>IF(FS219="No",0,
IF(FS219="Sí, unas pocas veces",1,
IF(FS219="Sí, mensualmente",2,
IF(FS219="Sí, semanalmente",3,
IF(FS219="Sí, diariamente",4,"")))))</f>
        <v>0</v>
      </c>
      <c r="FU219" s="5" t="s">
        <v>206</v>
      </c>
      <c r="FV219" s="5">
        <f>IF(FU219="No",0,
IF(FU219="Sí, unas pocas veces",1,
IF(FU219="Sí, mensualmente",2,
IF(FU219="Sí, semanalmente",3,
IF(FU219="Sí, diariamente",4,"")))))</f>
        <v>0</v>
      </c>
      <c r="FW219" s="5" t="s">
        <v>206</v>
      </c>
      <c r="FX219" s="5">
        <f>IF(FW219="No",0,
IF(FW219="Sí, unas pocas veces",1,
IF(FW219="Sí, mensualmente",2,
IF(FW219="Sí, semanalmente",3,
IF(FW219="Sí, diariamente",4,"")))))</f>
        <v>0</v>
      </c>
      <c r="FY219" s="5" t="s">
        <v>206</v>
      </c>
      <c r="FZ219" s="5">
        <f>IF(FY219="No",0,
IF(FY219="Sí, unas pocas veces",1,
IF(FY219="Sí, mensualmente",2,
IF(FY219="Sí, semanalmente",3,
IF(FY219="Sí, diariamente",4,"")))))</f>
        <v>0</v>
      </c>
      <c r="GA219" s="5" t="s">
        <v>206</v>
      </c>
      <c r="GB219" s="5">
        <f>IF(GA219="No",0,
IF(GA219="Sí, unas pocas veces",1,
IF(GA219="Sí, mensualmente",2,
IF(GA219="Sí, semanalmente",3,
IF(GA219="Sí, diariamente",4,"")))))</f>
        <v>0</v>
      </c>
      <c r="GC219" s="5" t="s">
        <v>206</v>
      </c>
      <c r="GD219" s="5">
        <f>IF(GC219="No",0,
IF(GC219="Sí, unas pocas veces",1,
IF(GC219="Sí, mensualmente",2,
IF(GC219="Sí, semanalmente",3,
IF(GC219="Sí, diariamente",4,"")))))</f>
        <v>0</v>
      </c>
      <c r="GE219" s="5">
        <f>SUM(FR219,FT219,FV219,FX219,FZ219,GB219,GD219)</f>
        <v>0</v>
      </c>
      <c r="GF219" s="5" t="str">
        <f>IF(GE219&lt;=0,"Nivel de riesgo bajo",
IF(GE219&lt;=14,"Nivel de riesgo medio",
"Nivel de riesgo alto"))</f>
        <v>Nivel de riesgo bajo</v>
      </c>
      <c r="GG219" s="5" t="s">
        <v>255</v>
      </c>
      <c r="GH219" s="5" t="s">
        <v>255</v>
      </c>
      <c r="GI219" s="5" t="s">
        <v>255</v>
      </c>
      <c r="GJ219" s="5" t="s">
        <v>273</v>
      </c>
      <c r="GK219" s="5" t="s">
        <v>233</v>
      </c>
      <c r="GL219" s="5" t="s">
        <v>266</v>
      </c>
      <c r="GM219" s="5" t="s">
        <v>233</v>
      </c>
      <c r="GN219" s="5" t="s">
        <v>243</v>
      </c>
      <c r="GO219" s="5" t="s">
        <v>243</v>
      </c>
      <c r="GP219" s="5" t="s">
        <v>243</v>
      </c>
      <c r="GQ219" s="5" t="s">
        <v>243</v>
      </c>
      <c r="GR219" s="5" t="s">
        <v>257</v>
      </c>
      <c r="GS219" s="5" t="s">
        <v>257</v>
      </c>
      <c r="GT219" s="5" t="s">
        <v>243</v>
      </c>
      <c r="GU219" s="5" t="s">
        <v>571</v>
      </c>
      <c r="GV219" s="5" t="str">
        <f>TEXT("6279065480123134327","0")</f>
        <v>6279065480123130000</v>
      </c>
    </row>
    <row r="220" spans="1:204" ht="15.75" customHeight="1" x14ac:dyDescent="0.15">
      <c r="A220" s="1">
        <f>ROW(A220)</f>
        <v>220</v>
      </c>
      <c r="B220" s="4">
        <v>45847.757326388892</v>
      </c>
      <c r="C220" s="5" t="s">
        <v>204</v>
      </c>
      <c r="D220" s="5" t="s">
        <v>204</v>
      </c>
      <c r="E220" s="5" t="s">
        <v>335</v>
      </c>
      <c r="F220" s="5" t="s">
        <v>206</v>
      </c>
      <c r="G220" s="5" t="s">
        <v>204</v>
      </c>
      <c r="H220" s="5" t="s">
        <v>206</v>
      </c>
      <c r="L220" s="5" t="s">
        <v>236</v>
      </c>
      <c r="O220" s="5" t="s">
        <v>209</v>
      </c>
      <c r="T220" s="5" t="s">
        <v>209</v>
      </c>
      <c r="Y220" s="5" t="s">
        <v>209</v>
      </c>
      <c r="AD220" s="5" t="s">
        <v>209</v>
      </c>
      <c r="AH220" s="5" t="s">
        <v>275</v>
      </c>
      <c r="AI220" s="5">
        <v>2021</v>
      </c>
      <c r="AJ220" s="5" t="s">
        <v>238</v>
      </c>
      <c r="AK220" s="5" t="str">
        <f>IF(OR(AJ220="Empleada del sector privado",AJ220="Empleada del sector público"),"Asalariada",
IF(AJ220="Trabajadora por cuenta propia","Trabajadora por cuenta propia",""))</f>
        <v>Trabajadora por cuenta propia</v>
      </c>
      <c r="AO220" s="5" t="s">
        <v>323</v>
      </c>
      <c r="AP220" s="5" t="s">
        <v>365</v>
      </c>
      <c r="AR220" s="5" t="s">
        <v>241</v>
      </c>
      <c r="AS220" s="5" t="s">
        <v>241</v>
      </c>
      <c r="AT220" s="5" t="s">
        <v>241</v>
      </c>
      <c r="AU220" s="5" t="s">
        <v>241</v>
      </c>
      <c r="AV220" s="5" t="s">
        <v>213</v>
      </c>
      <c r="AW220" s="5" t="s">
        <v>206</v>
      </c>
      <c r="AX220" s="5" t="s">
        <v>204</v>
      </c>
      <c r="AY220" s="5" t="s">
        <v>270</v>
      </c>
      <c r="BF220" s="5" t="s">
        <v>204</v>
      </c>
      <c r="BG220" s="5" t="s">
        <v>278</v>
      </c>
      <c r="BH220" s="5" t="s">
        <v>278</v>
      </c>
      <c r="BI220" s="5" t="s">
        <v>278</v>
      </c>
      <c r="BJ220" s="5" t="s">
        <v>278</v>
      </c>
      <c r="BK220" s="5" t="s">
        <v>244</v>
      </c>
      <c r="BL220" s="5" t="s">
        <v>246</v>
      </c>
      <c r="BM220" s="5" t="s">
        <v>244</v>
      </c>
      <c r="BN220" s="5" t="s">
        <v>244</v>
      </c>
      <c r="BO220" s="5" t="s">
        <v>244</v>
      </c>
      <c r="BP220" s="5" t="s">
        <v>244</v>
      </c>
      <c r="BQ220" s="5" t="s">
        <v>246</v>
      </c>
      <c r="BR220" s="5" t="s">
        <v>243</v>
      </c>
      <c r="BS220" s="5" t="s">
        <v>248</v>
      </c>
      <c r="BT220" s="5" t="s">
        <v>217</v>
      </c>
      <c r="BU220" s="5" t="s">
        <v>248</v>
      </c>
      <c r="BV220" s="5" t="s">
        <v>217</v>
      </c>
      <c r="BW220" s="5" t="s">
        <v>248</v>
      </c>
      <c r="BX220" s="5" t="s">
        <v>247</v>
      </c>
      <c r="BY220" s="5" t="s">
        <v>217</v>
      </c>
      <c r="CD220" s="5" t="s">
        <v>206</v>
      </c>
      <c r="CH220" s="5" t="s">
        <v>206</v>
      </c>
      <c r="CI220" s="5" t="s">
        <v>206</v>
      </c>
      <c r="CJ220" s="5">
        <v>0</v>
      </c>
      <c r="CK220" s="5" t="s">
        <v>223</v>
      </c>
      <c r="CU220" s="5" t="s">
        <v>206</v>
      </c>
      <c r="DA220" s="5" t="s">
        <v>231</v>
      </c>
      <c r="DB220" s="5">
        <f>IF(DA220="Mejor que lo habitual",1,
IF(DA220="Igual que lo habitual",2,
IF(DA220="Menos que lo habitual",3,
IF(DA220="Mucho menos que lo habitual",4,""))))</f>
        <v>2</v>
      </c>
      <c r="DC220" s="5" t="s">
        <v>251</v>
      </c>
      <c r="DD220" s="5">
        <f>IF(DC220="No, en absoluto",1,
IF(DC220="No más que lo habitual",2,
IF(DC220="Bastante más que lo habitual",3,
IF(DC220="Mucho más que lo habitual",4,""))))</f>
        <v>1</v>
      </c>
      <c r="DE220" s="5" t="s">
        <v>230</v>
      </c>
      <c r="DF220" s="5">
        <f>IF(DE220="No, en absoluto",1,
IF(DE220="No más que lo habitual",2,
IF(DE220="Bastante más que lo habitual",3,
IF(DE220="Mucho más que lo habitual",4,""))))</f>
        <v>2</v>
      </c>
      <c r="DG220" s="5" t="s">
        <v>251</v>
      </c>
      <c r="DH220" s="5">
        <f>IF(DG220="No, en absoluto",1,
IF(DG220="No más que lo habitual",2,
IF(DG220="Bastante más que lo habitual",3,
IF(DG220="Mucho más que lo habitual",4,""))))</f>
        <v>1</v>
      </c>
      <c r="DI220" s="5" t="s">
        <v>251</v>
      </c>
      <c r="DJ220" s="5">
        <f>IF(DI220="No, en absoluto",1,
IF(DI220="No más que lo habitual",2,
IF(DI220="Bastante más que lo habitual",3,
IF(DI220="Mucho más que lo habitual",4,""))))</f>
        <v>1</v>
      </c>
      <c r="DK220" s="5" t="s">
        <v>251</v>
      </c>
      <c r="DL220" s="5">
        <f>IF(DK220="No, en absoluto",1,
IF(DK220="No más que lo habitual",2,
IF(DK220="Bastante más que lo habitual",3,
IF(DK220="Mucho más que lo habitual",4,""))))</f>
        <v>1</v>
      </c>
      <c r="DM220" s="5" t="s">
        <v>251</v>
      </c>
      <c r="DN220" s="5">
        <f>IF(DM220="No, en absoluto",1,
IF(DM220="No más que lo habitual",2,
IF(DM220="Bastante más que lo habitual",3,
IF(DM220="Mucho más que lo habitual",4,""))))</f>
        <v>1</v>
      </c>
      <c r="DO220" s="5" t="s">
        <v>281</v>
      </c>
      <c r="DP220" s="5">
        <f>IF(DO220="Más que lo habitual",1,
IF(DO220="Igual que lo habitual",2,
IF(DO220="Menos que lo habitual",3,
IF(DO220="Mucho menos que lo habitual",4,""))))</f>
        <v>1</v>
      </c>
      <c r="DQ220" s="5" t="s">
        <v>231</v>
      </c>
      <c r="DR220" s="5">
        <f>IF(DQ220="Más que lo habitual",1,
IF(DQ220="Igual que lo habitual",2,
IF(DQ220="Menos que lo habitual",3,
IF(DQ220="Mucho menos que lo habitual",4,""))))</f>
        <v>2</v>
      </c>
      <c r="DS220" s="5" t="s">
        <v>231</v>
      </c>
      <c r="DT220" s="5">
        <f>IF(DS220="Más que lo habitual",1,
IF(DS220="Igual que lo habitual",2,
IF(DS220="Menos que lo habitual",3,
IF(DS220="Mucho menos que lo habitual",4,""))))</f>
        <v>2</v>
      </c>
      <c r="DU220" s="5" t="s">
        <v>281</v>
      </c>
      <c r="DV220" s="5">
        <f>IF(DU220="Más que lo habitual",1,
IF(DU220="Igual que lo habitual",2,
IF(DU220="Menos que lo habitual",3,
IF(DU220="Mucho menos que lo habitual",4,""))))</f>
        <v>1</v>
      </c>
      <c r="DW220" s="5" t="s">
        <v>281</v>
      </c>
      <c r="DX220" s="5">
        <f>IF(DW220="Más que lo habitual",1,
IF(DW220="Igual que lo habitual",2,
IF(DW220="Menos que lo habitual",3,
IF(DW220="Mucho menos que lo habitual",4,""))))</f>
        <v>1</v>
      </c>
      <c r="DY220" s="5">
        <f>SUM(DB220,DD220,DF220,DH220,DJ220,DL220,DN220,DP220,DR220,DT220,DV220,DX220)</f>
        <v>16</v>
      </c>
      <c r="DZ220" s="5" t="str">
        <f>IF(DY220&lt;=18,"Nivel de riesgo bajo",
IF(DY220&lt;=23,"Nivel de riesgo medio",
"Nivel de riesgo alto"))</f>
        <v>Nivel de riesgo bajo</v>
      </c>
      <c r="EA220" s="5" t="s">
        <v>248</v>
      </c>
      <c r="EB220" s="5">
        <f>IF(EA220="Nunca/ casi nunca",0,
IF(EA220="Rara vez",1,
IF(EA220="A veces",2,
IF(EA220="A menudo",3,
IF(EA220="Siempre",4,"")))))</f>
        <v>1</v>
      </c>
      <c r="EC220" s="5" t="s">
        <v>253</v>
      </c>
      <c r="ED220" s="5">
        <f>IF(EC220="Nunca/ casi nunca",0,
IF(EC220="Rara vez",1,
IF(EC220="A veces",2,
IF(EC220="A menudo",3,
IF(EC220="Siempre",4,"")))))</f>
        <v>0</v>
      </c>
      <c r="EE220" s="5" t="s">
        <v>253</v>
      </c>
      <c r="EF220" s="5">
        <f>IF(EE220="Nunca/ casi nunca",0,
IF(EE220="Rara vez",1,
IF(EE220="A veces",2,
IF(EE220="A menudo",3,
IF(EE220="Siempre",4,"")))))</f>
        <v>0</v>
      </c>
      <c r="EG220" s="5">
        <f>SUM(EB220,ED220,EF220)</f>
        <v>1</v>
      </c>
      <c r="EH220" s="5" t="str">
        <f>IF(EG220&lt;=1,"Nivel de riesgo bajo",
IF(EG220&lt;=4,"Nivel de riesgo medio",
"Nivel de riesgo alto"))</f>
        <v>Nivel de riesgo bajo</v>
      </c>
      <c r="EI220" s="5" t="s">
        <v>253</v>
      </c>
      <c r="EJ220" s="5">
        <f>IF(EI220="Nunca/ casi nunca",0,
IF(EI220="Rara vez",1,
IF(EI220="A veces",2,
IF(EI220="A menudo",3,
IF(EI220="Siempre",4,"")))))</f>
        <v>0</v>
      </c>
      <c r="EK220" s="5" t="s">
        <v>248</v>
      </c>
      <c r="EL220" s="5">
        <f>IF(EK220="Nunca/ casi nunca",0,
IF(EK220="Rara vez",1,
IF(EK220="A veces",2,
IF(EK220="A menudo",3,
IF(EK220="Siempre",4,"")))))</f>
        <v>1</v>
      </c>
      <c r="EM220" s="5" t="s">
        <v>253</v>
      </c>
      <c r="EN220" s="5">
        <f>IF(EM220="Nunca/ casi nunca",0,
IF(EM220="Rara vez",1,
IF(EM220="A veces",2,
IF(EM220="A menudo",3,
IF(EM220="Siempre",4,"")))))</f>
        <v>0</v>
      </c>
      <c r="EO220" s="5">
        <f>SUM(EJ220,EL220,EN220)</f>
        <v>1</v>
      </c>
      <c r="EP220" s="5" t="str">
        <f>IF(EO220&lt;=1,"Nivel de riesgo bajo",
IF(EO220&lt;=5,"Nivel de riesgo medio",
"Nivel de riesgo alto"))</f>
        <v>Nivel de riesgo bajo</v>
      </c>
      <c r="EQ220" s="5" t="s">
        <v>248</v>
      </c>
      <c r="ER220" s="5">
        <f>IF(EQ220="Nunca/ casi nunca",4,
IF(EQ220="Rara vez",3,
IF(EQ220="A veces",2,
IF(EQ220="A menudo",1,
IF(EQ220="Siempre",0,"")))))</f>
        <v>3</v>
      </c>
      <c r="ES220" s="5" t="s">
        <v>253</v>
      </c>
      <c r="ET220" s="5">
        <f>IF(ES220="Nunca/ casi nunca",4,
IF(ES220="Rara vez",3,
IF(ES220="A veces",2,
IF(ES220="A menudo",1,
IF(ES220="Siempre",0,"")))))</f>
        <v>4</v>
      </c>
      <c r="EU220" s="5" t="s">
        <v>254</v>
      </c>
      <c r="EV220" s="5">
        <f>IF(EU220="Nunca/ casi nunca",4,
IF(EU220="Rara vez",3,
IF(EU220="A veces",2,
IF(EU220="A menudo",1,
IF(EU220="Siempre",0,"")))))</f>
        <v>0</v>
      </c>
      <c r="EW220" s="5" t="s">
        <v>254</v>
      </c>
      <c r="EX220" s="5">
        <f>IF(EW220="Nunca/ casi nunca",4,
IF(EW220="Rara vez",3,
IF(EW220="A veces",2,
IF(EW220="A menudo",1,
IF(EW220="Siempre",0,"")))))</f>
        <v>0</v>
      </c>
      <c r="EY220" s="5">
        <f>SUM(ER220,ET220,EV220,EX220)</f>
        <v>7</v>
      </c>
      <c r="EZ220" s="5" t="str">
        <f>IF(EY220&lt;=0,"Nivel de riesgo bajo",
IF(EY220&lt;=4,"Nivel de riesgo medio",
"Nivel de riesgo alto"))</f>
        <v>Nivel de riesgo alto</v>
      </c>
      <c r="FA220" s="5" t="s">
        <v>253</v>
      </c>
      <c r="FB220" s="5">
        <f>IF(FA220="Nunca/ casi nunca",0,
IF(FA220="Rara vez",1,
IF(FA220="A veces",2,
IF(FA220="A menudo",3,
IF(FA220="Siempre",4,"")))))</f>
        <v>0</v>
      </c>
      <c r="FC220" s="5" t="s">
        <v>253</v>
      </c>
      <c r="FD220" s="5">
        <f>IF(FC220="Nunca/ casi nunca",0,
IF(FC220="Rara vez",1,
IF(FC220="A veces",2,
IF(FC220="A menudo",3,
IF(FC220="Siempre",4,"")))))</f>
        <v>0</v>
      </c>
      <c r="FE220" s="5" t="s">
        <v>253</v>
      </c>
      <c r="FF220" s="5">
        <f>IF(FE220="Nunca/ casi nunca",0,
IF(FE220="Rara vez",1,
IF(FE220="A veces",2,
IF(FE220="A menudo",3,
IF(FE220="Siempre",4,"")))))</f>
        <v>0</v>
      </c>
      <c r="FG220" s="5">
        <f>SUM(FB220,FD220,FF220)</f>
        <v>0</v>
      </c>
      <c r="FH220" s="5" t="str">
        <f>IF(FG220&lt;=2,"Nivel de riesgo bajo",
IF(FG220&lt;=5,"Nivel de riesgo medio",
"Nivel de riesgo alto"))</f>
        <v>Nivel de riesgo bajo</v>
      </c>
      <c r="FI220" s="5" t="s">
        <v>253</v>
      </c>
      <c r="FJ220" s="5">
        <f>IF(FI220="Nunca/ casi nunca",0,
IF(FI220="Rara vez",1,
IF(FI220="A veces",2,
IF(FI220="A menudo",3,
IF(FI220="Siempre",4,"")))))</f>
        <v>0</v>
      </c>
      <c r="FK220" s="5" t="s">
        <v>253</v>
      </c>
      <c r="FL220" s="5">
        <f>IF(FK220="Nunca/ casi nunca",0,
IF(FK220="Rara vez",1,
IF(FK220="A veces",2,
IF(FK220="A menudo",3,
IF(FK220="Siempre",4,"")))))</f>
        <v>0</v>
      </c>
      <c r="FM220" s="5" t="s">
        <v>253</v>
      </c>
      <c r="FN220" s="5">
        <f>IF(FM220="Nunca/ casi nunca",0,
IF(FM220="Rara vez",1,
IF(FM220="A veces",2,
IF(FM220="A menudo",3,
IF(FM220="Siempre",4,"")))))</f>
        <v>0</v>
      </c>
      <c r="FO220" s="5">
        <f>SUM(FJ220,FL220,FN220)</f>
        <v>0</v>
      </c>
      <c r="FP220" s="5" t="str">
        <f>IF(FO220&lt;=2,"Nivel de riesgo bajo",
IF(FO220&lt;=5,"Nivel de riesgo medio",
"Nivel de riesgo alto"))</f>
        <v>Nivel de riesgo bajo</v>
      </c>
      <c r="FQ220" s="5" t="s">
        <v>206</v>
      </c>
      <c r="FR220" s="5">
        <f>IF(FQ220="No",0,
IF(FQ220="Sí, unas pocas veces",1,
IF(FQ220="Sí, mensualmente",2,
IF(FQ220="Sí, semanalmente",3,
IF(FQ220="Sí, diariamente",4,"")))))</f>
        <v>0</v>
      </c>
      <c r="FS220" s="5" t="s">
        <v>206</v>
      </c>
      <c r="FT220" s="5">
        <f>IF(FS220="No",0,
IF(FS220="Sí, unas pocas veces",1,
IF(FS220="Sí, mensualmente",2,
IF(FS220="Sí, semanalmente",3,
IF(FS220="Sí, diariamente",4,"")))))</f>
        <v>0</v>
      </c>
      <c r="FU220" s="5" t="s">
        <v>206</v>
      </c>
      <c r="FV220" s="5">
        <f>IF(FU220="No",0,
IF(FU220="Sí, unas pocas veces",1,
IF(FU220="Sí, mensualmente",2,
IF(FU220="Sí, semanalmente",3,
IF(FU220="Sí, diariamente",4,"")))))</f>
        <v>0</v>
      </c>
      <c r="FW220" s="5" t="s">
        <v>206</v>
      </c>
      <c r="FX220" s="5">
        <f>IF(FW220="No",0,
IF(FW220="Sí, unas pocas veces",1,
IF(FW220="Sí, mensualmente",2,
IF(FW220="Sí, semanalmente",3,
IF(FW220="Sí, diariamente",4,"")))))</f>
        <v>0</v>
      </c>
      <c r="FY220" s="5" t="s">
        <v>206</v>
      </c>
      <c r="FZ220" s="5">
        <f>IF(FY220="No",0,
IF(FY220="Sí, unas pocas veces",1,
IF(FY220="Sí, mensualmente",2,
IF(FY220="Sí, semanalmente",3,
IF(FY220="Sí, diariamente",4,"")))))</f>
        <v>0</v>
      </c>
      <c r="GA220" s="5" t="s">
        <v>206</v>
      </c>
      <c r="GB220" s="5">
        <f>IF(GA220="No",0,
IF(GA220="Sí, unas pocas veces",1,
IF(GA220="Sí, mensualmente",2,
IF(GA220="Sí, semanalmente",3,
IF(GA220="Sí, diariamente",4,"")))))</f>
        <v>0</v>
      </c>
      <c r="GC220" s="5" t="s">
        <v>206</v>
      </c>
      <c r="GD220" s="5">
        <f>IF(GC220="No",0,
IF(GC220="Sí, unas pocas veces",1,
IF(GC220="Sí, mensualmente",2,
IF(GC220="Sí, semanalmente",3,
IF(GC220="Sí, diariamente",4,"")))))</f>
        <v>0</v>
      </c>
      <c r="GE220" s="5">
        <f>SUM(FR220,FT220,FV220,FX220,FZ220,GB220,GD220)</f>
        <v>0</v>
      </c>
      <c r="GF220" s="5" t="str">
        <f>IF(GE220&lt;=0,"Nivel de riesgo bajo",
IF(GE220&lt;=14,"Nivel de riesgo medio",
"Nivel de riesgo alto"))</f>
        <v>Nivel de riesgo bajo</v>
      </c>
      <c r="GG220" s="5" t="s">
        <v>255</v>
      </c>
      <c r="GH220" s="5" t="s">
        <v>255</v>
      </c>
      <c r="GI220" s="5" t="s">
        <v>255</v>
      </c>
      <c r="GJ220" s="5" t="s">
        <v>233</v>
      </c>
      <c r="GK220" s="5" t="s">
        <v>233</v>
      </c>
      <c r="GL220" s="5" t="s">
        <v>298</v>
      </c>
      <c r="GM220" s="5" t="s">
        <v>233</v>
      </c>
      <c r="GN220" s="5" t="s">
        <v>243</v>
      </c>
      <c r="GO220" s="5" t="s">
        <v>243</v>
      </c>
      <c r="GP220" s="5" t="s">
        <v>257</v>
      </c>
      <c r="GQ220" s="5" t="s">
        <v>243</v>
      </c>
      <c r="GR220" s="5" t="s">
        <v>243</v>
      </c>
      <c r="GS220" s="5" t="s">
        <v>243</v>
      </c>
      <c r="GT220" s="5" t="s">
        <v>243</v>
      </c>
      <c r="GU220" s="5" t="s">
        <v>572</v>
      </c>
      <c r="GV220" s="5" t="str">
        <f>TEXT("6279082330129634299","0")</f>
        <v>6279082330129630000</v>
      </c>
    </row>
    <row r="221" spans="1:204" ht="15.75" hidden="1" customHeight="1" x14ac:dyDescent="0.15">
      <c r="B221" s="4">
        <v>45847.759409722225</v>
      </c>
      <c r="C221" s="5" t="s">
        <v>204</v>
      </c>
      <c r="D221" s="5" t="s">
        <v>204</v>
      </c>
      <c r="E221" s="5" t="s">
        <v>495</v>
      </c>
      <c r="F221" s="5" t="s">
        <v>206</v>
      </c>
      <c r="G221" s="5" t="s">
        <v>204</v>
      </c>
      <c r="H221" s="5" t="s">
        <v>206</v>
      </c>
      <c r="K221" s="5" t="s">
        <v>237</v>
      </c>
      <c r="O221" s="5" t="s">
        <v>209</v>
      </c>
      <c r="T221" s="5" t="s">
        <v>209</v>
      </c>
      <c r="X221" s="5" t="s">
        <v>208</v>
      </c>
      <c r="AC221" s="5" t="s">
        <v>208</v>
      </c>
      <c r="AH221" s="5" t="s">
        <v>275</v>
      </c>
      <c r="AI221" s="5">
        <v>2022</v>
      </c>
      <c r="AJ221" s="5" t="s">
        <v>304</v>
      </c>
      <c r="AK221" s="5"/>
      <c r="AR221" s="5" t="s">
        <v>241</v>
      </c>
      <c r="AS221" s="5" t="s">
        <v>261</v>
      </c>
      <c r="AT221" s="5" t="s">
        <v>261</v>
      </c>
      <c r="AU221" s="5" t="s">
        <v>241</v>
      </c>
      <c r="AV221" s="5" t="s">
        <v>285</v>
      </c>
      <c r="AW221" s="5" t="s">
        <v>204</v>
      </c>
      <c r="AX221" s="5" t="s">
        <v>204</v>
      </c>
      <c r="AY221" s="5" t="s">
        <v>339</v>
      </c>
      <c r="AZ221" s="5" t="s">
        <v>204</v>
      </c>
      <c r="BA221" s="5" t="s">
        <v>304</v>
      </c>
      <c r="BF221" s="5" t="s">
        <v>204</v>
      </c>
      <c r="BG221" s="5" t="s">
        <v>271</v>
      </c>
      <c r="BH221" s="5" t="s">
        <v>242</v>
      </c>
      <c r="BI221" s="5" t="s">
        <v>278</v>
      </c>
      <c r="BJ221" s="5" t="s">
        <v>278</v>
      </c>
      <c r="BK221" s="5" t="s">
        <v>243</v>
      </c>
      <c r="BL221" s="5" t="s">
        <v>246</v>
      </c>
      <c r="BM221" s="5" t="s">
        <v>245</v>
      </c>
      <c r="BN221" s="5" t="s">
        <v>245</v>
      </c>
      <c r="BO221" s="5" t="s">
        <v>243</v>
      </c>
      <c r="BP221" s="5" t="s">
        <v>245</v>
      </c>
      <c r="BQ221" s="5" t="s">
        <v>245</v>
      </c>
      <c r="BR221" s="5" t="s">
        <v>245</v>
      </c>
      <c r="BS221" s="5" t="s">
        <v>254</v>
      </c>
      <c r="BT221" s="5" t="s">
        <v>254</v>
      </c>
      <c r="BU221" s="5" t="s">
        <v>232</v>
      </c>
      <c r="BV221" s="5" t="s">
        <v>232</v>
      </c>
      <c r="BW221" s="5" t="s">
        <v>254</v>
      </c>
      <c r="BX221" s="5" t="s">
        <v>254</v>
      </c>
      <c r="BY221" s="5" t="s">
        <v>254</v>
      </c>
      <c r="BZ221" s="5" t="s">
        <v>245</v>
      </c>
      <c r="CA221" s="5" t="s">
        <v>245</v>
      </c>
      <c r="CB221" s="5" t="s">
        <v>245</v>
      </c>
      <c r="CC221" s="5" t="s">
        <v>245</v>
      </c>
      <c r="CD221" s="5" t="s">
        <v>206</v>
      </c>
      <c r="CH221" s="5" t="s">
        <v>369</v>
      </c>
      <c r="CI221" s="5" t="s">
        <v>249</v>
      </c>
      <c r="CJ221" s="5">
        <v>2</v>
      </c>
      <c r="CK221" s="5" t="s">
        <v>223</v>
      </c>
      <c r="CU221" s="5" t="s">
        <v>206</v>
      </c>
      <c r="DA221" s="5" t="s">
        <v>252</v>
      </c>
      <c r="DB221" s="5"/>
      <c r="DC221" s="5" t="s">
        <v>250</v>
      </c>
      <c r="DD221" s="5"/>
      <c r="DE221" s="5" t="s">
        <v>250</v>
      </c>
      <c r="DF221" s="5"/>
      <c r="DG221" s="5" t="s">
        <v>250</v>
      </c>
      <c r="DH221" s="5"/>
      <c r="DI221" s="5" t="s">
        <v>250</v>
      </c>
      <c r="DJ221" s="5"/>
      <c r="DK221" s="5" t="s">
        <v>250</v>
      </c>
      <c r="DL221" s="5"/>
      <c r="DM221" s="5" t="s">
        <v>250</v>
      </c>
      <c r="DN221" s="5"/>
      <c r="DO221" s="5" t="s">
        <v>229</v>
      </c>
      <c r="DP221" s="5"/>
      <c r="DQ221" s="5" t="s">
        <v>229</v>
      </c>
      <c r="DR221" s="5"/>
      <c r="DS221" s="5" t="s">
        <v>229</v>
      </c>
      <c r="DT221" s="5"/>
      <c r="DU221" s="5" t="s">
        <v>229</v>
      </c>
      <c r="DV221" s="5"/>
      <c r="DW221" s="5" t="s">
        <v>229</v>
      </c>
      <c r="DX221" s="5"/>
      <c r="DY221" s="5"/>
      <c r="DZ221" s="5"/>
      <c r="EA221" s="5" t="s">
        <v>232</v>
      </c>
      <c r="EB221" s="5"/>
      <c r="EC221" s="5" t="s">
        <v>247</v>
      </c>
      <c r="ED221" s="5"/>
      <c r="EE221" s="5" t="s">
        <v>253</v>
      </c>
      <c r="EF221" s="5"/>
      <c r="EG221" s="5"/>
      <c r="EH221" s="5"/>
      <c r="EI221" s="5" t="s">
        <v>232</v>
      </c>
      <c r="EJ221" s="5"/>
      <c r="EK221" s="5" t="s">
        <v>232</v>
      </c>
      <c r="EL221" s="5"/>
      <c r="EM221" s="5" t="s">
        <v>254</v>
      </c>
      <c r="EN221" s="5"/>
      <c r="EO221" s="5"/>
      <c r="EP221" s="5"/>
      <c r="EQ221" s="5" t="s">
        <v>253</v>
      </c>
      <c r="ER221" s="5"/>
      <c r="ES221" s="5" t="s">
        <v>253</v>
      </c>
      <c r="ET221" s="5"/>
      <c r="EU221" s="5" t="s">
        <v>253</v>
      </c>
      <c r="EV221" s="5"/>
      <c r="EW221" s="5" t="s">
        <v>247</v>
      </c>
      <c r="EX221" s="5"/>
      <c r="EY221" s="5"/>
      <c r="EZ221" s="5"/>
      <c r="FA221" s="5" t="s">
        <v>247</v>
      </c>
      <c r="FB221" s="5"/>
      <c r="FC221" s="5" t="s">
        <v>253</v>
      </c>
      <c r="FD221" s="5"/>
      <c r="FE221" s="5" t="s">
        <v>247</v>
      </c>
      <c r="FF221" s="5"/>
      <c r="FG221" s="5"/>
      <c r="FH221" s="5"/>
      <c r="FI221" s="5" t="s">
        <v>247</v>
      </c>
      <c r="FJ221" s="5"/>
      <c r="FK221" s="5" t="s">
        <v>247</v>
      </c>
      <c r="FL221" s="5"/>
      <c r="FM221" s="5" t="s">
        <v>247</v>
      </c>
      <c r="FN221" s="5"/>
      <c r="FO221" s="5"/>
      <c r="FP221" s="5"/>
      <c r="FQ221" s="5" t="s">
        <v>206</v>
      </c>
      <c r="FR221" s="5"/>
      <c r="FS221" s="5" t="s">
        <v>206</v>
      </c>
      <c r="FT221" s="5"/>
      <c r="FU221" s="5" t="s">
        <v>206</v>
      </c>
      <c r="FV221" s="5"/>
      <c r="FW221" s="5" t="s">
        <v>206</v>
      </c>
      <c r="FX221" s="5"/>
      <c r="FY221" s="5" t="s">
        <v>325</v>
      </c>
      <c r="FZ221" s="5"/>
      <c r="GA221" s="5" t="s">
        <v>206</v>
      </c>
      <c r="GB221" s="5"/>
      <c r="GC221" s="5" t="s">
        <v>206</v>
      </c>
      <c r="GD221" s="5"/>
      <c r="GE221" s="5"/>
      <c r="GF221" s="5"/>
      <c r="GG221" s="5" t="s">
        <v>255</v>
      </c>
      <c r="GH221" s="5" t="s">
        <v>255</v>
      </c>
      <c r="GI221" s="5" t="s">
        <v>255</v>
      </c>
      <c r="GJ221" s="5" t="s">
        <v>233</v>
      </c>
      <c r="GK221" s="5" t="s">
        <v>233</v>
      </c>
      <c r="GL221" s="5" t="s">
        <v>233</v>
      </c>
      <c r="GM221" s="5" t="s">
        <v>233</v>
      </c>
      <c r="GN221" s="5" t="s">
        <v>256</v>
      </c>
      <c r="GO221" s="5" t="s">
        <v>256</v>
      </c>
      <c r="GP221" s="5" t="s">
        <v>256</v>
      </c>
      <c r="GQ221" s="5" t="s">
        <v>256</v>
      </c>
      <c r="GR221" s="5" t="s">
        <v>256</v>
      </c>
      <c r="GS221" s="5" t="s">
        <v>256</v>
      </c>
      <c r="GT221" s="5" t="s">
        <v>256</v>
      </c>
      <c r="GU221" s="5" t="s">
        <v>573</v>
      </c>
      <c r="GV221" s="5" t="str">
        <f>TEXT("6279084137897536798","0")</f>
        <v>6279084137897530000</v>
      </c>
    </row>
    <row r="222" spans="1:204" ht="15.75" customHeight="1" x14ac:dyDescent="0.15">
      <c r="A222" s="1">
        <f t="shared" ref="A222:A228" si="612">ROW(A222)</f>
        <v>222</v>
      </c>
      <c r="B222" s="4">
        <v>45847.760567129626</v>
      </c>
      <c r="C222" s="5" t="s">
        <v>204</v>
      </c>
      <c r="D222" s="5" t="s">
        <v>204</v>
      </c>
      <c r="E222" s="5" t="s">
        <v>335</v>
      </c>
      <c r="F222" s="5" t="s">
        <v>204</v>
      </c>
      <c r="G222" s="5" t="s">
        <v>206</v>
      </c>
      <c r="H222" s="5" t="s">
        <v>206</v>
      </c>
      <c r="K222" s="5" t="s">
        <v>237</v>
      </c>
      <c r="P222" s="5" t="s">
        <v>237</v>
      </c>
      <c r="S222" s="5" t="s">
        <v>208</v>
      </c>
      <c r="Y222" s="5" t="s">
        <v>209</v>
      </c>
      <c r="AD222" s="5" t="s">
        <v>209</v>
      </c>
      <c r="AH222" s="5" t="s">
        <v>210</v>
      </c>
      <c r="AI222" s="5">
        <v>2015</v>
      </c>
      <c r="AJ222" s="5" t="s">
        <v>238</v>
      </c>
      <c r="AK222" s="5" t="str">
        <f t="shared" ref="AK222:AK228" si="613">IF(OR(AJ222="Empleada del sector privado",AJ222="Empleada del sector público"),"Asalariada",
IF(AJ222="Trabajadora por cuenta propia","Trabajadora por cuenta propia",""))</f>
        <v>Trabajadora por cuenta propia</v>
      </c>
      <c r="AL222" s="5" t="s">
        <v>239</v>
      </c>
      <c r="AP222" s="5" t="s">
        <v>297</v>
      </c>
      <c r="AR222" s="5" t="s">
        <v>241</v>
      </c>
      <c r="AS222" s="5" t="s">
        <v>241</v>
      </c>
      <c r="AT222" s="5" t="s">
        <v>241</v>
      </c>
      <c r="AU222" s="5" t="s">
        <v>241</v>
      </c>
      <c r="AV222" s="5" t="s">
        <v>285</v>
      </c>
      <c r="AW222" s="5" t="s">
        <v>204</v>
      </c>
      <c r="AX222" s="5" t="s">
        <v>206</v>
      </c>
      <c r="BF222" s="5" t="s">
        <v>204</v>
      </c>
      <c r="BG222" s="5" t="s">
        <v>242</v>
      </c>
      <c r="BH222" s="5" t="s">
        <v>278</v>
      </c>
      <c r="BI222" s="5" t="s">
        <v>264</v>
      </c>
      <c r="BJ222" s="5" t="s">
        <v>278</v>
      </c>
      <c r="BK222" s="5" t="s">
        <v>245</v>
      </c>
      <c r="BL222" s="5" t="s">
        <v>243</v>
      </c>
      <c r="BM222" s="5" t="s">
        <v>245</v>
      </c>
      <c r="BN222" s="5" t="s">
        <v>245</v>
      </c>
      <c r="BO222" s="5" t="s">
        <v>243</v>
      </c>
      <c r="BP222" s="5" t="s">
        <v>245</v>
      </c>
      <c r="BQ222" s="5" t="s">
        <v>245</v>
      </c>
      <c r="BR222" s="5" t="s">
        <v>243</v>
      </c>
      <c r="BS222" s="5" t="s">
        <v>232</v>
      </c>
      <c r="BT222" s="5" t="s">
        <v>232</v>
      </c>
      <c r="BU222" s="5" t="s">
        <v>247</v>
      </c>
      <c r="BV222" s="5" t="s">
        <v>232</v>
      </c>
      <c r="BW222" s="5" t="s">
        <v>247</v>
      </c>
      <c r="BX222" s="5" t="s">
        <v>247</v>
      </c>
      <c r="BY222" s="5" t="s">
        <v>247</v>
      </c>
      <c r="BZ222" s="5" t="s">
        <v>245</v>
      </c>
      <c r="CA222" s="5" t="s">
        <v>245</v>
      </c>
      <c r="CB222" s="5" t="s">
        <v>245</v>
      </c>
      <c r="CC222" s="5" t="s">
        <v>245</v>
      </c>
      <c r="CD222" s="5" t="s">
        <v>204</v>
      </c>
      <c r="CE222" s="5" t="s">
        <v>218</v>
      </c>
      <c r="CF222" s="5" t="s">
        <v>219</v>
      </c>
      <c r="CG222" s="5" t="s">
        <v>220</v>
      </c>
      <c r="CH222" s="5" t="s">
        <v>367</v>
      </c>
      <c r="CI222" s="5" t="s">
        <v>318</v>
      </c>
      <c r="CJ222" s="5">
        <v>5</v>
      </c>
      <c r="CK222" s="5" t="s">
        <v>223</v>
      </c>
      <c r="CU222" s="5" t="s">
        <v>206</v>
      </c>
      <c r="DA222" s="5" t="s">
        <v>252</v>
      </c>
      <c r="DB222" s="5">
        <f t="shared" ref="DB222:DB228" si="614">IF(DA222="Mejor que lo habitual",1,
IF(DA222="Igual que lo habitual",2,
IF(DA222="Menos que lo habitual",3,
IF(DA222="Mucho menos que lo habitual",4,""))))</f>
        <v>3</v>
      </c>
      <c r="DC222" s="5" t="s">
        <v>280</v>
      </c>
      <c r="DD222" s="5">
        <f t="shared" ref="DD222:DD228" si="615">IF(DC222="No, en absoluto",1,
IF(DC222="No más que lo habitual",2,
IF(DC222="Bastante más que lo habitual",3,
IF(DC222="Mucho más que lo habitual",4,""))))</f>
        <v>4</v>
      </c>
      <c r="DE222" s="5" t="s">
        <v>280</v>
      </c>
      <c r="DF222" s="5">
        <f t="shared" ref="DF222:DF228" si="616">IF(DE222="No, en absoluto",1,
IF(DE222="No más que lo habitual",2,
IF(DE222="Bastante más que lo habitual",3,
IF(DE222="Mucho más que lo habitual",4,""))))</f>
        <v>4</v>
      </c>
      <c r="DG222" s="5" t="s">
        <v>280</v>
      </c>
      <c r="DH222" s="5">
        <f t="shared" ref="DH222:DH228" si="617">IF(DG222="No, en absoluto",1,
IF(DG222="No más que lo habitual",2,
IF(DG222="Bastante más que lo habitual",3,
IF(DG222="Mucho más que lo habitual",4,""))))</f>
        <v>4</v>
      </c>
      <c r="DI222" s="5" t="s">
        <v>280</v>
      </c>
      <c r="DJ222" s="5">
        <f t="shared" ref="DJ222:DJ228" si="618">IF(DI222="No, en absoluto",1,
IF(DI222="No más que lo habitual",2,
IF(DI222="Bastante más que lo habitual",3,
IF(DI222="Mucho más que lo habitual",4,""))))</f>
        <v>4</v>
      </c>
      <c r="DK222" s="5" t="s">
        <v>280</v>
      </c>
      <c r="DL222" s="5">
        <f t="shared" ref="DL222:DL228" si="619">IF(DK222="No, en absoluto",1,
IF(DK222="No más que lo habitual",2,
IF(DK222="Bastante más que lo habitual",3,
IF(DK222="Mucho más que lo habitual",4,""))))</f>
        <v>4</v>
      </c>
      <c r="DM222" s="5" t="s">
        <v>251</v>
      </c>
      <c r="DN222" s="5">
        <f t="shared" ref="DN222:DN228" si="620">IF(DM222="No, en absoluto",1,
IF(DM222="No más que lo habitual",2,
IF(DM222="Bastante más que lo habitual",3,
IF(DM222="Mucho más que lo habitual",4,""))))</f>
        <v>1</v>
      </c>
      <c r="DO222" s="5" t="s">
        <v>231</v>
      </c>
      <c r="DP222" s="5">
        <f t="shared" ref="DP222:DP228" si="621">IF(DO222="Más que lo habitual",1,
IF(DO222="Igual que lo habitual",2,
IF(DO222="Menos que lo habitual",3,
IF(DO222="Mucho menos que lo habitual",4,""))))</f>
        <v>2</v>
      </c>
      <c r="DQ222" s="5" t="s">
        <v>252</v>
      </c>
      <c r="DR222" s="5">
        <f t="shared" ref="DR222:DR228" si="622">IF(DQ222="Más que lo habitual",1,
IF(DQ222="Igual que lo habitual",2,
IF(DQ222="Menos que lo habitual",3,
IF(DQ222="Mucho menos que lo habitual",4,""))))</f>
        <v>3</v>
      </c>
      <c r="DS222" s="5" t="s">
        <v>252</v>
      </c>
      <c r="DT222" s="5">
        <f t="shared" ref="DT222:DT228" si="623">IF(DS222="Más que lo habitual",1,
IF(DS222="Igual que lo habitual",2,
IF(DS222="Menos que lo habitual",3,
IF(DS222="Mucho menos que lo habitual",4,""))))</f>
        <v>3</v>
      </c>
      <c r="DU222" s="5" t="s">
        <v>281</v>
      </c>
      <c r="DV222" s="5">
        <f t="shared" ref="DV222:DV228" si="624">IF(DU222="Más que lo habitual",1,
IF(DU222="Igual que lo habitual",2,
IF(DU222="Menos que lo habitual",3,
IF(DU222="Mucho menos que lo habitual",4,""))))</f>
        <v>1</v>
      </c>
      <c r="DW222" s="5" t="s">
        <v>231</v>
      </c>
      <c r="DX222" s="5">
        <f t="shared" ref="DX222:DX228" si="625">IF(DW222="Más que lo habitual",1,
IF(DW222="Igual que lo habitual",2,
IF(DW222="Menos que lo habitual",3,
IF(DW222="Mucho menos que lo habitual",4,""))))</f>
        <v>2</v>
      </c>
      <c r="DY222" s="5">
        <f t="shared" ref="DY222:DY228" si="626">SUM(DB222,DD222,DF222,DH222,DJ222,DL222,DN222,DP222,DR222,DT222,DV222,DX222)</f>
        <v>35</v>
      </c>
      <c r="DZ222" s="5" t="str">
        <f t="shared" ref="DZ222:DZ228" si="627">IF(DY222&lt;=18,"Nivel de riesgo bajo",
IF(DY222&lt;=23,"Nivel de riesgo medio",
"Nivel de riesgo alto"))</f>
        <v>Nivel de riesgo alto</v>
      </c>
      <c r="EA222" s="5" t="s">
        <v>248</v>
      </c>
      <c r="EB222" s="5">
        <f t="shared" ref="EB222:EB228" si="628">IF(EA222="Nunca/ casi nunca",0,
IF(EA222="Rara vez",1,
IF(EA222="A veces",2,
IF(EA222="A menudo",3,
IF(EA222="Siempre",4,"")))))</f>
        <v>1</v>
      </c>
      <c r="EC222" s="5" t="s">
        <v>254</v>
      </c>
      <c r="ED222" s="5">
        <f t="shared" ref="ED222:ED228" si="629">IF(EC222="Nunca/ casi nunca",0,
IF(EC222="Rara vez",1,
IF(EC222="A veces",2,
IF(EC222="A menudo",3,
IF(EC222="Siempre",4,"")))))</f>
        <v>4</v>
      </c>
      <c r="EE222" s="5" t="s">
        <v>248</v>
      </c>
      <c r="EF222" s="5">
        <f t="shared" ref="EF222:EF228" si="630">IF(EE222="Nunca/ casi nunca",0,
IF(EE222="Rara vez",1,
IF(EE222="A veces",2,
IF(EE222="A menudo",3,
IF(EE222="Siempre",4,"")))))</f>
        <v>1</v>
      </c>
      <c r="EG222" s="5">
        <f t="shared" ref="EG222:EG228" si="631">SUM(EB222,ED222,EF222)</f>
        <v>6</v>
      </c>
      <c r="EH222" s="5" t="str">
        <f t="shared" ref="EH222:EH228" si="632">IF(EG222&lt;=1,"Nivel de riesgo bajo",
IF(EG222&lt;=4,"Nivel de riesgo medio",
"Nivel de riesgo alto"))</f>
        <v>Nivel de riesgo alto</v>
      </c>
      <c r="EI222" s="5" t="s">
        <v>247</v>
      </c>
      <c r="EJ222" s="5">
        <f t="shared" ref="EJ222:EJ228" si="633">IF(EI222="Nunca/ casi nunca",0,
IF(EI222="Rara vez",1,
IF(EI222="A veces",2,
IF(EI222="A menudo",3,
IF(EI222="Siempre",4,"")))))</f>
        <v>2</v>
      </c>
      <c r="EK222" s="5" t="s">
        <v>248</v>
      </c>
      <c r="EL222" s="5">
        <f t="shared" ref="EL222:EL228" si="634">IF(EK222="Nunca/ casi nunca",0,
IF(EK222="Rara vez",1,
IF(EK222="A veces",2,
IF(EK222="A menudo",3,
IF(EK222="Siempre",4,"")))))</f>
        <v>1</v>
      </c>
      <c r="EM222" s="5" t="s">
        <v>247</v>
      </c>
      <c r="EN222" s="5">
        <f t="shared" ref="EN222:EN228" si="635">IF(EM222="Nunca/ casi nunca",0,
IF(EM222="Rara vez",1,
IF(EM222="A veces",2,
IF(EM222="A menudo",3,
IF(EM222="Siempre",4,"")))))</f>
        <v>2</v>
      </c>
      <c r="EO222" s="5">
        <f t="shared" ref="EO222:EO228" si="636">SUM(EJ222,EL222,EN222)</f>
        <v>5</v>
      </c>
      <c r="EP222" s="5" t="str">
        <f t="shared" ref="EP222:EP228" si="637">IF(EO222&lt;=1,"Nivel de riesgo bajo",
IF(EO222&lt;=5,"Nivel de riesgo medio",
"Nivel de riesgo alto"))</f>
        <v>Nivel de riesgo medio</v>
      </c>
      <c r="EQ222" s="5" t="s">
        <v>232</v>
      </c>
      <c r="ER222" s="5">
        <f t="shared" ref="ER222:ER228" si="638">IF(EQ222="Nunca/ casi nunca",4,
IF(EQ222="Rara vez",3,
IF(EQ222="A veces",2,
IF(EQ222="A menudo",1,
IF(EQ222="Siempre",0,"")))))</f>
        <v>1</v>
      </c>
      <c r="ES222" s="5" t="s">
        <v>232</v>
      </c>
      <c r="ET222" s="5">
        <f t="shared" ref="ET222:ET228" si="639">IF(ES222="Nunca/ casi nunca",4,
IF(ES222="Rara vez",3,
IF(ES222="A veces",2,
IF(ES222="A menudo",1,
IF(ES222="Siempre",0,"")))))</f>
        <v>1</v>
      </c>
      <c r="EU222" s="5" t="s">
        <v>254</v>
      </c>
      <c r="EV222" s="5">
        <f t="shared" ref="EV222:EV228" si="640">IF(EU222="Nunca/ casi nunca",4,
IF(EU222="Rara vez",3,
IF(EU222="A veces",2,
IF(EU222="A menudo",1,
IF(EU222="Siempre",0,"")))))</f>
        <v>0</v>
      </c>
      <c r="EW222" s="5" t="s">
        <v>254</v>
      </c>
      <c r="EX222" s="5">
        <f t="shared" ref="EX222:EX228" si="641">IF(EW222="Nunca/ casi nunca",4,
IF(EW222="Rara vez",3,
IF(EW222="A veces",2,
IF(EW222="A menudo",1,
IF(EW222="Siempre",0,"")))))</f>
        <v>0</v>
      </c>
      <c r="EY222" s="5">
        <f t="shared" ref="EY222:EY228" si="642">SUM(ER222,ET222,EV222,EX222)</f>
        <v>2</v>
      </c>
      <c r="EZ222" s="5" t="str">
        <f t="shared" ref="EZ222:EZ228" si="643">IF(EY222&lt;=0,"Nivel de riesgo bajo",
IF(EY222&lt;=4,"Nivel de riesgo medio",
"Nivel de riesgo alto"))</f>
        <v>Nivel de riesgo medio</v>
      </c>
      <c r="FA222" s="5" t="s">
        <v>247</v>
      </c>
      <c r="FB222" s="5">
        <f t="shared" ref="FB222:FB228" si="644">IF(FA222="Nunca/ casi nunca",0,
IF(FA222="Rara vez",1,
IF(FA222="A veces",2,
IF(FA222="A menudo",3,
IF(FA222="Siempre",4,"")))))</f>
        <v>2</v>
      </c>
      <c r="FC222" s="5" t="s">
        <v>254</v>
      </c>
      <c r="FD222" s="5">
        <f t="shared" ref="FD222:FD228" si="645">IF(FC222="Nunca/ casi nunca",0,
IF(FC222="Rara vez",1,
IF(FC222="A veces",2,
IF(FC222="A menudo",3,
IF(FC222="Siempre",4,"")))))</f>
        <v>4</v>
      </c>
      <c r="FE222" s="5" t="s">
        <v>254</v>
      </c>
      <c r="FF222" s="5">
        <f t="shared" ref="FF222:FF228" si="646">IF(FE222="Nunca/ casi nunca",0,
IF(FE222="Rara vez",1,
IF(FE222="A veces",2,
IF(FE222="A menudo",3,
IF(FE222="Siempre",4,"")))))</f>
        <v>4</v>
      </c>
      <c r="FG222" s="5">
        <f t="shared" ref="FG222:FG228" si="647">SUM(FB222,FD222,FF222)</f>
        <v>10</v>
      </c>
      <c r="FH222" s="5" t="str">
        <f t="shared" ref="FH222:FH228" si="648">IF(FG222&lt;=2,"Nivel de riesgo bajo",
IF(FG222&lt;=5,"Nivel de riesgo medio",
"Nivel de riesgo alto"))</f>
        <v>Nivel de riesgo alto</v>
      </c>
      <c r="FI222" s="5" t="s">
        <v>247</v>
      </c>
      <c r="FJ222" s="5">
        <f t="shared" ref="FJ222:FJ228" si="649">IF(FI222="Nunca/ casi nunca",0,
IF(FI222="Rara vez",1,
IF(FI222="A veces",2,
IF(FI222="A menudo",3,
IF(FI222="Siempre",4,"")))))</f>
        <v>2</v>
      </c>
      <c r="FK222" s="5" t="s">
        <v>247</v>
      </c>
      <c r="FL222" s="5">
        <f t="shared" ref="FL222:FL228" si="650">IF(FK222="Nunca/ casi nunca",0,
IF(FK222="Rara vez",1,
IF(FK222="A veces",2,
IF(FK222="A menudo",3,
IF(FK222="Siempre",4,"")))))</f>
        <v>2</v>
      </c>
      <c r="FM222" s="5" t="s">
        <v>247</v>
      </c>
      <c r="FN222" s="5">
        <f t="shared" ref="FN222:FN228" si="651">IF(FM222="Nunca/ casi nunca",0,
IF(FM222="Rara vez",1,
IF(FM222="A veces",2,
IF(FM222="A menudo",3,
IF(FM222="Siempre",4,"")))))</f>
        <v>2</v>
      </c>
      <c r="FO222" s="5">
        <f t="shared" ref="FO222:FO228" si="652">SUM(FJ222,FL222,FN222)</f>
        <v>6</v>
      </c>
      <c r="FP222" s="5" t="str">
        <f t="shared" ref="FP222:FP228" si="653">IF(FO222&lt;=2,"Nivel de riesgo bajo",
IF(FO222&lt;=5,"Nivel de riesgo medio",
"Nivel de riesgo alto"))</f>
        <v>Nivel de riesgo alto</v>
      </c>
      <c r="FQ222" s="5" t="s">
        <v>206</v>
      </c>
      <c r="FR222" s="5">
        <f t="shared" ref="FR222:FR228" si="654">IF(FQ222="No",0,
IF(FQ222="Sí, unas pocas veces",1,
IF(FQ222="Sí, mensualmente",2,
IF(FQ222="Sí, semanalmente",3,
IF(FQ222="Sí, diariamente",4,"")))))</f>
        <v>0</v>
      </c>
      <c r="FS222" s="5" t="s">
        <v>265</v>
      </c>
      <c r="FT222" s="5">
        <f t="shared" ref="FT222:FT228" si="655">IF(FS222="No",0,
IF(FS222="Sí, unas pocas veces",1,
IF(FS222="Sí, mensualmente",2,
IF(FS222="Sí, semanalmente",3,
IF(FS222="Sí, diariamente",4,"")))))</f>
        <v>1</v>
      </c>
      <c r="FU222" s="5" t="s">
        <v>206</v>
      </c>
      <c r="FV222" s="5">
        <f t="shared" ref="FV222:FV228" si="656">IF(FU222="No",0,
IF(FU222="Sí, unas pocas veces",1,
IF(FU222="Sí, mensualmente",2,
IF(FU222="Sí, semanalmente",3,
IF(FU222="Sí, diariamente",4,"")))))</f>
        <v>0</v>
      </c>
      <c r="FW222" s="5" t="s">
        <v>206</v>
      </c>
      <c r="FX222" s="5">
        <f t="shared" ref="FX222:FX228" si="657">IF(FW222="No",0,
IF(FW222="Sí, unas pocas veces",1,
IF(FW222="Sí, mensualmente",2,
IF(FW222="Sí, semanalmente",3,
IF(FW222="Sí, diariamente",4,"")))))</f>
        <v>0</v>
      </c>
      <c r="FY222" s="5" t="s">
        <v>206</v>
      </c>
      <c r="FZ222" s="5">
        <f t="shared" ref="FZ222:FZ228" si="658">IF(FY222="No",0,
IF(FY222="Sí, unas pocas veces",1,
IF(FY222="Sí, mensualmente",2,
IF(FY222="Sí, semanalmente",3,
IF(FY222="Sí, diariamente",4,"")))))</f>
        <v>0</v>
      </c>
      <c r="GA222" s="5" t="s">
        <v>206</v>
      </c>
      <c r="GB222" s="5">
        <f t="shared" ref="GB222:GB228" si="659">IF(GA222="No",0,
IF(GA222="Sí, unas pocas veces",1,
IF(GA222="Sí, mensualmente",2,
IF(GA222="Sí, semanalmente",3,
IF(GA222="Sí, diariamente",4,"")))))</f>
        <v>0</v>
      </c>
      <c r="GC222" s="5" t="s">
        <v>265</v>
      </c>
      <c r="GD222" s="5">
        <f t="shared" ref="GD222:GD228" si="660">IF(GC222="No",0,
IF(GC222="Sí, unas pocas veces",1,
IF(GC222="Sí, mensualmente",2,
IF(GC222="Sí, semanalmente",3,
IF(GC222="Sí, diariamente",4,"")))))</f>
        <v>1</v>
      </c>
      <c r="GE222" s="5">
        <f t="shared" ref="GE222:GE228" si="661">SUM(FR222,FT222,FV222,FX222,FZ222,GB222,GD222)</f>
        <v>2</v>
      </c>
      <c r="GF222" s="5" t="str">
        <f t="shared" ref="GF222:GF228" si="662">IF(GE222&lt;=0,"Nivel de riesgo bajo",
IF(GE222&lt;=14,"Nivel de riesgo medio",
"Nivel de riesgo alto"))</f>
        <v>Nivel de riesgo medio</v>
      </c>
      <c r="GG222" s="5" t="s">
        <v>255</v>
      </c>
      <c r="GH222" s="5" t="s">
        <v>233</v>
      </c>
      <c r="GI222" s="5" t="s">
        <v>273</v>
      </c>
      <c r="GJ222" s="5" t="s">
        <v>266</v>
      </c>
      <c r="GK222" s="5" t="s">
        <v>266</v>
      </c>
      <c r="GL222" s="5" t="s">
        <v>273</v>
      </c>
      <c r="GM222" s="5" t="s">
        <v>266</v>
      </c>
      <c r="GN222" s="5" t="s">
        <v>256</v>
      </c>
      <c r="GO222" s="5" t="s">
        <v>243</v>
      </c>
      <c r="GP222" s="5" t="s">
        <v>257</v>
      </c>
      <c r="GQ222" s="5" t="s">
        <v>257</v>
      </c>
      <c r="GR222" s="5" t="s">
        <v>257</v>
      </c>
      <c r="GS222" s="5" t="s">
        <v>257</v>
      </c>
      <c r="GT222" s="5" t="s">
        <v>256</v>
      </c>
      <c r="GU222" s="5" t="s">
        <v>574</v>
      </c>
      <c r="GV222" s="5" t="str">
        <f>TEXT("6279085137365521356","0")</f>
        <v>6279085137365520000</v>
      </c>
    </row>
    <row r="223" spans="1:204" ht="15.75" customHeight="1" x14ac:dyDescent="0.15">
      <c r="A223" s="1">
        <f t="shared" si="612"/>
        <v>223</v>
      </c>
      <c r="B223" s="4">
        <v>45847.761770833335</v>
      </c>
      <c r="C223" s="5" t="s">
        <v>204</v>
      </c>
      <c r="D223" s="5" t="s">
        <v>206</v>
      </c>
      <c r="F223" s="5" t="s">
        <v>206</v>
      </c>
      <c r="G223" s="5" t="s">
        <v>206</v>
      </c>
      <c r="H223" s="5" t="s">
        <v>206</v>
      </c>
      <c r="K223" s="5" t="s">
        <v>237</v>
      </c>
      <c r="O223" s="5" t="s">
        <v>209</v>
      </c>
      <c r="T223" s="5" t="s">
        <v>209</v>
      </c>
      <c r="Y223" s="5" t="s">
        <v>209</v>
      </c>
      <c r="AE223" s="5" t="s">
        <v>237</v>
      </c>
      <c r="AH223" s="5" t="s">
        <v>210</v>
      </c>
      <c r="AI223" s="5">
        <v>2018</v>
      </c>
      <c r="AJ223" s="5" t="s">
        <v>238</v>
      </c>
      <c r="AK223" s="5" t="str">
        <f t="shared" si="613"/>
        <v>Trabajadora por cuenta propia</v>
      </c>
      <c r="AO223" s="5" t="s">
        <v>390</v>
      </c>
      <c r="AP223" s="5" t="s">
        <v>284</v>
      </c>
      <c r="AR223" s="5" t="s">
        <v>261</v>
      </c>
      <c r="AS223" s="5" t="s">
        <v>241</v>
      </c>
      <c r="AT223" s="5" t="s">
        <v>241</v>
      </c>
      <c r="AU223" s="5" t="s">
        <v>241</v>
      </c>
      <c r="AV223" s="5" t="s">
        <v>285</v>
      </c>
      <c r="AW223" s="5" t="s">
        <v>204</v>
      </c>
      <c r="AX223" s="5" t="s">
        <v>206</v>
      </c>
      <c r="BF223" s="5" t="s">
        <v>204</v>
      </c>
      <c r="BG223" s="5" t="s">
        <v>271</v>
      </c>
      <c r="BH223" s="5" t="s">
        <v>242</v>
      </c>
      <c r="BI223" s="5" t="s">
        <v>271</v>
      </c>
      <c r="BJ223" s="5" t="s">
        <v>271</v>
      </c>
      <c r="BK223" s="5" t="s">
        <v>246</v>
      </c>
      <c r="BL223" s="5" t="s">
        <v>244</v>
      </c>
      <c r="BM223" s="5" t="s">
        <v>246</v>
      </c>
      <c r="BN223" s="5" t="s">
        <v>244</v>
      </c>
      <c r="BO223" s="5" t="s">
        <v>244</v>
      </c>
      <c r="BP223" s="5" t="s">
        <v>244</v>
      </c>
      <c r="BQ223" s="5" t="s">
        <v>244</v>
      </c>
      <c r="BR223" s="5" t="s">
        <v>244</v>
      </c>
      <c r="BS223" s="5" t="s">
        <v>248</v>
      </c>
      <c r="BT223" s="5" t="s">
        <v>217</v>
      </c>
      <c r="BU223" s="5" t="s">
        <v>248</v>
      </c>
      <c r="BV223" s="5" t="s">
        <v>248</v>
      </c>
      <c r="BW223" s="5" t="s">
        <v>248</v>
      </c>
      <c r="BX223" s="5" t="s">
        <v>248</v>
      </c>
      <c r="BY223" s="5" t="s">
        <v>248</v>
      </c>
      <c r="BZ223" s="5" t="s">
        <v>216</v>
      </c>
      <c r="CA223" s="5" t="s">
        <v>216</v>
      </c>
      <c r="CB223" s="5" t="s">
        <v>216</v>
      </c>
      <c r="CC223" s="5" t="s">
        <v>216</v>
      </c>
      <c r="CD223" s="5" t="s">
        <v>206</v>
      </c>
      <c r="CH223" s="5" t="s">
        <v>206</v>
      </c>
      <c r="CI223" s="5" t="s">
        <v>291</v>
      </c>
      <c r="CJ223" s="5">
        <v>1</v>
      </c>
      <c r="CK223" s="5" t="s">
        <v>223</v>
      </c>
      <c r="CU223" s="5" t="s">
        <v>206</v>
      </c>
      <c r="DA223" s="5" t="s">
        <v>272</v>
      </c>
      <c r="DB223" s="5">
        <f t="shared" si="614"/>
        <v>1</v>
      </c>
      <c r="DC223" s="5" t="s">
        <v>230</v>
      </c>
      <c r="DD223" s="5">
        <f t="shared" si="615"/>
        <v>2</v>
      </c>
      <c r="DE223" s="5" t="s">
        <v>230</v>
      </c>
      <c r="DF223" s="5">
        <f t="shared" si="616"/>
        <v>2</v>
      </c>
      <c r="DG223" s="5" t="s">
        <v>230</v>
      </c>
      <c r="DH223" s="5">
        <f t="shared" si="617"/>
        <v>2</v>
      </c>
      <c r="DI223" s="5" t="s">
        <v>251</v>
      </c>
      <c r="DJ223" s="5">
        <f t="shared" si="618"/>
        <v>1</v>
      </c>
      <c r="DK223" s="5" t="s">
        <v>251</v>
      </c>
      <c r="DL223" s="5">
        <f t="shared" si="619"/>
        <v>1</v>
      </c>
      <c r="DM223" s="5" t="s">
        <v>251</v>
      </c>
      <c r="DN223" s="5">
        <f t="shared" si="620"/>
        <v>1</v>
      </c>
      <c r="DO223" s="5" t="s">
        <v>281</v>
      </c>
      <c r="DP223" s="5">
        <f t="shared" si="621"/>
        <v>1</v>
      </c>
      <c r="DQ223" s="5" t="s">
        <v>281</v>
      </c>
      <c r="DR223" s="5">
        <f t="shared" si="622"/>
        <v>1</v>
      </c>
      <c r="DS223" s="5" t="s">
        <v>281</v>
      </c>
      <c r="DT223" s="5">
        <f t="shared" si="623"/>
        <v>1</v>
      </c>
      <c r="DU223" s="5" t="s">
        <v>281</v>
      </c>
      <c r="DV223" s="5">
        <f t="shared" si="624"/>
        <v>1</v>
      </c>
      <c r="DW223" s="5" t="s">
        <v>281</v>
      </c>
      <c r="DX223" s="5">
        <f t="shared" si="625"/>
        <v>1</v>
      </c>
      <c r="DY223" s="5">
        <f t="shared" si="626"/>
        <v>15</v>
      </c>
      <c r="DZ223" s="5" t="str">
        <f t="shared" si="627"/>
        <v>Nivel de riesgo bajo</v>
      </c>
      <c r="EA223" s="5" t="s">
        <v>248</v>
      </c>
      <c r="EB223" s="5">
        <f t="shared" si="628"/>
        <v>1</v>
      </c>
      <c r="EC223" s="5" t="s">
        <v>248</v>
      </c>
      <c r="ED223" s="5">
        <f t="shared" si="629"/>
        <v>1</v>
      </c>
      <c r="EE223" s="5" t="s">
        <v>248</v>
      </c>
      <c r="EF223" s="5">
        <f t="shared" si="630"/>
        <v>1</v>
      </c>
      <c r="EG223" s="5">
        <f t="shared" si="631"/>
        <v>3</v>
      </c>
      <c r="EH223" s="5" t="str">
        <f t="shared" si="632"/>
        <v>Nivel de riesgo medio</v>
      </c>
      <c r="EI223" s="5" t="s">
        <v>253</v>
      </c>
      <c r="EJ223" s="5">
        <f t="shared" si="633"/>
        <v>0</v>
      </c>
      <c r="EK223" s="5" t="s">
        <v>253</v>
      </c>
      <c r="EL223" s="5">
        <f t="shared" si="634"/>
        <v>0</v>
      </c>
      <c r="EM223" s="5" t="s">
        <v>248</v>
      </c>
      <c r="EN223" s="5">
        <f t="shared" si="635"/>
        <v>1</v>
      </c>
      <c r="EO223" s="5">
        <f t="shared" si="636"/>
        <v>1</v>
      </c>
      <c r="EP223" s="5" t="str">
        <f t="shared" si="637"/>
        <v>Nivel de riesgo bajo</v>
      </c>
      <c r="EQ223" s="5" t="s">
        <v>253</v>
      </c>
      <c r="ER223" s="5">
        <f t="shared" si="638"/>
        <v>4</v>
      </c>
      <c r="ES223" s="5" t="s">
        <v>253</v>
      </c>
      <c r="ET223" s="5">
        <f t="shared" si="639"/>
        <v>4</v>
      </c>
      <c r="EU223" s="5" t="s">
        <v>248</v>
      </c>
      <c r="EV223" s="5">
        <f t="shared" si="640"/>
        <v>3</v>
      </c>
      <c r="EW223" s="5" t="s">
        <v>253</v>
      </c>
      <c r="EX223" s="5">
        <f t="shared" si="641"/>
        <v>4</v>
      </c>
      <c r="EY223" s="5">
        <f t="shared" si="642"/>
        <v>15</v>
      </c>
      <c r="EZ223" s="5" t="str">
        <f t="shared" si="643"/>
        <v>Nivel de riesgo alto</v>
      </c>
      <c r="FA223" s="5" t="s">
        <v>253</v>
      </c>
      <c r="FB223" s="5">
        <f t="shared" si="644"/>
        <v>0</v>
      </c>
      <c r="FC223" s="5" t="s">
        <v>253</v>
      </c>
      <c r="FD223" s="5">
        <f t="shared" si="645"/>
        <v>0</v>
      </c>
      <c r="FE223" s="5" t="s">
        <v>253</v>
      </c>
      <c r="FF223" s="5">
        <f t="shared" si="646"/>
        <v>0</v>
      </c>
      <c r="FG223" s="5">
        <f t="shared" si="647"/>
        <v>0</v>
      </c>
      <c r="FH223" s="5" t="str">
        <f t="shared" si="648"/>
        <v>Nivel de riesgo bajo</v>
      </c>
      <c r="FI223" s="5" t="s">
        <v>253</v>
      </c>
      <c r="FJ223" s="5">
        <f t="shared" si="649"/>
        <v>0</v>
      </c>
      <c r="FK223" s="5" t="s">
        <v>253</v>
      </c>
      <c r="FL223" s="5">
        <f t="shared" si="650"/>
        <v>0</v>
      </c>
      <c r="FM223" s="5" t="s">
        <v>253</v>
      </c>
      <c r="FN223" s="5">
        <f t="shared" si="651"/>
        <v>0</v>
      </c>
      <c r="FO223" s="5">
        <f t="shared" si="652"/>
        <v>0</v>
      </c>
      <c r="FP223" s="5" t="str">
        <f t="shared" si="653"/>
        <v>Nivel de riesgo bajo</v>
      </c>
      <c r="FQ223" s="5" t="s">
        <v>206</v>
      </c>
      <c r="FR223" s="5">
        <f t="shared" si="654"/>
        <v>0</v>
      </c>
      <c r="FS223" s="5" t="s">
        <v>206</v>
      </c>
      <c r="FT223" s="5">
        <f t="shared" si="655"/>
        <v>0</v>
      </c>
      <c r="FU223" s="5" t="s">
        <v>206</v>
      </c>
      <c r="FV223" s="5">
        <f t="shared" si="656"/>
        <v>0</v>
      </c>
      <c r="FW223" s="5" t="s">
        <v>206</v>
      </c>
      <c r="FX223" s="5">
        <f t="shared" si="657"/>
        <v>0</v>
      </c>
      <c r="FY223" s="5" t="s">
        <v>206</v>
      </c>
      <c r="FZ223" s="5">
        <f t="shared" si="658"/>
        <v>0</v>
      </c>
      <c r="GA223" s="5" t="s">
        <v>206</v>
      </c>
      <c r="GB223" s="5">
        <f t="shared" si="659"/>
        <v>0</v>
      </c>
      <c r="GC223" s="5" t="s">
        <v>206</v>
      </c>
      <c r="GD223" s="5">
        <f t="shared" si="660"/>
        <v>0</v>
      </c>
      <c r="GE223" s="5">
        <f t="shared" si="661"/>
        <v>0</v>
      </c>
      <c r="GF223" s="5" t="str">
        <f t="shared" si="662"/>
        <v>Nivel de riesgo bajo</v>
      </c>
      <c r="GG223" s="5" t="s">
        <v>255</v>
      </c>
      <c r="GH223" s="5" t="s">
        <v>255</v>
      </c>
      <c r="GI223" s="5" t="s">
        <v>255</v>
      </c>
      <c r="GJ223" s="5" t="s">
        <v>255</v>
      </c>
      <c r="GK223" s="5" t="s">
        <v>233</v>
      </c>
      <c r="GL223" s="5" t="s">
        <v>233</v>
      </c>
      <c r="GM223" s="5" t="s">
        <v>266</v>
      </c>
      <c r="GN223" s="5" t="s">
        <v>234</v>
      </c>
      <c r="GO223" s="5" t="s">
        <v>234</v>
      </c>
      <c r="GP223" s="5" t="s">
        <v>234</v>
      </c>
      <c r="GQ223" s="5" t="s">
        <v>234</v>
      </c>
      <c r="GR223" s="5" t="s">
        <v>234</v>
      </c>
      <c r="GS223" s="5" t="s">
        <v>234</v>
      </c>
      <c r="GT223" s="5" t="s">
        <v>234</v>
      </c>
      <c r="GU223" s="5" t="s">
        <v>575</v>
      </c>
      <c r="GV223" s="5" t="str">
        <f>TEXT("6279086174786633947","0")</f>
        <v>6279086174786630000</v>
      </c>
    </row>
    <row r="224" spans="1:204" ht="15.75" customHeight="1" x14ac:dyDescent="0.15">
      <c r="A224" s="1">
        <f t="shared" si="612"/>
        <v>224</v>
      </c>
      <c r="B224" s="4">
        <v>45847.763101851851</v>
      </c>
      <c r="C224" s="5" t="s">
        <v>204</v>
      </c>
      <c r="D224" s="5" t="s">
        <v>206</v>
      </c>
      <c r="F224" s="5" t="s">
        <v>206</v>
      </c>
      <c r="G224" s="5" t="s">
        <v>206</v>
      </c>
      <c r="H224" s="5" t="s">
        <v>206</v>
      </c>
      <c r="L224" s="5" t="s">
        <v>236</v>
      </c>
      <c r="O224" s="5" t="s">
        <v>209</v>
      </c>
      <c r="U224" s="5" t="s">
        <v>237</v>
      </c>
      <c r="AB224" s="5" t="s">
        <v>207</v>
      </c>
      <c r="AG224" s="5" t="s">
        <v>207</v>
      </c>
      <c r="AH224" s="5" t="s">
        <v>275</v>
      </c>
      <c r="AI224" s="5">
        <v>2019</v>
      </c>
      <c r="AJ224" s="5" t="s">
        <v>238</v>
      </c>
      <c r="AK224" s="5" t="str">
        <f t="shared" si="613"/>
        <v>Trabajadora por cuenta propia</v>
      </c>
      <c r="AL224" s="5" t="s">
        <v>239</v>
      </c>
      <c r="AP224" s="5" t="s">
        <v>284</v>
      </c>
      <c r="AR224" s="5" t="s">
        <v>301</v>
      </c>
      <c r="AS224" s="5" t="s">
        <v>301</v>
      </c>
      <c r="AT224" s="5" t="s">
        <v>301</v>
      </c>
      <c r="AU224" s="5" t="s">
        <v>301</v>
      </c>
      <c r="AV224" s="5" t="s">
        <v>269</v>
      </c>
      <c r="AW224" s="5" t="s">
        <v>204</v>
      </c>
      <c r="AX224" s="5" t="s">
        <v>206</v>
      </c>
      <c r="BF224" s="5" t="s">
        <v>206</v>
      </c>
      <c r="CK224" s="5" t="s">
        <v>223</v>
      </c>
      <c r="CU224" s="5" t="s">
        <v>206</v>
      </c>
      <c r="DA224" s="5" t="s">
        <v>272</v>
      </c>
      <c r="DB224" s="5">
        <f t="shared" si="614"/>
        <v>1</v>
      </c>
      <c r="DC224" s="5" t="s">
        <v>230</v>
      </c>
      <c r="DD224" s="5">
        <f t="shared" si="615"/>
        <v>2</v>
      </c>
      <c r="DE224" s="5" t="s">
        <v>251</v>
      </c>
      <c r="DF224" s="5">
        <f t="shared" si="616"/>
        <v>1</v>
      </c>
      <c r="DG224" s="5" t="s">
        <v>251</v>
      </c>
      <c r="DH224" s="5">
        <f t="shared" si="617"/>
        <v>1</v>
      </c>
      <c r="DI224" s="5" t="s">
        <v>251</v>
      </c>
      <c r="DJ224" s="5">
        <f t="shared" si="618"/>
        <v>1</v>
      </c>
      <c r="DK224" s="5" t="s">
        <v>251</v>
      </c>
      <c r="DL224" s="5">
        <f t="shared" si="619"/>
        <v>1</v>
      </c>
      <c r="DM224" s="5" t="s">
        <v>251</v>
      </c>
      <c r="DN224" s="5">
        <f t="shared" si="620"/>
        <v>1</v>
      </c>
      <c r="DO224" s="5" t="s">
        <v>281</v>
      </c>
      <c r="DP224" s="5">
        <f t="shared" si="621"/>
        <v>1</v>
      </c>
      <c r="DQ224" s="5" t="s">
        <v>281</v>
      </c>
      <c r="DR224" s="5">
        <f t="shared" si="622"/>
        <v>1</v>
      </c>
      <c r="DS224" s="5" t="s">
        <v>281</v>
      </c>
      <c r="DT224" s="5">
        <f t="shared" si="623"/>
        <v>1</v>
      </c>
      <c r="DU224" s="5" t="s">
        <v>281</v>
      </c>
      <c r="DV224" s="5">
        <f t="shared" si="624"/>
        <v>1</v>
      </c>
      <c r="DW224" s="5" t="s">
        <v>281</v>
      </c>
      <c r="DX224" s="5">
        <f t="shared" si="625"/>
        <v>1</v>
      </c>
      <c r="DY224" s="5">
        <f t="shared" si="626"/>
        <v>13</v>
      </c>
      <c r="DZ224" s="5" t="str">
        <f t="shared" si="627"/>
        <v>Nivel de riesgo bajo</v>
      </c>
      <c r="EA224" s="5" t="s">
        <v>248</v>
      </c>
      <c r="EB224" s="5">
        <f t="shared" si="628"/>
        <v>1</v>
      </c>
      <c r="EC224" s="5" t="s">
        <v>253</v>
      </c>
      <c r="ED224" s="5">
        <f t="shared" si="629"/>
        <v>0</v>
      </c>
      <c r="EE224" s="5" t="s">
        <v>253</v>
      </c>
      <c r="EF224" s="5">
        <f t="shared" si="630"/>
        <v>0</v>
      </c>
      <c r="EG224" s="5">
        <f t="shared" si="631"/>
        <v>1</v>
      </c>
      <c r="EH224" s="5" t="str">
        <f t="shared" si="632"/>
        <v>Nivel de riesgo bajo</v>
      </c>
      <c r="EI224" s="5" t="s">
        <v>253</v>
      </c>
      <c r="EJ224" s="5">
        <f t="shared" si="633"/>
        <v>0</v>
      </c>
      <c r="EK224" s="5" t="s">
        <v>248</v>
      </c>
      <c r="EL224" s="5">
        <f t="shared" si="634"/>
        <v>1</v>
      </c>
      <c r="EM224" s="5" t="s">
        <v>253</v>
      </c>
      <c r="EN224" s="5">
        <f t="shared" si="635"/>
        <v>0</v>
      </c>
      <c r="EO224" s="5">
        <f t="shared" si="636"/>
        <v>1</v>
      </c>
      <c r="EP224" s="5" t="str">
        <f t="shared" si="637"/>
        <v>Nivel de riesgo bajo</v>
      </c>
      <c r="EQ224" s="5" t="s">
        <v>253</v>
      </c>
      <c r="ER224" s="5">
        <f t="shared" si="638"/>
        <v>4</v>
      </c>
      <c r="ES224" s="5" t="s">
        <v>248</v>
      </c>
      <c r="ET224" s="5">
        <f t="shared" si="639"/>
        <v>3</v>
      </c>
      <c r="EU224" s="5" t="s">
        <v>254</v>
      </c>
      <c r="EV224" s="5">
        <f t="shared" si="640"/>
        <v>0</v>
      </c>
      <c r="EW224" s="5" t="s">
        <v>254</v>
      </c>
      <c r="EX224" s="5">
        <f t="shared" si="641"/>
        <v>0</v>
      </c>
      <c r="EY224" s="5">
        <f t="shared" si="642"/>
        <v>7</v>
      </c>
      <c r="EZ224" s="5" t="str">
        <f t="shared" si="643"/>
        <v>Nivel de riesgo alto</v>
      </c>
      <c r="FA224" s="5" t="s">
        <v>248</v>
      </c>
      <c r="FB224" s="5">
        <f t="shared" si="644"/>
        <v>1</v>
      </c>
      <c r="FC224" s="5" t="s">
        <v>253</v>
      </c>
      <c r="FD224" s="5">
        <f t="shared" si="645"/>
        <v>0</v>
      </c>
      <c r="FE224" s="5" t="s">
        <v>253</v>
      </c>
      <c r="FF224" s="5">
        <f t="shared" si="646"/>
        <v>0</v>
      </c>
      <c r="FG224" s="5">
        <f t="shared" si="647"/>
        <v>1</v>
      </c>
      <c r="FH224" s="5" t="str">
        <f t="shared" si="648"/>
        <v>Nivel de riesgo bajo</v>
      </c>
      <c r="FI224" s="5" t="s">
        <v>248</v>
      </c>
      <c r="FJ224" s="5">
        <f t="shared" si="649"/>
        <v>1</v>
      </c>
      <c r="FK224" s="5" t="s">
        <v>253</v>
      </c>
      <c r="FL224" s="5">
        <f t="shared" si="650"/>
        <v>0</v>
      </c>
      <c r="FM224" s="5" t="s">
        <v>253</v>
      </c>
      <c r="FN224" s="5">
        <f t="shared" si="651"/>
        <v>0</v>
      </c>
      <c r="FO224" s="5">
        <f t="shared" si="652"/>
        <v>1</v>
      </c>
      <c r="FP224" s="5" t="str">
        <f t="shared" si="653"/>
        <v>Nivel de riesgo bajo</v>
      </c>
      <c r="FQ224" s="5" t="s">
        <v>206</v>
      </c>
      <c r="FR224" s="5">
        <f t="shared" si="654"/>
        <v>0</v>
      </c>
      <c r="FS224" s="5" t="s">
        <v>206</v>
      </c>
      <c r="FT224" s="5">
        <f t="shared" si="655"/>
        <v>0</v>
      </c>
      <c r="FU224" s="5" t="s">
        <v>206</v>
      </c>
      <c r="FV224" s="5">
        <f t="shared" si="656"/>
        <v>0</v>
      </c>
      <c r="FW224" s="5" t="s">
        <v>206</v>
      </c>
      <c r="FX224" s="5">
        <f t="shared" si="657"/>
        <v>0</v>
      </c>
      <c r="FY224" s="5" t="s">
        <v>206</v>
      </c>
      <c r="FZ224" s="5">
        <f t="shared" si="658"/>
        <v>0</v>
      </c>
      <c r="GA224" s="5" t="s">
        <v>206</v>
      </c>
      <c r="GB224" s="5">
        <f t="shared" si="659"/>
        <v>0</v>
      </c>
      <c r="GC224" s="5" t="s">
        <v>206</v>
      </c>
      <c r="GD224" s="5">
        <f t="shared" si="660"/>
        <v>0</v>
      </c>
      <c r="GE224" s="5">
        <f t="shared" si="661"/>
        <v>0</v>
      </c>
      <c r="GF224" s="5" t="str">
        <f t="shared" si="662"/>
        <v>Nivel de riesgo bajo</v>
      </c>
      <c r="GG224" s="5" t="s">
        <v>255</v>
      </c>
      <c r="GH224" s="5" t="s">
        <v>255</v>
      </c>
      <c r="GI224" s="5" t="s">
        <v>255</v>
      </c>
      <c r="GJ224" s="5" t="s">
        <v>255</v>
      </c>
      <c r="GK224" s="5" t="s">
        <v>233</v>
      </c>
      <c r="GL224" s="5" t="s">
        <v>233</v>
      </c>
      <c r="GM224" s="5" t="s">
        <v>266</v>
      </c>
      <c r="GN224" s="5" t="s">
        <v>256</v>
      </c>
      <c r="GO224" s="5" t="s">
        <v>256</v>
      </c>
      <c r="GP224" s="5" t="s">
        <v>256</v>
      </c>
      <c r="GQ224" s="5" t="s">
        <v>243</v>
      </c>
      <c r="GR224" s="5" t="s">
        <v>243</v>
      </c>
      <c r="GS224" s="5" t="s">
        <v>243</v>
      </c>
      <c r="GT224" s="5" t="s">
        <v>243</v>
      </c>
      <c r="GU224" s="5" t="s">
        <v>576</v>
      </c>
      <c r="GV224" s="5" t="str">
        <f>TEXT("6279087328417105308","0")</f>
        <v>6279087328417100000</v>
      </c>
    </row>
    <row r="225" spans="1:204" ht="15.75" customHeight="1" x14ac:dyDescent="0.15">
      <c r="A225" s="1">
        <f t="shared" si="612"/>
        <v>225</v>
      </c>
      <c r="B225" s="4">
        <v>45847.765300925923</v>
      </c>
      <c r="C225" s="5" t="s">
        <v>204</v>
      </c>
      <c r="D225" s="5" t="s">
        <v>206</v>
      </c>
      <c r="F225" s="5" t="s">
        <v>206</v>
      </c>
      <c r="G225" s="5" t="s">
        <v>206</v>
      </c>
      <c r="H225" s="5" t="s">
        <v>206</v>
      </c>
      <c r="J225" s="5" t="s">
        <v>209</v>
      </c>
      <c r="N225" s="5" t="s">
        <v>208</v>
      </c>
      <c r="S225" s="5" t="s">
        <v>208</v>
      </c>
      <c r="Y225" s="5" t="s">
        <v>209</v>
      </c>
      <c r="AE225" s="5" t="s">
        <v>237</v>
      </c>
      <c r="AH225" s="5" t="s">
        <v>275</v>
      </c>
      <c r="AI225" s="5">
        <v>2023</v>
      </c>
      <c r="AJ225" s="5" t="s">
        <v>238</v>
      </c>
      <c r="AK225" s="5" t="str">
        <f t="shared" si="613"/>
        <v>Trabajadora por cuenta propia</v>
      </c>
      <c r="AM225" s="5" t="s">
        <v>309</v>
      </c>
      <c r="AP225" s="5" t="s">
        <v>240</v>
      </c>
      <c r="AR225" s="5" t="s">
        <v>261</v>
      </c>
      <c r="AS225" s="5" t="s">
        <v>276</v>
      </c>
      <c r="AT225" s="5" t="s">
        <v>261</v>
      </c>
      <c r="AU225" s="5" t="s">
        <v>261</v>
      </c>
      <c r="AV225" s="5" t="s">
        <v>269</v>
      </c>
      <c r="AW225" s="5" t="s">
        <v>204</v>
      </c>
      <c r="AX225" s="5" t="s">
        <v>204</v>
      </c>
      <c r="AY225" s="5" t="s">
        <v>366</v>
      </c>
      <c r="AZ225" s="5" t="s">
        <v>204</v>
      </c>
      <c r="BA225" s="5" t="s">
        <v>295</v>
      </c>
      <c r="BB225" s="5" t="s">
        <v>206</v>
      </c>
      <c r="BC225" s="5" t="s">
        <v>206</v>
      </c>
      <c r="BD225" s="5" t="s">
        <v>290</v>
      </c>
      <c r="BE225" s="5" t="s">
        <v>204</v>
      </c>
      <c r="BF225" s="5" t="s">
        <v>204</v>
      </c>
      <c r="BG225" s="5" t="s">
        <v>242</v>
      </c>
      <c r="BH225" s="5" t="s">
        <v>242</v>
      </c>
      <c r="BI225" s="5" t="s">
        <v>215</v>
      </c>
      <c r="BJ225" s="5" t="s">
        <v>215</v>
      </c>
      <c r="BK225" s="5" t="s">
        <v>216</v>
      </c>
      <c r="BL225" s="5" t="s">
        <v>216</v>
      </c>
      <c r="BM225" s="5" t="s">
        <v>244</v>
      </c>
      <c r="BN225" s="5" t="s">
        <v>216</v>
      </c>
      <c r="BO225" s="5" t="s">
        <v>216</v>
      </c>
      <c r="BP225" s="5" t="s">
        <v>243</v>
      </c>
      <c r="BQ225" s="5" t="s">
        <v>216</v>
      </c>
      <c r="BR225" s="5" t="s">
        <v>216</v>
      </c>
      <c r="BS225" s="5" t="s">
        <v>248</v>
      </c>
      <c r="BT225" s="5" t="s">
        <v>217</v>
      </c>
      <c r="BU225" s="5" t="s">
        <v>217</v>
      </c>
      <c r="BV225" s="5" t="s">
        <v>217</v>
      </c>
      <c r="BW225" s="5" t="s">
        <v>248</v>
      </c>
      <c r="BX225" s="5" t="s">
        <v>217</v>
      </c>
      <c r="BY225" s="5" t="s">
        <v>217</v>
      </c>
      <c r="BZ225" s="5" t="s">
        <v>216</v>
      </c>
      <c r="CA225" s="5" t="s">
        <v>216</v>
      </c>
      <c r="CB225" s="5" t="s">
        <v>216</v>
      </c>
      <c r="CC225" s="5" t="s">
        <v>244</v>
      </c>
      <c r="CD225" s="5" t="s">
        <v>206</v>
      </c>
      <c r="CH225" s="5" t="s">
        <v>221</v>
      </c>
      <c r="CI225" s="5" t="s">
        <v>249</v>
      </c>
      <c r="CJ225" s="5">
        <v>1</v>
      </c>
      <c r="CK225" s="5" t="s">
        <v>223</v>
      </c>
      <c r="CU225" s="5" t="s">
        <v>206</v>
      </c>
      <c r="DA225" s="5" t="s">
        <v>231</v>
      </c>
      <c r="DB225" s="5">
        <f t="shared" si="614"/>
        <v>2</v>
      </c>
      <c r="DC225" s="5" t="s">
        <v>230</v>
      </c>
      <c r="DD225" s="5">
        <f t="shared" si="615"/>
        <v>2</v>
      </c>
      <c r="DE225" s="5" t="s">
        <v>251</v>
      </c>
      <c r="DF225" s="5">
        <f t="shared" si="616"/>
        <v>1</v>
      </c>
      <c r="DG225" s="5" t="s">
        <v>230</v>
      </c>
      <c r="DH225" s="5">
        <f t="shared" si="617"/>
        <v>2</v>
      </c>
      <c r="DI225" s="5" t="s">
        <v>251</v>
      </c>
      <c r="DJ225" s="5">
        <f t="shared" si="618"/>
        <v>1</v>
      </c>
      <c r="DK225" s="5" t="s">
        <v>251</v>
      </c>
      <c r="DL225" s="5">
        <f t="shared" si="619"/>
        <v>1</v>
      </c>
      <c r="DM225" s="5" t="s">
        <v>251</v>
      </c>
      <c r="DN225" s="5">
        <f t="shared" si="620"/>
        <v>1</v>
      </c>
      <c r="DO225" s="5" t="s">
        <v>231</v>
      </c>
      <c r="DP225" s="5">
        <f t="shared" si="621"/>
        <v>2</v>
      </c>
      <c r="DQ225" s="5" t="s">
        <v>231</v>
      </c>
      <c r="DR225" s="5">
        <f t="shared" si="622"/>
        <v>2</v>
      </c>
      <c r="DS225" s="5" t="s">
        <v>231</v>
      </c>
      <c r="DT225" s="5">
        <f t="shared" si="623"/>
        <v>2</v>
      </c>
      <c r="DU225" s="5" t="s">
        <v>231</v>
      </c>
      <c r="DV225" s="5">
        <f t="shared" si="624"/>
        <v>2</v>
      </c>
      <c r="DW225" s="5" t="s">
        <v>231</v>
      </c>
      <c r="DX225" s="5">
        <f t="shared" si="625"/>
        <v>2</v>
      </c>
      <c r="DY225" s="5">
        <f t="shared" si="626"/>
        <v>20</v>
      </c>
      <c r="DZ225" s="5" t="str">
        <f t="shared" si="627"/>
        <v>Nivel de riesgo medio</v>
      </c>
      <c r="EA225" s="5" t="s">
        <v>247</v>
      </c>
      <c r="EB225" s="5">
        <f t="shared" si="628"/>
        <v>2</v>
      </c>
      <c r="EC225" s="5" t="s">
        <v>248</v>
      </c>
      <c r="ED225" s="5">
        <f t="shared" si="629"/>
        <v>1</v>
      </c>
      <c r="EE225" s="5" t="s">
        <v>247</v>
      </c>
      <c r="EF225" s="5">
        <f t="shared" si="630"/>
        <v>2</v>
      </c>
      <c r="EG225" s="5">
        <f t="shared" si="631"/>
        <v>5</v>
      </c>
      <c r="EH225" s="5" t="str">
        <f t="shared" si="632"/>
        <v>Nivel de riesgo alto</v>
      </c>
      <c r="EI225" s="5" t="s">
        <v>248</v>
      </c>
      <c r="EJ225" s="5">
        <f t="shared" si="633"/>
        <v>1</v>
      </c>
      <c r="EK225" s="5" t="s">
        <v>253</v>
      </c>
      <c r="EL225" s="5">
        <f t="shared" si="634"/>
        <v>0</v>
      </c>
      <c r="EM225" s="5" t="s">
        <v>248</v>
      </c>
      <c r="EN225" s="5">
        <f t="shared" si="635"/>
        <v>1</v>
      </c>
      <c r="EO225" s="5">
        <f t="shared" si="636"/>
        <v>2</v>
      </c>
      <c r="EP225" s="5" t="str">
        <f t="shared" si="637"/>
        <v>Nivel de riesgo medio</v>
      </c>
      <c r="EQ225" s="5" t="s">
        <v>247</v>
      </c>
      <c r="ER225" s="5">
        <f t="shared" si="638"/>
        <v>2</v>
      </c>
      <c r="ES225" s="5" t="s">
        <v>247</v>
      </c>
      <c r="ET225" s="5">
        <f t="shared" si="639"/>
        <v>2</v>
      </c>
      <c r="EU225" s="5" t="s">
        <v>248</v>
      </c>
      <c r="EV225" s="5">
        <f t="shared" si="640"/>
        <v>3</v>
      </c>
      <c r="EW225" s="5" t="s">
        <v>247</v>
      </c>
      <c r="EX225" s="5">
        <f t="shared" si="641"/>
        <v>2</v>
      </c>
      <c r="EY225" s="5">
        <f t="shared" si="642"/>
        <v>9</v>
      </c>
      <c r="EZ225" s="5" t="str">
        <f t="shared" si="643"/>
        <v>Nivel de riesgo alto</v>
      </c>
      <c r="FA225" s="5" t="s">
        <v>247</v>
      </c>
      <c r="FB225" s="5">
        <f t="shared" si="644"/>
        <v>2</v>
      </c>
      <c r="FC225" s="5" t="s">
        <v>247</v>
      </c>
      <c r="FD225" s="5">
        <f t="shared" si="645"/>
        <v>2</v>
      </c>
      <c r="FE225" s="5" t="s">
        <v>254</v>
      </c>
      <c r="FF225" s="5">
        <f t="shared" si="646"/>
        <v>4</v>
      </c>
      <c r="FG225" s="5">
        <f t="shared" si="647"/>
        <v>8</v>
      </c>
      <c r="FH225" s="5" t="str">
        <f t="shared" si="648"/>
        <v>Nivel de riesgo alto</v>
      </c>
      <c r="FI225" s="5" t="s">
        <v>254</v>
      </c>
      <c r="FJ225" s="5">
        <f t="shared" si="649"/>
        <v>4</v>
      </c>
      <c r="FK225" s="5" t="s">
        <v>254</v>
      </c>
      <c r="FL225" s="5">
        <f t="shared" si="650"/>
        <v>4</v>
      </c>
      <c r="FM225" s="5" t="s">
        <v>254</v>
      </c>
      <c r="FN225" s="5">
        <f t="shared" si="651"/>
        <v>4</v>
      </c>
      <c r="FO225" s="5">
        <f t="shared" si="652"/>
        <v>12</v>
      </c>
      <c r="FP225" s="5" t="str">
        <f t="shared" si="653"/>
        <v>Nivel de riesgo alto</v>
      </c>
      <c r="FQ225" s="5" t="s">
        <v>206</v>
      </c>
      <c r="FR225" s="5">
        <f t="shared" si="654"/>
        <v>0</v>
      </c>
      <c r="FS225" s="5" t="s">
        <v>206</v>
      </c>
      <c r="FT225" s="5">
        <f t="shared" si="655"/>
        <v>0</v>
      </c>
      <c r="FU225" s="5" t="s">
        <v>206</v>
      </c>
      <c r="FV225" s="5">
        <f t="shared" si="656"/>
        <v>0</v>
      </c>
      <c r="FW225" s="5" t="s">
        <v>206</v>
      </c>
      <c r="FX225" s="5">
        <f t="shared" si="657"/>
        <v>0</v>
      </c>
      <c r="FY225" s="5" t="s">
        <v>265</v>
      </c>
      <c r="FZ225" s="5">
        <f t="shared" si="658"/>
        <v>1</v>
      </c>
      <c r="GA225" s="5" t="s">
        <v>206</v>
      </c>
      <c r="GB225" s="5">
        <f t="shared" si="659"/>
        <v>0</v>
      </c>
      <c r="GC225" s="5" t="s">
        <v>206</v>
      </c>
      <c r="GD225" s="5">
        <f t="shared" si="660"/>
        <v>0</v>
      </c>
      <c r="GE225" s="5">
        <f t="shared" si="661"/>
        <v>1</v>
      </c>
      <c r="GF225" s="5" t="str">
        <f t="shared" si="662"/>
        <v>Nivel de riesgo medio</v>
      </c>
      <c r="GG225" s="5" t="s">
        <v>255</v>
      </c>
      <c r="GH225" s="5" t="s">
        <v>255</v>
      </c>
      <c r="GI225" s="5" t="s">
        <v>255</v>
      </c>
      <c r="GJ225" s="5" t="s">
        <v>255</v>
      </c>
      <c r="GK225" s="5" t="s">
        <v>255</v>
      </c>
      <c r="GL225" s="5" t="s">
        <v>233</v>
      </c>
      <c r="GM225" s="5" t="s">
        <v>233</v>
      </c>
      <c r="GN225" s="5" t="s">
        <v>243</v>
      </c>
      <c r="GO225" s="5" t="s">
        <v>243</v>
      </c>
      <c r="GP225" s="5" t="s">
        <v>257</v>
      </c>
      <c r="GQ225" s="5" t="s">
        <v>257</v>
      </c>
      <c r="GR225" s="5" t="s">
        <v>244</v>
      </c>
      <c r="GS225" s="5" t="s">
        <v>257</v>
      </c>
      <c r="GT225" s="5" t="s">
        <v>257</v>
      </c>
      <c r="GU225" s="5" t="s">
        <v>577</v>
      </c>
      <c r="GV225" s="5" t="str">
        <f>TEXT("6279089228427089310","0")</f>
        <v>6279089228427080000</v>
      </c>
    </row>
    <row r="226" spans="1:204" ht="15.75" customHeight="1" x14ac:dyDescent="0.15">
      <c r="A226" s="1">
        <f t="shared" si="612"/>
        <v>226</v>
      </c>
      <c r="B226" s="4">
        <v>45847.769224537034</v>
      </c>
      <c r="C226" s="5" t="s">
        <v>204</v>
      </c>
      <c r="D226" s="5" t="s">
        <v>206</v>
      </c>
      <c r="F226" s="5" t="s">
        <v>206</v>
      </c>
      <c r="G226" s="5" t="s">
        <v>204</v>
      </c>
      <c r="H226" s="5" t="s">
        <v>206</v>
      </c>
      <c r="K226" s="5" t="s">
        <v>237</v>
      </c>
      <c r="N226" s="5" t="s">
        <v>208</v>
      </c>
      <c r="S226" s="5" t="s">
        <v>208</v>
      </c>
      <c r="X226" s="5" t="s">
        <v>208</v>
      </c>
      <c r="AD226" s="5" t="s">
        <v>209</v>
      </c>
      <c r="AH226" s="5" t="s">
        <v>275</v>
      </c>
      <c r="AI226" s="5">
        <v>2021</v>
      </c>
      <c r="AJ226" s="5" t="s">
        <v>238</v>
      </c>
      <c r="AK226" s="5" t="str">
        <f t="shared" si="613"/>
        <v>Trabajadora por cuenta propia</v>
      </c>
      <c r="AL226" s="5" t="s">
        <v>239</v>
      </c>
      <c r="AP226" s="5" t="s">
        <v>297</v>
      </c>
      <c r="AR226" s="5" t="s">
        <v>241</v>
      </c>
      <c r="AS226" s="5" t="s">
        <v>301</v>
      </c>
      <c r="AT226" s="5" t="s">
        <v>301</v>
      </c>
      <c r="AU226" s="5" t="s">
        <v>301</v>
      </c>
      <c r="AV226" s="5" t="s">
        <v>269</v>
      </c>
      <c r="AW226" s="5" t="s">
        <v>204</v>
      </c>
      <c r="AX226" s="5" t="s">
        <v>204</v>
      </c>
      <c r="AY226" s="5" t="s">
        <v>270</v>
      </c>
      <c r="AZ226" s="5" t="s">
        <v>204</v>
      </c>
      <c r="BA226" s="5" t="s">
        <v>344</v>
      </c>
      <c r="BF226" s="5" t="s">
        <v>204</v>
      </c>
      <c r="BG226" s="5" t="s">
        <v>271</v>
      </c>
      <c r="BH226" s="5" t="s">
        <v>271</v>
      </c>
      <c r="BI226" s="5" t="s">
        <v>278</v>
      </c>
      <c r="BJ226" s="5" t="s">
        <v>271</v>
      </c>
      <c r="BK226" s="5" t="s">
        <v>216</v>
      </c>
      <c r="BL226" s="5" t="s">
        <v>216</v>
      </c>
      <c r="BM226" s="5" t="s">
        <v>244</v>
      </c>
      <c r="BN226" s="5" t="s">
        <v>216</v>
      </c>
      <c r="BO226" s="5" t="s">
        <v>216</v>
      </c>
      <c r="BP226" s="5" t="s">
        <v>216</v>
      </c>
      <c r="BQ226" s="5" t="s">
        <v>216</v>
      </c>
      <c r="BR226" s="5" t="s">
        <v>216</v>
      </c>
      <c r="BS226" s="5" t="s">
        <v>248</v>
      </c>
      <c r="BT226" s="5" t="s">
        <v>247</v>
      </c>
      <c r="BU226" s="5" t="s">
        <v>232</v>
      </c>
      <c r="BV226" s="5" t="s">
        <v>217</v>
      </c>
      <c r="BW226" s="5" t="s">
        <v>217</v>
      </c>
      <c r="BX226" s="5" t="s">
        <v>248</v>
      </c>
      <c r="BY226" s="5" t="s">
        <v>217</v>
      </c>
      <c r="BZ226" s="5" t="s">
        <v>245</v>
      </c>
      <c r="CA226" s="5" t="s">
        <v>216</v>
      </c>
      <c r="CB226" s="5" t="s">
        <v>216</v>
      </c>
      <c r="CC226" s="5" t="s">
        <v>243</v>
      </c>
      <c r="CD226" s="5" t="s">
        <v>206</v>
      </c>
      <c r="CH226" s="5" t="s">
        <v>206</v>
      </c>
      <c r="CI226" s="5" t="s">
        <v>206</v>
      </c>
      <c r="CJ226" s="5">
        <v>0</v>
      </c>
      <c r="CK226" s="5" t="s">
        <v>223</v>
      </c>
      <c r="CU226" s="5" t="s">
        <v>206</v>
      </c>
      <c r="DA226" s="5" t="s">
        <v>272</v>
      </c>
      <c r="DB226" s="5">
        <f t="shared" si="614"/>
        <v>1</v>
      </c>
      <c r="DC226" s="5" t="s">
        <v>251</v>
      </c>
      <c r="DD226" s="5">
        <f t="shared" si="615"/>
        <v>1</v>
      </c>
      <c r="DE226" s="5" t="s">
        <v>230</v>
      </c>
      <c r="DF226" s="5">
        <f t="shared" si="616"/>
        <v>2</v>
      </c>
      <c r="DG226" s="5" t="s">
        <v>251</v>
      </c>
      <c r="DH226" s="5">
        <f t="shared" si="617"/>
        <v>1</v>
      </c>
      <c r="DI226" s="5" t="s">
        <v>251</v>
      </c>
      <c r="DJ226" s="5">
        <f t="shared" si="618"/>
        <v>1</v>
      </c>
      <c r="DK226" s="5" t="s">
        <v>251</v>
      </c>
      <c r="DL226" s="5">
        <f t="shared" si="619"/>
        <v>1</v>
      </c>
      <c r="DM226" s="5" t="s">
        <v>251</v>
      </c>
      <c r="DN226" s="5">
        <f t="shared" si="620"/>
        <v>1</v>
      </c>
      <c r="DO226" s="5" t="s">
        <v>281</v>
      </c>
      <c r="DP226" s="5">
        <f t="shared" si="621"/>
        <v>1</v>
      </c>
      <c r="DQ226" s="5" t="s">
        <v>281</v>
      </c>
      <c r="DR226" s="5">
        <f t="shared" si="622"/>
        <v>1</v>
      </c>
      <c r="DS226" s="5" t="s">
        <v>281</v>
      </c>
      <c r="DT226" s="5">
        <f t="shared" si="623"/>
        <v>1</v>
      </c>
      <c r="DU226" s="5" t="s">
        <v>281</v>
      </c>
      <c r="DV226" s="5">
        <f t="shared" si="624"/>
        <v>1</v>
      </c>
      <c r="DW226" s="5" t="s">
        <v>281</v>
      </c>
      <c r="DX226" s="5">
        <f t="shared" si="625"/>
        <v>1</v>
      </c>
      <c r="DY226" s="5">
        <f t="shared" si="626"/>
        <v>13</v>
      </c>
      <c r="DZ226" s="5" t="str">
        <f t="shared" si="627"/>
        <v>Nivel de riesgo bajo</v>
      </c>
      <c r="EA226" s="5" t="s">
        <v>253</v>
      </c>
      <c r="EB226" s="5">
        <f t="shared" si="628"/>
        <v>0</v>
      </c>
      <c r="EC226" s="5" t="s">
        <v>253</v>
      </c>
      <c r="ED226" s="5">
        <f t="shared" si="629"/>
        <v>0</v>
      </c>
      <c r="EE226" s="5" t="s">
        <v>253</v>
      </c>
      <c r="EF226" s="5">
        <f t="shared" si="630"/>
        <v>0</v>
      </c>
      <c r="EG226" s="5">
        <f t="shared" si="631"/>
        <v>0</v>
      </c>
      <c r="EH226" s="5" t="str">
        <f t="shared" si="632"/>
        <v>Nivel de riesgo bajo</v>
      </c>
      <c r="EI226" s="5" t="s">
        <v>248</v>
      </c>
      <c r="EJ226" s="5">
        <f t="shared" si="633"/>
        <v>1</v>
      </c>
      <c r="EK226" s="5" t="s">
        <v>248</v>
      </c>
      <c r="EL226" s="5">
        <f t="shared" si="634"/>
        <v>1</v>
      </c>
      <c r="EM226" s="5" t="s">
        <v>248</v>
      </c>
      <c r="EN226" s="5">
        <f t="shared" si="635"/>
        <v>1</v>
      </c>
      <c r="EO226" s="5">
        <f t="shared" si="636"/>
        <v>3</v>
      </c>
      <c r="EP226" s="5" t="str">
        <f t="shared" si="637"/>
        <v>Nivel de riesgo medio</v>
      </c>
      <c r="EQ226" s="5" t="s">
        <v>248</v>
      </c>
      <c r="ER226" s="5">
        <f t="shared" si="638"/>
        <v>3</v>
      </c>
      <c r="ES226" s="5" t="s">
        <v>247</v>
      </c>
      <c r="ET226" s="5">
        <f t="shared" si="639"/>
        <v>2</v>
      </c>
      <c r="EU226" s="5" t="s">
        <v>254</v>
      </c>
      <c r="EV226" s="5">
        <f t="shared" si="640"/>
        <v>0</v>
      </c>
      <c r="EW226" s="5" t="s">
        <v>254</v>
      </c>
      <c r="EX226" s="5">
        <f t="shared" si="641"/>
        <v>0</v>
      </c>
      <c r="EY226" s="5">
        <f t="shared" si="642"/>
        <v>5</v>
      </c>
      <c r="EZ226" s="5" t="str">
        <f t="shared" si="643"/>
        <v>Nivel de riesgo alto</v>
      </c>
      <c r="FA226" s="5" t="s">
        <v>253</v>
      </c>
      <c r="FB226" s="5">
        <f t="shared" si="644"/>
        <v>0</v>
      </c>
      <c r="FC226" s="5" t="s">
        <v>253</v>
      </c>
      <c r="FD226" s="5">
        <f t="shared" si="645"/>
        <v>0</v>
      </c>
      <c r="FE226" s="5" t="s">
        <v>253</v>
      </c>
      <c r="FF226" s="5">
        <f t="shared" si="646"/>
        <v>0</v>
      </c>
      <c r="FG226" s="5">
        <f t="shared" si="647"/>
        <v>0</v>
      </c>
      <c r="FH226" s="5" t="str">
        <f t="shared" si="648"/>
        <v>Nivel de riesgo bajo</v>
      </c>
      <c r="FI226" s="5" t="s">
        <v>253</v>
      </c>
      <c r="FJ226" s="5">
        <f t="shared" si="649"/>
        <v>0</v>
      </c>
      <c r="FK226" s="5" t="s">
        <v>253</v>
      </c>
      <c r="FL226" s="5">
        <f t="shared" si="650"/>
        <v>0</v>
      </c>
      <c r="FM226" s="5" t="s">
        <v>253</v>
      </c>
      <c r="FN226" s="5">
        <f t="shared" si="651"/>
        <v>0</v>
      </c>
      <c r="FO226" s="5">
        <f t="shared" si="652"/>
        <v>0</v>
      </c>
      <c r="FP226" s="5" t="str">
        <f t="shared" si="653"/>
        <v>Nivel de riesgo bajo</v>
      </c>
      <c r="FQ226" s="5" t="s">
        <v>206</v>
      </c>
      <c r="FR226" s="5">
        <f t="shared" si="654"/>
        <v>0</v>
      </c>
      <c r="FS226" s="5" t="s">
        <v>206</v>
      </c>
      <c r="FT226" s="5">
        <f t="shared" si="655"/>
        <v>0</v>
      </c>
      <c r="FU226" s="5" t="s">
        <v>206</v>
      </c>
      <c r="FV226" s="5">
        <f t="shared" si="656"/>
        <v>0</v>
      </c>
      <c r="FW226" s="5" t="s">
        <v>206</v>
      </c>
      <c r="FX226" s="5">
        <f t="shared" si="657"/>
        <v>0</v>
      </c>
      <c r="FY226" s="5" t="s">
        <v>206</v>
      </c>
      <c r="FZ226" s="5">
        <f t="shared" si="658"/>
        <v>0</v>
      </c>
      <c r="GA226" s="5" t="s">
        <v>206</v>
      </c>
      <c r="GB226" s="5">
        <f t="shared" si="659"/>
        <v>0</v>
      </c>
      <c r="GC226" s="5" t="s">
        <v>206</v>
      </c>
      <c r="GD226" s="5">
        <f t="shared" si="660"/>
        <v>0</v>
      </c>
      <c r="GE226" s="5">
        <f t="shared" si="661"/>
        <v>0</v>
      </c>
      <c r="GF226" s="5" t="str">
        <f t="shared" si="662"/>
        <v>Nivel de riesgo bajo</v>
      </c>
      <c r="GG226" s="5" t="s">
        <v>255</v>
      </c>
      <c r="GH226" s="5" t="s">
        <v>255</v>
      </c>
      <c r="GI226" s="5" t="s">
        <v>273</v>
      </c>
      <c r="GJ226" s="5" t="s">
        <v>266</v>
      </c>
      <c r="GK226" s="5" t="s">
        <v>233</v>
      </c>
      <c r="GL226" s="5" t="s">
        <v>273</v>
      </c>
      <c r="GM226" s="5" t="s">
        <v>255</v>
      </c>
      <c r="GN226" s="5" t="s">
        <v>256</v>
      </c>
      <c r="GO226" s="5" t="s">
        <v>243</v>
      </c>
      <c r="GP226" s="5" t="s">
        <v>257</v>
      </c>
      <c r="GQ226" s="5" t="s">
        <v>257</v>
      </c>
      <c r="GR226" s="5" t="s">
        <v>256</v>
      </c>
      <c r="GS226" s="5" t="s">
        <v>257</v>
      </c>
      <c r="GT226" s="5" t="s">
        <v>243</v>
      </c>
      <c r="GU226" s="5" t="s">
        <v>578</v>
      </c>
      <c r="GV226" s="5" t="str">
        <f>TEXT("6279092615513593890","0")</f>
        <v>6279092615513590000</v>
      </c>
    </row>
    <row r="227" spans="1:204" ht="15.75" customHeight="1" x14ac:dyDescent="0.15">
      <c r="A227" s="1">
        <f t="shared" si="612"/>
        <v>227</v>
      </c>
      <c r="B227" s="4">
        <v>45847.785312499997</v>
      </c>
      <c r="C227" s="5" t="s">
        <v>204</v>
      </c>
      <c r="D227" s="5" t="s">
        <v>206</v>
      </c>
      <c r="F227" s="5" t="s">
        <v>206</v>
      </c>
      <c r="G227" s="5" t="s">
        <v>204</v>
      </c>
      <c r="H227" s="5" t="s">
        <v>206</v>
      </c>
      <c r="K227" s="5" t="s">
        <v>237</v>
      </c>
      <c r="P227" s="5" t="s">
        <v>237</v>
      </c>
      <c r="T227" s="5" t="s">
        <v>209</v>
      </c>
      <c r="X227" s="5" t="s">
        <v>208</v>
      </c>
      <c r="AC227" s="5" t="s">
        <v>208</v>
      </c>
      <c r="AH227" s="5" t="s">
        <v>210</v>
      </c>
      <c r="AI227" s="5">
        <v>2018</v>
      </c>
      <c r="AJ227" s="5" t="s">
        <v>238</v>
      </c>
      <c r="AK227" s="5" t="str">
        <f t="shared" si="613"/>
        <v>Trabajadora por cuenta propia</v>
      </c>
      <c r="AL227" s="5" t="s">
        <v>239</v>
      </c>
      <c r="AP227" s="5" t="s">
        <v>297</v>
      </c>
      <c r="AR227" s="5" t="s">
        <v>241</v>
      </c>
      <c r="AS227" s="5" t="s">
        <v>301</v>
      </c>
      <c r="AT227" s="5" t="s">
        <v>241</v>
      </c>
      <c r="AU227" s="5" t="s">
        <v>241</v>
      </c>
      <c r="AV227" s="5" t="s">
        <v>269</v>
      </c>
      <c r="AW227" s="5" t="s">
        <v>204</v>
      </c>
      <c r="AX227" s="5" t="s">
        <v>206</v>
      </c>
      <c r="BF227" s="5" t="s">
        <v>204</v>
      </c>
      <c r="BG227" s="5" t="s">
        <v>215</v>
      </c>
      <c r="BH227" s="5" t="s">
        <v>264</v>
      </c>
      <c r="BI227" s="5" t="s">
        <v>215</v>
      </c>
      <c r="BJ227" s="5" t="s">
        <v>215</v>
      </c>
      <c r="BK227" s="5" t="s">
        <v>216</v>
      </c>
      <c r="BL227" s="5" t="s">
        <v>216</v>
      </c>
      <c r="BM227" s="5" t="s">
        <v>216</v>
      </c>
      <c r="BN227" s="5" t="s">
        <v>216</v>
      </c>
      <c r="BO227" s="5" t="s">
        <v>216</v>
      </c>
      <c r="BP227" s="5" t="s">
        <v>244</v>
      </c>
      <c r="BQ227" s="5" t="s">
        <v>216</v>
      </c>
      <c r="BR227" s="5" t="s">
        <v>243</v>
      </c>
      <c r="BS227" s="5" t="s">
        <v>248</v>
      </c>
      <c r="BT227" s="5" t="s">
        <v>248</v>
      </c>
      <c r="BU227" s="5" t="s">
        <v>248</v>
      </c>
      <c r="BV227" s="5" t="s">
        <v>217</v>
      </c>
      <c r="BW227" s="5" t="s">
        <v>217</v>
      </c>
      <c r="BX227" s="5" t="s">
        <v>248</v>
      </c>
      <c r="BY227" s="5" t="s">
        <v>217</v>
      </c>
      <c r="BZ227" s="5" t="s">
        <v>216</v>
      </c>
      <c r="CA227" s="5" t="s">
        <v>244</v>
      </c>
      <c r="CB227" s="5" t="s">
        <v>216</v>
      </c>
      <c r="CC227" s="5" t="s">
        <v>216</v>
      </c>
      <c r="CD227" s="5" t="s">
        <v>204</v>
      </c>
      <c r="CE227" s="5" t="s">
        <v>286</v>
      </c>
      <c r="CF227" s="5" t="s">
        <v>219</v>
      </c>
      <c r="CG227" s="5" t="s">
        <v>206</v>
      </c>
      <c r="CH227" s="5" t="s">
        <v>206</v>
      </c>
      <c r="CI227" s="5" t="s">
        <v>249</v>
      </c>
      <c r="CJ227" s="5">
        <v>1</v>
      </c>
      <c r="CK227" s="5" t="s">
        <v>223</v>
      </c>
      <c r="CU227" s="5" t="s">
        <v>206</v>
      </c>
      <c r="DA227" s="5" t="s">
        <v>231</v>
      </c>
      <c r="DB227" s="5">
        <f t="shared" si="614"/>
        <v>2</v>
      </c>
      <c r="DC227" s="5" t="s">
        <v>251</v>
      </c>
      <c r="DD227" s="5">
        <f t="shared" si="615"/>
        <v>1</v>
      </c>
      <c r="DE227" s="5" t="s">
        <v>251</v>
      </c>
      <c r="DF227" s="5">
        <f t="shared" si="616"/>
        <v>1</v>
      </c>
      <c r="DG227" s="5" t="s">
        <v>230</v>
      </c>
      <c r="DH227" s="5">
        <f t="shared" si="617"/>
        <v>2</v>
      </c>
      <c r="DI227" s="5" t="s">
        <v>251</v>
      </c>
      <c r="DJ227" s="5">
        <f t="shared" si="618"/>
        <v>1</v>
      </c>
      <c r="DK227" s="5" t="s">
        <v>230</v>
      </c>
      <c r="DL227" s="5">
        <f t="shared" si="619"/>
        <v>2</v>
      </c>
      <c r="DM227" s="5" t="s">
        <v>251</v>
      </c>
      <c r="DN227" s="5">
        <f t="shared" si="620"/>
        <v>1</v>
      </c>
      <c r="DO227" s="5" t="s">
        <v>229</v>
      </c>
      <c r="DP227" s="5">
        <f t="shared" si="621"/>
        <v>4</v>
      </c>
      <c r="DQ227" s="5" t="s">
        <v>231</v>
      </c>
      <c r="DR227" s="5">
        <f t="shared" si="622"/>
        <v>2</v>
      </c>
      <c r="DS227" s="5" t="s">
        <v>281</v>
      </c>
      <c r="DT227" s="5">
        <f t="shared" si="623"/>
        <v>1</v>
      </c>
      <c r="DU227" s="5" t="s">
        <v>281</v>
      </c>
      <c r="DV227" s="5">
        <f t="shared" si="624"/>
        <v>1</v>
      </c>
      <c r="DW227" s="5" t="s">
        <v>281</v>
      </c>
      <c r="DX227" s="5">
        <f t="shared" si="625"/>
        <v>1</v>
      </c>
      <c r="DY227" s="5">
        <f t="shared" si="626"/>
        <v>19</v>
      </c>
      <c r="DZ227" s="5" t="str">
        <f t="shared" si="627"/>
        <v>Nivel de riesgo medio</v>
      </c>
      <c r="EA227" s="5" t="s">
        <v>253</v>
      </c>
      <c r="EB227" s="5">
        <f t="shared" si="628"/>
        <v>0</v>
      </c>
      <c r="EC227" s="5" t="s">
        <v>253</v>
      </c>
      <c r="ED227" s="5">
        <f t="shared" si="629"/>
        <v>0</v>
      </c>
      <c r="EE227" s="5" t="s">
        <v>253</v>
      </c>
      <c r="EF227" s="5">
        <f t="shared" si="630"/>
        <v>0</v>
      </c>
      <c r="EG227" s="5">
        <f t="shared" si="631"/>
        <v>0</v>
      </c>
      <c r="EH227" s="5" t="str">
        <f t="shared" si="632"/>
        <v>Nivel de riesgo bajo</v>
      </c>
      <c r="EI227" s="5" t="s">
        <v>253</v>
      </c>
      <c r="EJ227" s="5">
        <f t="shared" si="633"/>
        <v>0</v>
      </c>
      <c r="EK227" s="5" t="s">
        <v>253</v>
      </c>
      <c r="EL227" s="5">
        <f t="shared" si="634"/>
        <v>0</v>
      </c>
      <c r="EM227" s="5" t="s">
        <v>248</v>
      </c>
      <c r="EN227" s="5">
        <f t="shared" si="635"/>
        <v>1</v>
      </c>
      <c r="EO227" s="5">
        <f t="shared" si="636"/>
        <v>1</v>
      </c>
      <c r="EP227" s="5" t="str">
        <f t="shared" si="637"/>
        <v>Nivel de riesgo bajo</v>
      </c>
      <c r="EQ227" s="5" t="s">
        <v>248</v>
      </c>
      <c r="ER227" s="5">
        <f t="shared" si="638"/>
        <v>3</v>
      </c>
      <c r="ES227" s="5" t="s">
        <v>248</v>
      </c>
      <c r="ET227" s="5">
        <f t="shared" si="639"/>
        <v>3</v>
      </c>
      <c r="EU227" s="5" t="s">
        <v>253</v>
      </c>
      <c r="EV227" s="5">
        <f t="shared" si="640"/>
        <v>4</v>
      </c>
      <c r="EW227" s="5" t="s">
        <v>253</v>
      </c>
      <c r="EX227" s="5">
        <f t="shared" si="641"/>
        <v>4</v>
      </c>
      <c r="EY227" s="5">
        <f t="shared" si="642"/>
        <v>14</v>
      </c>
      <c r="EZ227" s="5" t="str">
        <f t="shared" si="643"/>
        <v>Nivel de riesgo alto</v>
      </c>
      <c r="FA227" s="5" t="s">
        <v>248</v>
      </c>
      <c r="FB227" s="5">
        <f t="shared" si="644"/>
        <v>1</v>
      </c>
      <c r="FC227" s="5" t="s">
        <v>247</v>
      </c>
      <c r="FD227" s="5">
        <f t="shared" si="645"/>
        <v>2</v>
      </c>
      <c r="FE227" s="5" t="s">
        <v>248</v>
      </c>
      <c r="FF227" s="5">
        <f t="shared" si="646"/>
        <v>1</v>
      </c>
      <c r="FG227" s="5">
        <f t="shared" si="647"/>
        <v>4</v>
      </c>
      <c r="FH227" s="5" t="str">
        <f t="shared" si="648"/>
        <v>Nivel de riesgo medio</v>
      </c>
      <c r="FI227" s="5" t="s">
        <v>253</v>
      </c>
      <c r="FJ227" s="5">
        <f t="shared" si="649"/>
        <v>0</v>
      </c>
      <c r="FK227" s="5" t="s">
        <v>253</v>
      </c>
      <c r="FL227" s="5">
        <f t="shared" si="650"/>
        <v>0</v>
      </c>
      <c r="FM227" s="5" t="s">
        <v>253</v>
      </c>
      <c r="FN227" s="5">
        <f t="shared" si="651"/>
        <v>0</v>
      </c>
      <c r="FO227" s="5">
        <f t="shared" si="652"/>
        <v>0</v>
      </c>
      <c r="FP227" s="5" t="str">
        <f t="shared" si="653"/>
        <v>Nivel de riesgo bajo</v>
      </c>
      <c r="FQ227" s="5" t="s">
        <v>206</v>
      </c>
      <c r="FR227" s="5">
        <f t="shared" si="654"/>
        <v>0</v>
      </c>
      <c r="FS227" s="5" t="s">
        <v>206</v>
      </c>
      <c r="FT227" s="5">
        <f t="shared" si="655"/>
        <v>0</v>
      </c>
      <c r="FU227" s="5" t="s">
        <v>391</v>
      </c>
      <c r="FV227" s="5">
        <f t="shared" si="656"/>
        <v>4</v>
      </c>
      <c r="FW227" s="5" t="s">
        <v>206</v>
      </c>
      <c r="FX227" s="5">
        <f t="shared" si="657"/>
        <v>0</v>
      </c>
      <c r="FY227" s="5" t="s">
        <v>206</v>
      </c>
      <c r="FZ227" s="5">
        <f t="shared" si="658"/>
        <v>0</v>
      </c>
      <c r="GA227" s="5" t="s">
        <v>206</v>
      </c>
      <c r="GB227" s="5">
        <f t="shared" si="659"/>
        <v>0</v>
      </c>
      <c r="GC227" s="5" t="s">
        <v>206</v>
      </c>
      <c r="GD227" s="5">
        <f t="shared" si="660"/>
        <v>0</v>
      </c>
      <c r="GE227" s="5">
        <f t="shared" si="661"/>
        <v>4</v>
      </c>
      <c r="GF227" s="5" t="str">
        <f t="shared" si="662"/>
        <v>Nivel de riesgo medio</v>
      </c>
      <c r="GG227" s="5" t="s">
        <v>255</v>
      </c>
      <c r="GH227" s="5" t="s">
        <v>255</v>
      </c>
      <c r="GI227" s="5" t="s">
        <v>255</v>
      </c>
      <c r="GJ227" s="5" t="s">
        <v>266</v>
      </c>
      <c r="GK227" s="5" t="s">
        <v>233</v>
      </c>
      <c r="GL227" s="5" t="s">
        <v>233</v>
      </c>
      <c r="GM227" s="5" t="s">
        <v>273</v>
      </c>
      <c r="GN227" s="5" t="s">
        <v>256</v>
      </c>
      <c r="GO227" s="5" t="s">
        <v>243</v>
      </c>
      <c r="GP227" s="5" t="s">
        <v>257</v>
      </c>
      <c r="GQ227" s="5" t="s">
        <v>257</v>
      </c>
      <c r="GR227" s="5" t="s">
        <v>243</v>
      </c>
      <c r="GS227" s="5" t="s">
        <v>257</v>
      </c>
      <c r="GT227" s="5" t="s">
        <v>243</v>
      </c>
      <c r="GU227" s="5" t="s">
        <v>579</v>
      </c>
      <c r="GV227" s="5" t="str">
        <f>TEXT("6279106518311751200","0")</f>
        <v>6279106518311750000</v>
      </c>
    </row>
    <row r="228" spans="1:204" ht="15.75" customHeight="1" x14ac:dyDescent="0.15">
      <c r="A228" s="1">
        <f t="shared" si="612"/>
        <v>228</v>
      </c>
      <c r="B228" s="4">
        <v>45847.788877314815</v>
      </c>
      <c r="C228" s="5" t="s">
        <v>204</v>
      </c>
      <c r="D228" s="5" t="s">
        <v>204</v>
      </c>
      <c r="E228" s="5" t="s">
        <v>335</v>
      </c>
      <c r="F228" s="5" t="s">
        <v>206</v>
      </c>
      <c r="G228" s="5" t="s">
        <v>206</v>
      </c>
      <c r="H228" s="5" t="s">
        <v>206</v>
      </c>
      <c r="J228" s="5" t="s">
        <v>209</v>
      </c>
      <c r="O228" s="5" t="s">
        <v>209</v>
      </c>
      <c r="S228" s="5" t="s">
        <v>208</v>
      </c>
      <c r="X228" s="5" t="s">
        <v>208</v>
      </c>
      <c r="AG228" s="5" t="s">
        <v>207</v>
      </c>
      <c r="AH228" s="5" t="s">
        <v>259</v>
      </c>
      <c r="AI228" s="5">
        <v>2020</v>
      </c>
      <c r="AJ228" s="5" t="s">
        <v>238</v>
      </c>
      <c r="AK228" s="5" t="str">
        <f t="shared" si="613"/>
        <v>Trabajadora por cuenta propia</v>
      </c>
      <c r="AL228" s="5" t="s">
        <v>239</v>
      </c>
      <c r="AP228" s="5" t="s">
        <v>365</v>
      </c>
      <c r="AR228" s="5" t="s">
        <v>276</v>
      </c>
      <c r="AS228" s="5" t="s">
        <v>276</v>
      </c>
      <c r="AT228" s="5" t="s">
        <v>276</v>
      </c>
      <c r="AU228" s="5" t="s">
        <v>276</v>
      </c>
      <c r="AV228" s="5" t="s">
        <v>285</v>
      </c>
      <c r="AW228" s="5" t="s">
        <v>204</v>
      </c>
      <c r="AX228" s="5" t="s">
        <v>204</v>
      </c>
      <c r="AY228" s="5" t="s">
        <v>214</v>
      </c>
      <c r="AZ228" s="5" t="s">
        <v>204</v>
      </c>
      <c r="BA228" s="5" t="s">
        <v>295</v>
      </c>
      <c r="BB228" s="5" t="s">
        <v>206</v>
      </c>
      <c r="BC228" s="5" t="s">
        <v>206</v>
      </c>
      <c r="BD228" s="5" t="s">
        <v>290</v>
      </c>
      <c r="BE228" s="5" t="s">
        <v>204</v>
      </c>
      <c r="BF228" s="5" t="s">
        <v>204</v>
      </c>
      <c r="BG228" s="5" t="s">
        <v>264</v>
      </c>
      <c r="BH228" s="5" t="s">
        <v>215</v>
      </c>
      <c r="BI228" s="5" t="s">
        <v>264</v>
      </c>
      <c r="BJ228" s="5" t="s">
        <v>215</v>
      </c>
      <c r="BK228" s="5" t="s">
        <v>246</v>
      </c>
      <c r="BL228" s="5" t="s">
        <v>246</v>
      </c>
      <c r="BM228" s="5" t="s">
        <v>246</v>
      </c>
      <c r="BN228" s="5" t="s">
        <v>244</v>
      </c>
      <c r="BO228" s="5" t="s">
        <v>244</v>
      </c>
      <c r="BP228" s="5" t="s">
        <v>244</v>
      </c>
      <c r="BQ228" s="5" t="s">
        <v>244</v>
      </c>
      <c r="BR228" s="5" t="s">
        <v>244</v>
      </c>
      <c r="BS228" s="5" t="s">
        <v>248</v>
      </c>
      <c r="BT228" s="5" t="s">
        <v>248</v>
      </c>
      <c r="BU228" s="5" t="s">
        <v>247</v>
      </c>
      <c r="BV228" s="5" t="s">
        <v>248</v>
      </c>
      <c r="BW228" s="5" t="s">
        <v>248</v>
      </c>
      <c r="BX228" s="5" t="s">
        <v>217</v>
      </c>
      <c r="BY228" s="5" t="s">
        <v>217</v>
      </c>
      <c r="BZ228" s="5" t="s">
        <v>216</v>
      </c>
      <c r="CA228" s="5" t="s">
        <v>216</v>
      </c>
      <c r="CB228" s="5" t="s">
        <v>244</v>
      </c>
      <c r="CC228" s="5" t="s">
        <v>244</v>
      </c>
      <c r="CD228" s="5" t="s">
        <v>206</v>
      </c>
      <c r="CH228" s="5" t="s">
        <v>206</v>
      </c>
      <c r="CI228" s="5" t="s">
        <v>249</v>
      </c>
      <c r="CJ228" s="5">
        <v>1</v>
      </c>
      <c r="CK228" s="5" t="s">
        <v>223</v>
      </c>
      <c r="CU228" s="5" t="s">
        <v>206</v>
      </c>
      <c r="DA228" s="5" t="s">
        <v>272</v>
      </c>
      <c r="DB228" s="5">
        <f t="shared" si="614"/>
        <v>1</v>
      </c>
      <c r="DC228" s="5" t="s">
        <v>251</v>
      </c>
      <c r="DD228" s="5">
        <f t="shared" si="615"/>
        <v>1</v>
      </c>
      <c r="DE228" s="5" t="s">
        <v>230</v>
      </c>
      <c r="DF228" s="5">
        <f t="shared" si="616"/>
        <v>2</v>
      </c>
      <c r="DG228" s="5" t="s">
        <v>230</v>
      </c>
      <c r="DH228" s="5">
        <f t="shared" si="617"/>
        <v>2</v>
      </c>
      <c r="DI228" s="5" t="s">
        <v>250</v>
      </c>
      <c r="DJ228" s="5">
        <f t="shared" si="618"/>
        <v>3</v>
      </c>
      <c r="DK228" s="5" t="s">
        <v>251</v>
      </c>
      <c r="DL228" s="5">
        <f t="shared" si="619"/>
        <v>1</v>
      </c>
      <c r="DM228" s="5" t="s">
        <v>251</v>
      </c>
      <c r="DN228" s="5">
        <f t="shared" si="620"/>
        <v>1</v>
      </c>
      <c r="DO228" s="5" t="s">
        <v>281</v>
      </c>
      <c r="DP228" s="5">
        <f t="shared" si="621"/>
        <v>1</v>
      </c>
      <c r="DQ228" s="5" t="s">
        <v>281</v>
      </c>
      <c r="DR228" s="5">
        <f t="shared" si="622"/>
        <v>1</v>
      </c>
      <c r="DS228" s="5" t="s">
        <v>231</v>
      </c>
      <c r="DT228" s="5">
        <f t="shared" si="623"/>
        <v>2</v>
      </c>
      <c r="DU228" s="5" t="s">
        <v>231</v>
      </c>
      <c r="DV228" s="5">
        <f t="shared" si="624"/>
        <v>2</v>
      </c>
      <c r="DW228" s="5" t="s">
        <v>231</v>
      </c>
      <c r="DX228" s="5">
        <f t="shared" si="625"/>
        <v>2</v>
      </c>
      <c r="DY228" s="5">
        <f t="shared" si="626"/>
        <v>19</v>
      </c>
      <c r="DZ228" s="5" t="str">
        <f t="shared" si="627"/>
        <v>Nivel de riesgo medio</v>
      </c>
      <c r="EA228" s="5" t="s">
        <v>232</v>
      </c>
      <c r="EB228" s="5">
        <f t="shared" si="628"/>
        <v>3</v>
      </c>
      <c r="EC228" s="5" t="s">
        <v>232</v>
      </c>
      <c r="ED228" s="5">
        <f t="shared" si="629"/>
        <v>3</v>
      </c>
      <c r="EE228" s="5" t="s">
        <v>247</v>
      </c>
      <c r="EF228" s="5">
        <f t="shared" si="630"/>
        <v>2</v>
      </c>
      <c r="EG228" s="5">
        <f t="shared" si="631"/>
        <v>8</v>
      </c>
      <c r="EH228" s="5" t="str">
        <f t="shared" si="632"/>
        <v>Nivel de riesgo alto</v>
      </c>
      <c r="EI228" s="5" t="s">
        <v>247</v>
      </c>
      <c r="EJ228" s="5">
        <f t="shared" si="633"/>
        <v>2</v>
      </c>
      <c r="EK228" s="5" t="s">
        <v>247</v>
      </c>
      <c r="EL228" s="5">
        <f t="shared" si="634"/>
        <v>2</v>
      </c>
      <c r="EM228" s="5" t="s">
        <v>247</v>
      </c>
      <c r="EN228" s="5">
        <f t="shared" si="635"/>
        <v>2</v>
      </c>
      <c r="EO228" s="5">
        <f t="shared" si="636"/>
        <v>6</v>
      </c>
      <c r="EP228" s="5" t="str">
        <f t="shared" si="637"/>
        <v>Nivel de riesgo alto</v>
      </c>
      <c r="EQ228" s="5" t="s">
        <v>254</v>
      </c>
      <c r="ER228" s="5">
        <f t="shared" si="638"/>
        <v>0</v>
      </c>
      <c r="ES228" s="5" t="s">
        <v>232</v>
      </c>
      <c r="ET228" s="5">
        <f t="shared" si="639"/>
        <v>1</v>
      </c>
      <c r="EU228" s="5" t="s">
        <v>232</v>
      </c>
      <c r="EV228" s="5">
        <f t="shared" si="640"/>
        <v>1</v>
      </c>
      <c r="EW228" s="5" t="s">
        <v>232</v>
      </c>
      <c r="EX228" s="5">
        <f t="shared" si="641"/>
        <v>1</v>
      </c>
      <c r="EY228" s="5">
        <f t="shared" si="642"/>
        <v>3</v>
      </c>
      <c r="EZ228" s="5" t="str">
        <f t="shared" si="643"/>
        <v>Nivel de riesgo medio</v>
      </c>
      <c r="FA228" s="5" t="s">
        <v>232</v>
      </c>
      <c r="FB228" s="5">
        <f t="shared" si="644"/>
        <v>3</v>
      </c>
      <c r="FC228" s="5" t="s">
        <v>253</v>
      </c>
      <c r="FD228" s="5">
        <f t="shared" si="645"/>
        <v>0</v>
      </c>
      <c r="FE228" s="5" t="s">
        <v>253</v>
      </c>
      <c r="FF228" s="5">
        <f t="shared" si="646"/>
        <v>0</v>
      </c>
      <c r="FG228" s="5">
        <f t="shared" si="647"/>
        <v>3</v>
      </c>
      <c r="FH228" s="5" t="str">
        <f t="shared" si="648"/>
        <v>Nivel de riesgo medio</v>
      </c>
      <c r="FI228" s="5" t="s">
        <v>253</v>
      </c>
      <c r="FJ228" s="5">
        <f t="shared" si="649"/>
        <v>0</v>
      </c>
      <c r="FK228" s="5" t="s">
        <v>253</v>
      </c>
      <c r="FL228" s="5">
        <f t="shared" si="650"/>
        <v>0</v>
      </c>
      <c r="FM228" s="5" t="s">
        <v>253</v>
      </c>
      <c r="FN228" s="5">
        <f t="shared" si="651"/>
        <v>0</v>
      </c>
      <c r="FO228" s="5">
        <f t="shared" si="652"/>
        <v>0</v>
      </c>
      <c r="FP228" s="5" t="str">
        <f t="shared" si="653"/>
        <v>Nivel de riesgo bajo</v>
      </c>
      <c r="FQ228" s="5" t="s">
        <v>206</v>
      </c>
      <c r="FR228" s="5">
        <f t="shared" si="654"/>
        <v>0</v>
      </c>
      <c r="FS228" s="5" t="s">
        <v>206</v>
      </c>
      <c r="FT228" s="5">
        <f t="shared" si="655"/>
        <v>0</v>
      </c>
      <c r="FU228" s="5" t="s">
        <v>206</v>
      </c>
      <c r="FV228" s="5">
        <f t="shared" si="656"/>
        <v>0</v>
      </c>
      <c r="FW228" s="5" t="s">
        <v>206</v>
      </c>
      <c r="FX228" s="5">
        <f t="shared" si="657"/>
        <v>0</v>
      </c>
      <c r="FY228" s="5" t="s">
        <v>206</v>
      </c>
      <c r="FZ228" s="5">
        <f t="shared" si="658"/>
        <v>0</v>
      </c>
      <c r="GA228" s="5" t="s">
        <v>206</v>
      </c>
      <c r="GB228" s="5">
        <f t="shared" si="659"/>
        <v>0</v>
      </c>
      <c r="GC228" s="5" t="s">
        <v>206</v>
      </c>
      <c r="GD228" s="5">
        <f t="shared" si="660"/>
        <v>0</v>
      </c>
      <c r="GE228" s="5">
        <f t="shared" si="661"/>
        <v>0</v>
      </c>
      <c r="GF228" s="5" t="str">
        <f t="shared" si="662"/>
        <v>Nivel de riesgo bajo</v>
      </c>
      <c r="GG228" s="5" t="s">
        <v>298</v>
      </c>
      <c r="GH228" s="5" t="s">
        <v>233</v>
      </c>
      <c r="GI228" s="5" t="s">
        <v>298</v>
      </c>
      <c r="GJ228" s="5" t="s">
        <v>233</v>
      </c>
      <c r="GK228" s="5" t="s">
        <v>233</v>
      </c>
      <c r="GL228" s="5" t="s">
        <v>266</v>
      </c>
      <c r="GM228" s="5" t="s">
        <v>273</v>
      </c>
      <c r="GN228" s="5" t="s">
        <v>234</v>
      </c>
      <c r="GO228" s="5" t="s">
        <v>244</v>
      </c>
      <c r="GP228" s="5" t="s">
        <v>234</v>
      </c>
      <c r="GQ228" s="5" t="s">
        <v>234</v>
      </c>
      <c r="GR228" s="5" t="s">
        <v>244</v>
      </c>
      <c r="GS228" s="5" t="s">
        <v>244</v>
      </c>
      <c r="GT228" s="5" t="s">
        <v>244</v>
      </c>
      <c r="GU228" s="5" t="s">
        <v>580</v>
      </c>
      <c r="GV228" s="5" t="str">
        <f>TEXT("6279109592383446016","0")</f>
        <v>6279109592383440000</v>
      </c>
    </row>
    <row r="229" spans="1:204" ht="15.75" hidden="1" customHeight="1" x14ac:dyDescent="0.15">
      <c r="B229" s="4">
        <v>45847.794363425928</v>
      </c>
      <c r="C229" s="5" t="s">
        <v>204</v>
      </c>
      <c r="D229" s="5" t="s">
        <v>204</v>
      </c>
      <c r="E229" s="5" t="s">
        <v>283</v>
      </c>
      <c r="F229" s="5" t="s">
        <v>206</v>
      </c>
      <c r="G229" s="5" t="s">
        <v>206</v>
      </c>
      <c r="H229" s="5" t="s">
        <v>206</v>
      </c>
      <c r="K229" s="5" t="s">
        <v>237</v>
      </c>
      <c r="N229" s="5" t="s">
        <v>208</v>
      </c>
      <c r="T229" s="5" t="s">
        <v>209</v>
      </c>
      <c r="X229" s="5" t="s">
        <v>208</v>
      </c>
      <c r="AC229" s="5" t="s">
        <v>208</v>
      </c>
      <c r="AH229" s="5" t="s">
        <v>275</v>
      </c>
      <c r="AI229" s="5">
        <v>2024</v>
      </c>
      <c r="AJ229" s="5" t="s">
        <v>304</v>
      </c>
      <c r="AK229" s="5"/>
      <c r="AR229" s="5" t="s">
        <v>261</v>
      </c>
      <c r="AS229" s="5" t="s">
        <v>261</v>
      </c>
      <c r="AT229" s="5" t="s">
        <v>301</v>
      </c>
      <c r="AU229" s="5" t="s">
        <v>261</v>
      </c>
      <c r="AV229" s="5" t="s">
        <v>213</v>
      </c>
      <c r="AW229" s="5" t="s">
        <v>206</v>
      </c>
      <c r="BF229" s="5" t="s">
        <v>206</v>
      </c>
      <c r="CK229" s="5" t="s">
        <v>223</v>
      </c>
      <c r="CU229" s="5" t="s">
        <v>206</v>
      </c>
      <c r="DA229" s="5" t="s">
        <v>272</v>
      </c>
      <c r="DB229" s="5"/>
      <c r="DC229" s="5" t="s">
        <v>230</v>
      </c>
      <c r="DD229" s="5"/>
      <c r="DE229" s="5" t="s">
        <v>230</v>
      </c>
      <c r="DF229" s="5"/>
      <c r="DG229" s="5" t="s">
        <v>230</v>
      </c>
      <c r="DH229" s="5"/>
      <c r="DI229" s="5" t="s">
        <v>230</v>
      </c>
      <c r="DJ229" s="5"/>
      <c r="DK229" s="5" t="s">
        <v>251</v>
      </c>
      <c r="DL229" s="5"/>
      <c r="DM229" s="5" t="s">
        <v>251</v>
      </c>
      <c r="DN229" s="5"/>
      <c r="DO229" s="5" t="s">
        <v>281</v>
      </c>
      <c r="DP229" s="5"/>
      <c r="DQ229" s="5" t="s">
        <v>281</v>
      </c>
      <c r="DR229" s="5"/>
      <c r="DS229" s="5" t="s">
        <v>231</v>
      </c>
      <c r="DT229" s="5"/>
      <c r="DU229" s="5" t="s">
        <v>231</v>
      </c>
      <c r="DV229" s="5"/>
      <c r="DW229" s="5" t="s">
        <v>231</v>
      </c>
      <c r="DX229" s="5"/>
      <c r="DY229" s="5"/>
      <c r="DZ229" s="5"/>
      <c r="EA229" s="5" t="s">
        <v>247</v>
      </c>
      <c r="EB229" s="5"/>
      <c r="EC229" s="5" t="s">
        <v>232</v>
      </c>
      <c r="ED229" s="5"/>
      <c r="EE229" s="5" t="s">
        <v>232</v>
      </c>
      <c r="EF229" s="5"/>
      <c r="EG229" s="5"/>
      <c r="EH229" s="5"/>
      <c r="EI229" s="5" t="s">
        <v>248</v>
      </c>
      <c r="EJ229" s="5"/>
      <c r="EK229" s="5" t="s">
        <v>247</v>
      </c>
      <c r="EL229" s="5"/>
      <c r="EM229" s="5" t="s">
        <v>253</v>
      </c>
      <c r="EN229" s="5"/>
      <c r="EO229" s="5"/>
      <c r="EP229" s="5"/>
      <c r="EQ229" s="5" t="s">
        <v>254</v>
      </c>
      <c r="ER229" s="5"/>
      <c r="ES229" s="5" t="s">
        <v>254</v>
      </c>
      <c r="ET229" s="5"/>
      <c r="EU229" s="5" t="s">
        <v>254</v>
      </c>
      <c r="EV229" s="5"/>
      <c r="EW229" s="5" t="s">
        <v>254</v>
      </c>
      <c r="EX229" s="5"/>
      <c r="EY229" s="5"/>
      <c r="EZ229" s="5"/>
      <c r="FA229" s="5" t="s">
        <v>254</v>
      </c>
      <c r="FB229" s="5"/>
      <c r="FC229" s="5" t="s">
        <v>253</v>
      </c>
      <c r="FD229" s="5"/>
      <c r="FE229" s="5" t="s">
        <v>253</v>
      </c>
      <c r="FF229" s="5"/>
      <c r="FG229" s="5"/>
      <c r="FH229" s="5"/>
      <c r="FI229" s="5" t="s">
        <v>253</v>
      </c>
      <c r="FJ229" s="5"/>
      <c r="FK229" s="5" t="s">
        <v>253</v>
      </c>
      <c r="FL229" s="5"/>
      <c r="FM229" s="5" t="s">
        <v>247</v>
      </c>
      <c r="FN229" s="5"/>
      <c r="FO229" s="5"/>
      <c r="FP229" s="5"/>
      <c r="FQ229" s="5" t="s">
        <v>206</v>
      </c>
      <c r="FR229" s="5"/>
      <c r="FS229" s="5" t="s">
        <v>206</v>
      </c>
      <c r="FT229" s="5"/>
      <c r="FU229" s="5" t="s">
        <v>206</v>
      </c>
      <c r="FV229" s="5"/>
      <c r="FW229" s="5" t="s">
        <v>206</v>
      </c>
      <c r="FX229" s="5"/>
      <c r="FY229" s="5" t="s">
        <v>206</v>
      </c>
      <c r="FZ229" s="5"/>
      <c r="GA229" s="5" t="s">
        <v>206</v>
      </c>
      <c r="GB229" s="5"/>
      <c r="GC229" s="5" t="s">
        <v>206</v>
      </c>
      <c r="GD229" s="5"/>
      <c r="GE229" s="5"/>
      <c r="GF229" s="5"/>
      <c r="GG229" s="5" t="s">
        <v>255</v>
      </c>
      <c r="GH229" s="5" t="s">
        <v>255</v>
      </c>
      <c r="GI229" s="5" t="s">
        <v>255</v>
      </c>
      <c r="GJ229" s="5" t="s">
        <v>233</v>
      </c>
      <c r="GK229" s="5" t="s">
        <v>233</v>
      </c>
      <c r="GL229" s="5" t="s">
        <v>233</v>
      </c>
      <c r="GM229" s="5" t="s">
        <v>233</v>
      </c>
      <c r="GN229" s="5" t="s">
        <v>256</v>
      </c>
      <c r="GO229" s="5" t="s">
        <v>256</v>
      </c>
      <c r="GP229" s="5" t="s">
        <v>256</v>
      </c>
      <c r="GQ229" s="5" t="s">
        <v>256</v>
      </c>
      <c r="GR229" s="5" t="s">
        <v>243</v>
      </c>
      <c r="GS229" s="5" t="s">
        <v>256</v>
      </c>
      <c r="GT229" s="5" t="s">
        <v>256</v>
      </c>
      <c r="GU229" s="5" t="s">
        <v>581</v>
      </c>
      <c r="GV229" s="5" t="str">
        <f>TEXT("6279114338024972805","0")</f>
        <v>6279114338024970000</v>
      </c>
    </row>
    <row r="230" spans="1:204" ht="15.75" customHeight="1" x14ac:dyDescent="0.15">
      <c r="A230" s="1">
        <f>ROW(A230)</f>
        <v>230</v>
      </c>
      <c r="B230" s="4">
        <v>45847.800613425927</v>
      </c>
      <c r="C230" s="5" t="s">
        <v>204</v>
      </c>
      <c r="D230" s="5" t="s">
        <v>206</v>
      </c>
      <c r="F230" s="5" t="s">
        <v>204</v>
      </c>
      <c r="G230" s="5" t="s">
        <v>204</v>
      </c>
      <c r="H230" s="5" t="s">
        <v>206</v>
      </c>
      <c r="K230" s="5" t="s">
        <v>237</v>
      </c>
      <c r="O230" s="5" t="s">
        <v>209</v>
      </c>
      <c r="S230" s="5" t="s">
        <v>208</v>
      </c>
      <c r="X230" s="5" t="s">
        <v>208</v>
      </c>
      <c r="AC230" s="5" t="s">
        <v>208</v>
      </c>
      <c r="AH230" s="5" t="s">
        <v>268</v>
      </c>
      <c r="AI230" s="5">
        <v>2016</v>
      </c>
      <c r="AJ230" s="5" t="s">
        <v>238</v>
      </c>
      <c r="AK230" s="5" t="str">
        <f>IF(OR(AJ230="Empleada del sector privado",AJ230="Empleada del sector público"),"Asalariada",
IF(AJ230="Trabajadora por cuenta propia","Trabajadora por cuenta propia",""))</f>
        <v>Trabajadora por cuenta propia</v>
      </c>
      <c r="AM230" s="5" t="s">
        <v>309</v>
      </c>
      <c r="AP230" s="5" t="s">
        <v>240</v>
      </c>
      <c r="AR230" s="5" t="s">
        <v>241</v>
      </c>
      <c r="AS230" s="5" t="s">
        <v>241</v>
      </c>
      <c r="AT230" s="5" t="s">
        <v>241</v>
      </c>
      <c r="AU230" s="5" t="s">
        <v>241</v>
      </c>
      <c r="AV230" s="5" t="s">
        <v>285</v>
      </c>
      <c r="AW230" s="5" t="s">
        <v>204</v>
      </c>
      <c r="AX230" s="5" t="s">
        <v>204</v>
      </c>
      <c r="AY230" s="5" t="s">
        <v>214</v>
      </c>
      <c r="AZ230" s="5" t="s">
        <v>204</v>
      </c>
      <c r="BA230" s="5" t="s">
        <v>474</v>
      </c>
      <c r="BF230" s="5" t="s">
        <v>204</v>
      </c>
      <c r="BG230" s="5" t="s">
        <v>207</v>
      </c>
      <c r="BH230" s="5" t="s">
        <v>264</v>
      </c>
      <c r="BI230" s="5" t="s">
        <v>207</v>
      </c>
      <c r="BJ230" s="5" t="s">
        <v>264</v>
      </c>
      <c r="BK230" s="5" t="s">
        <v>244</v>
      </c>
      <c r="BL230" s="5" t="s">
        <v>216</v>
      </c>
      <c r="BM230" s="5" t="s">
        <v>216</v>
      </c>
      <c r="BN230" s="5" t="s">
        <v>246</v>
      </c>
      <c r="BO230" s="5" t="s">
        <v>216</v>
      </c>
      <c r="BP230" s="5" t="s">
        <v>246</v>
      </c>
      <c r="BQ230" s="5" t="s">
        <v>244</v>
      </c>
      <c r="BR230" s="5" t="s">
        <v>216</v>
      </c>
      <c r="BS230" s="5" t="s">
        <v>217</v>
      </c>
      <c r="BT230" s="5" t="s">
        <v>217</v>
      </c>
      <c r="BU230" s="5" t="s">
        <v>248</v>
      </c>
      <c r="BV230" s="5" t="s">
        <v>248</v>
      </c>
      <c r="BW230" s="5" t="s">
        <v>248</v>
      </c>
      <c r="BX230" s="5" t="s">
        <v>217</v>
      </c>
      <c r="BY230" s="5" t="s">
        <v>217</v>
      </c>
      <c r="BZ230" s="5" t="s">
        <v>216</v>
      </c>
      <c r="CA230" s="5" t="s">
        <v>216</v>
      </c>
      <c r="CB230" s="5" t="s">
        <v>216</v>
      </c>
      <c r="CC230" s="5" t="s">
        <v>216</v>
      </c>
      <c r="CD230" s="5" t="s">
        <v>206</v>
      </c>
      <c r="CH230" s="5" t="s">
        <v>206</v>
      </c>
      <c r="CI230" s="5" t="s">
        <v>206</v>
      </c>
      <c r="CJ230" s="5">
        <v>0</v>
      </c>
      <c r="CK230" s="5" t="s">
        <v>223</v>
      </c>
      <c r="CU230" s="5" t="s">
        <v>206</v>
      </c>
      <c r="DA230" s="5" t="s">
        <v>272</v>
      </c>
      <c r="DB230" s="5">
        <f>IF(DA230="Mejor que lo habitual",1,
IF(DA230="Igual que lo habitual",2,
IF(DA230="Menos que lo habitual",3,
IF(DA230="Mucho menos que lo habitual",4,""))))</f>
        <v>1</v>
      </c>
      <c r="DC230" s="5" t="s">
        <v>230</v>
      </c>
      <c r="DD230" s="5">
        <f>IF(DC230="No, en absoluto",1,
IF(DC230="No más que lo habitual",2,
IF(DC230="Bastante más que lo habitual",3,
IF(DC230="Mucho más que lo habitual",4,""))))</f>
        <v>2</v>
      </c>
      <c r="DE230" s="5" t="s">
        <v>230</v>
      </c>
      <c r="DF230" s="5">
        <f>IF(DE230="No, en absoluto",1,
IF(DE230="No más que lo habitual",2,
IF(DE230="Bastante más que lo habitual",3,
IF(DE230="Mucho más que lo habitual",4,""))))</f>
        <v>2</v>
      </c>
      <c r="DG230" s="5" t="s">
        <v>230</v>
      </c>
      <c r="DH230" s="5">
        <f>IF(DG230="No, en absoluto",1,
IF(DG230="No más que lo habitual",2,
IF(DG230="Bastante más que lo habitual",3,
IF(DG230="Mucho más que lo habitual",4,""))))</f>
        <v>2</v>
      </c>
      <c r="DI230" s="5" t="s">
        <v>230</v>
      </c>
      <c r="DJ230" s="5">
        <f>IF(DI230="No, en absoluto",1,
IF(DI230="No más que lo habitual",2,
IF(DI230="Bastante más que lo habitual",3,
IF(DI230="Mucho más que lo habitual",4,""))))</f>
        <v>2</v>
      </c>
      <c r="DK230" s="5" t="s">
        <v>251</v>
      </c>
      <c r="DL230" s="5">
        <f>IF(DK230="No, en absoluto",1,
IF(DK230="No más que lo habitual",2,
IF(DK230="Bastante más que lo habitual",3,
IF(DK230="Mucho más que lo habitual",4,""))))</f>
        <v>1</v>
      </c>
      <c r="DM230" s="5" t="s">
        <v>251</v>
      </c>
      <c r="DN230" s="5">
        <f>IF(DM230="No, en absoluto",1,
IF(DM230="No más que lo habitual",2,
IF(DM230="Bastante más que lo habitual",3,
IF(DM230="Mucho más que lo habitual",4,""))))</f>
        <v>1</v>
      </c>
      <c r="DO230" s="5" t="s">
        <v>281</v>
      </c>
      <c r="DP230" s="5">
        <f>IF(DO230="Más que lo habitual",1,
IF(DO230="Igual que lo habitual",2,
IF(DO230="Menos que lo habitual",3,
IF(DO230="Mucho menos que lo habitual",4,""))))</f>
        <v>1</v>
      </c>
      <c r="DQ230" s="5" t="s">
        <v>281</v>
      </c>
      <c r="DR230" s="5">
        <f>IF(DQ230="Más que lo habitual",1,
IF(DQ230="Igual que lo habitual",2,
IF(DQ230="Menos que lo habitual",3,
IF(DQ230="Mucho menos que lo habitual",4,""))))</f>
        <v>1</v>
      </c>
      <c r="DS230" s="5" t="s">
        <v>281</v>
      </c>
      <c r="DT230" s="5">
        <f>IF(DS230="Más que lo habitual",1,
IF(DS230="Igual que lo habitual",2,
IF(DS230="Menos que lo habitual",3,
IF(DS230="Mucho menos que lo habitual",4,""))))</f>
        <v>1</v>
      </c>
      <c r="DU230" s="5" t="s">
        <v>281</v>
      </c>
      <c r="DV230" s="5">
        <f>IF(DU230="Más que lo habitual",1,
IF(DU230="Igual que lo habitual",2,
IF(DU230="Menos que lo habitual",3,
IF(DU230="Mucho menos que lo habitual",4,""))))</f>
        <v>1</v>
      </c>
      <c r="DW230" s="5" t="s">
        <v>281</v>
      </c>
      <c r="DX230" s="5">
        <f>IF(DW230="Más que lo habitual",1,
IF(DW230="Igual que lo habitual",2,
IF(DW230="Menos que lo habitual",3,
IF(DW230="Mucho menos que lo habitual",4,""))))</f>
        <v>1</v>
      </c>
      <c r="DY230" s="5">
        <f>SUM(DB230,DD230,DF230,DH230,DJ230,DL230,DN230,DP230,DR230,DT230,DV230,DX230)</f>
        <v>16</v>
      </c>
      <c r="DZ230" s="5" t="str">
        <f>IF(DY230&lt;=18,"Nivel de riesgo bajo",
IF(DY230&lt;=23,"Nivel de riesgo medio",
"Nivel de riesgo alto"))</f>
        <v>Nivel de riesgo bajo</v>
      </c>
      <c r="EA230" s="5" t="s">
        <v>248</v>
      </c>
      <c r="EB230" s="5">
        <f>IF(EA230="Nunca/ casi nunca",0,
IF(EA230="Rara vez",1,
IF(EA230="A veces",2,
IF(EA230="A menudo",3,
IF(EA230="Siempre",4,"")))))</f>
        <v>1</v>
      </c>
      <c r="EC230" s="5" t="s">
        <v>248</v>
      </c>
      <c r="ED230" s="5">
        <f>IF(EC230="Nunca/ casi nunca",0,
IF(EC230="Rara vez",1,
IF(EC230="A veces",2,
IF(EC230="A menudo",3,
IF(EC230="Siempre",4,"")))))</f>
        <v>1</v>
      </c>
      <c r="EE230" s="5" t="s">
        <v>248</v>
      </c>
      <c r="EF230" s="5">
        <f>IF(EE230="Nunca/ casi nunca",0,
IF(EE230="Rara vez",1,
IF(EE230="A veces",2,
IF(EE230="A menudo",3,
IF(EE230="Siempre",4,"")))))</f>
        <v>1</v>
      </c>
      <c r="EG230" s="5">
        <f>SUM(EB230,ED230,EF230)</f>
        <v>3</v>
      </c>
      <c r="EH230" s="5" t="str">
        <f>IF(EG230&lt;=1,"Nivel de riesgo bajo",
IF(EG230&lt;=4,"Nivel de riesgo medio",
"Nivel de riesgo alto"))</f>
        <v>Nivel de riesgo medio</v>
      </c>
      <c r="EI230" s="5" t="s">
        <v>253</v>
      </c>
      <c r="EJ230" s="5">
        <f>IF(EI230="Nunca/ casi nunca",0,
IF(EI230="Rara vez",1,
IF(EI230="A veces",2,
IF(EI230="A menudo",3,
IF(EI230="Siempre",4,"")))))</f>
        <v>0</v>
      </c>
      <c r="EK230" s="5" t="s">
        <v>248</v>
      </c>
      <c r="EL230" s="5">
        <f>IF(EK230="Nunca/ casi nunca",0,
IF(EK230="Rara vez",1,
IF(EK230="A veces",2,
IF(EK230="A menudo",3,
IF(EK230="Siempre",4,"")))))</f>
        <v>1</v>
      </c>
      <c r="EM230" s="5" t="s">
        <v>247</v>
      </c>
      <c r="EN230" s="5">
        <f>IF(EM230="Nunca/ casi nunca",0,
IF(EM230="Rara vez",1,
IF(EM230="A veces",2,
IF(EM230="A menudo",3,
IF(EM230="Siempre",4,"")))))</f>
        <v>2</v>
      </c>
      <c r="EO230" s="5">
        <f>SUM(EJ230,EL230,EN230)</f>
        <v>3</v>
      </c>
      <c r="EP230" s="5" t="str">
        <f>IF(EO230&lt;=1,"Nivel de riesgo bajo",
IF(EO230&lt;=5,"Nivel de riesgo medio",
"Nivel de riesgo alto"))</f>
        <v>Nivel de riesgo medio</v>
      </c>
      <c r="EQ230" s="5" t="s">
        <v>254</v>
      </c>
      <c r="ER230" s="5">
        <f>IF(EQ230="Nunca/ casi nunca",4,
IF(EQ230="Rara vez",3,
IF(EQ230="A veces",2,
IF(EQ230="A menudo",1,
IF(EQ230="Siempre",0,"")))))</f>
        <v>0</v>
      </c>
      <c r="ES230" s="5" t="s">
        <v>254</v>
      </c>
      <c r="ET230" s="5">
        <f>IF(ES230="Nunca/ casi nunca",4,
IF(ES230="Rara vez",3,
IF(ES230="A veces",2,
IF(ES230="A menudo",1,
IF(ES230="Siempre",0,"")))))</f>
        <v>0</v>
      </c>
      <c r="EU230" s="5" t="s">
        <v>254</v>
      </c>
      <c r="EV230" s="5">
        <f>IF(EU230="Nunca/ casi nunca",4,
IF(EU230="Rara vez",3,
IF(EU230="A veces",2,
IF(EU230="A menudo",1,
IF(EU230="Siempre",0,"")))))</f>
        <v>0</v>
      </c>
      <c r="EW230" s="5" t="s">
        <v>254</v>
      </c>
      <c r="EX230" s="5">
        <f>IF(EW230="Nunca/ casi nunca",4,
IF(EW230="Rara vez",3,
IF(EW230="A veces",2,
IF(EW230="A menudo",1,
IF(EW230="Siempre",0,"")))))</f>
        <v>0</v>
      </c>
      <c r="EY230" s="5">
        <f>SUM(ER230,ET230,EV230,EX230)</f>
        <v>0</v>
      </c>
      <c r="EZ230" s="5" t="str">
        <f>IF(EY230&lt;=0,"Nivel de riesgo bajo",
IF(EY230&lt;=4,"Nivel de riesgo medio",
"Nivel de riesgo alto"))</f>
        <v>Nivel de riesgo bajo</v>
      </c>
      <c r="FA230" s="5" t="s">
        <v>253</v>
      </c>
      <c r="FB230" s="5">
        <f>IF(FA230="Nunca/ casi nunca",0,
IF(FA230="Rara vez",1,
IF(FA230="A veces",2,
IF(FA230="A menudo",3,
IF(FA230="Siempre",4,"")))))</f>
        <v>0</v>
      </c>
      <c r="FC230" s="5" t="s">
        <v>253</v>
      </c>
      <c r="FD230" s="5">
        <f>IF(FC230="Nunca/ casi nunca",0,
IF(FC230="Rara vez",1,
IF(FC230="A veces",2,
IF(FC230="A menudo",3,
IF(FC230="Siempre",4,"")))))</f>
        <v>0</v>
      </c>
      <c r="FE230" s="5" t="s">
        <v>253</v>
      </c>
      <c r="FF230" s="5">
        <f>IF(FE230="Nunca/ casi nunca",0,
IF(FE230="Rara vez",1,
IF(FE230="A veces",2,
IF(FE230="A menudo",3,
IF(FE230="Siempre",4,"")))))</f>
        <v>0</v>
      </c>
      <c r="FG230" s="5">
        <f>SUM(FB230,FD230,FF230)</f>
        <v>0</v>
      </c>
      <c r="FH230" s="5" t="str">
        <f>IF(FG230&lt;=2,"Nivel de riesgo bajo",
IF(FG230&lt;=5,"Nivel de riesgo medio",
"Nivel de riesgo alto"))</f>
        <v>Nivel de riesgo bajo</v>
      </c>
      <c r="FI230" s="5" t="s">
        <v>253</v>
      </c>
      <c r="FJ230" s="5">
        <f>IF(FI230="Nunca/ casi nunca",0,
IF(FI230="Rara vez",1,
IF(FI230="A veces",2,
IF(FI230="A menudo",3,
IF(FI230="Siempre",4,"")))))</f>
        <v>0</v>
      </c>
      <c r="FK230" s="5" t="s">
        <v>253</v>
      </c>
      <c r="FL230" s="5">
        <f>IF(FK230="Nunca/ casi nunca",0,
IF(FK230="Rara vez",1,
IF(FK230="A veces",2,
IF(FK230="A menudo",3,
IF(FK230="Siempre",4,"")))))</f>
        <v>0</v>
      </c>
      <c r="FM230" s="5" t="s">
        <v>253</v>
      </c>
      <c r="FN230" s="5">
        <f>IF(FM230="Nunca/ casi nunca",0,
IF(FM230="Rara vez",1,
IF(FM230="A veces",2,
IF(FM230="A menudo",3,
IF(FM230="Siempre",4,"")))))</f>
        <v>0</v>
      </c>
      <c r="FO230" s="5">
        <f>SUM(FJ230,FL230,FN230)</f>
        <v>0</v>
      </c>
      <c r="FP230" s="5" t="str">
        <f>IF(FO230&lt;=2,"Nivel de riesgo bajo",
IF(FO230&lt;=5,"Nivel de riesgo medio",
"Nivel de riesgo alto"))</f>
        <v>Nivel de riesgo bajo</v>
      </c>
      <c r="FQ230" s="5" t="s">
        <v>206</v>
      </c>
      <c r="FR230" s="5">
        <f>IF(FQ230="No",0,
IF(FQ230="Sí, unas pocas veces",1,
IF(FQ230="Sí, mensualmente",2,
IF(FQ230="Sí, semanalmente",3,
IF(FQ230="Sí, diariamente",4,"")))))</f>
        <v>0</v>
      </c>
      <c r="FS230" s="5" t="s">
        <v>206</v>
      </c>
      <c r="FT230" s="5">
        <f>IF(FS230="No",0,
IF(FS230="Sí, unas pocas veces",1,
IF(FS230="Sí, mensualmente",2,
IF(FS230="Sí, semanalmente",3,
IF(FS230="Sí, diariamente",4,"")))))</f>
        <v>0</v>
      </c>
      <c r="FU230" s="5" t="s">
        <v>206</v>
      </c>
      <c r="FV230" s="5">
        <f>IF(FU230="No",0,
IF(FU230="Sí, unas pocas veces",1,
IF(FU230="Sí, mensualmente",2,
IF(FU230="Sí, semanalmente",3,
IF(FU230="Sí, diariamente",4,"")))))</f>
        <v>0</v>
      </c>
      <c r="FW230" s="5" t="s">
        <v>206</v>
      </c>
      <c r="FX230" s="5">
        <f>IF(FW230="No",0,
IF(FW230="Sí, unas pocas veces",1,
IF(FW230="Sí, mensualmente",2,
IF(FW230="Sí, semanalmente",3,
IF(FW230="Sí, diariamente",4,"")))))</f>
        <v>0</v>
      </c>
      <c r="FY230" s="5" t="s">
        <v>206</v>
      </c>
      <c r="FZ230" s="5">
        <f>IF(FY230="No",0,
IF(FY230="Sí, unas pocas veces",1,
IF(FY230="Sí, mensualmente",2,
IF(FY230="Sí, semanalmente",3,
IF(FY230="Sí, diariamente",4,"")))))</f>
        <v>0</v>
      </c>
      <c r="GA230" s="5" t="s">
        <v>206</v>
      </c>
      <c r="GB230" s="5">
        <f>IF(GA230="No",0,
IF(GA230="Sí, unas pocas veces",1,
IF(GA230="Sí, mensualmente",2,
IF(GA230="Sí, semanalmente",3,
IF(GA230="Sí, diariamente",4,"")))))</f>
        <v>0</v>
      </c>
      <c r="GC230" s="5" t="s">
        <v>206</v>
      </c>
      <c r="GD230" s="5">
        <f>IF(GC230="No",0,
IF(GC230="Sí, unas pocas veces",1,
IF(GC230="Sí, mensualmente",2,
IF(GC230="Sí, semanalmente",3,
IF(GC230="Sí, diariamente",4,"")))))</f>
        <v>0</v>
      </c>
      <c r="GE230" s="5">
        <f>SUM(FR230,FT230,FV230,FX230,FZ230,GB230,GD230)</f>
        <v>0</v>
      </c>
      <c r="GF230" s="5" t="str">
        <f>IF(GE230&lt;=0,"Nivel de riesgo bajo",
IF(GE230&lt;=14,"Nivel de riesgo medio",
"Nivel de riesgo alto"))</f>
        <v>Nivel de riesgo bajo</v>
      </c>
      <c r="GG230" s="5" t="s">
        <v>255</v>
      </c>
      <c r="GH230" s="5" t="s">
        <v>255</v>
      </c>
      <c r="GI230" s="5" t="s">
        <v>255</v>
      </c>
      <c r="GJ230" s="5" t="s">
        <v>255</v>
      </c>
      <c r="GK230" s="5" t="s">
        <v>233</v>
      </c>
      <c r="GL230" s="5" t="s">
        <v>255</v>
      </c>
      <c r="GM230" s="5" t="s">
        <v>266</v>
      </c>
      <c r="GN230" s="5" t="s">
        <v>256</v>
      </c>
      <c r="GO230" s="5" t="s">
        <v>256</v>
      </c>
      <c r="GP230" s="5" t="s">
        <v>256</v>
      </c>
      <c r="GQ230" s="5" t="s">
        <v>256</v>
      </c>
      <c r="GR230" s="5" t="s">
        <v>256</v>
      </c>
      <c r="GS230" s="5" t="s">
        <v>256</v>
      </c>
      <c r="GT230" s="5" t="s">
        <v>256</v>
      </c>
      <c r="GU230" s="5" t="s">
        <v>582</v>
      </c>
      <c r="GV230" s="5" t="str">
        <f>TEXT("6279119733521946376","0")</f>
        <v>6279119733521940000</v>
      </c>
    </row>
    <row r="231" spans="1:204" ht="15.75" customHeight="1" x14ac:dyDescent="0.15">
      <c r="A231" s="1">
        <f>ROW(A231)</f>
        <v>231</v>
      </c>
      <c r="B231" s="4">
        <v>45847.81318287037</v>
      </c>
      <c r="C231" s="5" t="s">
        <v>204</v>
      </c>
      <c r="D231" s="5" t="s">
        <v>204</v>
      </c>
      <c r="E231" s="5" t="s">
        <v>335</v>
      </c>
      <c r="F231" s="5" t="s">
        <v>206</v>
      </c>
      <c r="G231" s="5" t="s">
        <v>206</v>
      </c>
      <c r="H231" s="5" t="s">
        <v>206</v>
      </c>
      <c r="K231" s="5" t="s">
        <v>237</v>
      </c>
      <c r="P231" s="5" t="s">
        <v>237</v>
      </c>
      <c r="T231" s="5" t="s">
        <v>209</v>
      </c>
      <c r="X231" s="5" t="s">
        <v>208</v>
      </c>
      <c r="AC231" s="5" t="s">
        <v>208</v>
      </c>
      <c r="AH231" s="5" t="s">
        <v>583</v>
      </c>
      <c r="AI231" s="5">
        <v>2015</v>
      </c>
      <c r="AJ231" s="5" t="s">
        <v>238</v>
      </c>
      <c r="AK231" s="5" t="str">
        <f>IF(OR(AJ231="Empleada del sector privado",AJ231="Empleada del sector público"),"Asalariada",
IF(AJ231="Trabajadora por cuenta propia","Trabajadora por cuenta propia",""))</f>
        <v>Trabajadora por cuenta propia</v>
      </c>
      <c r="AL231" s="5" t="s">
        <v>239</v>
      </c>
      <c r="AP231" s="5" t="s">
        <v>240</v>
      </c>
      <c r="AR231" s="5" t="s">
        <v>241</v>
      </c>
      <c r="AS231" s="5" t="s">
        <v>241</v>
      </c>
      <c r="AT231" s="5" t="s">
        <v>241</v>
      </c>
      <c r="AU231" s="5" t="s">
        <v>241</v>
      </c>
      <c r="AV231" s="5" t="s">
        <v>213</v>
      </c>
      <c r="AW231" s="5" t="s">
        <v>204</v>
      </c>
      <c r="AX231" s="5" t="s">
        <v>206</v>
      </c>
      <c r="BF231" s="5" t="s">
        <v>204</v>
      </c>
      <c r="BG231" s="5" t="s">
        <v>278</v>
      </c>
      <c r="BH231" s="5" t="s">
        <v>278</v>
      </c>
      <c r="BI231" s="5" t="s">
        <v>278</v>
      </c>
      <c r="BJ231" s="5" t="s">
        <v>278</v>
      </c>
      <c r="BK231" s="5" t="s">
        <v>246</v>
      </c>
      <c r="BL231" s="5" t="s">
        <v>216</v>
      </c>
      <c r="BM231" s="5" t="s">
        <v>246</v>
      </c>
      <c r="BN231" s="5" t="s">
        <v>243</v>
      </c>
      <c r="BO231" s="5" t="s">
        <v>246</v>
      </c>
      <c r="BP231" s="5" t="s">
        <v>246</v>
      </c>
      <c r="BQ231" s="5" t="s">
        <v>216</v>
      </c>
      <c r="BR231" s="5" t="s">
        <v>216</v>
      </c>
      <c r="BS231" s="5" t="s">
        <v>247</v>
      </c>
      <c r="BT231" s="5" t="s">
        <v>248</v>
      </c>
      <c r="BU231" s="5" t="s">
        <v>232</v>
      </c>
      <c r="BV231" s="5" t="s">
        <v>217</v>
      </c>
      <c r="BW231" s="5" t="s">
        <v>248</v>
      </c>
      <c r="BX231" s="5" t="s">
        <v>248</v>
      </c>
      <c r="BY231" s="5" t="s">
        <v>217</v>
      </c>
      <c r="BZ231" s="5" t="s">
        <v>216</v>
      </c>
      <c r="CA231" s="5" t="s">
        <v>216</v>
      </c>
      <c r="CB231" s="5" t="s">
        <v>216</v>
      </c>
      <c r="CC231" s="5" t="s">
        <v>216</v>
      </c>
      <c r="CD231" s="5" t="s">
        <v>206</v>
      </c>
      <c r="CH231" s="5" t="s">
        <v>206</v>
      </c>
      <c r="CI231" s="5" t="s">
        <v>206</v>
      </c>
      <c r="CJ231" s="5">
        <v>0</v>
      </c>
      <c r="CK231" s="5" t="s">
        <v>223</v>
      </c>
      <c r="CU231" s="5" t="s">
        <v>206</v>
      </c>
      <c r="DA231" s="5" t="s">
        <v>231</v>
      </c>
      <c r="DB231" s="5">
        <f>IF(DA231="Mejor que lo habitual",1,
IF(DA231="Igual que lo habitual",2,
IF(DA231="Menos que lo habitual",3,
IF(DA231="Mucho menos que lo habitual",4,""))))</f>
        <v>2</v>
      </c>
      <c r="DC231" s="5" t="s">
        <v>251</v>
      </c>
      <c r="DD231" s="5">
        <f>IF(DC231="No, en absoluto",1,
IF(DC231="No más que lo habitual",2,
IF(DC231="Bastante más que lo habitual",3,
IF(DC231="Mucho más que lo habitual",4,""))))</f>
        <v>1</v>
      </c>
      <c r="DE231" s="5" t="s">
        <v>251</v>
      </c>
      <c r="DF231" s="5">
        <f>IF(DE231="No, en absoluto",1,
IF(DE231="No más que lo habitual",2,
IF(DE231="Bastante más que lo habitual",3,
IF(DE231="Mucho más que lo habitual",4,""))))</f>
        <v>1</v>
      </c>
      <c r="DG231" s="5" t="s">
        <v>251</v>
      </c>
      <c r="DH231" s="5">
        <f>IF(DG231="No, en absoluto",1,
IF(DG231="No más que lo habitual",2,
IF(DG231="Bastante más que lo habitual",3,
IF(DG231="Mucho más que lo habitual",4,""))))</f>
        <v>1</v>
      </c>
      <c r="DI231" s="5" t="s">
        <v>251</v>
      </c>
      <c r="DJ231" s="5">
        <f>IF(DI231="No, en absoluto",1,
IF(DI231="No más que lo habitual",2,
IF(DI231="Bastante más que lo habitual",3,
IF(DI231="Mucho más que lo habitual",4,""))))</f>
        <v>1</v>
      </c>
      <c r="DK231" s="5" t="s">
        <v>251</v>
      </c>
      <c r="DL231" s="5">
        <f>IF(DK231="No, en absoluto",1,
IF(DK231="No más que lo habitual",2,
IF(DK231="Bastante más que lo habitual",3,
IF(DK231="Mucho más que lo habitual",4,""))))</f>
        <v>1</v>
      </c>
      <c r="DM231" s="5" t="s">
        <v>251</v>
      </c>
      <c r="DN231" s="5">
        <f>IF(DM231="No, en absoluto",1,
IF(DM231="No más que lo habitual",2,
IF(DM231="Bastante más que lo habitual",3,
IF(DM231="Mucho más que lo habitual",4,""))))</f>
        <v>1</v>
      </c>
      <c r="DO231" s="5" t="s">
        <v>281</v>
      </c>
      <c r="DP231" s="5">
        <f>IF(DO231="Más que lo habitual",1,
IF(DO231="Igual que lo habitual",2,
IF(DO231="Menos que lo habitual",3,
IF(DO231="Mucho menos que lo habitual",4,""))))</f>
        <v>1</v>
      </c>
      <c r="DQ231" s="5" t="s">
        <v>281</v>
      </c>
      <c r="DR231" s="5">
        <f>IF(DQ231="Más que lo habitual",1,
IF(DQ231="Igual que lo habitual",2,
IF(DQ231="Menos que lo habitual",3,
IF(DQ231="Mucho menos que lo habitual",4,""))))</f>
        <v>1</v>
      </c>
      <c r="DS231" s="5" t="s">
        <v>231</v>
      </c>
      <c r="DT231" s="5">
        <f>IF(DS231="Más que lo habitual",1,
IF(DS231="Igual que lo habitual",2,
IF(DS231="Menos que lo habitual",3,
IF(DS231="Mucho menos que lo habitual",4,""))))</f>
        <v>2</v>
      </c>
      <c r="DU231" s="5" t="s">
        <v>281</v>
      </c>
      <c r="DV231" s="5">
        <f>IF(DU231="Más que lo habitual",1,
IF(DU231="Igual que lo habitual",2,
IF(DU231="Menos que lo habitual",3,
IF(DU231="Mucho menos que lo habitual",4,""))))</f>
        <v>1</v>
      </c>
      <c r="DW231" s="5" t="s">
        <v>281</v>
      </c>
      <c r="DX231" s="5">
        <f>IF(DW231="Más que lo habitual",1,
IF(DW231="Igual que lo habitual",2,
IF(DW231="Menos que lo habitual",3,
IF(DW231="Mucho menos que lo habitual",4,""))))</f>
        <v>1</v>
      </c>
      <c r="DY231" s="5">
        <f>SUM(DB231,DD231,DF231,DH231,DJ231,DL231,DN231,DP231,DR231,DT231,DV231,DX231)</f>
        <v>14</v>
      </c>
      <c r="DZ231" s="5" t="str">
        <f>IF(DY231&lt;=18,"Nivel de riesgo bajo",
IF(DY231&lt;=23,"Nivel de riesgo medio",
"Nivel de riesgo alto"))</f>
        <v>Nivel de riesgo bajo</v>
      </c>
      <c r="EA231" s="5" t="s">
        <v>253</v>
      </c>
      <c r="EB231" s="5">
        <f>IF(EA231="Nunca/ casi nunca",0,
IF(EA231="Rara vez",1,
IF(EA231="A veces",2,
IF(EA231="A menudo",3,
IF(EA231="Siempre",4,"")))))</f>
        <v>0</v>
      </c>
      <c r="EC231" s="5" t="s">
        <v>248</v>
      </c>
      <c r="ED231" s="5">
        <f>IF(EC231="Nunca/ casi nunca",0,
IF(EC231="Rara vez",1,
IF(EC231="A veces",2,
IF(EC231="A menudo",3,
IF(EC231="Siempre",4,"")))))</f>
        <v>1</v>
      </c>
      <c r="EE231" s="5" t="s">
        <v>253</v>
      </c>
      <c r="EF231" s="5">
        <f>IF(EE231="Nunca/ casi nunca",0,
IF(EE231="Rara vez",1,
IF(EE231="A veces",2,
IF(EE231="A menudo",3,
IF(EE231="Siempre",4,"")))))</f>
        <v>0</v>
      </c>
      <c r="EG231" s="5">
        <f>SUM(EB231,ED231,EF231)</f>
        <v>1</v>
      </c>
      <c r="EH231" s="5" t="str">
        <f>IF(EG231&lt;=1,"Nivel de riesgo bajo",
IF(EG231&lt;=4,"Nivel de riesgo medio",
"Nivel de riesgo alto"))</f>
        <v>Nivel de riesgo bajo</v>
      </c>
      <c r="EI231" s="5" t="s">
        <v>247</v>
      </c>
      <c r="EJ231" s="5">
        <f>IF(EI231="Nunca/ casi nunca",0,
IF(EI231="Rara vez",1,
IF(EI231="A veces",2,
IF(EI231="A menudo",3,
IF(EI231="Siempre",4,"")))))</f>
        <v>2</v>
      </c>
      <c r="EK231" s="5" t="s">
        <v>232</v>
      </c>
      <c r="EL231" s="5">
        <f>IF(EK231="Nunca/ casi nunca",0,
IF(EK231="Rara vez",1,
IF(EK231="A veces",2,
IF(EK231="A menudo",3,
IF(EK231="Siempre",4,"")))))</f>
        <v>3</v>
      </c>
      <c r="EM231" s="5" t="s">
        <v>247</v>
      </c>
      <c r="EN231" s="5">
        <f>IF(EM231="Nunca/ casi nunca",0,
IF(EM231="Rara vez",1,
IF(EM231="A veces",2,
IF(EM231="A menudo",3,
IF(EM231="Siempre",4,"")))))</f>
        <v>2</v>
      </c>
      <c r="EO231" s="5">
        <f>SUM(EJ231,EL231,EN231)</f>
        <v>7</v>
      </c>
      <c r="EP231" s="5" t="str">
        <f>IF(EO231&lt;=1,"Nivel de riesgo bajo",
IF(EO231&lt;=5,"Nivel de riesgo medio",
"Nivel de riesgo alto"))</f>
        <v>Nivel de riesgo alto</v>
      </c>
      <c r="EQ231" s="5" t="s">
        <v>254</v>
      </c>
      <c r="ER231" s="5">
        <f>IF(EQ231="Nunca/ casi nunca",4,
IF(EQ231="Rara vez",3,
IF(EQ231="A veces",2,
IF(EQ231="A menudo",1,
IF(EQ231="Siempre",0,"")))))</f>
        <v>0</v>
      </c>
      <c r="ES231" s="5" t="s">
        <v>254</v>
      </c>
      <c r="ET231" s="5">
        <f>IF(ES231="Nunca/ casi nunca",4,
IF(ES231="Rara vez",3,
IF(ES231="A veces",2,
IF(ES231="A menudo",1,
IF(ES231="Siempre",0,"")))))</f>
        <v>0</v>
      </c>
      <c r="EU231" s="5" t="s">
        <v>254</v>
      </c>
      <c r="EV231" s="5">
        <f>IF(EU231="Nunca/ casi nunca",4,
IF(EU231="Rara vez",3,
IF(EU231="A veces",2,
IF(EU231="A menudo",1,
IF(EU231="Siempre",0,"")))))</f>
        <v>0</v>
      </c>
      <c r="EW231" s="5" t="s">
        <v>254</v>
      </c>
      <c r="EX231" s="5">
        <f>IF(EW231="Nunca/ casi nunca",4,
IF(EW231="Rara vez",3,
IF(EW231="A veces",2,
IF(EW231="A menudo",1,
IF(EW231="Siempre",0,"")))))</f>
        <v>0</v>
      </c>
      <c r="EY231" s="5">
        <f>SUM(ER231,ET231,EV231,EX231)</f>
        <v>0</v>
      </c>
      <c r="EZ231" s="5" t="str">
        <f>IF(EY231&lt;=0,"Nivel de riesgo bajo",
IF(EY231&lt;=4,"Nivel de riesgo medio",
"Nivel de riesgo alto"))</f>
        <v>Nivel de riesgo bajo</v>
      </c>
      <c r="FA231" s="5" t="s">
        <v>247</v>
      </c>
      <c r="FB231" s="5">
        <f>IF(FA231="Nunca/ casi nunca",0,
IF(FA231="Rara vez",1,
IF(FA231="A veces",2,
IF(FA231="A menudo",3,
IF(FA231="Siempre",4,"")))))</f>
        <v>2</v>
      </c>
      <c r="FC231" s="5" t="s">
        <v>254</v>
      </c>
      <c r="FD231" s="5">
        <f>IF(FC231="Nunca/ casi nunca",0,
IF(FC231="Rara vez",1,
IF(FC231="A veces",2,
IF(FC231="A menudo",3,
IF(FC231="Siempre",4,"")))))</f>
        <v>4</v>
      </c>
      <c r="FE231" s="5" t="s">
        <v>254</v>
      </c>
      <c r="FF231" s="5">
        <f>IF(FE231="Nunca/ casi nunca",0,
IF(FE231="Rara vez",1,
IF(FE231="A veces",2,
IF(FE231="A menudo",3,
IF(FE231="Siempre",4,"")))))</f>
        <v>4</v>
      </c>
      <c r="FG231" s="5">
        <f>SUM(FB231,FD231,FF231)</f>
        <v>10</v>
      </c>
      <c r="FH231" s="5" t="str">
        <f>IF(FG231&lt;=2,"Nivel de riesgo bajo",
IF(FG231&lt;=5,"Nivel de riesgo medio",
"Nivel de riesgo alto"))</f>
        <v>Nivel de riesgo alto</v>
      </c>
      <c r="FI231" s="5" t="s">
        <v>248</v>
      </c>
      <c r="FJ231" s="5">
        <f>IF(FI231="Nunca/ casi nunca",0,
IF(FI231="Rara vez",1,
IF(FI231="A veces",2,
IF(FI231="A menudo",3,
IF(FI231="Siempre",4,"")))))</f>
        <v>1</v>
      </c>
      <c r="FK231" s="5" t="s">
        <v>253</v>
      </c>
      <c r="FL231" s="5">
        <f>IF(FK231="Nunca/ casi nunca",0,
IF(FK231="Rara vez",1,
IF(FK231="A veces",2,
IF(FK231="A menudo",3,
IF(FK231="Siempre",4,"")))))</f>
        <v>0</v>
      </c>
      <c r="FM231" s="5" t="s">
        <v>253</v>
      </c>
      <c r="FN231" s="5">
        <f>IF(FM231="Nunca/ casi nunca",0,
IF(FM231="Rara vez",1,
IF(FM231="A veces",2,
IF(FM231="A menudo",3,
IF(FM231="Siempre",4,"")))))</f>
        <v>0</v>
      </c>
      <c r="FO231" s="5">
        <f>SUM(FJ231,FL231,FN231)</f>
        <v>1</v>
      </c>
      <c r="FP231" s="5" t="str">
        <f>IF(FO231&lt;=2,"Nivel de riesgo bajo",
IF(FO231&lt;=5,"Nivel de riesgo medio",
"Nivel de riesgo alto"))</f>
        <v>Nivel de riesgo bajo</v>
      </c>
      <c r="FQ231" s="5" t="s">
        <v>265</v>
      </c>
      <c r="FR231" s="5">
        <f>IF(FQ231="No",0,
IF(FQ231="Sí, unas pocas veces",1,
IF(FQ231="Sí, mensualmente",2,
IF(FQ231="Sí, semanalmente",3,
IF(FQ231="Sí, diariamente",4,"")))))</f>
        <v>1</v>
      </c>
      <c r="FS231" s="5" t="s">
        <v>206</v>
      </c>
      <c r="FT231" s="5">
        <f>IF(FS231="No",0,
IF(FS231="Sí, unas pocas veces",1,
IF(FS231="Sí, mensualmente",2,
IF(FS231="Sí, semanalmente",3,
IF(FS231="Sí, diariamente",4,"")))))</f>
        <v>0</v>
      </c>
      <c r="FU231" s="5" t="s">
        <v>206</v>
      </c>
      <c r="FV231" s="5">
        <f>IF(FU231="No",0,
IF(FU231="Sí, unas pocas veces",1,
IF(FU231="Sí, mensualmente",2,
IF(FU231="Sí, semanalmente",3,
IF(FU231="Sí, diariamente",4,"")))))</f>
        <v>0</v>
      </c>
      <c r="FW231" s="5" t="s">
        <v>206</v>
      </c>
      <c r="FX231" s="5">
        <f>IF(FW231="No",0,
IF(FW231="Sí, unas pocas veces",1,
IF(FW231="Sí, mensualmente",2,
IF(FW231="Sí, semanalmente",3,
IF(FW231="Sí, diariamente",4,"")))))</f>
        <v>0</v>
      </c>
      <c r="FY231" s="5" t="s">
        <v>206</v>
      </c>
      <c r="FZ231" s="5">
        <f>IF(FY231="No",0,
IF(FY231="Sí, unas pocas veces",1,
IF(FY231="Sí, mensualmente",2,
IF(FY231="Sí, semanalmente",3,
IF(FY231="Sí, diariamente",4,"")))))</f>
        <v>0</v>
      </c>
      <c r="GA231" s="5" t="s">
        <v>206</v>
      </c>
      <c r="GB231" s="5">
        <f>IF(GA231="No",0,
IF(GA231="Sí, unas pocas veces",1,
IF(GA231="Sí, mensualmente",2,
IF(GA231="Sí, semanalmente",3,
IF(GA231="Sí, diariamente",4,"")))))</f>
        <v>0</v>
      </c>
      <c r="GC231" s="5" t="s">
        <v>206</v>
      </c>
      <c r="GD231" s="5">
        <f>IF(GC231="No",0,
IF(GC231="Sí, unas pocas veces",1,
IF(GC231="Sí, mensualmente",2,
IF(GC231="Sí, semanalmente",3,
IF(GC231="Sí, diariamente",4,"")))))</f>
        <v>0</v>
      </c>
      <c r="GE231" s="5">
        <f>SUM(FR231,FT231,FV231,FX231,FZ231,GB231,GD231)</f>
        <v>1</v>
      </c>
      <c r="GF231" s="5" t="str">
        <f>IF(GE231&lt;=0,"Nivel de riesgo bajo",
IF(GE231&lt;=14,"Nivel de riesgo medio",
"Nivel de riesgo alto"))</f>
        <v>Nivel de riesgo medio</v>
      </c>
      <c r="GG231" s="5" t="s">
        <v>266</v>
      </c>
      <c r="GH231" s="5" t="s">
        <v>266</v>
      </c>
      <c r="GI231" s="5" t="s">
        <v>266</v>
      </c>
      <c r="GJ231" s="5" t="s">
        <v>266</v>
      </c>
      <c r="GK231" s="5" t="s">
        <v>233</v>
      </c>
      <c r="GL231" s="5" t="s">
        <v>233</v>
      </c>
      <c r="GM231" s="5" t="s">
        <v>233</v>
      </c>
      <c r="GN231" s="5" t="s">
        <v>257</v>
      </c>
      <c r="GO231" s="5" t="s">
        <v>257</v>
      </c>
      <c r="GP231" s="5" t="s">
        <v>257</v>
      </c>
      <c r="GQ231" s="5" t="s">
        <v>244</v>
      </c>
      <c r="GR231" s="5" t="s">
        <v>244</v>
      </c>
      <c r="GS231" s="5" t="s">
        <v>257</v>
      </c>
      <c r="GT231" s="5" t="s">
        <v>257</v>
      </c>
      <c r="GU231" s="5" t="s">
        <v>338</v>
      </c>
      <c r="GV231" s="5" t="str">
        <f>TEXT("6279130597404257379","0")</f>
        <v>6279130597404250000</v>
      </c>
    </row>
    <row r="232" spans="1:204" ht="15.75" hidden="1" customHeight="1" x14ac:dyDescent="0.15">
      <c r="B232" s="4">
        <v>45847.817615740743</v>
      </c>
      <c r="C232" s="5" t="s">
        <v>204</v>
      </c>
      <c r="D232" s="5" t="s">
        <v>206</v>
      </c>
      <c r="F232" s="5" t="s">
        <v>206</v>
      </c>
      <c r="G232" s="5" t="s">
        <v>206</v>
      </c>
      <c r="H232" s="5" t="s">
        <v>206</v>
      </c>
      <c r="L232" s="5" t="s">
        <v>236</v>
      </c>
      <c r="P232" s="5" t="s">
        <v>237</v>
      </c>
      <c r="U232" s="5" t="s">
        <v>237</v>
      </c>
      <c r="X232" s="5" t="s">
        <v>208</v>
      </c>
      <c r="AD232" s="5" t="s">
        <v>209</v>
      </c>
      <c r="AH232" s="5" t="s">
        <v>275</v>
      </c>
      <c r="AI232" s="5">
        <v>2009</v>
      </c>
      <c r="AJ232" s="5" t="s">
        <v>260</v>
      </c>
      <c r="AK232" s="5"/>
      <c r="AR232" s="5" t="s">
        <v>301</v>
      </c>
      <c r="AS232" s="5" t="s">
        <v>301</v>
      </c>
      <c r="AT232" s="5" t="s">
        <v>241</v>
      </c>
      <c r="AU232" s="5" t="s">
        <v>241</v>
      </c>
      <c r="AV232" s="5" t="s">
        <v>213</v>
      </c>
      <c r="AW232" s="5" t="s">
        <v>206</v>
      </c>
      <c r="BF232" s="5" t="s">
        <v>204</v>
      </c>
      <c r="BG232" s="5" t="s">
        <v>278</v>
      </c>
      <c r="BH232" s="5" t="s">
        <v>242</v>
      </c>
      <c r="BI232" s="5" t="s">
        <v>278</v>
      </c>
      <c r="BJ232" s="5" t="s">
        <v>271</v>
      </c>
      <c r="BK232" s="5" t="s">
        <v>245</v>
      </c>
      <c r="BL232" s="5" t="s">
        <v>243</v>
      </c>
      <c r="BM232" s="5" t="s">
        <v>245</v>
      </c>
      <c r="BN232" s="5" t="s">
        <v>245</v>
      </c>
      <c r="BO232" s="5" t="s">
        <v>245</v>
      </c>
      <c r="BP232" s="5" t="s">
        <v>245</v>
      </c>
      <c r="BQ232" s="5" t="s">
        <v>245</v>
      </c>
      <c r="BR232" s="5" t="s">
        <v>245</v>
      </c>
      <c r="BS232" s="5" t="s">
        <v>254</v>
      </c>
      <c r="BT232" s="5" t="s">
        <v>254</v>
      </c>
      <c r="BU232" s="5" t="s">
        <v>254</v>
      </c>
      <c r="BV232" s="5" t="s">
        <v>247</v>
      </c>
      <c r="BW232" s="5" t="s">
        <v>254</v>
      </c>
      <c r="BX232" s="5" t="s">
        <v>232</v>
      </c>
      <c r="BY232" s="5" t="s">
        <v>254</v>
      </c>
      <c r="CD232" s="5" t="s">
        <v>206</v>
      </c>
      <c r="CH232" s="5" t="s">
        <v>206</v>
      </c>
      <c r="CI232" s="5" t="s">
        <v>206</v>
      </c>
      <c r="CJ232" s="5">
        <v>1</v>
      </c>
      <c r="CK232" s="5" t="s">
        <v>223</v>
      </c>
      <c r="CU232" s="5" t="s">
        <v>206</v>
      </c>
      <c r="DA232" s="5" t="s">
        <v>252</v>
      </c>
      <c r="DB232" s="5"/>
      <c r="DC232" s="5" t="s">
        <v>280</v>
      </c>
      <c r="DD232" s="5"/>
      <c r="DE232" s="5" t="s">
        <v>280</v>
      </c>
      <c r="DF232" s="5"/>
      <c r="DG232" s="5" t="s">
        <v>280</v>
      </c>
      <c r="DH232" s="5"/>
      <c r="DI232" s="5" t="s">
        <v>250</v>
      </c>
      <c r="DJ232" s="5"/>
      <c r="DK232" s="5" t="s">
        <v>230</v>
      </c>
      <c r="DL232" s="5"/>
      <c r="DM232" s="5" t="s">
        <v>251</v>
      </c>
      <c r="DN232" s="5"/>
      <c r="DO232" s="5" t="s">
        <v>231</v>
      </c>
      <c r="DP232" s="5"/>
      <c r="DQ232" s="5" t="s">
        <v>231</v>
      </c>
      <c r="DR232" s="5"/>
      <c r="DS232" s="5" t="s">
        <v>231</v>
      </c>
      <c r="DT232" s="5"/>
      <c r="DU232" s="5" t="s">
        <v>231</v>
      </c>
      <c r="DV232" s="5"/>
      <c r="DW232" s="5" t="s">
        <v>231</v>
      </c>
      <c r="DX232" s="5"/>
      <c r="DY232" s="5"/>
      <c r="DZ232" s="5"/>
      <c r="EA232" s="5" t="s">
        <v>254</v>
      </c>
      <c r="EB232" s="5"/>
      <c r="EC232" s="5" t="s">
        <v>254</v>
      </c>
      <c r="ED232" s="5"/>
      <c r="EE232" s="5" t="s">
        <v>254</v>
      </c>
      <c r="EF232" s="5"/>
      <c r="EG232" s="5"/>
      <c r="EH232" s="5"/>
      <c r="EI232" s="5" t="s">
        <v>254</v>
      </c>
      <c r="EJ232" s="5"/>
      <c r="EK232" s="5" t="s">
        <v>254</v>
      </c>
      <c r="EL232" s="5"/>
      <c r="EM232" s="5" t="s">
        <v>253</v>
      </c>
      <c r="EN232" s="5"/>
      <c r="EO232" s="5"/>
      <c r="EP232" s="5"/>
      <c r="EQ232" s="5" t="s">
        <v>254</v>
      </c>
      <c r="ER232" s="5"/>
      <c r="ES232" s="5" t="s">
        <v>254</v>
      </c>
      <c r="ET232" s="5"/>
      <c r="EU232" s="5" t="s">
        <v>254</v>
      </c>
      <c r="EV232" s="5"/>
      <c r="EW232" s="5" t="s">
        <v>254</v>
      </c>
      <c r="EX232" s="5"/>
      <c r="EY232" s="5"/>
      <c r="EZ232" s="5"/>
      <c r="FA232" s="5" t="s">
        <v>253</v>
      </c>
      <c r="FB232" s="5"/>
      <c r="FC232" s="5" t="s">
        <v>253</v>
      </c>
      <c r="FD232" s="5"/>
      <c r="FE232" s="5" t="s">
        <v>253</v>
      </c>
      <c r="FF232" s="5"/>
      <c r="FG232" s="5"/>
      <c r="FH232" s="5"/>
      <c r="FI232" s="5" t="s">
        <v>254</v>
      </c>
      <c r="FJ232" s="5"/>
      <c r="FK232" s="5" t="s">
        <v>254</v>
      </c>
      <c r="FL232" s="5"/>
      <c r="FM232" s="5" t="s">
        <v>254</v>
      </c>
      <c r="FN232" s="5"/>
      <c r="FO232" s="5"/>
      <c r="FP232" s="5"/>
      <c r="FQ232" s="5" t="s">
        <v>206</v>
      </c>
      <c r="FR232" s="5"/>
      <c r="FS232" s="5" t="s">
        <v>206</v>
      </c>
      <c r="FT232" s="5"/>
      <c r="FU232" s="5" t="s">
        <v>206</v>
      </c>
      <c r="FV232" s="5"/>
      <c r="FW232" s="5" t="s">
        <v>206</v>
      </c>
      <c r="FX232" s="5"/>
      <c r="FY232" s="5" t="s">
        <v>206</v>
      </c>
      <c r="FZ232" s="5"/>
      <c r="GA232" s="5" t="s">
        <v>206</v>
      </c>
      <c r="GB232" s="5"/>
      <c r="GC232" s="5" t="s">
        <v>206</v>
      </c>
      <c r="GD232" s="5"/>
      <c r="GE232" s="5"/>
      <c r="GF232" s="5"/>
      <c r="GG232" s="5" t="s">
        <v>255</v>
      </c>
      <c r="GH232" s="5" t="s">
        <v>255</v>
      </c>
      <c r="GI232" s="5" t="s">
        <v>255</v>
      </c>
      <c r="GJ232" s="5" t="s">
        <v>255</v>
      </c>
      <c r="GK232" s="5" t="s">
        <v>233</v>
      </c>
      <c r="GL232" s="5" t="s">
        <v>255</v>
      </c>
      <c r="GM232" s="5" t="s">
        <v>255</v>
      </c>
      <c r="GN232" s="5" t="s">
        <v>256</v>
      </c>
      <c r="GO232" s="5" t="s">
        <v>257</v>
      </c>
      <c r="GP232" s="5" t="s">
        <v>257</v>
      </c>
      <c r="GQ232" s="5" t="s">
        <v>256</v>
      </c>
      <c r="GR232" s="5" t="s">
        <v>244</v>
      </c>
      <c r="GS232" s="5" t="s">
        <v>234</v>
      </c>
      <c r="GT232" s="5" t="s">
        <v>234</v>
      </c>
      <c r="GU232" s="5" t="s">
        <v>584</v>
      </c>
      <c r="GV232" s="5" t="str">
        <f>TEXT("6279134423418926882","0")</f>
        <v>6279134423418920000</v>
      </c>
    </row>
    <row r="233" spans="1:204" ht="15.75" hidden="1" customHeight="1" x14ac:dyDescent="0.15">
      <c r="B233" s="4">
        <v>45847.827326388891</v>
      </c>
      <c r="C233" s="5" t="s">
        <v>204</v>
      </c>
      <c r="D233" s="5" t="s">
        <v>206</v>
      </c>
      <c r="F233" s="5" t="s">
        <v>204</v>
      </c>
      <c r="G233" s="5" t="s">
        <v>206</v>
      </c>
      <c r="H233" s="5" t="s">
        <v>206</v>
      </c>
      <c r="J233" s="5" t="s">
        <v>209</v>
      </c>
      <c r="O233" s="5" t="s">
        <v>209</v>
      </c>
      <c r="T233" s="5" t="s">
        <v>209</v>
      </c>
      <c r="Z233" s="5" t="s">
        <v>237</v>
      </c>
      <c r="AC233" s="5" t="s">
        <v>208</v>
      </c>
      <c r="AH233" s="5" t="s">
        <v>210</v>
      </c>
      <c r="AI233" s="5">
        <v>2023</v>
      </c>
      <c r="AJ233" s="5" t="s">
        <v>304</v>
      </c>
      <c r="AK233" s="5"/>
      <c r="AR233" s="5" t="s">
        <v>241</v>
      </c>
      <c r="AS233" s="5" t="s">
        <v>261</v>
      </c>
      <c r="AT233" s="5" t="s">
        <v>241</v>
      </c>
      <c r="AU233" s="5" t="s">
        <v>294</v>
      </c>
      <c r="AV233" s="5" t="s">
        <v>213</v>
      </c>
      <c r="AW233" s="5" t="s">
        <v>206</v>
      </c>
      <c r="BF233" s="5" t="s">
        <v>204</v>
      </c>
      <c r="BG233" s="5" t="s">
        <v>278</v>
      </c>
      <c r="BH233" s="5" t="s">
        <v>271</v>
      </c>
      <c r="BI233" s="5" t="s">
        <v>278</v>
      </c>
      <c r="BJ233" s="5" t="s">
        <v>271</v>
      </c>
      <c r="BK233" s="5" t="s">
        <v>245</v>
      </c>
      <c r="BL233" s="5" t="s">
        <v>243</v>
      </c>
      <c r="BM233" s="5" t="s">
        <v>243</v>
      </c>
      <c r="BN233" s="5" t="s">
        <v>245</v>
      </c>
      <c r="BO233" s="5" t="s">
        <v>246</v>
      </c>
      <c r="BP233" s="5" t="s">
        <v>245</v>
      </c>
      <c r="BQ233" s="5" t="s">
        <v>245</v>
      </c>
      <c r="BR233" s="5" t="s">
        <v>243</v>
      </c>
      <c r="BS233" s="5" t="s">
        <v>232</v>
      </c>
      <c r="BT233" s="5" t="s">
        <v>247</v>
      </c>
      <c r="BU233" s="5" t="s">
        <v>232</v>
      </c>
      <c r="BV233" s="5" t="s">
        <v>232</v>
      </c>
      <c r="BW233" s="5" t="s">
        <v>232</v>
      </c>
      <c r="BX233" s="5" t="s">
        <v>248</v>
      </c>
      <c r="BY233" s="5" t="s">
        <v>217</v>
      </c>
      <c r="CD233" s="5" t="s">
        <v>206</v>
      </c>
      <c r="CH233" s="5" t="s">
        <v>206</v>
      </c>
      <c r="CI233" s="5" t="s">
        <v>249</v>
      </c>
      <c r="CJ233" s="5">
        <v>1</v>
      </c>
      <c r="CK233" s="5" t="s">
        <v>223</v>
      </c>
      <c r="CU233" s="5" t="s">
        <v>206</v>
      </c>
      <c r="DA233" s="5" t="s">
        <v>252</v>
      </c>
      <c r="DB233" s="5"/>
      <c r="DC233" s="5" t="s">
        <v>250</v>
      </c>
      <c r="DD233" s="5"/>
      <c r="DE233" s="5" t="s">
        <v>280</v>
      </c>
      <c r="DF233" s="5"/>
      <c r="DG233" s="5" t="s">
        <v>250</v>
      </c>
      <c r="DH233" s="5"/>
      <c r="DI233" s="5" t="s">
        <v>230</v>
      </c>
      <c r="DJ233" s="5"/>
      <c r="DK233" s="5" t="s">
        <v>230</v>
      </c>
      <c r="DL233" s="5"/>
      <c r="DM233" s="5" t="s">
        <v>251</v>
      </c>
      <c r="DN233" s="5"/>
      <c r="DO233" s="5" t="s">
        <v>231</v>
      </c>
      <c r="DP233" s="5"/>
      <c r="DQ233" s="5" t="s">
        <v>231</v>
      </c>
      <c r="DR233" s="5"/>
      <c r="DS233" s="5" t="s">
        <v>252</v>
      </c>
      <c r="DT233" s="5"/>
      <c r="DU233" s="5" t="s">
        <v>231</v>
      </c>
      <c r="DV233" s="5"/>
      <c r="DW233" s="5" t="s">
        <v>252</v>
      </c>
      <c r="DX233" s="5"/>
      <c r="DY233" s="5"/>
      <c r="DZ233" s="5"/>
      <c r="EA233" s="5" t="s">
        <v>254</v>
      </c>
      <c r="EB233" s="5"/>
      <c r="EC233" s="5" t="s">
        <v>232</v>
      </c>
      <c r="ED233" s="5"/>
      <c r="EE233" s="5" t="s">
        <v>232</v>
      </c>
      <c r="EF233" s="5"/>
      <c r="EG233" s="5"/>
      <c r="EH233" s="5"/>
      <c r="EI233" s="5" t="s">
        <v>248</v>
      </c>
      <c r="EJ233" s="5"/>
      <c r="EK233" s="5" t="s">
        <v>253</v>
      </c>
      <c r="EL233" s="5"/>
      <c r="EM233" s="5" t="s">
        <v>247</v>
      </c>
      <c r="EN233" s="5"/>
      <c r="EO233" s="5"/>
      <c r="EP233" s="5"/>
      <c r="EQ233" s="5" t="s">
        <v>254</v>
      </c>
      <c r="ER233" s="5"/>
      <c r="ES233" s="5" t="s">
        <v>254</v>
      </c>
      <c r="ET233" s="5"/>
      <c r="EU233" s="5" t="s">
        <v>232</v>
      </c>
      <c r="EV233" s="5"/>
      <c r="EW233" s="5" t="s">
        <v>254</v>
      </c>
      <c r="EX233" s="5"/>
      <c r="EY233" s="5"/>
      <c r="EZ233" s="5"/>
      <c r="FA233" s="5" t="s">
        <v>232</v>
      </c>
      <c r="FB233" s="5"/>
      <c r="FC233" s="5" t="s">
        <v>247</v>
      </c>
      <c r="FD233" s="5"/>
      <c r="FE233" s="5" t="s">
        <v>247</v>
      </c>
      <c r="FF233" s="5"/>
      <c r="FG233" s="5"/>
      <c r="FH233" s="5"/>
      <c r="FI233" s="5" t="s">
        <v>248</v>
      </c>
      <c r="FJ233" s="5"/>
      <c r="FK233" s="5" t="s">
        <v>247</v>
      </c>
      <c r="FL233" s="5"/>
      <c r="FM233" s="5" t="s">
        <v>253</v>
      </c>
      <c r="FN233" s="5"/>
      <c r="FO233" s="5"/>
      <c r="FP233" s="5"/>
      <c r="FQ233" s="5" t="s">
        <v>265</v>
      </c>
      <c r="FR233" s="5"/>
      <c r="FS233" s="5" t="s">
        <v>206</v>
      </c>
      <c r="FT233" s="5"/>
      <c r="FU233" s="5" t="s">
        <v>206</v>
      </c>
      <c r="FV233" s="5"/>
      <c r="FW233" s="5" t="s">
        <v>206</v>
      </c>
      <c r="FX233" s="5"/>
      <c r="FY233" s="5" t="s">
        <v>206</v>
      </c>
      <c r="FZ233" s="5"/>
      <c r="GA233" s="5" t="s">
        <v>206</v>
      </c>
      <c r="GB233" s="5"/>
      <c r="GC233" s="5" t="s">
        <v>265</v>
      </c>
      <c r="GD233" s="5"/>
      <c r="GE233" s="5"/>
      <c r="GF233" s="5"/>
      <c r="GG233" s="5" t="s">
        <v>255</v>
      </c>
      <c r="GH233" s="5" t="s">
        <v>273</v>
      </c>
      <c r="GI233" s="5" t="s">
        <v>255</v>
      </c>
      <c r="GJ233" s="5" t="s">
        <v>273</v>
      </c>
      <c r="GK233" s="5" t="s">
        <v>233</v>
      </c>
      <c r="GL233" s="5" t="s">
        <v>266</v>
      </c>
      <c r="GM233" s="5" t="s">
        <v>266</v>
      </c>
      <c r="GN233" s="5" t="s">
        <v>256</v>
      </c>
      <c r="GO233" s="5" t="s">
        <v>256</v>
      </c>
      <c r="GP233" s="5" t="s">
        <v>243</v>
      </c>
      <c r="GQ233" s="5" t="s">
        <v>244</v>
      </c>
      <c r="GR233" s="5" t="s">
        <v>244</v>
      </c>
      <c r="GS233" s="5" t="s">
        <v>234</v>
      </c>
      <c r="GT233" s="5" t="s">
        <v>257</v>
      </c>
      <c r="GU233" s="5" t="s">
        <v>585</v>
      </c>
      <c r="GV233" s="5" t="str">
        <f>TEXT("6279142815317703948","0")</f>
        <v>6279142815317700000</v>
      </c>
    </row>
    <row r="234" spans="1:204" ht="15.75" customHeight="1" x14ac:dyDescent="0.15">
      <c r="A234" s="1">
        <f>ROW(A234)</f>
        <v>234</v>
      </c>
      <c r="B234" s="4">
        <v>45847.838379629633</v>
      </c>
      <c r="C234" s="5" t="s">
        <v>204</v>
      </c>
      <c r="D234" s="5" t="s">
        <v>206</v>
      </c>
      <c r="F234" s="5" t="s">
        <v>204</v>
      </c>
      <c r="G234" s="5" t="s">
        <v>206</v>
      </c>
      <c r="H234" s="5" t="s">
        <v>206</v>
      </c>
      <c r="L234" s="5" t="s">
        <v>236</v>
      </c>
      <c r="P234" s="5" t="s">
        <v>237</v>
      </c>
      <c r="U234" s="5" t="s">
        <v>237</v>
      </c>
      <c r="X234" s="5" t="s">
        <v>208</v>
      </c>
      <c r="AF234" s="5" t="s">
        <v>236</v>
      </c>
      <c r="AH234" s="5" t="s">
        <v>275</v>
      </c>
      <c r="AI234" s="5">
        <v>2018</v>
      </c>
      <c r="AJ234" s="5" t="s">
        <v>238</v>
      </c>
      <c r="AK234" s="5" t="str">
        <f>IF(OR(AJ234="Empleada del sector privado",AJ234="Empleada del sector público"),"Asalariada",
IF(AJ234="Trabajadora por cuenta propia","Trabajadora por cuenta propia",""))</f>
        <v>Trabajadora por cuenta propia</v>
      </c>
      <c r="AM234" s="5" t="s">
        <v>309</v>
      </c>
      <c r="AP234" s="5" t="s">
        <v>297</v>
      </c>
      <c r="AR234" s="5" t="s">
        <v>261</v>
      </c>
      <c r="AS234" s="5" t="s">
        <v>294</v>
      </c>
      <c r="AT234" s="5" t="s">
        <v>294</v>
      </c>
      <c r="AU234" s="5" t="s">
        <v>294</v>
      </c>
      <c r="AV234" s="5" t="s">
        <v>277</v>
      </c>
      <c r="AW234" s="5" t="s">
        <v>206</v>
      </c>
      <c r="BF234" s="5" t="s">
        <v>204</v>
      </c>
      <c r="BG234" s="5" t="s">
        <v>264</v>
      </c>
      <c r="BH234" s="5" t="s">
        <v>242</v>
      </c>
      <c r="BI234" s="5" t="s">
        <v>207</v>
      </c>
      <c r="BJ234" s="5" t="s">
        <v>278</v>
      </c>
      <c r="BK234" s="5" t="s">
        <v>245</v>
      </c>
      <c r="BL234" s="5" t="s">
        <v>245</v>
      </c>
      <c r="BM234" s="5" t="s">
        <v>245</v>
      </c>
      <c r="BN234" s="5" t="s">
        <v>245</v>
      </c>
      <c r="BO234" s="5" t="s">
        <v>246</v>
      </c>
      <c r="BP234" s="5" t="s">
        <v>245</v>
      </c>
      <c r="BQ234" s="5" t="s">
        <v>245</v>
      </c>
      <c r="BR234" s="5" t="s">
        <v>245</v>
      </c>
      <c r="BS234" s="5" t="s">
        <v>232</v>
      </c>
      <c r="BT234" s="5" t="s">
        <v>247</v>
      </c>
      <c r="BU234" s="5" t="s">
        <v>247</v>
      </c>
      <c r="BV234" s="5" t="s">
        <v>247</v>
      </c>
      <c r="BW234" s="5" t="s">
        <v>247</v>
      </c>
      <c r="BX234" s="5" t="s">
        <v>247</v>
      </c>
      <c r="BY234" s="5" t="s">
        <v>247</v>
      </c>
      <c r="CD234" s="5" t="s">
        <v>206</v>
      </c>
      <c r="CH234" s="5" t="s">
        <v>206</v>
      </c>
      <c r="CI234" s="5" t="s">
        <v>347</v>
      </c>
      <c r="CJ234" s="5">
        <v>4</v>
      </c>
      <c r="CK234" s="5" t="s">
        <v>223</v>
      </c>
      <c r="CU234" s="5" t="s">
        <v>206</v>
      </c>
      <c r="DA234" s="5" t="s">
        <v>252</v>
      </c>
      <c r="DB234" s="5">
        <f>IF(DA234="Mejor que lo habitual",1,
IF(DA234="Igual que lo habitual",2,
IF(DA234="Menos que lo habitual",3,
IF(DA234="Mucho menos que lo habitual",4,""))))</f>
        <v>3</v>
      </c>
      <c r="DC234" s="5" t="s">
        <v>250</v>
      </c>
      <c r="DD234" s="5">
        <f>IF(DC234="No, en absoluto",1,
IF(DC234="No más que lo habitual",2,
IF(DC234="Bastante más que lo habitual",3,
IF(DC234="Mucho más que lo habitual",4,""))))</f>
        <v>3</v>
      </c>
      <c r="DE234" s="5" t="s">
        <v>250</v>
      </c>
      <c r="DF234" s="5">
        <f>IF(DE234="No, en absoluto",1,
IF(DE234="No más que lo habitual",2,
IF(DE234="Bastante más que lo habitual",3,
IF(DE234="Mucho más que lo habitual",4,""))))</f>
        <v>3</v>
      </c>
      <c r="DG234" s="5" t="s">
        <v>250</v>
      </c>
      <c r="DH234" s="5">
        <f>IF(DG234="No, en absoluto",1,
IF(DG234="No más que lo habitual",2,
IF(DG234="Bastante más que lo habitual",3,
IF(DG234="Mucho más que lo habitual",4,""))))</f>
        <v>3</v>
      </c>
      <c r="DI234" s="5" t="s">
        <v>280</v>
      </c>
      <c r="DJ234" s="5">
        <f>IF(DI234="No, en absoluto",1,
IF(DI234="No más que lo habitual",2,
IF(DI234="Bastante más que lo habitual",3,
IF(DI234="Mucho más que lo habitual",4,""))))</f>
        <v>4</v>
      </c>
      <c r="DK234" s="5" t="s">
        <v>280</v>
      </c>
      <c r="DL234" s="5">
        <f>IF(DK234="No, en absoluto",1,
IF(DK234="No más que lo habitual",2,
IF(DK234="Bastante más que lo habitual",3,
IF(DK234="Mucho más que lo habitual",4,""))))</f>
        <v>4</v>
      </c>
      <c r="DM234" s="5" t="s">
        <v>280</v>
      </c>
      <c r="DN234" s="5">
        <f>IF(DM234="No, en absoluto",1,
IF(DM234="No más que lo habitual",2,
IF(DM234="Bastante más que lo habitual",3,
IF(DM234="Mucho más que lo habitual",4,""))))</f>
        <v>4</v>
      </c>
      <c r="DO234" s="5" t="s">
        <v>231</v>
      </c>
      <c r="DP234" s="5">
        <f>IF(DO234="Más que lo habitual",1,
IF(DO234="Igual que lo habitual",2,
IF(DO234="Menos que lo habitual",3,
IF(DO234="Mucho menos que lo habitual",4,""))))</f>
        <v>2</v>
      </c>
      <c r="DQ234" s="5" t="s">
        <v>252</v>
      </c>
      <c r="DR234" s="5">
        <f>IF(DQ234="Más que lo habitual",1,
IF(DQ234="Igual que lo habitual",2,
IF(DQ234="Menos que lo habitual",3,
IF(DQ234="Mucho menos que lo habitual",4,""))))</f>
        <v>3</v>
      </c>
      <c r="DS234" s="5" t="s">
        <v>231</v>
      </c>
      <c r="DT234" s="5">
        <f>IF(DS234="Más que lo habitual",1,
IF(DS234="Igual que lo habitual",2,
IF(DS234="Menos que lo habitual",3,
IF(DS234="Mucho menos que lo habitual",4,""))))</f>
        <v>2</v>
      </c>
      <c r="DU234" s="5" t="s">
        <v>231</v>
      </c>
      <c r="DV234" s="5">
        <f>IF(DU234="Más que lo habitual",1,
IF(DU234="Igual que lo habitual",2,
IF(DU234="Menos que lo habitual",3,
IF(DU234="Mucho menos que lo habitual",4,""))))</f>
        <v>2</v>
      </c>
      <c r="DW234" s="5" t="s">
        <v>229</v>
      </c>
      <c r="DX234" s="5">
        <f>IF(DW234="Más que lo habitual",1,
IF(DW234="Igual que lo habitual",2,
IF(DW234="Menos que lo habitual",3,
IF(DW234="Mucho menos que lo habitual",4,""))))</f>
        <v>4</v>
      </c>
      <c r="DY234" s="5">
        <f>SUM(DB234,DD234,DF234,DH234,DJ234,DL234,DN234,DP234,DR234,DT234,DV234,DX234)</f>
        <v>37</v>
      </c>
      <c r="DZ234" s="5" t="str">
        <f>IF(DY234&lt;=18,"Nivel de riesgo bajo",
IF(DY234&lt;=23,"Nivel de riesgo medio",
"Nivel de riesgo alto"))</f>
        <v>Nivel de riesgo alto</v>
      </c>
      <c r="EA234" s="5" t="s">
        <v>232</v>
      </c>
      <c r="EB234" s="5">
        <f>IF(EA234="Nunca/ casi nunca",0,
IF(EA234="Rara vez",1,
IF(EA234="A veces",2,
IF(EA234="A menudo",3,
IF(EA234="Siempre",4,"")))))</f>
        <v>3</v>
      </c>
      <c r="EC234" s="5" t="s">
        <v>232</v>
      </c>
      <c r="ED234" s="5">
        <f>IF(EC234="Nunca/ casi nunca",0,
IF(EC234="Rara vez",1,
IF(EC234="A veces",2,
IF(EC234="A menudo",3,
IF(EC234="Siempre",4,"")))))</f>
        <v>3</v>
      </c>
      <c r="EE234" s="5" t="s">
        <v>253</v>
      </c>
      <c r="EF234" s="5">
        <f>IF(EE234="Nunca/ casi nunca",0,
IF(EE234="Rara vez",1,
IF(EE234="A veces",2,
IF(EE234="A menudo",3,
IF(EE234="Siempre",4,"")))))</f>
        <v>0</v>
      </c>
      <c r="EG234" s="5">
        <f>SUM(EB234,ED234,EF234)</f>
        <v>6</v>
      </c>
      <c r="EH234" s="5" t="str">
        <f>IF(EG234&lt;=1,"Nivel de riesgo bajo",
IF(EG234&lt;=4,"Nivel de riesgo medio",
"Nivel de riesgo alto"))</f>
        <v>Nivel de riesgo alto</v>
      </c>
      <c r="EI234" s="5" t="s">
        <v>248</v>
      </c>
      <c r="EJ234" s="5">
        <f>IF(EI234="Nunca/ casi nunca",0,
IF(EI234="Rara vez",1,
IF(EI234="A veces",2,
IF(EI234="A menudo",3,
IF(EI234="Siempre",4,"")))))</f>
        <v>1</v>
      </c>
      <c r="EK234" s="5" t="s">
        <v>248</v>
      </c>
      <c r="EL234" s="5">
        <f>IF(EK234="Nunca/ casi nunca",0,
IF(EK234="Rara vez",1,
IF(EK234="A veces",2,
IF(EK234="A menudo",3,
IF(EK234="Siempre",4,"")))))</f>
        <v>1</v>
      </c>
      <c r="EM234" s="5" t="s">
        <v>254</v>
      </c>
      <c r="EN234" s="5">
        <f>IF(EM234="Nunca/ casi nunca",0,
IF(EM234="Rara vez",1,
IF(EM234="A veces",2,
IF(EM234="A menudo",3,
IF(EM234="Siempre",4,"")))))</f>
        <v>4</v>
      </c>
      <c r="EO234" s="5">
        <f>SUM(EJ234,EL234,EN234)</f>
        <v>6</v>
      </c>
      <c r="EP234" s="5" t="str">
        <f>IF(EO234&lt;=1,"Nivel de riesgo bajo",
IF(EO234&lt;=5,"Nivel de riesgo medio",
"Nivel de riesgo alto"))</f>
        <v>Nivel de riesgo alto</v>
      </c>
      <c r="EQ234" s="5" t="s">
        <v>253</v>
      </c>
      <c r="ER234" s="5">
        <f>IF(EQ234="Nunca/ casi nunca",4,
IF(EQ234="Rara vez",3,
IF(EQ234="A veces",2,
IF(EQ234="A menudo",1,
IF(EQ234="Siempre",0,"")))))</f>
        <v>4</v>
      </c>
      <c r="ES234" s="5" t="s">
        <v>253</v>
      </c>
      <c r="ET234" s="5">
        <f>IF(ES234="Nunca/ casi nunca",4,
IF(ES234="Rara vez",3,
IF(ES234="A veces",2,
IF(ES234="A menudo",1,
IF(ES234="Siempre",0,"")))))</f>
        <v>4</v>
      </c>
      <c r="EU234" s="5" t="s">
        <v>253</v>
      </c>
      <c r="EV234" s="5">
        <f>IF(EU234="Nunca/ casi nunca",4,
IF(EU234="Rara vez",3,
IF(EU234="A veces",2,
IF(EU234="A menudo",1,
IF(EU234="Siempre",0,"")))))</f>
        <v>4</v>
      </c>
      <c r="EW234" s="5" t="s">
        <v>253</v>
      </c>
      <c r="EX234" s="5">
        <f>IF(EW234="Nunca/ casi nunca",4,
IF(EW234="Rara vez",3,
IF(EW234="A veces",2,
IF(EW234="A menudo",1,
IF(EW234="Siempre",0,"")))))</f>
        <v>4</v>
      </c>
      <c r="EY234" s="5">
        <f>SUM(ER234,ET234,EV234,EX234)</f>
        <v>16</v>
      </c>
      <c r="EZ234" s="5" t="str">
        <f>IF(EY234&lt;=0,"Nivel de riesgo bajo",
IF(EY234&lt;=4,"Nivel de riesgo medio",
"Nivel de riesgo alto"))</f>
        <v>Nivel de riesgo alto</v>
      </c>
      <c r="FA234" s="5" t="s">
        <v>253</v>
      </c>
      <c r="FB234" s="5">
        <f>IF(FA234="Nunca/ casi nunca",0,
IF(FA234="Rara vez",1,
IF(FA234="A veces",2,
IF(FA234="A menudo",3,
IF(FA234="Siempre",4,"")))))</f>
        <v>0</v>
      </c>
      <c r="FC234" s="5" t="s">
        <v>248</v>
      </c>
      <c r="FD234" s="5">
        <f>IF(FC234="Nunca/ casi nunca",0,
IF(FC234="Rara vez",1,
IF(FC234="A veces",2,
IF(FC234="A menudo",3,
IF(FC234="Siempre",4,"")))))</f>
        <v>1</v>
      </c>
      <c r="FE234" s="5" t="s">
        <v>248</v>
      </c>
      <c r="FF234" s="5">
        <f>IF(FE234="Nunca/ casi nunca",0,
IF(FE234="Rara vez",1,
IF(FE234="A veces",2,
IF(FE234="A menudo",3,
IF(FE234="Siempre",4,"")))))</f>
        <v>1</v>
      </c>
      <c r="FG234" s="5">
        <f>SUM(FB234,FD234,FF234)</f>
        <v>2</v>
      </c>
      <c r="FH234" s="5" t="str">
        <f>IF(FG234&lt;=2,"Nivel de riesgo bajo",
IF(FG234&lt;=5,"Nivel de riesgo medio",
"Nivel de riesgo alto"))</f>
        <v>Nivel de riesgo bajo</v>
      </c>
      <c r="FI234" s="5" t="s">
        <v>248</v>
      </c>
      <c r="FJ234" s="5">
        <f>IF(FI234="Nunca/ casi nunca",0,
IF(FI234="Rara vez",1,
IF(FI234="A veces",2,
IF(FI234="A menudo",3,
IF(FI234="Siempre",4,"")))))</f>
        <v>1</v>
      </c>
      <c r="FK234" s="5" t="s">
        <v>248</v>
      </c>
      <c r="FL234" s="5">
        <f>IF(FK234="Nunca/ casi nunca",0,
IF(FK234="Rara vez",1,
IF(FK234="A veces",2,
IF(FK234="A menudo",3,
IF(FK234="Siempre",4,"")))))</f>
        <v>1</v>
      </c>
      <c r="FM234" s="5" t="s">
        <v>248</v>
      </c>
      <c r="FN234" s="5">
        <f>IF(FM234="Nunca/ casi nunca",0,
IF(FM234="Rara vez",1,
IF(FM234="A veces",2,
IF(FM234="A menudo",3,
IF(FM234="Siempre",4,"")))))</f>
        <v>1</v>
      </c>
      <c r="FO234" s="5">
        <f>SUM(FJ234,FL234,FN234)</f>
        <v>3</v>
      </c>
      <c r="FP234" s="5" t="str">
        <f>IF(FO234&lt;=2,"Nivel de riesgo bajo",
IF(FO234&lt;=5,"Nivel de riesgo medio",
"Nivel de riesgo alto"))</f>
        <v>Nivel de riesgo medio</v>
      </c>
      <c r="FQ234" s="5" t="s">
        <v>206</v>
      </c>
      <c r="FR234" s="5">
        <f>IF(FQ234="No",0,
IF(FQ234="Sí, unas pocas veces",1,
IF(FQ234="Sí, mensualmente",2,
IF(FQ234="Sí, semanalmente",3,
IF(FQ234="Sí, diariamente",4,"")))))</f>
        <v>0</v>
      </c>
      <c r="FS234" s="5" t="s">
        <v>206</v>
      </c>
      <c r="FT234" s="5">
        <f>IF(FS234="No",0,
IF(FS234="Sí, unas pocas veces",1,
IF(FS234="Sí, mensualmente",2,
IF(FS234="Sí, semanalmente",3,
IF(FS234="Sí, diariamente",4,"")))))</f>
        <v>0</v>
      </c>
      <c r="FU234" s="5" t="s">
        <v>206</v>
      </c>
      <c r="FV234" s="5">
        <f>IF(FU234="No",0,
IF(FU234="Sí, unas pocas veces",1,
IF(FU234="Sí, mensualmente",2,
IF(FU234="Sí, semanalmente",3,
IF(FU234="Sí, diariamente",4,"")))))</f>
        <v>0</v>
      </c>
      <c r="FW234" s="5" t="s">
        <v>206</v>
      </c>
      <c r="FX234" s="5">
        <f>IF(FW234="No",0,
IF(FW234="Sí, unas pocas veces",1,
IF(FW234="Sí, mensualmente",2,
IF(FW234="Sí, semanalmente",3,
IF(FW234="Sí, diariamente",4,"")))))</f>
        <v>0</v>
      </c>
      <c r="FY234" s="5" t="s">
        <v>206</v>
      </c>
      <c r="FZ234" s="5">
        <f>IF(FY234="No",0,
IF(FY234="Sí, unas pocas veces",1,
IF(FY234="Sí, mensualmente",2,
IF(FY234="Sí, semanalmente",3,
IF(FY234="Sí, diariamente",4,"")))))</f>
        <v>0</v>
      </c>
      <c r="GA234" s="5" t="s">
        <v>206</v>
      </c>
      <c r="GB234" s="5">
        <f>IF(GA234="No",0,
IF(GA234="Sí, unas pocas veces",1,
IF(GA234="Sí, mensualmente",2,
IF(GA234="Sí, semanalmente",3,
IF(GA234="Sí, diariamente",4,"")))))</f>
        <v>0</v>
      </c>
      <c r="GC234" s="5" t="s">
        <v>206</v>
      </c>
      <c r="GD234" s="5">
        <f>IF(GC234="No",0,
IF(GC234="Sí, unas pocas veces",1,
IF(GC234="Sí, mensualmente",2,
IF(GC234="Sí, semanalmente",3,
IF(GC234="Sí, diariamente",4,"")))))</f>
        <v>0</v>
      </c>
      <c r="GE234" s="5">
        <f>SUM(FR234,FT234,FV234,FX234,FZ234,GB234,GD234)</f>
        <v>0</v>
      </c>
      <c r="GF234" s="5" t="str">
        <f>IF(GE234&lt;=0,"Nivel de riesgo bajo",
IF(GE234&lt;=14,"Nivel de riesgo medio",
"Nivel de riesgo alto"))</f>
        <v>Nivel de riesgo bajo</v>
      </c>
      <c r="GG234" s="5" t="s">
        <v>255</v>
      </c>
      <c r="GH234" s="5" t="s">
        <v>255</v>
      </c>
      <c r="GI234" s="5" t="s">
        <v>255</v>
      </c>
      <c r="GJ234" s="5" t="s">
        <v>255</v>
      </c>
      <c r="GK234" s="5" t="s">
        <v>233</v>
      </c>
      <c r="GL234" s="5" t="s">
        <v>233</v>
      </c>
      <c r="GM234" s="5" t="s">
        <v>233</v>
      </c>
      <c r="GN234" s="5" t="s">
        <v>257</v>
      </c>
      <c r="GO234" s="5" t="s">
        <v>257</v>
      </c>
      <c r="GP234" s="5" t="s">
        <v>244</v>
      </c>
      <c r="GQ234" s="5" t="s">
        <v>244</v>
      </c>
      <c r="GR234" s="5" t="s">
        <v>244</v>
      </c>
      <c r="GS234" s="5" t="s">
        <v>244</v>
      </c>
      <c r="GT234" s="5" t="s">
        <v>244</v>
      </c>
      <c r="GU234" s="5" t="s">
        <v>586</v>
      </c>
      <c r="GV234" s="5" t="str">
        <f>TEXT("6279152369912396175","0")</f>
        <v>6279152369912390000</v>
      </c>
    </row>
    <row r="235" spans="1:204" ht="15.75" customHeight="1" x14ac:dyDescent="0.15">
      <c r="A235" s="1">
        <f>ROW(A235)</f>
        <v>235</v>
      </c>
      <c r="B235" s="4">
        <v>45847.845127314817</v>
      </c>
      <c r="C235" s="5" t="s">
        <v>204</v>
      </c>
      <c r="D235" s="5" t="s">
        <v>206</v>
      </c>
      <c r="F235" s="5" t="s">
        <v>206</v>
      </c>
      <c r="G235" s="5" t="s">
        <v>206</v>
      </c>
      <c r="H235" s="5" t="s">
        <v>206</v>
      </c>
      <c r="L235" s="5" t="s">
        <v>236</v>
      </c>
      <c r="O235" s="5" t="s">
        <v>209</v>
      </c>
      <c r="V235" s="5" t="s">
        <v>236</v>
      </c>
      <c r="Y235" s="5" t="s">
        <v>209</v>
      </c>
      <c r="AG235" s="5" t="s">
        <v>207</v>
      </c>
      <c r="AH235" s="5" t="s">
        <v>210</v>
      </c>
      <c r="AI235" s="5">
        <v>2010</v>
      </c>
      <c r="AJ235" s="5" t="s">
        <v>238</v>
      </c>
      <c r="AK235" s="5" t="str">
        <f>IF(OR(AJ235="Empleada del sector privado",AJ235="Empleada del sector público"),"Asalariada",
IF(AJ235="Trabajadora por cuenta propia","Trabajadora por cuenta propia",""))</f>
        <v>Trabajadora por cuenta propia</v>
      </c>
      <c r="AN235" s="5" t="s">
        <v>288</v>
      </c>
      <c r="AP235" s="5" t="s">
        <v>240</v>
      </c>
      <c r="AR235" s="5" t="s">
        <v>241</v>
      </c>
      <c r="AS235" s="5" t="s">
        <v>241</v>
      </c>
      <c r="AT235" s="5" t="s">
        <v>261</v>
      </c>
      <c r="AU235" s="5" t="s">
        <v>294</v>
      </c>
      <c r="AV235" s="5" t="s">
        <v>302</v>
      </c>
      <c r="AW235" s="5" t="s">
        <v>206</v>
      </c>
      <c r="BF235" s="5" t="s">
        <v>204</v>
      </c>
      <c r="BG235" s="5" t="s">
        <v>264</v>
      </c>
      <c r="BH235" s="5" t="s">
        <v>264</v>
      </c>
      <c r="BI235" s="5" t="s">
        <v>215</v>
      </c>
      <c r="BJ235" s="5" t="s">
        <v>215</v>
      </c>
      <c r="BK235" s="5" t="s">
        <v>246</v>
      </c>
      <c r="BL235" s="5" t="s">
        <v>243</v>
      </c>
      <c r="BM235" s="5" t="s">
        <v>246</v>
      </c>
      <c r="BN235" s="5" t="s">
        <v>243</v>
      </c>
      <c r="BO235" s="5" t="s">
        <v>246</v>
      </c>
      <c r="BP235" s="5" t="s">
        <v>246</v>
      </c>
      <c r="BQ235" s="5" t="s">
        <v>243</v>
      </c>
      <c r="BR235" s="5" t="s">
        <v>246</v>
      </c>
      <c r="BS235" s="5" t="s">
        <v>232</v>
      </c>
      <c r="BT235" s="5" t="s">
        <v>232</v>
      </c>
      <c r="BU235" s="5" t="s">
        <v>232</v>
      </c>
      <c r="BV235" s="5" t="s">
        <v>232</v>
      </c>
      <c r="BW235" s="5" t="s">
        <v>247</v>
      </c>
      <c r="BX235" s="5" t="s">
        <v>232</v>
      </c>
      <c r="BY235" s="5" t="s">
        <v>232</v>
      </c>
      <c r="CD235" s="5" t="s">
        <v>204</v>
      </c>
      <c r="CE235" s="5" t="s">
        <v>218</v>
      </c>
      <c r="CF235" s="5" t="s">
        <v>219</v>
      </c>
      <c r="CG235" s="5" t="s">
        <v>206</v>
      </c>
      <c r="CH235" s="5" t="s">
        <v>206</v>
      </c>
      <c r="CI235" s="5" t="s">
        <v>291</v>
      </c>
      <c r="CJ235" s="5">
        <v>2</v>
      </c>
      <c r="CK235" s="5" t="s">
        <v>223</v>
      </c>
      <c r="CU235" s="5" t="s">
        <v>206</v>
      </c>
      <c r="DA235" s="5" t="s">
        <v>231</v>
      </c>
      <c r="DB235" s="5">
        <f>IF(DA235="Mejor que lo habitual",1,
IF(DA235="Igual que lo habitual",2,
IF(DA235="Menos que lo habitual",3,
IF(DA235="Mucho menos que lo habitual",4,""))))</f>
        <v>2</v>
      </c>
      <c r="DC235" s="5" t="s">
        <v>280</v>
      </c>
      <c r="DD235" s="5">
        <f>IF(DC235="No, en absoluto",1,
IF(DC235="No más que lo habitual",2,
IF(DC235="Bastante más que lo habitual",3,
IF(DC235="Mucho más que lo habitual",4,""))))</f>
        <v>4</v>
      </c>
      <c r="DE235" s="5" t="s">
        <v>280</v>
      </c>
      <c r="DF235" s="5">
        <f>IF(DE235="No, en absoluto",1,
IF(DE235="No más que lo habitual",2,
IF(DE235="Bastante más que lo habitual",3,
IF(DE235="Mucho más que lo habitual",4,""))))</f>
        <v>4</v>
      </c>
      <c r="DG235" s="5" t="s">
        <v>280</v>
      </c>
      <c r="DH235" s="5">
        <f>IF(DG235="No, en absoluto",1,
IF(DG235="No más que lo habitual",2,
IF(DG235="Bastante más que lo habitual",3,
IF(DG235="Mucho más que lo habitual",4,""))))</f>
        <v>4</v>
      </c>
      <c r="DI235" s="5" t="s">
        <v>250</v>
      </c>
      <c r="DJ235" s="5">
        <f>IF(DI235="No, en absoluto",1,
IF(DI235="No más que lo habitual",2,
IF(DI235="Bastante más que lo habitual",3,
IF(DI235="Mucho más que lo habitual",4,""))))</f>
        <v>3</v>
      </c>
      <c r="DK235" s="5" t="s">
        <v>230</v>
      </c>
      <c r="DL235" s="5">
        <f>IF(DK235="No, en absoluto",1,
IF(DK235="No más que lo habitual",2,
IF(DK235="Bastante más que lo habitual",3,
IF(DK235="Mucho más que lo habitual",4,""))))</f>
        <v>2</v>
      </c>
      <c r="DM235" s="5" t="s">
        <v>251</v>
      </c>
      <c r="DN235" s="5">
        <f>IF(DM235="No, en absoluto",1,
IF(DM235="No más que lo habitual",2,
IF(DM235="Bastante más que lo habitual",3,
IF(DM235="Mucho más que lo habitual",4,""))))</f>
        <v>1</v>
      </c>
      <c r="DO235" s="5" t="s">
        <v>231</v>
      </c>
      <c r="DP235" s="5">
        <f>IF(DO235="Más que lo habitual",1,
IF(DO235="Igual que lo habitual",2,
IF(DO235="Menos que lo habitual",3,
IF(DO235="Mucho menos que lo habitual",4,""))))</f>
        <v>2</v>
      </c>
      <c r="DQ235" s="5" t="s">
        <v>231</v>
      </c>
      <c r="DR235" s="5">
        <f>IF(DQ235="Más que lo habitual",1,
IF(DQ235="Igual que lo habitual",2,
IF(DQ235="Menos que lo habitual",3,
IF(DQ235="Mucho menos que lo habitual",4,""))))</f>
        <v>2</v>
      </c>
      <c r="DS235" s="5" t="s">
        <v>252</v>
      </c>
      <c r="DT235" s="5">
        <f>IF(DS235="Más que lo habitual",1,
IF(DS235="Igual que lo habitual",2,
IF(DS235="Menos que lo habitual",3,
IF(DS235="Mucho menos que lo habitual",4,""))))</f>
        <v>3</v>
      </c>
      <c r="DU235" s="5" t="s">
        <v>252</v>
      </c>
      <c r="DV235" s="5">
        <f>IF(DU235="Más que lo habitual",1,
IF(DU235="Igual que lo habitual",2,
IF(DU235="Menos que lo habitual",3,
IF(DU235="Mucho menos que lo habitual",4,""))))</f>
        <v>3</v>
      </c>
      <c r="DW235" s="5" t="s">
        <v>231</v>
      </c>
      <c r="DX235" s="5">
        <f>IF(DW235="Más que lo habitual",1,
IF(DW235="Igual que lo habitual",2,
IF(DW235="Menos que lo habitual",3,
IF(DW235="Mucho menos que lo habitual",4,""))))</f>
        <v>2</v>
      </c>
      <c r="DY235" s="5">
        <f>SUM(DB235,DD235,DF235,DH235,DJ235,DL235,DN235,DP235,DR235,DT235,DV235,DX235)</f>
        <v>32</v>
      </c>
      <c r="DZ235" s="5" t="str">
        <f>IF(DY235&lt;=18,"Nivel de riesgo bajo",
IF(DY235&lt;=23,"Nivel de riesgo medio",
"Nivel de riesgo alto"))</f>
        <v>Nivel de riesgo alto</v>
      </c>
      <c r="EA235" s="5" t="s">
        <v>232</v>
      </c>
      <c r="EB235" s="5">
        <f>IF(EA235="Nunca/ casi nunca",0,
IF(EA235="Rara vez",1,
IF(EA235="A veces",2,
IF(EA235="A menudo",3,
IF(EA235="Siempre",4,"")))))</f>
        <v>3</v>
      </c>
      <c r="EC235" s="5" t="s">
        <v>232</v>
      </c>
      <c r="ED235" s="5">
        <f>IF(EC235="Nunca/ casi nunca",0,
IF(EC235="Rara vez",1,
IF(EC235="A veces",2,
IF(EC235="A menudo",3,
IF(EC235="Siempre",4,"")))))</f>
        <v>3</v>
      </c>
      <c r="EE235" s="5" t="s">
        <v>232</v>
      </c>
      <c r="EF235" s="5">
        <f>IF(EE235="Nunca/ casi nunca",0,
IF(EE235="Rara vez",1,
IF(EE235="A veces",2,
IF(EE235="A menudo",3,
IF(EE235="Siempre",4,"")))))</f>
        <v>3</v>
      </c>
      <c r="EG235" s="5">
        <f>SUM(EB235,ED235,EF235)</f>
        <v>9</v>
      </c>
      <c r="EH235" s="5" t="str">
        <f>IF(EG235&lt;=1,"Nivel de riesgo bajo",
IF(EG235&lt;=4,"Nivel de riesgo medio",
"Nivel de riesgo alto"))</f>
        <v>Nivel de riesgo alto</v>
      </c>
      <c r="EI235" s="5" t="s">
        <v>232</v>
      </c>
      <c r="EJ235" s="5">
        <f>IF(EI235="Nunca/ casi nunca",0,
IF(EI235="Rara vez",1,
IF(EI235="A veces",2,
IF(EI235="A menudo",3,
IF(EI235="Siempre",4,"")))))</f>
        <v>3</v>
      </c>
      <c r="EK235" s="5" t="s">
        <v>232</v>
      </c>
      <c r="EL235" s="5">
        <f>IF(EK235="Nunca/ casi nunca",0,
IF(EK235="Rara vez",1,
IF(EK235="A veces",2,
IF(EK235="A menudo",3,
IF(EK235="Siempre",4,"")))))</f>
        <v>3</v>
      </c>
      <c r="EM235" s="5" t="s">
        <v>232</v>
      </c>
      <c r="EN235" s="5">
        <f>IF(EM235="Nunca/ casi nunca",0,
IF(EM235="Rara vez",1,
IF(EM235="A veces",2,
IF(EM235="A menudo",3,
IF(EM235="Siempre",4,"")))))</f>
        <v>3</v>
      </c>
      <c r="EO235" s="5">
        <f>SUM(EJ235,EL235,EN235)</f>
        <v>9</v>
      </c>
      <c r="EP235" s="5" t="str">
        <f>IF(EO235&lt;=1,"Nivel de riesgo bajo",
IF(EO235&lt;=5,"Nivel de riesgo medio",
"Nivel de riesgo alto"))</f>
        <v>Nivel de riesgo alto</v>
      </c>
      <c r="EQ235" s="5" t="s">
        <v>232</v>
      </c>
      <c r="ER235" s="5">
        <f>IF(EQ235="Nunca/ casi nunca",4,
IF(EQ235="Rara vez",3,
IF(EQ235="A veces",2,
IF(EQ235="A menudo",1,
IF(EQ235="Siempre",0,"")))))</f>
        <v>1</v>
      </c>
      <c r="ES235" s="5" t="s">
        <v>253</v>
      </c>
      <c r="ET235" s="5">
        <f>IF(ES235="Nunca/ casi nunca",4,
IF(ES235="Rara vez",3,
IF(ES235="A veces",2,
IF(ES235="A menudo",1,
IF(ES235="Siempre",0,"")))))</f>
        <v>4</v>
      </c>
      <c r="EU235" s="5" t="s">
        <v>247</v>
      </c>
      <c r="EV235" s="5">
        <f>IF(EU235="Nunca/ casi nunca",4,
IF(EU235="Rara vez",3,
IF(EU235="A veces",2,
IF(EU235="A menudo",1,
IF(EU235="Siempre",0,"")))))</f>
        <v>2</v>
      </c>
      <c r="EW235" s="5" t="s">
        <v>247</v>
      </c>
      <c r="EX235" s="5">
        <f>IF(EW235="Nunca/ casi nunca",4,
IF(EW235="Rara vez",3,
IF(EW235="A veces",2,
IF(EW235="A menudo",1,
IF(EW235="Siempre",0,"")))))</f>
        <v>2</v>
      </c>
      <c r="EY235" s="5">
        <f>SUM(ER235,ET235,EV235,EX235)</f>
        <v>9</v>
      </c>
      <c r="EZ235" s="5" t="str">
        <f>IF(EY235&lt;=0,"Nivel de riesgo bajo",
IF(EY235&lt;=4,"Nivel de riesgo medio",
"Nivel de riesgo alto"))</f>
        <v>Nivel de riesgo alto</v>
      </c>
      <c r="FA235" s="5" t="s">
        <v>232</v>
      </c>
      <c r="FB235" s="5">
        <f>IF(FA235="Nunca/ casi nunca",0,
IF(FA235="Rara vez",1,
IF(FA235="A veces",2,
IF(FA235="A menudo",3,
IF(FA235="Siempre",4,"")))))</f>
        <v>3</v>
      </c>
      <c r="FC235" s="5" t="s">
        <v>232</v>
      </c>
      <c r="FD235" s="5">
        <f>IF(FC235="Nunca/ casi nunca",0,
IF(FC235="Rara vez",1,
IF(FC235="A veces",2,
IF(FC235="A menudo",3,
IF(FC235="Siempre",4,"")))))</f>
        <v>3</v>
      </c>
      <c r="FE235" s="5" t="s">
        <v>232</v>
      </c>
      <c r="FF235" s="5">
        <f>IF(FE235="Nunca/ casi nunca",0,
IF(FE235="Rara vez",1,
IF(FE235="A veces",2,
IF(FE235="A menudo",3,
IF(FE235="Siempre",4,"")))))</f>
        <v>3</v>
      </c>
      <c r="FG235" s="5">
        <f>SUM(FB235,FD235,FF235)</f>
        <v>9</v>
      </c>
      <c r="FH235" s="5" t="str">
        <f>IF(FG235&lt;=2,"Nivel de riesgo bajo",
IF(FG235&lt;=5,"Nivel de riesgo medio",
"Nivel de riesgo alto"))</f>
        <v>Nivel de riesgo alto</v>
      </c>
      <c r="FI235" s="5" t="s">
        <v>232</v>
      </c>
      <c r="FJ235" s="5">
        <f>IF(FI235="Nunca/ casi nunca",0,
IF(FI235="Rara vez",1,
IF(FI235="A veces",2,
IF(FI235="A menudo",3,
IF(FI235="Siempre",4,"")))))</f>
        <v>3</v>
      </c>
      <c r="FK235" s="5" t="s">
        <v>232</v>
      </c>
      <c r="FL235" s="5">
        <f>IF(FK235="Nunca/ casi nunca",0,
IF(FK235="Rara vez",1,
IF(FK235="A veces",2,
IF(FK235="A menudo",3,
IF(FK235="Siempre",4,"")))))</f>
        <v>3</v>
      </c>
      <c r="FM235" s="5" t="s">
        <v>232</v>
      </c>
      <c r="FN235" s="5">
        <f>IF(FM235="Nunca/ casi nunca",0,
IF(FM235="Rara vez",1,
IF(FM235="A veces",2,
IF(FM235="A menudo",3,
IF(FM235="Siempre",4,"")))))</f>
        <v>3</v>
      </c>
      <c r="FO235" s="5">
        <f>SUM(FJ235,FL235,FN235)</f>
        <v>9</v>
      </c>
      <c r="FP235" s="5" t="str">
        <f>IF(FO235&lt;=2,"Nivel de riesgo bajo",
IF(FO235&lt;=5,"Nivel de riesgo medio",
"Nivel de riesgo alto"))</f>
        <v>Nivel de riesgo alto</v>
      </c>
      <c r="FQ235" s="5" t="s">
        <v>265</v>
      </c>
      <c r="FR235" s="5">
        <f>IF(FQ235="No",0,
IF(FQ235="Sí, unas pocas veces",1,
IF(FQ235="Sí, mensualmente",2,
IF(FQ235="Sí, semanalmente",3,
IF(FQ235="Sí, diariamente",4,"")))))</f>
        <v>1</v>
      </c>
      <c r="FS235" s="5" t="s">
        <v>206</v>
      </c>
      <c r="FT235" s="5">
        <f>IF(FS235="No",0,
IF(FS235="Sí, unas pocas veces",1,
IF(FS235="Sí, mensualmente",2,
IF(FS235="Sí, semanalmente",3,
IF(FS235="Sí, diariamente",4,"")))))</f>
        <v>0</v>
      </c>
      <c r="FU235" s="5" t="s">
        <v>206</v>
      </c>
      <c r="FV235" s="5">
        <f>IF(FU235="No",0,
IF(FU235="Sí, unas pocas veces",1,
IF(FU235="Sí, mensualmente",2,
IF(FU235="Sí, semanalmente",3,
IF(FU235="Sí, diariamente",4,"")))))</f>
        <v>0</v>
      </c>
      <c r="FW235" s="5" t="s">
        <v>206</v>
      </c>
      <c r="FX235" s="5">
        <f>IF(FW235="No",0,
IF(FW235="Sí, unas pocas veces",1,
IF(FW235="Sí, mensualmente",2,
IF(FW235="Sí, semanalmente",3,
IF(FW235="Sí, diariamente",4,"")))))</f>
        <v>0</v>
      </c>
      <c r="FY235" s="5" t="s">
        <v>206</v>
      </c>
      <c r="FZ235" s="5">
        <f>IF(FY235="No",0,
IF(FY235="Sí, unas pocas veces",1,
IF(FY235="Sí, mensualmente",2,
IF(FY235="Sí, semanalmente",3,
IF(FY235="Sí, diariamente",4,"")))))</f>
        <v>0</v>
      </c>
      <c r="GA235" s="5" t="s">
        <v>206</v>
      </c>
      <c r="GB235" s="5">
        <f>IF(GA235="No",0,
IF(GA235="Sí, unas pocas veces",1,
IF(GA235="Sí, mensualmente",2,
IF(GA235="Sí, semanalmente",3,
IF(GA235="Sí, diariamente",4,"")))))</f>
        <v>0</v>
      </c>
      <c r="GC235" s="5" t="s">
        <v>265</v>
      </c>
      <c r="GD235" s="5">
        <f>IF(GC235="No",0,
IF(GC235="Sí, unas pocas veces",1,
IF(GC235="Sí, mensualmente",2,
IF(GC235="Sí, semanalmente",3,
IF(GC235="Sí, diariamente",4,"")))))</f>
        <v>1</v>
      </c>
      <c r="GE235" s="5">
        <f>SUM(FR235,FT235,FV235,FX235,FZ235,GB235,GD235)</f>
        <v>2</v>
      </c>
      <c r="GF235" s="5" t="str">
        <f>IF(GE235&lt;=0,"Nivel de riesgo bajo",
IF(GE235&lt;=14,"Nivel de riesgo medio",
"Nivel de riesgo alto"))</f>
        <v>Nivel de riesgo medio</v>
      </c>
      <c r="GG235" s="5" t="s">
        <v>255</v>
      </c>
      <c r="GH235" s="5" t="s">
        <v>255</v>
      </c>
      <c r="GI235" s="5" t="s">
        <v>255</v>
      </c>
      <c r="GJ235" s="5" t="s">
        <v>273</v>
      </c>
      <c r="GK235" s="5" t="s">
        <v>266</v>
      </c>
      <c r="GL235" s="5" t="s">
        <v>273</v>
      </c>
      <c r="GM235" s="5" t="s">
        <v>273</v>
      </c>
      <c r="GN235" s="5" t="s">
        <v>256</v>
      </c>
      <c r="GO235" s="5" t="s">
        <v>256</v>
      </c>
      <c r="GP235" s="5" t="s">
        <v>243</v>
      </c>
      <c r="GQ235" s="5" t="s">
        <v>257</v>
      </c>
      <c r="GR235" s="5" t="s">
        <v>257</v>
      </c>
      <c r="GS235" s="5" t="s">
        <v>257</v>
      </c>
      <c r="GT235" s="5" t="s">
        <v>243</v>
      </c>
      <c r="GU235" s="5" t="s">
        <v>587</v>
      </c>
      <c r="GV235" s="5" t="str">
        <f>TEXT("6279158193244322546","0")</f>
        <v>6279158193244320000</v>
      </c>
    </row>
    <row r="236" spans="1:204" ht="15.75" customHeight="1" x14ac:dyDescent="0.15">
      <c r="A236" s="1">
        <f>ROW(A236)</f>
        <v>236</v>
      </c>
      <c r="B236" s="4">
        <v>45847.856770833336</v>
      </c>
      <c r="C236" s="5" t="s">
        <v>204</v>
      </c>
      <c r="D236" s="5" t="s">
        <v>206</v>
      </c>
      <c r="F236" s="5" t="s">
        <v>206</v>
      </c>
      <c r="G236" s="5" t="s">
        <v>204</v>
      </c>
      <c r="H236" s="5" t="s">
        <v>206</v>
      </c>
      <c r="L236" s="5" t="s">
        <v>236</v>
      </c>
      <c r="O236" s="5" t="s">
        <v>209</v>
      </c>
      <c r="T236" s="5" t="s">
        <v>209</v>
      </c>
      <c r="X236" s="5" t="s">
        <v>208</v>
      </c>
      <c r="AD236" s="5" t="s">
        <v>209</v>
      </c>
      <c r="AH236" s="5" t="s">
        <v>275</v>
      </c>
      <c r="AI236" s="5">
        <v>2021</v>
      </c>
      <c r="AJ236" s="5" t="s">
        <v>238</v>
      </c>
      <c r="AK236" s="5" t="str">
        <f>IF(OR(AJ236="Empleada del sector privado",AJ236="Empleada del sector público"),"Asalariada",
IF(AJ236="Trabajadora por cuenta propia","Trabajadora por cuenta propia",""))</f>
        <v>Trabajadora por cuenta propia</v>
      </c>
      <c r="AM236" s="5" t="s">
        <v>309</v>
      </c>
      <c r="AP236" s="5" t="s">
        <v>297</v>
      </c>
      <c r="AR236" s="5" t="s">
        <v>241</v>
      </c>
      <c r="AS236" s="5" t="s">
        <v>261</v>
      </c>
      <c r="AT236" s="5" t="s">
        <v>261</v>
      </c>
      <c r="AU236" s="5" t="s">
        <v>241</v>
      </c>
      <c r="AV236" s="5" t="s">
        <v>302</v>
      </c>
      <c r="AW236" s="5" t="s">
        <v>206</v>
      </c>
      <c r="BF236" s="5" t="s">
        <v>204</v>
      </c>
      <c r="BG236" s="5" t="s">
        <v>278</v>
      </c>
      <c r="BH236" s="5" t="s">
        <v>278</v>
      </c>
      <c r="BI236" s="5" t="s">
        <v>271</v>
      </c>
      <c r="BJ236" s="5" t="s">
        <v>271</v>
      </c>
      <c r="BK236" s="5" t="s">
        <v>246</v>
      </c>
      <c r="BL236" s="5" t="s">
        <v>243</v>
      </c>
      <c r="BM236" s="5" t="s">
        <v>246</v>
      </c>
      <c r="BN236" s="5" t="s">
        <v>246</v>
      </c>
      <c r="BO236" s="5" t="s">
        <v>246</v>
      </c>
      <c r="BP236" s="5" t="s">
        <v>246</v>
      </c>
      <c r="BQ236" s="5" t="s">
        <v>246</v>
      </c>
      <c r="BR236" s="5" t="s">
        <v>246</v>
      </c>
      <c r="BS236" s="5" t="s">
        <v>232</v>
      </c>
      <c r="BT236" s="5" t="s">
        <v>232</v>
      </c>
      <c r="BU236" s="5" t="s">
        <v>247</v>
      </c>
      <c r="BV236" s="5" t="s">
        <v>247</v>
      </c>
      <c r="BW236" s="5" t="s">
        <v>248</v>
      </c>
      <c r="BX236" s="5" t="s">
        <v>248</v>
      </c>
      <c r="BY236" s="5" t="s">
        <v>248</v>
      </c>
      <c r="CD236" s="5" t="s">
        <v>204</v>
      </c>
      <c r="CE236" s="5" t="s">
        <v>286</v>
      </c>
      <c r="CF236" s="5" t="s">
        <v>219</v>
      </c>
      <c r="CG236" s="5" t="s">
        <v>373</v>
      </c>
      <c r="CH236" s="5" t="s">
        <v>206</v>
      </c>
      <c r="CI236" s="5" t="s">
        <v>318</v>
      </c>
      <c r="CJ236" s="5">
        <v>5</v>
      </c>
      <c r="CK236" s="5" t="s">
        <v>223</v>
      </c>
      <c r="CU236" s="5" t="s">
        <v>206</v>
      </c>
      <c r="DA236" s="5" t="s">
        <v>231</v>
      </c>
      <c r="DB236" s="5">
        <f>IF(DA236="Mejor que lo habitual",1,
IF(DA236="Igual que lo habitual",2,
IF(DA236="Menos que lo habitual",3,
IF(DA236="Mucho menos que lo habitual",4,""))))</f>
        <v>2</v>
      </c>
      <c r="DC236" s="5" t="s">
        <v>250</v>
      </c>
      <c r="DD236" s="5">
        <f>IF(DC236="No, en absoluto",1,
IF(DC236="No más que lo habitual",2,
IF(DC236="Bastante más que lo habitual",3,
IF(DC236="Mucho más que lo habitual",4,""))))</f>
        <v>3</v>
      </c>
      <c r="DE236" s="5" t="s">
        <v>230</v>
      </c>
      <c r="DF236" s="5">
        <f>IF(DE236="No, en absoluto",1,
IF(DE236="No más que lo habitual",2,
IF(DE236="Bastante más que lo habitual",3,
IF(DE236="Mucho más que lo habitual",4,""))))</f>
        <v>2</v>
      </c>
      <c r="DG236" s="5" t="s">
        <v>251</v>
      </c>
      <c r="DH236" s="5">
        <f>IF(DG236="No, en absoluto",1,
IF(DG236="No más que lo habitual",2,
IF(DG236="Bastante más que lo habitual",3,
IF(DG236="Mucho más que lo habitual",4,""))))</f>
        <v>1</v>
      </c>
      <c r="DI236" s="5" t="s">
        <v>230</v>
      </c>
      <c r="DJ236" s="5">
        <f>IF(DI236="No, en absoluto",1,
IF(DI236="No más que lo habitual",2,
IF(DI236="Bastante más que lo habitual",3,
IF(DI236="Mucho más que lo habitual",4,""))))</f>
        <v>2</v>
      </c>
      <c r="DK236" s="5" t="s">
        <v>230</v>
      </c>
      <c r="DL236" s="5">
        <f>IF(DK236="No, en absoluto",1,
IF(DK236="No más que lo habitual",2,
IF(DK236="Bastante más que lo habitual",3,
IF(DK236="Mucho más que lo habitual",4,""))))</f>
        <v>2</v>
      </c>
      <c r="DM236" s="5" t="s">
        <v>251</v>
      </c>
      <c r="DN236" s="5">
        <f>IF(DM236="No, en absoluto",1,
IF(DM236="No más que lo habitual",2,
IF(DM236="Bastante más que lo habitual",3,
IF(DM236="Mucho más que lo habitual",4,""))))</f>
        <v>1</v>
      </c>
      <c r="DO236" s="5" t="s">
        <v>231</v>
      </c>
      <c r="DP236" s="5">
        <f>IF(DO236="Más que lo habitual",1,
IF(DO236="Igual que lo habitual",2,
IF(DO236="Menos que lo habitual",3,
IF(DO236="Mucho menos que lo habitual",4,""))))</f>
        <v>2</v>
      </c>
      <c r="DQ236" s="5" t="s">
        <v>231</v>
      </c>
      <c r="DR236" s="5">
        <f>IF(DQ236="Más que lo habitual",1,
IF(DQ236="Igual que lo habitual",2,
IF(DQ236="Menos que lo habitual",3,
IF(DQ236="Mucho menos que lo habitual",4,""))))</f>
        <v>2</v>
      </c>
      <c r="DS236" s="5" t="s">
        <v>231</v>
      </c>
      <c r="DT236" s="5">
        <f>IF(DS236="Más que lo habitual",1,
IF(DS236="Igual que lo habitual",2,
IF(DS236="Menos que lo habitual",3,
IF(DS236="Mucho menos que lo habitual",4,""))))</f>
        <v>2</v>
      </c>
      <c r="DU236" s="5" t="s">
        <v>231</v>
      </c>
      <c r="DV236" s="5">
        <f>IF(DU236="Más que lo habitual",1,
IF(DU236="Igual que lo habitual",2,
IF(DU236="Menos que lo habitual",3,
IF(DU236="Mucho menos que lo habitual",4,""))))</f>
        <v>2</v>
      </c>
      <c r="DW236" s="5" t="s">
        <v>231</v>
      </c>
      <c r="DX236" s="5">
        <f>IF(DW236="Más que lo habitual",1,
IF(DW236="Igual que lo habitual",2,
IF(DW236="Menos que lo habitual",3,
IF(DW236="Mucho menos que lo habitual",4,""))))</f>
        <v>2</v>
      </c>
      <c r="DY236" s="5">
        <f>SUM(DB236,DD236,DF236,DH236,DJ236,DL236,DN236,DP236,DR236,DT236,DV236,DX236)</f>
        <v>23</v>
      </c>
      <c r="DZ236" s="5" t="str">
        <f>IF(DY236&lt;=18,"Nivel de riesgo bajo",
IF(DY236&lt;=23,"Nivel de riesgo medio",
"Nivel de riesgo alto"))</f>
        <v>Nivel de riesgo medio</v>
      </c>
      <c r="EA236" s="5" t="s">
        <v>248</v>
      </c>
      <c r="EB236" s="5">
        <f>IF(EA236="Nunca/ casi nunca",0,
IF(EA236="Rara vez",1,
IF(EA236="A veces",2,
IF(EA236="A menudo",3,
IF(EA236="Siempre",4,"")))))</f>
        <v>1</v>
      </c>
      <c r="EC236" s="5" t="s">
        <v>247</v>
      </c>
      <c r="ED236" s="5">
        <f>IF(EC236="Nunca/ casi nunca",0,
IF(EC236="Rara vez",1,
IF(EC236="A veces",2,
IF(EC236="A menudo",3,
IF(EC236="Siempre",4,"")))))</f>
        <v>2</v>
      </c>
      <c r="EE236" s="5" t="s">
        <v>253</v>
      </c>
      <c r="EF236" s="5">
        <f>IF(EE236="Nunca/ casi nunca",0,
IF(EE236="Rara vez",1,
IF(EE236="A veces",2,
IF(EE236="A menudo",3,
IF(EE236="Siempre",4,"")))))</f>
        <v>0</v>
      </c>
      <c r="EG236" s="5">
        <f>SUM(EB236,ED236,EF236)</f>
        <v>3</v>
      </c>
      <c r="EH236" s="5" t="str">
        <f>IF(EG236&lt;=1,"Nivel de riesgo bajo",
IF(EG236&lt;=4,"Nivel de riesgo medio",
"Nivel de riesgo alto"))</f>
        <v>Nivel de riesgo medio</v>
      </c>
      <c r="EI236" s="5" t="s">
        <v>248</v>
      </c>
      <c r="EJ236" s="5">
        <f>IF(EI236="Nunca/ casi nunca",0,
IF(EI236="Rara vez",1,
IF(EI236="A veces",2,
IF(EI236="A menudo",3,
IF(EI236="Siempre",4,"")))))</f>
        <v>1</v>
      </c>
      <c r="EK236" s="5" t="s">
        <v>247</v>
      </c>
      <c r="EL236" s="5">
        <f>IF(EK236="Nunca/ casi nunca",0,
IF(EK236="Rara vez",1,
IF(EK236="A veces",2,
IF(EK236="A menudo",3,
IF(EK236="Siempre",4,"")))))</f>
        <v>2</v>
      </c>
      <c r="EM236" s="5" t="s">
        <v>248</v>
      </c>
      <c r="EN236" s="5">
        <f>IF(EM236="Nunca/ casi nunca",0,
IF(EM236="Rara vez",1,
IF(EM236="A veces",2,
IF(EM236="A menudo",3,
IF(EM236="Siempre",4,"")))))</f>
        <v>1</v>
      </c>
      <c r="EO236" s="5">
        <f>SUM(EJ236,EL236,EN236)</f>
        <v>4</v>
      </c>
      <c r="EP236" s="5" t="str">
        <f>IF(EO236&lt;=1,"Nivel de riesgo bajo",
IF(EO236&lt;=5,"Nivel de riesgo medio",
"Nivel de riesgo alto"))</f>
        <v>Nivel de riesgo medio</v>
      </c>
      <c r="EQ236" s="5" t="s">
        <v>247</v>
      </c>
      <c r="ER236" s="5">
        <f>IF(EQ236="Nunca/ casi nunca",4,
IF(EQ236="Rara vez",3,
IF(EQ236="A veces",2,
IF(EQ236="A menudo",1,
IF(EQ236="Siempre",0,"")))))</f>
        <v>2</v>
      </c>
      <c r="ES236" s="5" t="s">
        <v>232</v>
      </c>
      <c r="ET236" s="5">
        <f>IF(ES236="Nunca/ casi nunca",4,
IF(ES236="Rara vez",3,
IF(ES236="A veces",2,
IF(ES236="A menudo",1,
IF(ES236="Siempre",0,"")))))</f>
        <v>1</v>
      </c>
      <c r="EU236" s="5" t="s">
        <v>232</v>
      </c>
      <c r="EV236" s="5">
        <f>IF(EU236="Nunca/ casi nunca",4,
IF(EU236="Rara vez",3,
IF(EU236="A veces",2,
IF(EU236="A menudo",1,
IF(EU236="Siempre",0,"")))))</f>
        <v>1</v>
      </c>
      <c r="EW236" s="5" t="s">
        <v>232</v>
      </c>
      <c r="EX236" s="5">
        <f>IF(EW236="Nunca/ casi nunca",4,
IF(EW236="Rara vez",3,
IF(EW236="A veces",2,
IF(EW236="A menudo",1,
IF(EW236="Siempre",0,"")))))</f>
        <v>1</v>
      </c>
      <c r="EY236" s="5">
        <f>SUM(ER236,ET236,EV236,EX236)</f>
        <v>5</v>
      </c>
      <c r="EZ236" s="5" t="str">
        <f>IF(EY236&lt;=0,"Nivel de riesgo bajo",
IF(EY236&lt;=4,"Nivel de riesgo medio",
"Nivel de riesgo alto"))</f>
        <v>Nivel de riesgo alto</v>
      </c>
      <c r="FA236" s="5" t="s">
        <v>248</v>
      </c>
      <c r="FB236" s="5">
        <f>IF(FA236="Nunca/ casi nunca",0,
IF(FA236="Rara vez",1,
IF(FA236="A veces",2,
IF(FA236="A menudo",3,
IF(FA236="Siempre",4,"")))))</f>
        <v>1</v>
      </c>
      <c r="FC236" s="5" t="s">
        <v>248</v>
      </c>
      <c r="FD236" s="5">
        <f>IF(FC236="Nunca/ casi nunca",0,
IF(FC236="Rara vez",1,
IF(FC236="A veces",2,
IF(FC236="A menudo",3,
IF(FC236="Siempre",4,"")))))</f>
        <v>1</v>
      </c>
      <c r="FE236" s="5" t="s">
        <v>248</v>
      </c>
      <c r="FF236" s="5">
        <f>IF(FE236="Nunca/ casi nunca",0,
IF(FE236="Rara vez",1,
IF(FE236="A veces",2,
IF(FE236="A menudo",3,
IF(FE236="Siempre",4,"")))))</f>
        <v>1</v>
      </c>
      <c r="FG236" s="5">
        <f>SUM(FB236,FD236,FF236)</f>
        <v>3</v>
      </c>
      <c r="FH236" s="5" t="str">
        <f>IF(FG236&lt;=2,"Nivel de riesgo bajo",
IF(FG236&lt;=5,"Nivel de riesgo medio",
"Nivel de riesgo alto"))</f>
        <v>Nivel de riesgo medio</v>
      </c>
      <c r="FI236" s="5" t="s">
        <v>248</v>
      </c>
      <c r="FJ236" s="5">
        <f>IF(FI236="Nunca/ casi nunca",0,
IF(FI236="Rara vez",1,
IF(FI236="A veces",2,
IF(FI236="A menudo",3,
IF(FI236="Siempre",4,"")))))</f>
        <v>1</v>
      </c>
      <c r="FK236" s="5" t="s">
        <v>248</v>
      </c>
      <c r="FL236" s="5">
        <f>IF(FK236="Nunca/ casi nunca",0,
IF(FK236="Rara vez",1,
IF(FK236="A veces",2,
IF(FK236="A menudo",3,
IF(FK236="Siempre",4,"")))))</f>
        <v>1</v>
      </c>
      <c r="FM236" s="5" t="s">
        <v>248</v>
      </c>
      <c r="FN236" s="5">
        <f>IF(FM236="Nunca/ casi nunca",0,
IF(FM236="Rara vez",1,
IF(FM236="A veces",2,
IF(FM236="A menudo",3,
IF(FM236="Siempre",4,"")))))</f>
        <v>1</v>
      </c>
      <c r="FO236" s="5">
        <f>SUM(FJ236,FL236,FN236)</f>
        <v>3</v>
      </c>
      <c r="FP236" s="5" t="str">
        <f>IF(FO236&lt;=2,"Nivel de riesgo bajo",
IF(FO236&lt;=5,"Nivel de riesgo medio",
"Nivel de riesgo alto"))</f>
        <v>Nivel de riesgo medio</v>
      </c>
      <c r="FQ236" s="5" t="s">
        <v>206</v>
      </c>
      <c r="FR236" s="5">
        <f>IF(FQ236="No",0,
IF(FQ236="Sí, unas pocas veces",1,
IF(FQ236="Sí, mensualmente",2,
IF(FQ236="Sí, semanalmente",3,
IF(FQ236="Sí, diariamente",4,"")))))</f>
        <v>0</v>
      </c>
      <c r="FS236" s="5" t="s">
        <v>206</v>
      </c>
      <c r="FT236" s="5">
        <f>IF(FS236="No",0,
IF(FS236="Sí, unas pocas veces",1,
IF(FS236="Sí, mensualmente",2,
IF(FS236="Sí, semanalmente",3,
IF(FS236="Sí, diariamente",4,"")))))</f>
        <v>0</v>
      </c>
      <c r="FU236" s="5" t="s">
        <v>206</v>
      </c>
      <c r="FV236" s="5">
        <f>IF(FU236="No",0,
IF(FU236="Sí, unas pocas veces",1,
IF(FU236="Sí, mensualmente",2,
IF(FU236="Sí, semanalmente",3,
IF(FU236="Sí, diariamente",4,"")))))</f>
        <v>0</v>
      </c>
      <c r="FW236" s="5" t="s">
        <v>206</v>
      </c>
      <c r="FX236" s="5">
        <f>IF(FW236="No",0,
IF(FW236="Sí, unas pocas veces",1,
IF(FW236="Sí, mensualmente",2,
IF(FW236="Sí, semanalmente",3,
IF(FW236="Sí, diariamente",4,"")))))</f>
        <v>0</v>
      </c>
      <c r="FY236" s="5" t="s">
        <v>206</v>
      </c>
      <c r="FZ236" s="5">
        <f>IF(FY236="No",0,
IF(FY236="Sí, unas pocas veces",1,
IF(FY236="Sí, mensualmente",2,
IF(FY236="Sí, semanalmente",3,
IF(FY236="Sí, diariamente",4,"")))))</f>
        <v>0</v>
      </c>
      <c r="GA236" s="5" t="s">
        <v>206</v>
      </c>
      <c r="GB236" s="5">
        <f>IF(GA236="No",0,
IF(GA236="Sí, unas pocas veces",1,
IF(GA236="Sí, mensualmente",2,
IF(GA236="Sí, semanalmente",3,
IF(GA236="Sí, diariamente",4,"")))))</f>
        <v>0</v>
      </c>
      <c r="GC236" s="5" t="s">
        <v>206</v>
      </c>
      <c r="GD236" s="5">
        <f>IF(GC236="No",0,
IF(GC236="Sí, unas pocas veces",1,
IF(GC236="Sí, mensualmente",2,
IF(GC236="Sí, semanalmente",3,
IF(GC236="Sí, diariamente",4,"")))))</f>
        <v>0</v>
      </c>
      <c r="GE236" s="5">
        <f>SUM(FR236,FT236,FV236,FX236,FZ236,GB236,GD236)</f>
        <v>0</v>
      </c>
      <c r="GF236" s="5" t="str">
        <f>IF(GE236&lt;=0,"Nivel de riesgo bajo",
IF(GE236&lt;=14,"Nivel de riesgo medio",
"Nivel de riesgo alto"))</f>
        <v>Nivel de riesgo bajo</v>
      </c>
      <c r="GG236" s="5" t="s">
        <v>273</v>
      </c>
      <c r="GH236" s="5" t="s">
        <v>273</v>
      </c>
      <c r="GI236" s="5" t="s">
        <v>273</v>
      </c>
      <c r="GJ236" s="5" t="s">
        <v>273</v>
      </c>
      <c r="GK236" s="5" t="s">
        <v>233</v>
      </c>
      <c r="GL236" s="5" t="s">
        <v>298</v>
      </c>
      <c r="GM236" s="5" t="s">
        <v>273</v>
      </c>
      <c r="GN236" s="5" t="s">
        <v>257</v>
      </c>
      <c r="GO236" s="5" t="s">
        <v>243</v>
      </c>
      <c r="GP236" s="5" t="s">
        <v>257</v>
      </c>
      <c r="GQ236" s="5" t="s">
        <v>257</v>
      </c>
      <c r="GR236" s="5" t="s">
        <v>257</v>
      </c>
      <c r="GS236" s="5" t="s">
        <v>257</v>
      </c>
      <c r="GT236" s="5" t="s">
        <v>257</v>
      </c>
      <c r="GU236" s="5" t="s">
        <v>588</v>
      </c>
      <c r="GV236" s="5" t="str">
        <f>TEXT("6279168255904887078","0")</f>
        <v>6279168255904880000</v>
      </c>
    </row>
    <row r="237" spans="1:204" ht="15.75" customHeight="1" x14ac:dyDescent="0.15">
      <c r="A237" s="1">
        <f>ROW(A237)</f>
        <v>237</v>
      </c>
      <c r="B237" s="4">
        <v>45847.858680555553</v>
      </c>
      <c r="C237" s="5" t="s">
        <v>204</v>
      </c>
      <c r="D237" s="5" t="s">
        <v>206</v>
      </c>
      <c r="F237" s="5" t="s">
        <v>206</v>
      </c>
      <c r="G237" s="5" t="s">
        <v>204</v>
      </c>
      <c r="H237" s="5" t="s">
        <v>206</v>
      </c>
      <c r="J237" s="5" t="s">
        <v>209</v>
      </c>
      <c r="O237" s="5" t="s">
        <v>209</v>
      </c>
      <c r="S237" s="5" t="s">
        <v>208</v>
      </c>
      <c r="X237" s="5" t="s">
        <v>208</v>
      </c>
      <c r="AC237" s="5" t="s">
        <v>208</v>
      </c>
      <c r="AH237" s="5" t="s">
        <v>275</v>
      </c>
      <c r="AI237" s="5">
        <v>2018</v>
      </c>
      <c r="AJ237" s="5" t="s">
        <v>238</v>
      </c>
      <c r="AK237" s="5" t="str">
        <f>IF(OR(AJ237="Empleada del sector privado",AJ237="Empleada del sector público"),"Asalariada",
IF(AJ237="Trabajadora por cuenta propia","Trabajadora por cuenta propia",""))</f>
        <v>Trabajadora por cuenta propia</v>
      </c>
      <c r="AL237" s="5" t="s">
        <v>239</v>
      </c>
      <c r="AP237" s="5" t="s">
        <v>240</v>
      </c>
      <c r="AR237" s="5" t="s">
        <v>241</v>
      </c>
      <c r="AS237" s="5" t="s">
        <v>241</v>
      </c>
      <c r="AT237" s="5" t="s">
        <v>301</v>
      </c>
      <c r="AU237" s="5" t="s">
        <v>301</v>
      </c>
      <c r="AV237" s="5" t="s">
        <v>269</v>
      </c>
      <c r="AW237" s="5" t="s">
        <v>204</v>
      </c>
      <c r="AX237" s="5" t="s">
        <v>204</v>
      </c>
      <c r="AY237" s="5" t="s">
        <v>214</v>
      </c>
      <c r="AZ237" s="5" t="s">
        <v>204</v>
      </c>
      <c r="BA237" s="5" t="s">
        <v>263</v>
      </c>
      <c r="BF237" s="5" t="s">
        <v>204</v>
      </c>
      <c r="BG237" s="5" t="s">
        <v>278</v>
      </c>
      <c r="BH237" s="5" t="s">
        <v>271</v>
      </c>
      <c r="BI237" s="5" t="s">
        <v>278</v>
      </c>
      <c r="BJ237" s="5" t="s">
        <v>271</v>
      </c>
      <c r="BK237" s="5" t="s">
        <v>244</v>
      </c>
      <c r="BL237" s="5" t="s">
        <v>216</v>
      </c>
      <c r="BM237" s="5" t="s">
        <v>244</v>
      </c>
      <c r="BN237" s="5" t="s">
        <v>244</v>
      </c>
      <c r="BO237" s="5" t="s">
        <v>244</v>
      </c>
      <c r="BP237" s="5" t="s">
        <v>243</v>
      </c>
      <c r="BQ237" s="5" t="s">
        <v>244</v>
      </c>
      <c r="BR237" s="5" t="s">
        <v>216</v>
      </c>
      <c r="BS237" s="5" t="s">
        <v>247</v>
      </c>
      <c r="BT237" s="5" t="s">
        <v>247</v>
      </c>
      <c r="BU237" s="5" t="s">
        <v>248</v>
      </c>
      <c r="BV237" s="5" t="s">
        <v>248</v>
      </c>
      <c r="BW237" s="5" t="s">
        <v>217</v>
      </c>
      <c r="BX237" s="5" t="s">
        <v>217</v>
      </c>
      <c r="BY237" s="5" t="s">
        <v>248</v>
      </c>
      <c r="BZ237" s="5" t="s">
        <v>246</v>
      </c>
      <c r="CA237" s="5" t="s">
        <v>243</v>
      </c>
      <c r="CB237" s="5" t="s">
        <v>243</v>
      </c>
      <c r="CC237" s="5" t="s">
        <v>243</v>
      </c>
      <c r="CD237" s="5" t="s">
        <v>206</v>
      </c>
      <c r="CH237" s="5" t="s">
        <v>206</v>
      </c>
      <c r="CI237" s="5" t="s">
        <v>206</v>
      </c>
      <c r="CJ237" s="5">
        <v>0</v>
      </c>
      <c r="CO237" s="5" t="s">
        <v>433</v>
      </c>
      <c r="CU237" s="5" t="s">
        <v>204</v>
      </c>
      <c r="CV237" s="5" t="s">
        <v>350</v>
      </c>
      <c r="CW237" s="5" t="s">
        <v>371</v>
      </c>
      <c r="CX237" s="5" t="s">
        <v>435</v>
      </c>
      <c r="CY237" s="5" t="s">
        <v>353</v>
      </c>
      <c r="CZ237" s="5" t="s">
        <v>228</v>
      </c>
      <c r="DA237" s="5" t="s">
        <v>252</v>
      </c>
      <c r="DB237" s="5">
        <f>IF(DA237="Mejor que lo habitual",1,
IF(DA237="Igual que lo habitual",2,
IF(DA237="Menos que lo habitual",3,
IF(DA237="Mucho menos que lo habitual",4,""))))</f>
        <v>3</v>
      </c>
      <c r="DC237" s="5" t="s">
        <v>250</v>
      </c>
      <c r="DD237" s="5">
        <f>IF(DC237="No, en absoluto",1,
IF(DC237="No más que lo habitual",2,
IF(DC237="Bastante más que lo habitual",3,
IF(DC237="Mucho más que lo habitual",4,""))))</f>
        <v>3</v>
      </c>
      <c r="DE237" s="5" t="s">
        <v>250</v>
      </c>
      <c r="DF237" s="5">
        <f>IF(DE237="No, en absoluto",1,
IF(DE237="No más que lo habitual",2,
IF(DE237="Bastante más que lo habitual",3,
IF(DE237="Mucho más que lo habitual",4,""))))</f>
        <v>3</v>
      </c>
      <c r="DG237" s="5" t="s">
        <v>250</v>
      </c>
      <c r="DH237" s="5">
        <f>IF(DG237="No, en absoluto",1,
IF(DG237="No más que lo habitual",2,
IF(DG237="Bastante más que lo habitual",3,
IF(DG237="Mucho más que lo habitual",4,""))))</f>
        <v>3</v>
      </c>
      <c r="DI237" s="5" t="s">
        <v>250</v>
      </c>
      <c r="DJ237" s="5">
        <f>IF(DI237="No, en absoluto",1,
IF(DI237="No más que lo habitual",2,
IF(DI237="Bastante más que lo habitual",3,
IF(DI237="Mucho más que lo habitual",4,""))))</f>
        <v>3</v>
      </c>
      <c r="DK237" s="5" t="s">
        <v>250</v>
      </c>
      <c r="DL237" s="5">
        <f>IF(DK237="No, en absoluto",1,
IF(DK237="No más que lo habitual",2,
IF(DK237="Bastante más que lo habitual",3,
IF(DK237="Mucho más que lo habitual",4,""))))</f>
        <v>3</v>
      </c>
      <c r="DM237" s="5" t="s">
        <v>230</v>
      </c>
      <c r="DN237" s="5">
        <f>IF(DM237="No, en absoluto",1,
IF(DM237="No más que lo habitual",2,
IF(DM237="Bastante más que lo habitual",3,
IF(DM237="Mucho más que lo habitual",4,""))))</f>
        <v>2</v>
      </c>
      <c r="DO237" s="5" t="s">
        <v>231</v>
      </c>
      <c r="DP237" s="5">
        <f>IF(DO237="Más que lo habitual",1,
IF(DO237="Igual que lo habitual",2,
IF(DO237="Menos que lo habitual",3,
IF(DO237="Mucho menos que lo habitual",4,""))))</f>
        <v>2</v>
      </c>
      <c r="DQ237" s="5" t="s">
        <v>252</v>
      </c>
      <c r="DR237" s="5">
        <f>IF(DQ237="Más que lo habitual",1,
IF(DQ237="Igual que lo habitual",2,
IF(DQ237="Menos que lo habitual",3,
IF(DQ237="Mucho menos que lo habitual",4,""))))</f>
        <v>3</v>
      </c>
      <c r="DS237" s="5" t="s">
        <v>231</v>
      </c>
      <c r="DT237" s="5">
        <f>IF(DS237="Más que lo habitual",1,
IF(DS237="Igual que lo habitual",2,
IF(DS237="Menos que lo habitual",3,
IF(DS237="Mucho menos que lo habitual",4,""))))</f>
        <v>2</v>
      </c>
      <c r="DU237" s="5" t="s">
        <v>252</v>
      </c>
      <c r="DV237" s="5">
        <f>IF(DU237="Más que lo habitual",1,
IF(DU237="Igual que lo habitual",2,
IF(DU237="Menos que lo habitual",3,
IF(DU237="Mucho menos que lo habitual",4,""))))</f>
        <v>3</v>
      </c>
      <c r="DW237" s="5" t="s">
        <v>231</v>
      </c>
      <c r="DX237" s="5">
        <f>IF(DW237="Más que lo habitual",1,
IF(DW237="Igual que lo habitual",2,
IF(DW237="Menos que lo habitual",3,
IF(DW237="Mucho menos que lo habitual",4,""))))</f>
        <v>2</v>
      </c>
      <c r="DY237" s="5">
        <f>SUM(DB237,DD237,DF237,DH237,DJ237,DL237,DN237,DP237,DR237,DT237,DV237,DX237)</f>
        <v>32</v>
      </c>
      <c r="DZ237" s="5" t="str">
        <f>IF(DY237&lt;=18,"Nivel de riesgo bajo",
IF(DY237&lt;=23,"Nivel de riesgo medio",
"Nivel de riesgo alto"))</f>
        <v>Nivel de riesgo alto</v>
      </c>
      <c r="EA237" s="5" t="s">
        <v>248</v>
      </c>
      <c r="EB237" s="5">
        <f>IF(EA237="Nunca/ casi nunca",0,
IF(EA237="Rara vez",1,
IF(EA237="A veces",2,
IF(EA237="A menudo",3,
IF(EA237="Siempre",4,"")))))</f>
        <v>1</v>
      </c>
      <c r="EC237" s="5" t="s">
        <v>247</v>
      </c>
      <c r="ED237" s="5">
        <f>IF(EC237="Nunca/ casi nunca",0,
IF(EC237="Rara vez",1,
IF(EC237="A veces",2,
IF(EC237="A menudo",3,
IF(EC237="Siempre",4,"")))))</f>
        <v>2</v>
      </c>
      <c r="EE237" s="5" t="s">
        <v>247</v>
      </c>
      <c r="EF237" s="5">
        <f>IF(EE237="Nunca/ casi nunca",0,
IF(EE237="Rara vez",1,
IF(EE237="A veces",2,
IF(EE237="A menudo",3,
IF(EE237="Siempre",4,"")))))</f>
        <v>2</v>
      </c>
      <c r="EG237" s="5">
        <f>SUM(EB237,ED237,EF237)</f>
        <v>5</v>
      </c>
      <c r="EH237" s="5" t="str">
        <f>IF(EG237&lt;=1,"Nivel de riesgo bajo",
IF(EG237&lt;=4,"Nivel de riesgo medio",
"Nivel de riesgo alto"))</f>
        <v>Nivel de riesgo alto</v>
      </c>
      <c r="EI237" s="5" t="s">
        <v>247</v>
      </c>
      <c r="EJ237" s="5">
        <f>IF(EI237="Nunca/ casi nunca",0,
IF(EI237="Rara vez",1,
IF(EI237="A veces",2,
IF(EI237="A menudo",3,
IF(EI237="Siempre",4,"")))))</f>
        <v>2</v>
      </c>
      <c r="EK237" s="5" t="s">
        <v>248</v>
      </c>
      <c r="EL237" s="5">
        <f>IF(EK237="Nunca/ casi nunca",0,
IF(EK237="Rara vez",1,
IF(EK237="A veces",2,
IF(EK237="A menudo",3,
IF(EK237="Siempre",4,"")))))</f>
        <v>1</v>
      </c>
      <c r="EM237" s="5" t="s">
        <v>232</v>
      </c>
      <c r="EN237" s="5">
        <f>IF(EM237="Nunca/ casi nunca",0,
IF(EM237="Rara vez",1,
IF(EM237="A veces",2,
IF(EM237="A menudo",3,
IF(EM237="Siempre",4,"")))))</f>
        <v>3</v>
      </c>
      <c r="EO237" s="5">
        <f>SUM(EJ237,EL237,EN237)</f>
        <v>6</v>
      </c>
      <c r="EP237" s="5" t="str">
        <f>IF(EO237&lt;=1,"Nivel de riesgo bajo",
IF(EO237&lt;=5,"Nivel de riesgo medio",
"Nivel de riesgo alto"))</f>
        <v>Nivel de riesgo alto</v>
      </c>
      <c r="EQ237" s="5" t="s">
        <v>248</v>
      </c>
      <c r="ER237" s="5">
        <f>IF(EQ237="Nunca/ casi nunca",4,
IF(EQ237="Rara vez",3,
IF(EQ237="A veces",2,
IF(EQ237="A menudo",1,
IF(EQ237="Siempre",0,"")))))</f>
        <v>3</v>
      </c>
      <c r="ES237" s="5" t="s">
        <v>232</v>
      </c>
      <c r="ET237" s="5">
        <f>IF(ES237="Nunca/ casi nunca",4,
IF(ES237="Rara vez",3,
IF(ES237="A veces",2,
IF(ES237="A menudo",1,
IF(ES237="Siempre",0,"")))))</f>
        <v>1</v>
      </c>
      <c r="EU237" s="5" t="s">
        <v>254</v>
      </c>
      <c r="EV237" s="5">
        <f>IF(EU237="Nunca/ casi nunca",4,
IF(EU237="Rara vez",3,
IF(EU237="A veces",2,
IF(EU237="A menudo",1,
IF(EU237="Siempre",0,"")))))</f>
        <v>0</v>
      </c>
      <c r="EW237" s="5" t="s">
        <v>254</v>
      </c>
      <c r="EX237" s="5">
        <f>IF(EW237="Nunca/ casi nunca",4,
IF(EW237="Rara vez",3,
IF(EW237="A veces",2,
IF(EW237="A menudo",1,
IF(EW237="Siempre",0,"")))))</f>
        <v>0</v>
      </c>
      <c r="EY237" s="5">
        <f>SUM(ER237,ET237,EV237,EX237)</f>
        <v>4</v>
      </c>
      <c r="EZ237" s="5" t="str">
        <f>IF(EY237&lt;=0,"Nivel de riesgo bajo",
IF(EY237&lt;=4,"Nivel de riesgo medio",
"Nivel de riesgo alto"))</f>
        <v>Nivel de riesgo medio</v>
      </c>
      <c r="FA237" s="5" t="s">
        <v>247</v>
      </c>
      <c r="FB237" s="5">
        <f>IF(FA237="Nunca/ casi nunca",0,
IF(FA237="Rara vez",1,
IF(FA237="A veces",2,
IF(FA237="A menudo",3,
IF(FA237="Siempre",4,"")))))</f>
        <v>2</v>
      </c>
      <c r="FC237" s="5" t="s">
        <v>247</v>
      </c>
      <c r="FD237" s="5">
        <f>IF(FC237="Nunca/ casi nunca",0,
IF(FC237="Rara vez",1,
IF(FC237="A veces",2,
IF(FC237="A menudo",3,
IF(FC237="Siempre",4,"")))))</f>
        <v>2</v>
      </c>
      <c r="FE237" s="5" t="s">
        <v>248</v>
      </c>
      <c r="FF237" s="5">
        <f>IF(FE237="Nunca/ casi nunca",0,
IF(FE237="Rara vez",1,
IF(FE237="A veces",2,
IF(FE237="A menudo",3,
IF(FE237="Siempre",4,"")))))</f>
        <v>1</v>
      </c>
      <c r="FG237" s="5">
        <f>SUM(FB237,FD237,FF237)</f>
        <v>5</v>
      </c>
      <c r="FH237" s="5" t="str">
        <f>IF(FG237&lt;=2,"Nivel de riesgo bajo",
IF(FG237&lt;=5,"Nivel de riesgo medio",
"Nivel de riesgo alto"))</f>
        <v>Nivel de riesgo medio</v>
      </c>
      <c r="FI237" s="5" t="s">
        <v>248</v>
      </c>
      <c r="FJ237" s="5">
        <f>IF(FI237="Nunca/ casi nunca",0,
IF(FI237="Rara vez",1,
IF(FI237="A veces",2,
IF(FI237="A menudo",3,
IF(FI237="Siempre",4,"")))))</f>
        <v>1</v>
      </c>
      <c r="FK237" s="5" t="s">
        <v>248</v>
      </c>
      <c r="FL237" s="5">
        <f>IF(FK237="Nunca/ casi nunca",0,
IF(FK237="Rara vez",1,
IF(FK237="A veces",2,
IF(FK237="A menudo",3,
IF(FK237="Siempre",4,"")))))</f>
        <v>1</v>
      </c>
      <c r="FM237" s="5" t="s">
        <v>248</v>
      </c>
      <c r="FN237" s="5">
        <f>IF(FM237="Nunca/ casi nunca",0,
IF(FM237="Rara vez",1,
IF(FM237="A veces",2,
IF(FM237="A menudo",3,
IF(FM237="Siempre",4,"")))))</f>
        <v>1</v>
      </c>
      <c r="FO237" s="5">
        <f>SUM(FJ237,FL237,FN237)</f>
        <v>3</v>
      </c>
      <c r="FP237" s="5" t="str">
        <f>IF(FO237&lt;=2,"Nivel de riesgo bajo",
IF(FO237&lt;=5,"Nivel de riesgo medio",
"Nivel de riesgo alto"))</f>
        <v>Nivel de riesgo medio</v>
      </c>
      <c r="FQ237" s="5" t="s">
        <v>206</v>
      </c>
      <c r="FR237" s="5">
        <f>IF(FQ237="No",0,
IF(FQ237="Sí, unas pocas veces",1,
IF(FQ237="Sí, mensualmente",2,
IF(FQ237="Sí, semanalmente",3,
IF(FQ237="Sí, diariamente",4,"")))))</f>
        <v>0</v>
      </c>
      <c r="FS237" s="5" t="s">
        <v>265</v>
      </c>
      <c r="FT237" s="5">
        <f>IF(FS237="No",0,
IF(FS237="Sí, unas pocas veces",1,
IF(FS237="Sí, mensualmente",2,
IF(FS237="Sí, semanalmente",3,
IF(FS237="Sí, diariamente",4,"")))))</f>
        <v>1</v>
      </c>
      <c r="FU237" s="5" t="s">
        <v>206</v>
      </c>
      <c r="FV237" s="5">
        <f>IF(FU237="No",0,
IF(FU237="Sí, unas pocas veces",1,
IF(FU237="Sí, mensualmente",2,
IF(FU237="Sí, semanalmente",3,
IF(FU237="Sí, diariamente",4,"")))))</f>
        <v>0</v>
      </c>
      <c r="FW237" s="5" t="s">
        <v>206</v>
      </c>
      <c r="FX237" s="5">
        <f>IF(FW237="No",0,
IF(FW237="Sí, unas pocas veces",1,
IF(FW237="Sí, mensualmente",2,
IF(FW237="Sí, semanalmente",3,
IF(FW237="Sí, diariamente",4,"")))))</f>
        <v>0</v>
      </c>
      <c r="FY237" s="5" t="s">
        <v>206</v>
      </c>
      <c r="FZ237" s="5">
        <f>IF(FY237="No",0,
IF(FY237="Sí, unas pocas veces",1,
IF(FY237="Sí, mensualmente",2,
IF(FY237="Sí, semanalmente",3,
IF(FY237="Sí, diariamente",4,"")))))</f>
        <v>0</v>
      </c>
      <c r="GA237" s="5" t="s">
        <v>265</v>
      </c>
      <c r="GB237" s="5">
        <f>IF(GA237="No",0,
IF(GA237="Sí, unas pocas veces",1,
IF(GA237="Sí, mensualmente",2,
IF(GA237="Sí, semanalmente",3,
IF(GA237="Sí, diariamente",4,"")))))</f>
        <v>1</v>
      </c>
      <c r="GC237" s="5" t="s">
        <v>265</v>
      </c>
      <c r="GD237" s="5">
        <f>IF(GC237="No",0,
IF(GC237="Sí, unas pocas veces",1,
IF(GC237="Sí, mensualmente",2,
IF(GC237="Sí, semanalmente",3,
IF(GC237="Sí, diariamente",4,"")))))</f>
        <v>1</v>
      </c>
      <c r="GE237" s="5">
        <f>SUM(FR237,FT237,FV237,FX237,FZ237,GB237,GD237)</f>
        <v>3</v>
      </c>
      <c r="GF237" s="5" t="str">
        <f>IF(GE237&lt;=0,"Nivel de riesgo bajo",
IF(GE237&lt;=14,"Nivel de riesgo medio",
"Nivel de riesgo alto"))</f>
        <v>Nivel de riesgo medio</v>
      </c>
      <c r="GG237" s="5" t="s">
        <v>273</v>
      </c>
      <c r="GH237" s="5" t="s">
        <v>273</v>
      </c>
      <c r="GI237" s="5" t="s">
        <v>273</v>
      </c>
      <c r="GJ237" s="5" t="s">
        <v>273</v>
      </c>
      <c r="GK237" s="5" t="s">
        <v>233</v>
      </c>
      <c r="GL237" s="5" t="s">
        <v>273</v>
      </c>
      <c r="GM237" s="5" t="s">
        <v>233</v>
      </c>
      <c r="GN237" s="5" t="s">
        <v>256</v>
      </c>
      <c r="GO237" s="5" t="s">
        <v>256</v>
      </c>
      <c r="GP237" s="5" t="s">
        <v>256</v>
      </c>
      <c r="GQ237" s="5" t="s">
        <v>243</v>
      </c>
      <c r="GR237" s="5" t="s">
        <v>257</v>
      </c>
      <c r="GS237" s="5" t="s">
        <v>256</v>
      </c>
      <c r="GT237" s="5" t="s">
        <v>256</v>
      </c>
      <c r="GU237" s="5" t="s">
        <v>589</v>
      </c>
      <c r="GV237" s="5" t="str">
        <f>TEXT("6279169901321642474","0")</f>
        <v>6279169901321640000</v>
      </c>
    </row>
    <row r="238" spans="1:204" ht="15.75" customHeight="1" x14ac:dyDescent="0.15">
      <c r="A238" s="1">
        <f>ROW(A238)</f>
        <v>238</v>
      </c>
      <c r="B238" s="4">
        <v>45847.870949074073</v>
      </c>
      <c r="C238" s="5" t="s">
        <v>204</v>
      </c>
      <c r="D238" s="5" t="s">
        <v>206</v>
      </c>
      <c r="F238" s="5" t="s">
        <v>206</v>
      </c>
      <c r="G238" s="5" t="s">
        <v>206</v>
      </c>
      <c r="H238" s="5" t="s">
        <v>206</v>
      </c>
      <c r="K238" s="5" t="s">
        <v>237</v>
      </c>
      <c r="O238" s="5" t="s">
        <v>209</v>
      </c>
      <c r="U238" s="5" t="s">
        <v>237</v>
      </c>
      <c r="X238" s="5" t="s">
        <v>208</v>
      </c>
      <c r="AD238" s="5" t="s">
        <v>209</v>
      </c>
      <c r="AH238" s="5" t="s">
        <v>268</v>
      </c>
      <c r="AI238" s="5">
        <v>2006</v>
      </c>
      <c r="AJ238" s="5" t="s">
        <v>337</v>
      </c>
      <c r="AK238" s="5" t="str">
        <f>IF(OR(AJ238="Empleada del sector privado",AJ238="Empleada del sector público"),"Asalariada",
IF(AJ238="Trabajadora por cuenta propia","Trabajadora por cuenta propia",""))</f>
        <v>Asalariada</v>
      </c>
      <c r="AQ238" s="5" t="s">
        <v>204</v>
      </c>
      <c r="AR238" s="5" t="s">
        <v>276</v>
      </c>
      <c r="AS238" s="5" t="s">
        <v>276</v>
      </c>
      <c r="AT238" s="5" t="s">
        <v>276</v>
      </c>
      <c r="AU238" s="5" t="s">
        <v>276</v>
      </c>
      <c r="AV238" s="5" t="s">
        <v>269</v>
      </c>
      <c r="AW238" s="5" t="s">
        <v>204</v>
      </c>
      <c r="AX238" s="5" t="s">
        <v>204</v>
      </c>
      <c r="AY238" s="5" t="s">
        <v>366</v>
      </c>
      <c r="AZ238" s="5" t="s">
        <v>204</v>
      </c>
      <c r="BA238" s="5" t="s">
        <v>344</v>
      </c>
      <c r="BF238" s="5" t="s">
        <v>204</v>
      </c>
      <c r="BG238" s="5" t="s">
        <v>242</v>
      </c>
      <c r="BH238" s="5" t="s">
        <v>264</v>
      </c>
      <c r="BI238" s="5" t="s">
        <v>242</v>
      </c>
      <c r="BJ238" s="5" t="s">
        <v>215</v>
      </c>
      <c r="BK238" s="5" t="s">
        <v>244</v>
      </c>
      <c r="BL238" s="5" t="s">
        <v>244</v>
      </c>
      <c r="BM238" s="5" t="s">
        <v>216</v>
      </c>
      <c r="BN238" s="5" t="s">
        <v>216</v>
      </c>
      <c r="BO238" s="5" t="s">
        <v>216</v>
      </c>
      <c r="BP238" s="5" t="s">
        <v>216</v>
      </c>
      <c r="BQ238" s="5" t="s">
        <v>244</v>
      </c>
      <c r="BR238" s="5" t="s">
        <v>216</v>
      </c>
      <c r="BS238" s="5" t="s">
        <v>248</v>
      </c>
      <c r="BT238" s="5" t="s">
        <v>247</v>
      </c>
      <c r="BU238" s="5" t="s">
        <v>254</v>
      </c>
      <c r="BV238" s="5" t="s">
        <v>247</v>
      </c>
      <c r="BW238" s="5" t="s">
        <v>254</v>
      </c>
      <c r="BX238" s="5" t="s">
        <v>254</v>
      </c>
      <c r="BY238" s="5" t="s">
        <v>247</v>
      </c>
      <c r="BZ238" s="5" t="s">
        <v>246</v>
      </c>
      <c r="CA238" s="5" t="s">
        <v>246</v>
      </c>
      <c r="CB238" s="5" t="s">
        <v>246</v>
      </c>
      <c r="CC238" s="5" t="s">
        <v>246</v>
      </c>
      <c r="CD238" s="5" t="s">
        <v>204</v>
      </c>
      <c r="CE238" s="5" t="s">
        <v>286</v>
      </c>
      <c r="CF238" s="5" t="s">
        <v>219</v>
      </c>
      <c r="CG238" s="5" t="s">
        <v>206</v>
      </c>
      <c r="CH238" s="5" t="s">
        <v>367</v>
      </c>
      <c r="CI238" s="5" t="s">
        <v>206</v>
      </c>
      <c r="CJ238" s="5">
        <v>4</v>
      </c>
      <c r="CK238" s="5" t="s">
        <v>223</v>
      </c>
      <c r="CU238" s="5" t="s">
        <v>206</v>
      </c>
      <c r="DA238" s="5" t="s">
        <v>272</v>
      </c>
      <c r="DB238" s="5">
        <f>IF(DA238="Mejor que lo habitual",1,
IF(DA238="Igual que lo habitual",2,
IF(DA238="Menos que lo habitual",3,
IF(DA238="Mucho menos que lo habitual",4,""))))</f>
        <v>1</v>
      </c>
      <c r="DC238" s="5" t="s">
        <v>250</v>
      </c>
      <c r="DD238" s="5">
        <f>IF(DC238="No, en absoluto",1,
IF(DC238="No más que lo habitual",2,
IF(DC238="Bastante más que lo habitual",3,
IF(DC238="Mucho más que lo habitual",4,""))))</f>
        <v>3</v>
      </c>
      <c r="DE238" s="5" t="s">
        <v>250</v>
      </c>
      <c r="DF238" s="5">
        <f>IF(DE238="No, en absoluto",1,
IF(DE238="No más que lo habitual",2,
IF(DE238="Bastante más que lo habitual",3,
IF(DE238="Mucho más que lo habitual",4,""))))</f>
        <v>3</v>
      </c>
      <c r="DG238" s="5" t="s">
        <v>250</v>
      </c>
      <c r="DH238" s="5">
        <f>IF(DG238="No, en absoluto",1,
IF(DG238="No más que lo habitual",2,
IF(DG238="Bastante más que lo habitual",3,
IF(DG238="Mucho más que lo habitual",4,""))))</f>
        <v>3</v>
      </c>
      <c r="DI238" s="5" t="s">
        <v>251</v>
      </c>
      <c r="DJ238" s="5">
        <f>IF(DI238="No, en absoluto",1,
IF(DI238="No más que lo habitual",2,
IF(DI238="Bastante más que lo habitual",3,
IF(DI238="Mucho más que lo habitual",4,""))))</f>
        <v>1</v>
      </c>
      <c r="DK238" s="5" t="s">
        <v>251</v>
      </c>
      <c r="DL238" s="5">
        <f>IF(DK238="No, en absoluto",1,
IF(DK238="No más que lo habitual",2,
IF(DK238="Bastante más que lo habitual",3,
IF(DK238="Mucho más que lo habitual",4,""))))</f>
        <v>1</v>
      </c>
      <c r="DM238" s="5" t="s">
        <v>251</v>
      </c>
      <c r="DN238" s="5">
        <f>IF(DM238="No, en absoluto",1,
IF(DM238="No más que lo habitual",2,
IF(DM238="Bastante más que lo habitual",3,
IF(DM238="Mucho más que lo habitual",4,""))))</f>
        <v>1</v>
      </c>
      <c r="DO238" s="5" t="s">
        <v>281</v>
      </c>
      <c r="DP238" s="5">
        <f>IF(DO238="Más que lo habitual",1,
IF(DO238="Igual que lo habitual",2,
IF(DO238="Menos que lo habitual",3,
IF(DO238="Mucho menos que lo habitual",4,""))))</f>
        <v>1</v>
      </c>
      <c r="DQ238" s="5" t="s">
        <v>281</v>
      </c>
      <c r="DR238" s="5">
        <f>IF(DQ238="Más que lo habitual",1,
IF(DQ238="Igual que lo habitual",2,
IF(DQ238="Menos que lo habitual",3,
IF(DQ238="Mucho menos que lo habitual",4,""))))</f>
        <v>1</v>
      </c>
      <c r="DS238" s="5" t="s">
        <v>281</v>
      </c>
      <c r="DT238" s="5">
        <f>IF(DS238="Más que lo habitual",1,
IF(DS238="Igual que lo habitual",2,
IF(DS238="Menos que lo habitual",3,
IF(DS238="Mucho menos que lo habitual",4,""))))</f>
        <v>1</v>
      </c>
      <c r="DU238" s="5" t="s">
        <v>281</v>
      </c>
      <c r="DV238" s="5">
        <f>IF(DU238="Más que lo habitual",1,
IF(DU238="Igual que lo habitual",2,
IF(DU238="Menos que lo habitual",3,
IF(DU238="Mucho menos que lo habitual",4,""))))</f>
        <v>1</v>
      </c>
      <c r="DW238" s="5" t="s">
        <v>281</v>
      </c>
      <c r="DX238" s="5">
        <f>IF(DW238="Más que lo habitual",1,
IF(DW238="Igual que lo habitual",2,
IF(DW238="Menos que lo habitual",3,
IF(DW238="Mucho menos que lo habitual",4,""))))</f>
        <v>1</v>
      </c>
      <c r="DY238" s="5">
        <f>SUM(DB238,DD238,DF238,DH238,DJ238,DL238,DN238,DP238,DR238,DT238,DV238,DX238)</f>
        <v>18</v>
      </c>
      <c r="DZ238" s="5" t="str">
        <f>IF(DY238&lt;=18,"Nivel de riesgo bajo",
IF(DY238&lt;=23,"Nivel de riesgo medio",
"Nivel de riesgo alto"))</f>
        <v>Nivel de riesgo bajo</v>
      </c>
      <c r="EA238" s="5" t="s">
        <v>232</v>
      </c>
      <c r="EB238" s="5">
        <f>IF(EA238="Nunca/ casi nunca",0,
IF(EA238="Rara vez",1,
IF(EA238="A veces",2,
IF(EA238="A menudo",3,
IF(EA238="Siempre",4,"")))))</f>
        <v>3</v>
      </c>
      <c r="EC238" s="5" t="s">
        <v>247</v>
      </c>
      <c r="ED238" s="5">
        <f>IF(EC238="Nunca/ casi nunca",0,
IF(EC238="Rara vez",1,
IF(EC238="A veces",2,
IF(EC238="A menudo",3,
IF(EC238="Siempre",4,"")))))</f>
        <v>2</v>
      </c>
      <c r="EE238" s="5" t="s">
        <v>248</v>
      </c>
      <c r="EF238" s="5">
        <f>IF(EE238="Nunca/ casi nunca",0,
IF(EE238="Rara vez",1,
IF(EE238="A veces",2,
IF(EE238="A menudo",3,
IF(EE238="Siempre",4,"")))))</f>
        <v>1</v>
      </c>
      <c r="EG238" s="5">
        <f>SUM(EB238,ED238,EF238)</f>
        <v>6</v>
      </c>
      <c r="EH238" s="5" t="str">
        <f>IF(EG238&lt;=1,"Nivel de riesgo bajo",
IF(EG238&lt;=4,"Nivel de riesgo medio",
"Nivel de riesgo alto"))</f>
        <v>Nivel de riesgo alto</v>
      </c>
      <c r="EI238" s="5" t="s">
        <v>248</v>
      </c>
      <c r="EJ238" s="5">
        <f>IF(EI238="Nunca/ casi nunca",0,
IF(EI238="Rara vez",1,
IF(EI238="A veces",2,
IF(EI238="A menudo",3,
IF(EI238="Siempre",4,"")))))</f>
        <v>1</v>
      </c>
      <c r="EK238" s="5" t="s">
        <v>248</v>
      </c>
      <c r="EL238" s="5">
        <f>IF(EK238="Nunca/ casi nunca",0,
IF(EK238="Rara vez",1,
IF(EK238="A veces",2,
IF(EK238="A menudo",3,
IF(EK238="Siempre",4,"")))))</f>
        <v>1</v>
      </c>
      <c r="EM238" s="5" t="s">
        <v>247</v>
      </c>
      <c r="EN238" s="5">
        <f>IF(EM238="Nunca/ casi nunca",0,
IF(EM238="Rara vez",1,
IF(EM238="A veces",2,
IF(EM238="A menudo",3,
IF(EM238="Siempre",4,"")))))</f>
        <v>2</v>
      </c>
      <c r="EO238" s="5">
        <f>SUM(EJ238,EL238,EN238)</f>
        <v>4</v>
      </c>
      <c r="EP238" s="5" t="str">
        <f>IF(EO238&lt;=1,"Nivel de riesgo bajo",
IF(EO238&lt;=5,"Nivel de riesgo medio",
"Nivel de riesgo alto"))</f>
        <v>Nivel de riesgo medio</v>
      </c>
      <c r="EQ238" s="5" t="s">
        <v>232</v>
      </c>
      <c r="ER238" s="5">
        <f>IF(EQ238="Nunca/ casi nunca",4,
IF(EQ238="Rara vez",3,
IF(EQ238="A veces",2,
IF(EQ238="A menudo",1,
IF(EQ238="Siempre",0,"")))))</f>
        <v>1</v>
      </c>
      <c r="ES238" s="5" t="s">
        <v>232</v>
      </c>
      <c r="ET238" s="5">
        <f>IF(ES238="Nunca/ casi nunca",4,
IF(ES238="Rara vez",3,
IF(ES238="A veces",2,
IF(ES238="A menudo",1,
IF(ES238="Siempre",0,"")))))</f>
        <v>1</v>
      </c>
      <c r="EU238" s="5" t="s">
        <v>232</v>
      </c>
      <c r="EV238" s="5">
        <f>IF(EU238="Nunca/ casi nunca",4,
IF(EU238="Rara vez",3,
IF(EU238="A veces",2,
IF(EU238="A menudo",1,
IF(EU238="Siempre",0,"")))))</f>
        <v>1</v>
      </c>
      <c r="EW238" s="5" t="s">
        <v>232</v>
      </c>
      <c r="EX238" s="5">
        <f>IF(EW238="Nunca/ casi nunca",4,
IF(EW238="Rara vez",3,
IF(EW238="A veces",2,
IF(EW238="A menudo",1,
IF(EW238="Siempre",0,"")))))</f>
        <v>1</v>
      </c>
      <c r="EY238" s="5">
        <f>SUM(ER238,ET238,EV238,EX238)</f>
        <v>4</v>
      </c>
      <c r="EZ238" s="5" t="str">
        <f>IF(EY238&lt;=0,"Nivel de riesgo bajo",
IF(EY238&lt;=4,"Nivel de riesgo medio",
"Nivel de riesgo alto"))</f>
        <v>Nivel de riesgo medio</v>
      </c>
      <c r="FA238" s="5" t="s">
        <v>232</v>
      </c>
      <c r="FB238" s="5">
        <f>IF(FA238="Nunca/ casi nunca",0,
IF(FA238="Rara vez",1,
IF(FA238="A veces",2,
IF(FA238="A menudo",3,
IF(FA238="Siempre",4,"")))))</f>
        <v>3</v>
      </c>
      <c r="FC238" s="5" t="s">
        <v>232</v>
      </c>
      <c r="FD238" s="5">
        <f>IF(FC238="Nunca/ casi nunca",0,
IF(FC238="Rara vez",1,
IF(FC238="A veces",2,
IF(FC238="A menudo",3,
IF(FC238="Siempre",4,"")))))</f>
        <v>3</v>
      </c>
      <c r="FE238" s="5" t="s">
        <v>232</v>
      </c>
      <c r="FF238" s="5">
        <f>IF(FE238="Nunca/ casi nunca",0,
IF(FE238="Rara vez",1,
IF(FE238="A veces",2,
IF(FE238="A menudo",3,
IF(FE238="Siempre",4,"")))))</f>
        <v>3</v>
      </c>
      <c r="FG238" s="5">
        <f>SUM(FB238,FD238,FF238)</f>
        <v>9</v>
      </c>
      <c r="FH238" s="5" t="str">
        <f>IF(FG238&lt;=2,"Nivel de riesgo bajo",
IF(FG238&lt;=5,"Nivel de riesgo medio",
"Nivel de riesgo alto"))</f>
        <v>Nivel de riesgo alto</v>
      </c>
      <c r="FI238" s="5" t="s">
        <v>232</v>
      </c>
      <c r="FJ238" s="5">
        <f>IF(FI238="Nunca/ casi nunca",0,
IF(FI238="Rara vez",1,
IF(FI238="A veces",2,
IF(FI238="A menudo",3,
IF(FI238="Siempre",4,"")))))</f>
        <v>3</v>
      </c>
      <c r="FK238" s="5" t="s">
        <v>232</v>
      </c>
      <c r="FL238" s="5">
        <f>IF(FK238="Nunca/ casi nunca",0,
IF(FK238="Rara vez",1,
IF(FK238="A veces",2,
IF(FK238="A menudo",3,
IF(FK238="Siempre",4,"")))))</f>
        <v>3</v>
      </c>
      <c r="FM238" s="5" t="s">
        <v>232</v>
      </c>
      <c r="FN238" s="5">
        <f>IF(FM238="Nunca/ casi nunca",0,
IF(FM238="Rara vez",1,
IF(FM238="A veces",2,
IF(FM238="A menudo",3,
IF(FM238="Siempre",4,"")))))</f>
        <v>3</v>
      </c>
      <c r="FO238" s="5">
        <f>SUM(FJ238,FL238,FN238)</f>
        <v>9</v>
      </c>
      <c r="FP238" s="5" t="str">
        <f>IF(FO238&lt;=2,"Nivel de riesgo bajo",
IF(FO238&lt;=5,"Nivel de riesgo medio",
"Nivel de riesgo alto"))</f>
        <v>Nivel de riesgo alto</v>
      </c>
      <c r="FQ238" s="5" t="s">
        <v>206</v>
      </c>
      <c r="FR238" s="5">
        <f>IF(FQ238="No",0,
IF(FQ238="Sí, unas pocas veces",1,
IF(FQ238="Sí, mensualmente",2,
IF(FQ238="Sí, semanalmente",3,
IF(FQ238="Sí, diariamente",4,"")))))</f>
        <v>0</v>
      </c>
      <c r="FS238" s="5" t="s">
        <v>206</v>
      </c>
      <c r="FT238" s="5">
        <f>IF(FS238="No",0,
IF(FS238="Sí, unas pocas veces",1,
IF(FS238="Sí, mensualmente",2,
IF(FS238="Sí, semanalmente",3,
IF(FS238="Sí, diariamente",4,"")))))</f>
        <v>0</v>
      </c>
      <c r="FU238" s="5" t="s">
        <v>206</v>
      </c>
      <c r="FV238" s="5">
        <f>IF(FU238="No",0,
IF(FU238="Sí, unas pocas veces",1,
IF(FU238="Sí, mensualmente",2,
IF(FU238="Sí, semanalmente",3,
IF(FU238="Sí, diariamente",4,"")))))</f>
        <v>0</v>
      </c>
      <c r="FW238" s="5" t="s">
        <v>206</v>
      </c>
      <c r="FX238" s="5">
        <f>IF(FW238="No",0,
IF(FW238="Sí, unas pocas veces",1,
IF(FW238="Sí, mensualmente",2,
IF(FW238="Sí, semanalmente",3,
IF(FW238="Sí, diariamente",4,"")))))</f>
        <v>0</v>
      </c>
      <c r="FY238" s="5" t="s">
        <v>206</v>
      </c>
      <c r="FZ238" s="5">
        <f>IF(FY238="No",0,
IF(FY238="Sí, unas pocas veces",1,
IF(FY238="Sí, mensualmente",2,
IF(FY238="Sí, semanalmente",3,
IF(FY238="Sí, diariamente",4,"")))))</f>
        <v>0</v>
      </c>
      <c r="GA238" s="5" t="s">
        <v>206</v>
      </c>
      <c r="GB238" s="5">
        <f>IF(GA238="No",0,
IF(GA238="Sí, unas pocas veces",1,
IF(GA238="Sí, mensualmente",2,
IF(GA238="Sí, semanalmente",3,
IF(GA238="Sí, diariamente",4,"")))))</f>
        <v>0</v>
      </c>
      <c r="GC238" s="5" t="s">
        <v>206</v>
      </c>
      <c r="GD238" s="5">
        <f>IF(GC238="No",0,
IF(GC238="Sí, unas pocas veces",1,
IF(GC238="Sí, mensualmente",2,
IF(GC238="Sí, semanalmente",3,
IF(GC238="Sí, diariamente",4,"")))))</f>
        <v>0</v>
      </c>
      <c r="GE238" s="5">
        <f>SUM(FR238,FT238,FV238,FX238,FZ238,GB238,GD238)</f>
        <v>0</v>
      </c>
      <c r="GF238" s="5" t="str">
        <f>IF(GE238&lt;=0,"Nivel de riesgo bajo",
IF(GE238&lt;=14,"Nivel de riesgo medio",
"Nivel de riesgo alto"))</f>
        <v>Nivel de riesgo bajo</v>
      </c>
      <c r="GG238" s="5" t="s">
        <v>273</v>
      </c>
      <c r="GH238" s="5" t="s">
        <v>273</v>
      </c>
      <c r="GI238" s="5" t="s">
        <v>273</v>
      </c>
      <c r="GJ238" s="5" t="s">
        <v>273</v>
      </c>
      <c r="GK238" s="5" t="s">
        <v>273</v>
      </c>
      <c r="GL238" s="5" t="s">
        <v>273</v>
      </c>
      <c r="GM238" s="5" t="s">
        <v>273</v>
      </c>
      <c r="GN238" s="5" t="s">
        <v>256</v>
      </c>
      <c r="GO238" s="5" t="s">
        <v>256</v>
      </c>
      <c r="GP238" s="5" t="s">
        <v>256</v>
      </c>
      <c r="GQ238" s="5" t="s">
        <v>256</v>
      </c>
      <c r="GR238" s="5" t="s">
        <v>256</v>
      </c>
      <c r="GS238" s="5" t="s">
        <v>256</v>
      </c>
      <c r="GT238" s="5" t="s">
        <v>256</v>
      </c>
      <c r="GU238" s="5" t="s">
        <v>590</v>
      </c>
      <c r="GV238" s="5" t="str">
        <f>TEXT("6279180504013045029","0")</f>
        <v>6279180504013040000</v>
      </c>
    </row>
    <row r="239" spans="1:204" ht="15.75" hidden="1" customHeight="1" x14ac:dyDescent="0.15">
      <c r="B239" s="4">
        <v>45847.87190972222</v>
      </c>
      <c r="C239" s="5" t="s">
        <v>204</v>
      </c>
      <c r="D239" s="5" t="s">
        <v>206</v>
      </c>
      <c r="F239" s="5" t="s">
        <v>206</v>
      </c>
      <c r="G239" s="5" t="s">
        <v>206</v>
      </c>
      <c r="H239" s="5" t="s">
        <v>206</v>
      </c>
      <c r="K239" s="5" t="s">
        <v>237</v>
      </c>
      <c r="P239" s="5" t="s">
        <v>237</v>
      </c>
      <c r="T239" s="5" t="s">
        <v>209</v>
      </c>
      <c r="Y239" s="5" t="s">
        <v>209</v>
      </c>
      <c r="AD239" s="5" t="s">
        <v>209</v>
      </c>
      <c r="AH239" s="5" t="s">
        <v>591</v>
      </c>
      <c r="AI239" s="5">
        <v>2025</v>
      </c>
      <c r="AJ239" s="5" t="s">
        <v>211</v>
      </c>
      <c r="AK239" s="5"/>
      <c r="AQ239" s="5" t="s">
        <v>204</v>
      </c>
      <c r="AR239" s="5" t="s">
        <v>301</v>
      </c>
      <c r="AS239" s="5" t="s">
        <v>301</v>
      </c>
      <c r="AT239" s="5" t="s">
        <v>301</v>
      </c>
      <c r="AU239" s="5" t="s">
        <v>301</v>
      </c>
      <c r="AV239" s="5" t="s">
        <v>285</v>
      </c>
      <c r="AW239" s="5" t="s">
        <v>204</v>
      </c>
      <c r="AX239" s="5" t="s">
        <v>204</v>
      </c>
      <c r="AY239" s="5" t="s">
        <v>214</v>
      </c>
      <c r="AZ239" s="5" t="s">
        <v>204</v>
      </c>
      <c r="BA239" s="5" t="s">
        <v>263</v>
      </c>
      <c r="BF239" s="5" t="s">
        <v>204</v>
      </c>
      <c r="BG239" s="5" t="s">
        <v>278</v>
      </c>
      <c r="BH239" s="5" t="s">
        <v>278</v>
      </c>
      <c r="BI239" s="5" t="s">
        <v>278</v>
      </c>
      <c r="BJ239" s="5" t="s">
        <v>278</v>
      </c>
      <c r="BK239" s="5" t="s">
        <v>244</v>
      </c>
      <c r="BL239" s="5" t="s">
        <v>244</v>
      </c>
      <c r="BM239" s="5" t="s">
        <v>244</v>
      </c>
      <c r="BN239" s="5" t="s">
        <v>244</v>
      </c>
      <c r="BO239" s="5" t="s">
        <v>244</v>
      </c>
      <c r="BP239" s="5" t="s">
        <v>244</v>
      </c>
      <c r="BQ239" s="5" t="s">
        <v>244</v>
      </c>
      <c r="BR239" s="5" t="s">
        <v>244</v>
      </c>
      <c r="BS239" s="5" t="s">
        <v>254</v>
      </c>
      <c r="BT239" s="5" t="s">
        <v>254</v>
      </c>
      <c r="BU239" s="5" t="s">
        <v>232</v>
      </c>
      <c r="BV239" s="5" t="s">
        <v>248</v>
      </c>
      <c r="BW239" s="5" t="s">
        <v>232</v>
      </c>
      <c r="BX239" s="5" t="s">
        <v>254</v>
      </c>
      <c r="BY239" s="5" t="s">
        <v>254</v>
      </c>
      <c r="BZ239" s="5" t="s">
        <v>246</v>
      </c>
      <c r="CA239" s="5" t="s">
        <v>244</v>
      </c>
      <c r="CB239" s="5" t="s">
        <v>244</v>
      </c>
      <c r="CC239" s="5" t="s">
        <v>216</v>
      </c>
      <c r="CD239" s="5" t="s">
        <v>206</v>
      </c>
      <c r="CH239" s="5" t="s">
        <v>206</v>
      </c>
      <c r="CI239" s="5" t="s">
        <v>206</v>
      </c>
      <c r="CJ239" s="5">
        <v>0</v>
      </c>
      <c r="CK239" s="5" t="s">
        <v>223</v>
      </c>
      <c r="CU239" s="5" t="s">
        <v>206</v>
      </c>
      <c r="DA239" s="5" t="s">
        <v>252</v>
      </c>
      <c r="DB239" s="5"/>
      <c r="DC239" s="5" t="s">
        <v>250</v>
      </c>
      <c r="DD239" s="5"/>
      <c r="DE239" s="5" t="s">
        <v>230</v>
      </c>
      <c r="DF239" s="5"/>
      <c r="DG239" s="5" t="s">
        <v>250</v>
      </c>
      <c r="DH239" s="5"/>
      <c r="DI239" s="5" t="s">
        <v>230</v>
      </c>
      <c r="DJ239" s="5"/>
      <c r="DK239" s="5" t="s">
        <v>230</v>
      </c>
      <c r="DL239" s="5"/>
      <c r="DM239" s="5" t="s">
        <v>251</v>
      </c>
      <c r="DN239" s="5"/>
      <c r="DO239" s="5" t="s">
        <v>281</v>
      </c>
      <c r="DP239" s="5"/>
      <c r="DQ239" s="5" t="s">
        <v>281</v>
      </c>
      <c r="DR239" s="5"/>
      <c r="DS239" s="5" t="s">
        <v>281</v>
      </c>
      <c r="DT239" s="5"/>
      <c r="DU239" s="5" t="s">
        <v>281</v>
      </c>
      <c r="DV239" s="5"/>
      <c r="DW239" s="5" t="s">
        <v>281</v>
      </c>
      <c r="DX239" s="5"/>
      <c r="DY239" s="5"/>
      <c r="DZ239" s="5"/>
      <c r="EA239" s="5" t="s">
        <v>247</v>
      </c>
      <c r="EB239" s="5"/>
      <c r="EC239" s="5" t="s">
        <v>247</v>
      </c>
      <c r="ED239" s="5"/>
      <c r="EE239" s="5" t="s">
        <v>253</v>
      </c>
      <c r="EF239" s="5"/>
      <c r="EG239" s="5"/>
      <c r="EH239" s="5"/>
      <c r="EI239" s="5" t="s">
        <v>247</v>
      </c>
      <c r="EJ239" s="5"/>
      <c r="EK239" s="5" t="s">
        <v>247</v>
      </c>
      <c r="EL239" s="5"/>
      <c r="EM239" s="5" t="s">
        <v>254</v>
      </c>
      <c r="EN239" s="5"/>
      <c r="EO239" s="5"/>
      <c r="EP239" s="5"/>
      <c r="EQ239" s="5" t="s">
        <v>247</v>
      </c>
      <c r="ER239" s="5"/>
      <c r="ES239" s="5" t="s">
        <v>232</v>
      </c>
      <c r="ET239" s="5"/>
      <c r="EU239" s="5" t="s">
        <v>254</v>
      </c>
      <c r="EV239" s="5"/>
      <c r="EW239" s="5" t="s">
        <v>232</v>
      </c>
      <c r="EX239" s="5"/>
      <c r="EY239" s="5"/>
      <c r="EZ239" s="5"/>
      <c r="FA239" s="5" t="s">
        <v>232</v>
      </c>
      <c r="FB239" s="5"/>
      <c r="FC239" s="5" t="s">
        <v>247</v>
      </c>
      <c r="FD239" s="5"/>
      <c r="FE239" s="5" t="s">
        <v>254</v>
      </c>
      <c r="FF239" s="5"/>
      <c r="FG239" s="5"/>
      <c r="FH239" s="5"/>
      <c r="FI239" s="5" t="s">
        <v>254</v>
      </c>
      <c r="FJ239" s="5"/>
      <c r="FK239" s="5" t="s">
        <v>254</v>
      </c>
      <c r="FL239" s="5"/>
      <c r="FM239" s="5" t="s">
        <v>247</v>
      </c>
      <c r="FN239" s="5"/>
      <c r="FO239" s="5"/>
      <c r="FP239" s="5"/>
      <c r="FQ239" s="5" t="s">
        <v>206</v>
      </c>
      <c r="FR239" s="5"/>
      <c r="FS239" s="5" t="s">
        <v>206</v>
      </c>
      <c r="FT239" s="5"/>
      <c r="FU239" s="5" t="s">
        <v>206</v>
      </c>
      <c r="FV239" s="5"/>
      <c r="FW239" s="5" t="s">
        <v>206</v>
      </c>
      <c r="FX239" s="5"/>
      <c r="FY239" s="5" t="s">
        <v>206</v>
      </c>
      <c r="FZ239" s="5"/>
      <c r="GA239" s="5" t="s">
        <v>206</v>
      </c>
      <c r="GB239" s="5"/>
      <c r="GC239" s="5" t="s">
        <v>206</v>
      </c>
      <c r="GD239" s="5"/>
      <c r="GE239" s="5"/>
      <c r="GF239" s="5"/>
      <c r="GG239" s="5" t="s">
        <v>255</v>
      </c>
      <c r="GH239" s="5" t="s">
        <v>255</v>
      </c>
      <c r="GI239" s="5" t="s">
        <v>255</v>
      </c>
      <c r="GJ239" s="5" t="s">
        <v>255</v>
      </c>
      <c r="GK239" s="5" t="s">
        <v>233</v>
      </c>
      <c r="GL239" s="5" t="s">
        <v>255</v>
      </c>
      <c r="GM239" s="5" t="s">
        <v>255</v>
      </c>
      <c r="GN239" s="5" t="s">
        <v>243</v>
      </c>
      <c r="GO239" s="5" t="s">
        <v>243</v>
      </c>
      <c r="GP239" s="5" t="s">
        <v>243</v>
      </c>
      <c r="GQ239" s="5" t="s">
        <v>243</v>
      </c>
      <c r="GR239" s="5" t="s">
        <v>243</v>
      </c>
      <c r="GS239" s="5" t="s">
        <v>243</v>
      </c>
      <c r="GT239" s="5" t="s">
        <v>243</v>
      </c>
      <c r="GU239" s="5" t="s">
        <v>592</v>
      </c>
      <c r="GV239" s="5" t="str">
        <f>TEXT("6279181331814821394","0")</f>
        <v>6279181331814820000</v>
      </c>
    </row>
    <row r="240" spans="1:204" ht="15.75" customHeight="1" x14ac:dyDescent="0.15">
      <c r="A240" s="1">
        <f t="shared" ref="A240:A246" si="663">ROW(A240)</f>
        <v>240</v>
      </c>
      <c r="B240" s="4">
        <v>45847.872557870367</v>
      </c>
      <c r="C240" s="5" t="s">
        <v>204</v>
      </c>
      <c r="D240" s="5" t="s">
        <v>206</v>
      </c>
      <c r="F240" s="5" t="s">
        <v>206</v>
      </c>
      <c r="G240" s="5" t="s">
        <v>206</v>
      </c>
      <c r="H240" s="5" t="s">
        <v>204</v>
      </c>
      <c r="K240" s="5" t="s">
        <v>237</v>
      </c>
      <c r="O240" s="5" t="s">
        <v>209</v>
      </c>
      <c r="S240" s="5" t="s">
        <v>208</v>
      </c>
      <c r="X240" s="5" t="s">
        <v>208</v>
      </c>
      <c r="AD240" s="5" t="s">
        <v>209</v>
      </c>
      <c r="AH240" s="5" t="s">
        <v>210</v>
      </c>
      <c r="AI240" s="5">
        <v>2024</v>
      </c>
      <c r="AJ240" s="5" t="s">
        <v>238</v>
      </c>
      <c r="AK240" s="5" t="str">
        <f t="shared" ref="AK240:AK246" si="664">IF(OR(AJ240="Empleada del sector privado",AJ240="Empleada del sector público"),"Asalariada",
IF(AJ240="Trabajadora por cuenta propia","Trabajadora por cuenta propia",""))</f>
        <v>Trabajadora por cuenta propia</v>
      </c>
      <c r="AO240" s="5" t="s">
        <v>323</v>
      </c>
      <c r="AP240" s="5" t="s">
        <v>593</v>
      </c>
      <c r="AR240" s="5" t="s">
        <v>261</v>
      </c>
      <c r="AS240" s="5" t="s">
        <v>241</v>
      </c>
      <c r="AT240" s="5" t="s">
        <v>241</v>
      </c>
      <c r="AU240" s="5" t="s">
        <v>241</v>
      </c>
      <c r="AV240" s="5" t="s">
        <v>213</v>
      </c>
      <c r="AW240" s="5" t="s">
        <v>206</v>
      </c>
      <c r="BF240" s="5" t="s">
        <v>204</v>
      </c>
      <c r="BG240" s="5" t="s">
        <v>278</v>
      </c>
      <c r="BH240" s="5" t="s">
        <v>242</v>
      </c>
      <c r="BI240" s="5" t="s">
        <v>207</v>
      </c>
      <c r="BJ240" s="5" t="s">
        <v>242</v>
      </c>
      <c r="BK240" s="5" t="s">
        <v>216</v>
      </c>
      <c r="BL240" s="5" t="s">
        <v>216</v>
      </c>
      <c r="BM240" s="5" t="s">
        <v>216</v>
      </c>
      <c r="BN240" s="5" t="s">
        <v>244</v>
      </c>
      <c r="BO240" s="5" t="s">
        <v>244</v>
      </c>
      <c r="BP240" s="5" t="s">
        <v>244</v>
      </c>
      <c r="BQ240" s="5" t="s">
        <v>216</v>
      </c>
      <c r="BR240" s="5" t="s">
        <v>216</v>
      </c>
      <c r="BS240" s="5" t="s">
        <v>247</v>
      </c>
      <c r="BT240" s="5" t="s">
        <v>247</v>
      </c>
      <c r="BU240" s="5" t="s">
        <v>248</v>
      </c>
      <c r="BV240" s="5" t="s">
        <v>217</v>
      </c>
      <c r="BW240" s="5" t="s">
        <v>217</v>
      </c>
      <c r="BX240" s="5" t="s">
        <v>217</v>
      </c>
      <c r="BY240" s="5" t="s">
        <v>217</v>
      </c>
      <c r="CD240" s="5" t="s">
        <v>206</v>
      </c>
      <c r="CH240" s="5" t="s">
        <v>206</v>
      </c>
      <c r="CI240" s="5" t="s">
        <v>206</v>
      </c>
      <c r="CJ240" s="5">
        <v>1</v>
      </c>
      <c r="CK240" s="5" t="s">
        <v>223</v>
      </c>
      <c r="CU240" s="5" t="s">
        <v>206</v>
      </c>
      <c r="DA240" s="5" t="s">
        <v>252</v>
      </c>
      <c r="DB240" s="5">
        <f t="shared" ref="DB240:DB246" si="665">IF(DA240="Mejor que lo habitual",1,
IF(DA240="Igual que lo habitual",2,
IF(DA240="Menos que lo habitual",3,
IF(DA240="Mucho menos que lo habitual",4,""))))</f>
        <v>3</v>
      </c>
      <c r="DC240" s="5" t="s">
        <v>250</v>
      </c>
      <c r="DD240" s="5">
        <f t="shared" ref="DD240:DD246" si="666">IF(DC240="No, en absoluto",1,
IF(DC240="No más que lo habitual",2,
IF(DC240="Bastante más que lo habitual",3,
IF(DC240="Mucho más que lo habitual",4,""))))</f>
        <v>3</v>
      </c>
      <c r="DE240" s="5" t="s">
        <v>250</v>
      </c>
      <c r="DF240" s="5">
        <f t="shared" ref="DF240:DF246" si="667">IF(DE240="No, en absoluto",1,
IF(DE240="No más que lo habitual",2,
IF(DE240="Bastante más que lo habitual",3,
IF(DE240="Mucho más que lo habitual",4,""))))</f>
        <v>3</v>
      </c>
      <c r="DG240" s="5" t="s">
        <v>250</v>
      </c>
      <c r="DH240" s="5">
        <f t="shared" ref="DH240:DH246" si="668">IF(DG240="No, en absoluto",1,
IF(DG240="No más que lo habitual",2,
IF(DG240="Bastante más que lo habitual",3,
IF(DG240="Mucho más que lo habitual",4,""))))</f>
        <v>3</v>
      </c>
      <c r="DI240" s="5" t="s">
        <v>250</v>
      </c>
      <c r="DJ240" s="5">
        <f t="shared" ref="DJ240:DJ246" si="669">IF(DI240="No, en absoluto",1,
IF(DI240="No más que lo habitual",2,
IF(DI240="Bastante más que lo habitual",3,
IF(DI240="Mucho más que lo habitual",4,""))))</f>
        <v>3</v>
      </c>
      <c r="DK240" s="5" t="s">
        <v>230</v>
      </c>
      <c r="DL240" s="5">
        <f t="shared" ref="DL240:DL246" si="670">IF(DK240="No, en absoluto",1,
IF(DK240="No más que lo habitual",2,
IF(DK240="Bastante más que lo habitual",3,
IF(DK240="Mucho más que lo habitual",4,""))))</f>
        <v>2</v>
      </c>
      <c r="DM240" s="5" t="s">
        <v>251</v>
      </c>
      <c r="DN240" s="5">
        <f t="shared" ref="DN240:DN246" si="671">IF(DM240="No, en absoluto",1,
IF(DM240="No más que lo habitual",2,
IF(DM240="Bastante más que lo habitual",3,
IF(DM240="Mucho más que lo habitual",4,""))))</f>
        <v>1</v>
      </c>
      <c r="DO240" s="5" t="s">
        <v>231</v>
      </c>
      <c r="DP240" s="5">
        <f t="shared" ref="DP240:DP246" si="672">IF(DO240="Más que lo habitual",1,
IF(DO240="Igual que lo habitual",2,
IF(DO240="Menos que lo habitual",3,
IF(DO240="Mucho menos que lo habitual",4,""))))</f>
        <v>2</v>
      </c>
      <c r="DQ240" s="5" t="s">
        <v>281</v>
      </c>
      <c r="DR240" s="5">
        <f t="shared" ref="DR240:DR246" si="673">IF(DQ240="Más que lo habitual",1,
IF(DQ240="Igual que lo habitual",2,
IF(DQ240="Menos que lo habitual",3,
IF(DQ240="Mucho menos que lo habitual",4,""))))</f>
        <v>1</v>
      </c>
      <c r="DS240" s="5" t="s">
        <v>252</v>
      </c>
      <c r="DT240" s="5">
        <f t="shared" ref="DT240:DT246" si="674">IF(DS240="Más que lo habitual",1,
IF(DS240="Igual que lo habitual",2,
IF(DS240="Menos que lo habitual",3,
IF(DS240="Mucho menos que lo habitual",4,""))))</f>
        <v>3</v>
      </c>
      <c r="DU240" s="5" t="s">
        <v>252</v>
      </c>
      <c r="DV240" s="5">
        <f t="shared" ref="DV240:DV246" si="675">IF(DU240="Más que lo habitual",1,
IF(DU240="Igual que lo habitual",2,
IF(DU240="Menos que lo habitual",3,
IF(DU240="Mucho menos que lo habitual",4,""))))</f>
        <v>3</v>
      </c>
      <c r="DW240" s="5" t="s">
        <v>231</v>
      </c>
      <c r="DX240" s="5">
        <f t="shared" ref="DX240:DX246" si="676">IF(DW240="Más que lo habitual",1,
IF(DW240="Igual que lo habitual",2,
IF(DW240="Menos que lo habitual",3,
IF(DW240="Mucho menos que lo habitual",4,""))))</f>
        <v>2</v>
      </c>
      <c r="DY240" s="5">
        <f t="shared" ref="DY240:DY246" si="677">SUM(DB240,DD240,DF240,DH240,DJ240,DL240,DN240,DP240,DR240,DT240,DV240,DX240)</f>
        <v>29</v>
      </c>
      <c r="DZ240" s="5" t="str">
        <f t="shared" ref="DZ240:DZ246" si="678">IF(DY240&lt;=18,"Nivel de riesgo bajo",
IF(DY240&lt;=23,"Nivel de riesgo medio",
"Nivel de riesgo alto"))</f>
        <v>Nivel de riesgo alto</v>
      </c>
      <c r="EA240" s="5" t="s">
        <v>254</v>
      </c>
      <c r="EB240" s="5">
        <f t="shared" ref="EB240:EB246" si="679">IF(EA240="Nunca/ casi nunca",0,
IF(EA240="Rara vez",1,
IF(EA240="A veces",2,
IF(EA240="A menudo",3,
IF(EA240="Siempre",4,"")))))</f>
        <v>4</v>
      </c>
      <c r="EC240" s="5" t="s">
        <v>232</v>
      </c>
      <c r="ED240" s="5">
        <f t="shared" ref="ED240:ED246" si="680">IF(EC240="Nunca/ casi nunca",0,
IF(EC240="Rara vez",1,
IF(EC240="A veces",2,
IF(EC240="A menudo",3,
IF(EC240="Siempre",4,"")))))</f>
        <v>3</v>
      </c>
      <c r="EE240" s="5" t="s">
        <v>253</v>
      </c>
      <c r="EF240" s="5">
        <f t="shared" ref="EF240:EF246" si="681">IF(EE240="Nunca/ casi nunca",0,
IF(EE240="Rara vez",1,
IF(EE240="A veces",2,
IF(EE240="A menudo",3,
IF(EE240="Siempre",4,"")))))</f>
        <v>0</v>
      </c>
      <c r="EG240" s="5">
        <f t="shared" ref="EG240:EG246" si="682">SUM(EB240,ED240,EF240)</f>
        <v>7</v>
      </c>
      <c r="EH240" s="5" t="str">
        <f t="shared" ref="EH240:EH246" si="683">IF(EG240&lt;=1,"Nivel de riesgo bajo",
IF(EG240&lt;=4,"Nivel de riesgo medio",
"Nivel de riesgo alto"))</f>
        <v>Nivel de riesgo alto</v>
      </c>
      <c r="EI240" s="5" t="s">
        <v>253</v>
      </c>
      <c r="EJ240" s="5">
        <f t="shared" ref="EJ240:EJ246" si="684">IF(EI240="Nunca/ casi nunca",0,
IF(EI240="Rara vez",1,
IF(EI240="A veces",2,
IF(EI240="A menudo",3,
IF(EI240="Siempre",4,"")))))</f>
        <v>0</v>
      </c>
      <c r="EK240" s="5" t="s">
        <v>253</v>
      </c>
      <c r="EL240" s="5">
        <f t="shared" ref="EL240:EL246" si="685">IF(EK240="Nunca/ casi nunca",0,
IF(EK240="Rara vez",1,
IF(EK240="A veces",2,
IF(EK240="A menudo",3,
IF(EK240="Siempre",4,"")))))</f>
        <v>0</v>
      </c>
      <c r="EM240" s="5" t="s">
        <v>248</v>
      </c>
      <c r="EN240" s="5">
        <f t="shared" ref="EN240:EN246" si="686">IF(EM240="Nunca/ casi nunca",0,
IF(EM240="Rara vez",1,
IF(EM240="A veces",2,
IF(EM240="A menudo",3,
IF(EM240="Siempre",4,"")))))</f>
        <v>1</v>
      </c>
      <c r="EO240" s="5">
        <f t="shared" ref="EO240:EO246" si="687">SUM(EJ240,EL240,EN240)</f>
        <v>1</v>
      </c>
      <c r="EP240" s="5" t="str">
        <f t="shared" ref="EP240:EP246" si="688">IF(EO240&lt;=1,"Nivel de riesgo bajo",
IF(EO240&lt;=5,"Nivel de riesgo medio",
"Nivel de riesgo alto"))</f>
        <v>Nivel de riesgo bajo</v>
      </c>
      <c r="EQ240" s="5" t="s">
        <v>232</v>
      </c>
      <c r="ER240" s="5">
        <f t="shared" ref="ER240:ER246" si="689">IF(EQ240="Nunca/ casi nunca",4,
IF(EQ240="Rara vez",3,
IF(EQ240="A veces",2,
IF(EQ240="A menudo",1,
IF(EQ240="Siempre",0,"")))))</f>
        <v>1</v>
      </c>
      <c r="ES240" s="5" t="s">
        <v>232</v>
      </c>
      <c r="ET240" s="5">
        <f t="shared" ref="ET240:ET246" si="690">IF(ES240="Nunca/ casi nunca",4,
IF(ES240="Rara vez",3,
IF(ES240="A veces",2,
IF(ES240="A menudo",1,
IF(ES240="Siempre",0,"")))))</f>
        <v>1</v>
      </c>
      <c r="EU240" s="5" t="s">
        <v>232</v>
      </c>
      <c r="EV240" s="5">
        <f t="shared" ref="EV240:EV246" si="691">IF(EU240="Nunca/ casi nunca",4,
IF(EU240="Rara vez",3,
IF(EU240="A veces",2,
IF(EU240="A menudo",1,
IF(EU240="Siempre",0,"")))))</f>
        <v>1</v>
      </c>
      <c r="EW240" s="5" t="s">
        <v>232</v>
      </c>
      <c r="EX240" s="5">
        <f t="shared" ref="EX240:EX246" si="692">IF(EW240="Nunca/ casi nunca",4,
IF(EW240="Rara vez",3,
IF(EW240="A veces",2,
IF(EW240="A menudo",1,
IF(EW240="Siempre",0,"")))))</f>
        <v>1</v>
      </c>
      <c r="EY240" s="5">
        <f t="shared" ref="EY240:EY246" si="693">SUM(ER240,ET240,EV240,EX240)</f>
        <v>4</v>
      </c>
      <c r="EZ240" s="5" t="str">
        <f t="shared" ref="EZ240:EZ246" si="694">IF(EY240&lt;=0,"Nivel de riesgo bajo",
IF(EY240&lt;=4,"Nivel de riesgo medio",
"Nivel de riesgo alto"))</f>
        <v>Nivel de riesgo medio</v>
      </c>
      <c r="FA240" s="5" t="s">
        <v>232</v>
      </c>
      <c r="FB240" s="5">
        <f t="shared" ref="FB240:FB246" si="695">IF(FA240="Nunca/ casi nunca",0,
IF(FA240="Rara vez",1,
IF(FA240="A veces",2,
IF(FA240="A menudo",3,
IF(FA240="Siempre",4,"")))))</f>
        <v>3</v>
      </c>
      <c r="FC240" s="5" t="s">
        <v>232</v>
      </c>
      <c r="FD240" s="5">
        <f t="shared" ref="FD240:FD246" si="696">IF(FC240="Nunca/ casi nunca",0,
IF(FC240="Rara vez",1,
IF(FC240="A veces",2,
IF(FC240="A menudo",3,
IF(FC240="Siempre",4,"")))))</f>
        <v>3</v>
      </c>
      <c r="FE240" s="5" t="s">
        <v>253</v>
      </c>
      <c r="FF240" s="5">
        <f t="shared" ref="FF240:FF246" si="697">IF(FE240="Nunca/ casi nunca",0,
IF(FE240="Rara vez",1,
IF(FE240="A veces",2,
IF(FE240="A menudo",3,
IF(FE240="Siempre",4,"")))))</f>
        <v>0</v>
      </c>
      <c r="FG240" s="5">
        <f t="shared" ref="FG240:FG246" si="698">SUM(FB240,FD240,FF240)</f>
        <v>6</v>
      </c>
      <c r="FH240" s="5" t="str">
        <f t="shared" ref="FH240:FH246" si="699">IF(FG240&lt;=2,"Nivel de riesgo bajo",
IF(FG240&lt;=5,"Nivel de riesgo medio",
"Nivel de riesgo alto"))</f>
        <v>Nivel de riesgo alto</v>
      </c>
      <c r="FI240" s="5" t="s">
        <v>254</v>
      </c>
      <c r="FJ240" s="5">
        <f t="shared" ref="FJ240:FJ246" si="700">IF(FI240="Nunca/ casi nunca",0,
IF(FI240="Rara vez",1,
IF(FI240="A veces",2,
IF(FI240="A menudo",3,
IF(FI240="Siempre",4,"")))))</f>
        <v>4</v>
      </c>
      <c r="FK240" s="5" t="s">
        <v>254</v>
      </c>
      <c r="FL240" s="5">
        <f t="shared" ref="FL240:FL246" si="701">IF(FK240="Nunca/ casi nunca",0,
IF(FK240="Rara vez",1,
IF(FK240="A veces",2,
IF(FK240="A menudo",3,
IF(FK240="Siempre",4,"")))))</f>
        <v>4</v>
      </c>
      <c r="FM240" s="5" t="s">
        <v>254</v>
      </c>
      <c r="FN240" s="5">
        <f t="shared" ref="FN240:FN246" si="702">IF(FM240="Nunca/ casi nunca",0,
IF(FM240="Rara vez",1,
IF(FM240="A veces",2,
IF(FM240="A menudo",3,
IF(FM240="Siempre",4,"")))))</f>
        <v>4</v>
      </c>
      <c r="FO240" s="5">
        <f t="shared" ref="FO240:FO246" si="703">SUM(FJ240,FL240,FN240)</f>
        <v>12</v>
      </c>
      <c r="FP240" s="5" t="str">
        <f t="shared" ref="FP240:FP246" si="704">IF(FO240&lt;=2,"Nivel de riesgo bajo",
IF(FO240&lt;=5,"Nivel de riesgo medio",
"Nivel de riesgo alto"))</f>
        <v>Nivel de riesgo alto</v>
      </c>
      <c r="FQ240" s="5" t="s">
        <v>206</v>
      </c>
      <c r="FR240" s="5">
        <f t="shared" ref="FR240:FR246" si="705">IF(FQ240="No",0,
IF(FQ240="Sí, unas pocas veces",1,
IF(FQ240="Sí, mensualmente",2,
IF(FQ240="Sí, semanalmente",3,
IF(FQ240="Sí, diariamente",4,"")))))</f>
        <v>0</v>
      </c>
      <c r="FS240" s="5" t="s">
        <v>206</v>
      </c>
      <c r="FT240" s="5">
        <f t="shared" ref="FT240:FT246" si="706">IF(FS240="No",0,
IF(FS240="Sí, unas pocas veces",1,
IF(FS240="Sí, mensualmente",2,
IF(FS240="Sí, semanalmente",3,
IF(FS240="Sí, diariamente",4,"")))))</f>
        <v>0</v>
      </c>
      <c r="FU240" s="5" t="s">
        <v>206</v>
      </c>
      <c r="FV240" s="5">
        <f t="shared" ref="FV240:FV246" si="707">IF(FU240="No",0,
IF(FU240="Sí, unas pocas veces",1,
IF(FU240="Sí, mensualmente",2,
IF(FU240="Sí, semanalmente",3,
IF(FU240="Sí, diariamente",4,"")))))</f>
        <v>0</v>
      </c>
      <c r="FW240" s="5" t="s">
        <v>206</v>
      </c>
      <c r="FX240" s="5">
        <f t="shared" ref="FX240:FX246" si="708">IF(FW240="No",0,
IF(FW240="Sí, unas pocas veces",1,
IF(FW240="Sí, mensualmente",2,
IF(FW240="Sí, semanalmente",3,
IF(FW240="Sí, diariamente",4,"")))))</f>
        <v>0</v>
      </c>
      <c r="FY240" s="5" t="s">
        <v>206</v>
      </c>
      <c r="FZ240" s="5">
        <f t="shared" ref="FZ240:FZ246" si="709">IF(FY240="No",0,
IF(FY240="Sí, unas pocas veces",1,
IF(FY240="Sí, mensualmente",2,
IF(FY240="Sí, semanalmente",3,
IF(FY240="Sí, diariamente",4,"")))))</f>
        <v>0</v>
      </c>
      <c r="GA240" s="5" t="s">
        <v>206</v>
      </c>
      <c r="GB240" s="5">
        <f t="shared" ref="GB240:GB246" si="710">IF(GA240="No",0,
IF(GA240="Sí, unas pocas veces",1,
IF(GA240="Sí, mensualmente",2,
IF(GA240="Sí, semanalmente",3,
IF(GA240="Sí, diariamente",4,"")))))</f>
        <v>0</v>
      </c>
      <c r="GC240" s="5" t="s">
        <v>206</v>
      </c>
      <c r="GD240" s="5">
        <f t="shared" ref="GD240:GD246" si="711">IF(GC240="No",0,
IF(GC240="Sí, unas pocas veces",1,
IF(GC240="Sí, mensualmente",2,
IF(GC240="Sí, semanalmente",3,
IF(GC240="Sí, diariamente",4,"")))))</f>
        <v>0</v>
      </c>
      <c r="GE240" s="5">
        <f t="shared" ref="GE240:GE246" si="712">SUM(FR240,FT240,FV240,FX240,FZ240,GB240,GD240)</f>
        <v>0</v>
      </c>
      <c r="GF240" s="5" t="str">
        <f t="shared" ref="GF240:GF246" si="713">IF(GE240&lt;=0,"Nivel de riesgo bajo",
IF(GE240&lt;=14,"Nivel de riesgo medio",
"Nivel de riesgo alto"))</f>
        <v>Nivel de riesgo bajo</v>
      </c>
      <c r="GG240" s="5" t="s">
        <v>255</v>
      </c>
      <c r="GH240" s="5" t="s">
        <v>255</v>
      </c>
      <c r="GI240" s="5" t="s">
        <v>255</v>
      </c>
      <c r="GJ240" s="5" t="s">
        <v>233</v>
      </c>
      <c r="GK240" s="5" t="s">
        <v>233</v>
      </c>
      <c r="GL240" s="5" t="s">
        <v>233</v>
      </c>
      <c r="GM240" s="5" t="s">
        <v>233</v>
      </c>
      <c r="GN240" s="5" t="s">
        <v>256</v>
      </c>
      <c r="GO240" s="5" t="s">
        <v>257</v>
      </c>
      <c r="GP240" s="5" t="s">
        <v>257</v>
      </c>
      <c r="GQ240" s="5" t="s">
        <v>257</v>
      </c>
      <c r="GR240" s="5" t="s">
        <v>257</v>
      </c>
      <c r="GS240" s="5" t="s">
        <v>257</v>
      </c>
      <c r="GT240" s="5" t="s">
        <v>257</v>
      </c>
      <c r="GU240" s="5" t="s">
        <v>442</v>
      </c>
      <c r="GV240" s="5" t="str">
        <f>TEXT("6279181891148485350","0")</f>
        <v>6279181891148480000</v>
      </c>
    </row>
    <row r="241" spans="1:204" ht="15.75" customHeight="1" x14ac:dyDescent="0.15">
      <c r="A241" s="1">
        <f t="shared" si="663"/>
        <v>241</v>
      </c>
      <c r="B241" s="4">
        <v>45847.874201388891</v>
      </c>
      <c r="C241" s="5" t="s">
        <v>204</v>
      </c>
      <c r="D241" s="5" t="s">
        <v>204</v>
      </c>
      <c r="E241" s="5" t="s">
        <v>335</v>
      </c>
      <c r="F241" s="5" t="s">
        <v>204</v>
      </c>
      <c r="G241" s="5" t="s">
        <v>206</v>
      </c>
      <c r="H241" s="5" t="s">
        <v>206</v>
      </c>
      <c r="J241" s="5" t="s">
        <v>209</v>
      </c>
      <c r="N241" s="5" t="s">
        <v>208</v>
      </c>
      <c r="S241" s="5" t="s">
        <v>208</v>
      </c>
      <c r="X241" s="5" t="s">
        <v>208</v>
      </c>
      <c r="AC241" s="5" t="s">
        <v>208</v>
      </c>
      <c r="AH241" s="5" t="s">
        <v>210</v>
      </c>
      <c r="AI241" s="5">
        <v>2023</v>
      </c>
      <c r="AJ241" s="5" t="s">
        <v>238</v>
      </c>
      <c r="AK241" s="5" t="str">
        <f t="shared" si="664"/>
        <v>Trabajadora por cuenta propia</v>
      </c>
      <c r="AN241" s="5" t="s">
        <v>288</v>
      </c>
      <c r="AP241" s="5" t="s">
        <v>321</v>
      </c>
      <c r="AR241" s="5" t="s">
        <v>276</v>
      </c>
      <c r="AS241" s="5" t="s">
        <v>276</v>
      </c>
      <c r="AT241" s="5" t="s">
        <v>294</v>
      </c>
      <c r="AU241" s="5" t="s">
        <v>294</v>
      </c>
      <c r="AV241" s="5" t="s">
        <v>285</v>
      </c>
      <c r="AW241" s="5" t="s">
        <v>204</v>
      </c>
      <c r="AX241" s="5" t="s">
        <v>206</v>
      </c>
      <c r="BF241" s="5" t="s">
        <v>204</v>
      </c>
      <c r="BG241" s="5" t="s">
        <v>207</v>
      </c>
      <c r="BH241" s="5" t="s">
        <v>215</v>
      </c>
      <c r="BI241" s="5" t="s">
        <v>207</v>
      </c>
      <c r="BJ241" s="5" t="s">
        <v>207</v>
      </c>
      <c r="BK241" s="5" t="s">
        <v>216</v>
      </c>
      <c r="BL241" s="5" t="s">
        <v>216</v>
      </c>
      <c r="BM241" s="5" t="s">
        <v>244</v>
      </c>
      <c r="BN241" s="5" t="s">
        <v>244</v>
      </c>
      <c r="BO241" s="5" t="s">
        <v>244</v>
      </c>
      <c r="BP241" s="5" t="s">
        <v>244</v>
      </c>
      <c r="BQ241" s="5" t="s">
        <v>244</v>
      </c>
      <c r="BR241" s="5" t="s">
        <v>244</v>
      </c>
      <c r="BS241" s="5" t="s">
        <v>247</v>
      </c>
      <c r="BT241" s="5" t="s">
        <v>248</v>
      </c>
      <c r="BU241" s="5" t="s">
        <v>247</v>
      </c>
      <c r="BV241" s="5" t="s">
        <v>217</v>
      </c>
      <c r="BW241" s="5" t="s">
        <v>247</v>
      </c>
      <c r="BX241" s="5" t="s">
        <v>247</v>
      </c>
      <c r="BY241" s="5" t="s">
        <v>247</v>
      </c>
      <c r="BZ241" s="5" t="s">
        <v>244</v>
      </c>
      <c r="CA241" s="5" t="s">
        <v>216</v>
      </c>
      <c r="CB241" s="5" t="s">
        <v>216</v>
      </c>
      <c r="CC241" s="5" t="s">
        <v>216</v>
      </c>
      <c r="CD241" s="5" t="s">
        <v>206</v>
      </c>
      <c r="CH241" s="5" t="s">
        <v>206</v>
      </c>
      <c r="CI241" s="5" t="s">
        <v>318</v>
      </c>
      <c r="CJ241" s="5">
        <v>5</v>
      </c>
      <c r="CK241" s="5" t="s">
        <v>223</v>
      </c>
      <c r="CU241" s="5" t="s">
        <v>206</v>
      </c>
      <c r="DA241" s="5" t="s">
        <v>272</v>
      </c>
      <c r="DB241" s="5">
        <f t="shared" si="665"/>
        <v>1</v>
      </c>
      <c r="DC241" s="5" t="s">
        <v>250</v>
      </c>
      <c r="DD241" s="5">
        <f t="shared" si="666"/>
        <v>3</v>
      </c>
      <c r="DE241" s="5" t="s">
        <v>250</v>
      </c>
      <c r="DF241" s="5">
        <f t="shared" si="667"/>
        <v>3</v>
      </c>
      <c r="DG241" s="5" t="s">
        <v>251</v>
      </c>
      <c r="DH241" s="5">
        <f t="shared" si="668"/>
        <v>1</v>
      </c>
      <c r="DI241" s="5" t="s">
        <v>251</v>
      </c>
      <c r="DJ241" s="5">
        <f t="shared" si="669"/>
        <v>1</v>
      </c>
      <c r="DK241" s="5" t="s">
        <v>251</v>
      </c>
      <c r="DL241" s="5">
        <f t="shared" si="670"/>
        <v>1</v>
      </c>
      <c r="DM241" s="5" t="s">
        <v>251</v>
      </c>
      <c r="DN241" s="5">
        <f t="shared" si="671"/>
        <v>1</v>
      </c>
      <c r="DO241" s="5" t="s">
        <v>281</v>
      </c>
      <c r="DP241" s="5">
        <f t="shared" si="672"/>
        <v>1</v>
      </c>
      <c r="DQ241" s="5" t="s">
        <v>281</v>
      </c>
      <c r="DR241" s="5">
        <f t="shared" si="673"/>
        <v>1</v>
      </c>
      <c r="DS241" s="5" t="s">
        <v>252</v>
      </c>
      <c r="DT241" s="5">
        <f t="shared" si="674"/>
        <v>3</v>
      </c>
      <c r="DU241" s="5" t="s">
        <v>281</v>
      </c>
      <c r="DV241" s="5">
        <f t="shared" si="675"/>
        <v>1</v>
      </c>
      <c r="DW241" s="5" t="s">
        <v>281</v>
      </c>
      <c r="DX241" s="5">
        <f t="shared" si="676"/>
        <v>1</v>
      </c>
      <c r="DY241" s="5">
        <f t="shared" si="677"/>
        <v>18</v>
      </c>
      <c r="DZ241" s="5" t="str">
        <f t="shared" si="678"/>
        <v>Nivel de riesgo bajo</v>
      </c>
      <c r="EA241" s="5" t="s">
        <v>247</v>
      </c>
      <c r="EB241" s="5">
        <f t="shared" si="679"/>
        <v>2</v>
      </c>
      <c r="EC241" s="5" t="s">
        <v>247</v>
      </c>
      <c r="ED241" s="5">
        <f t="shared" si="680"/>
        <v>2</v>
      </c>
      <c r="EE241" s="5" t="s">
        <v>247</v>
      </c>
      <c r="EF241" s="5">
        <f t="shared" si="681"/>
        <v>2</v>
      </c>
      <c r="EG241" s="5">
        <f t="shared" si="682"/>
        <v>6</v>
      </c>
      <c r="EH241" s="5" t="str">
        <f t="shared" si="683"/>
        <v>Nivel de riesgo alto</v>
      </c>
      <c r="EI241" s="5" t="s">
        <v>247</v>
      </c>
      <c r="EJ241" s="5">
        <f t="shared" si="684"/>
        <v>2</v>
      </c>
      <c r="EK241" s="5" t="s">
        <v>232</v>
      </c>
      <c r="EL241" s="5">
        <f t="shared" si="685"/>
        <v>3</v>
      </c>
      <c r="EM241" s="5" t="s">
        <v>247</v>
      </c>
      <c r="EN241" s="5">
        <f t="shared" si="686"/>
        <v>2</v>
      </c>
      <c r="EO241" s="5">
        <f t="shared" si="687"/>
        <v>7</v>
      </c>
      <c r="EP241" s="5" t="str">
        <f t="shared" si="688"/>
        <v>Nivel de riesgo alto</v>
      </c>
      <c r="EQ241" s="5" t="s">
        <v>232</v>
      </c>
      <c r="ER241" s="5">
        <f t="shared" si="689"/>
        <v>1</v>
      </c>
      <c r="ES241" s="5" t="s">
        <v>232</v>
      </c>
      <c r="ET241" s="5">
        <f t="shared" si="690"/>
        <v>1</v>
      </c>
      <c r="EU241" s="5" t="s">
        <v>247</v>
      </c>
      <c r="EV241" s="5">
        <f t="shared" si="691"/>
        <v>2</v>
      </c>
      <c r="EW241" s="5" t="s">
        <v>247</v>
      </c>
      <c r="EX241" s="5">
        <f t="shared" si="692"/>
        <v>2</v>
      </c>
      <c r="EY241" s="5">
        <f t="shared" si="693"/>
        <v>6</v>
      </c>
      <c r="EZ241" s="5" t="str">
        <f t="shared" si="694"/>
        <v>Nivel de riesgo alto</v>
      </c>
      <c r="FA241" s="5" t="s">
        <v>232</v>
      </c>
      <c r="FB241" s="5">
        <f t="shared" si="695"/>
        <v>3</v>
      </c>
      <c r="FC241" s="5" t="s">
        <v>232</v>
      </c>
      <c r="FD241" s="5">
        <f t="shared" si="696"/>
        <v>3</v>
      </c>
      <c r="FE241" s="5" t="s">
        <v>232</v>
      </c>
      <c r="FF241" s="5">
        <f t="shared" si="697"/>
        <v>3</v>
      </c>
      <c r="FG241" s="5">
        <f t="shared" si="698"/>
        <v>9</v>
      </c>
      <c r="FH241" s="5" t="str">
        <f t="shared" si="699"/>
        <v>Nivel de riesgo alto</v>
      </c>
      <c r="FI241" s="5" t="s">
        <v>232</v>
      </c>
      <c r="FJ241" s="5">
        <f t="shared" si="700"/>
        <v>3</v>
      </c>
      <c r="FK241" s="5" t="s">
        <v>232</v>
      </c>
      <c r="FL241" s="5">
        <f t="shared" si="701"/>
        <v>3</v>
      </c>
      <c r="FM241" s="5" t="s">
        <v>232</v>
      </c>
      <c r="FN241" s="5">
        <f t="shared" si="702"/>
        <v>3</v>
      </c>
      <c r="FO241" s="5">
        <f t="shared" si="703"/>
        <v>9</v>
      </c>
      <c r="FP241" s="5" t="str">
        <f t="shared" si="704"/>
        <v>Nivel de riesgo alto</v>
      </c>
      <c r="FQ241" s="5" t="s">
        <v>265</v>
      </c>
      <c r="FR241" s="5">
        <f t="shared" si="705"/>
        <v>1</v>
      </c>
      <c r="FS241" s="5" t="s">
        <v>206</v>
      </c>
      <c r="FT241" s="5">
        <f t="shared" si="706"/>
        <v>0</v>
      </c>
      <c r="FU241" s="5" t="s">
        <v>206</v>
      </c>
      <c r="FV241" s="5">
        <f t="shared" si="707"/>
        <v>0</v>
      </c>
      <c r="FW241" s="5" t="s">
        <v>206</v>
      </c>
      <c r="FX241" s="5">
        <f t="shared" si="708"/>
        <v>0</v>
      </c>
      <c r="FY241" s="5" t="s">
        <v>206</v>
      </c>
      <c r="FZ241" s="5">
        <f t="shared" si="709"/>
        <v>0</v>
      </c>
      <c r="GA241" s="5" t="s">
        <v>206</v>
      </c>
      <c r="GB241" s="5">
        <f t="shared" si="710"/>
        <v>0</v>
      </c>
      <c r="GC241" s="5" t="s">
        <v>206</v>
      </c>
      <c r="GD241" s="5">
        <f t="shared" si="711"/>
        <v>0</v>
      </c>
      <c r="GE241" s="5">
        <f t="shared" si="712"/>
        <v>1</v>
      </c>
      <c r="GF241" s="5" t="str">
        <f t="shared" si="713"/>
        <v>Nivel de riesgo medio</v>
      </c>
      <c r="GG241" s="5" t="s">
        <v>266</v>
      </c>
      <c r="GH241" s="5" t="s">
        <v>266</v>
      </c>
      <c r="GI241" s="5" t="s">
        <v>266</v>
      </c>
      <c r="GJ241" s="5" t="s">
        <v>266</v>
      </c>
      <c r="GK241" s="5" t="s">
        <v>266</v>
      </c>
      <c r="GL241" s="5" t="s">
        <v>266</v>
      </c>
      <c r="GM241" s="5" t="s">
        <v>266</v>
      </c>
      <c r="GN241" s="5" t="s">
        <v>257</v>
      </c>
      <c r="GO241" s="5" t="s">
        <v>243</v>
      </c>
      <c r="GP241" s="5" t="s">
        <v>243</v>
      </c>
      <c r="GQ241" s="5" t="s">
        <v>257</v>
      </c>
      <c r="GR241" s="5" t="s">
        <v>244</v>
      </c>
      <c r="GS241" s="5" t="s">
        <v>257</v>
      </c>
      <c r="GT241" s="5" t="s">
        <v>244</v>
      </c>
      <c r="GU241" s="5" t="s">
        <v>594</v>
      </c>
      <c r="GV241" s="5" t="str">
        <f>TEXT("6279183317918072124","0")</f>
        <v>6279183317918070000</v>
      </c>
    </row>
    <row r="242" spans="1:204" ht="15.75" customHeight="1" x14ac:dyDescent="0.15">
      <c r="A242" s="1">
        <f t="shared" si="663"/>
        <v>242</v>
      </c>
      <c r="B242" s="4">
        <v>45847.880590277775</v>
      </c>
      <c r="C242" s="5" t="s">
        <v>204</v>
      </c>
      <c r="D242" s="5" t="s">
        <v>206</v>
      </c>
      <c r="F242" s="5" t="s">
        <v>204</v>
      </c>
      <c r="G242" s="5" t="s">
        <v>206</v>
      </c>
      <c r="H242" s="5" t="s">
        <v>206</v>
      </c>
      <c r="L242" s="5" t="s">
        <v>236</v>
      </c>
      <c r="O242" s="5" t="s">
        <v>209</v>
      </c>
      <c r="T242" s="5" t="s">
        <v>209</v>
      </c>
      <c r="Z242" s="5" t="s">
        <v>237</v>
      </c>
      <c r="AG242" s="5" t="s">
        <v>207</v>
      </c>
      <c r="AH242" s="5" t="s">
        <v>275</v>
      </c>
      <c r="AI242" s="5">
        <v>2000</v>
      </c>
      <c r="AJ242" s="5" t="s">
        <v>238</v>
      </c>
      <c r="AK242" s="5" t="str">
        <f t="shared" si="664"/>
        <v>Trabajadora por cuenta propia</v>
      </c>
      <c r="AM242" s="5" t="s">
        <v>309</v>
      </c>
      <c r="AP242" s="5" t="s">
        <v>284</v>
      </c>
      <c r="AR242" s="5" t="s">
        <v>301</v>
      </c>
      <c r="AS242" s="5" t="s">
        <v>301</v>
      </c>
      <c r="AT242" s="5" t="s">
        <v>301</v>
      </c>
      <c r="AU242" s="5" t="s">
        <v>301</v>
      </c>
      <c r="AV242" s="5" t="s">
        <v>213</v>
      </c>
      <c r="AW242" s="5" t="s">
        <v>206</v>
      </c>
      <c r="BF242" s="5" t="s">
        <v>204</v>
      </c>
      <c r="BG242" s="5" t="s">
        <v>207</v>
      </c>
      <c r="BH242" s="5" t="s">
        <v>242</v>
      </c>
      <c r="BI242" s="5" t="s">
        <v>207</v>
      </c>
      <c r="BJ242" s="5" t="s">
        <v>242</v>
      </c>
      <c r="BK242" s="5" t="s">
        <v>246</v>
      </c>
      <c r="BL242" s="5" t="s">
        <v>246</v>
      </c>
      <c r="BM242" s="5" t="s">
        <v>246</v>
      </c>
      <c r="BN242" s="5" t="s">
        <v>246</v>
      </c>
      <c r="BO242" s="5" t="s">
        <v>246</v>
      </c>
      <c r="BP242" s="5" t="s">
        <v>246</v>
      </c>
      <c r="BQ242" s="5" t="s">
        <v>246</v>
      </c>
      <c r="BR242" s="5" t="s">
        <v>246</v>
      </c>
      <c r="BS242" s="5" t="s">
        <v>217</v>
      </c>
      <c r="BT242" s="5" t="s">
        <v>217</v>
      </c>
      <c r="BU242" s="5" t="s">
        <v>217</v>
      </c>
      <c r="BV242" s="5" t="s">
        <v>217</v>
      </c>
      <c r="BW242" s="5" t="s">
        <v>217</v>
      </c>
      <c r="BX242" s="5" t="s">
        <v>217</v>
      </c>
      <c r="BY242" s="5" t="s">
        <v>217</v>
      </c>
      <c r="CD242" s="5" t="s">
        <v>206</v>
      </c>
      <c r="CH242" s="5" t="s">
        <v>331</v>
      </c>
      <c r="CI242" s="5" t="s">
        <v>291</v>
      </c>
      <c r="CJ242" s="5">
        <v>2</v>
      </c>
      <c r="CK242" s="5" t="s">
        <v>223</v>
      </c>
      <c r="CU242" s="5" t="s">
        <v>206</v>
      </c>
      <c r="DA242" s="5" t="s">
        <v>231</v>
      </c>
      <c r="DB242" s="5">
        <f t="shared" si="665"/>
        <v>2</v>
      </c>
      <c r="DC242" s="5" t="s">
        <v>251</v>
      </c>
      <c r="DD242" s="5">
        <f t="shared" si="666"/>
        <v>1</v>
      </c>
      <c r="DE242" s="5" t="s">
        <v>251</v>
      </c>
      <c r="DF242" s="5">
        <f t="shared" si="667"/>
        <v>1</v>
      </c>
      <c r="DG242" s="5" t="s">
        <v>251</v>
      </c>
      <c r="DH242" s="5">
        <f t="shared" si="668"/>
        <v>1</v>
      </c>
      <c r="DI242" s="5" t="s">
        <v>251</v>
      </c>
      <c r="DJ242" s="5">
        <f t="shared" si="669"/>
        <v>1</v>
      </c>
      <c r="DK242" s="5" t="s">
        <v>251</v>
      </c>
      <c r="DL242" s="5">
        <f t="shared" si="670"/>
        <v>1</v>
      </c>
      <c r="DM242" s="5" t="s">
        <v>251</v>
      </c>
      <c r="DN242" s="5">
        <f t="shared" si="671"/>
        <v>1</v>
      </c>
      <c r="DO242" s="5" t="s">
        <v>231</v>
      </c>
      <c r="DP242" s="5">
        <f t="shared" si="672"/>
        <v>2</v>
      </c>
      <c r="DQ242" s="5" t="s">
        <v>231</v>
      </c>
      <c r="DR242" s="5">
        <f t="shared" si="673"/>
        <v>2</v>
      </c>
      <c r="DS242" s="5" t="s">
        <v>231</v>
      </c>
      <c r="DT242" s="5">
        <f t="shared" si="674"/>
        <v>2</v>
      </c>
      <c r="DU242" s="5" t="s">
        <v>231</v>
      </c>
      <c r="DV242" s="5">
        <f t="shared" si="675"/>
        <v>2</v>
      </c>
      <c r="DW242" s="5" t="s">
        <v>231</v>
      </c>
      <c r="DX242" s="5">
        <f t="shared" si="676"/>
        <v>2</v>
      </c>
      <c r="DY242" s="5">
        <f t="shared" si="677"/>
        <v>18</v>
      </c>
      <c r="DZ242" s="5" t="str">
        <f t="shared" si="678"/>
        <v>Nivel de riesgo bajo</v>
      </c>
      <c r="EA242" s="5" t="s">
        <v>253</v>
      </c>
      <c r="EB242" s="5">
        <f t="shared" si="679"/>
        <v>0</v>
      </c>
      <c r="EC242" s="5" t="s">
        <v>253</v>
      </c>
      <c r="ED242" s="5">
        <f t="shared" si="680"/>
        <v>0</v>
      </c>
      <c r="EE242" s="5" t="s">
        <v>253</v>
      </c>
      <c r="EF242" s="5">
        <f t="shared" si="681"/>
        <v>0</v>
      </c>
      <c r="EG242" s="5">
        <f t="shared" si="682"/>
        <v>0</v>
      </c>
      <c r="EH242" s="5" t="str">
        <f t="shared" si="683"/>
        <v>Nivel de riesgo bajo</v>
      </c>
      <c r="EI242" s="5" t="s">
        <v>253</v>
      </c>
      <c r="EJ242" s="5">
        <f t="shared" si="684"/>
        <v>0</v>
      </c>
      <c r="EK242" s="5" t="s">
        <v>253</v>
      </c>
      <c r="EL242" s="5">
        <f t="shared" si="685"/>
        <v>0</v>
      </c>
      <c r="EM242" s="5" t="s">
        <v>253</v>
      </c>
      <c r="EN242" s="5">
        <f t="shared" si="686"/>
        <v>0</v>
      </c>
      <c r="EO242" s="5">
        <f t="shared" si="687"/>
        <v>0</v>
      </c>
      <c r="EP242" s="5" t="str">
        <f t="shared" si="688"/>
        <v>Nivel de riesgo bajo</v>
      </c>
      <c r="EQ242" s="5" t="s">
        <v>253</v>
      </c>
      <c r="ER242" s="5">
        <f t="shared" si="689"/>
        <v>4</v>
      </c>
      <c r="ES242" s="5" t="s">
        <v>253</v>
      </c>
      <c r="ET242" s="5">
        <f t="shared" si="690"/>
        <v>4</v>
      </c>
      <c r="EU242" s="5" t="s">
        <v>253</v>
      </c>
      <c r="EV242" s="5">
        <f t="shared" si="691"/>
        <v>4</v>
      </c>
      <c r="EW242" s="5" t="s">
        <v>253</v>
      </c>
      <c r="EX242" s="5">
        <f t="shared" si="692"/>
        <v>4</v>
      </c>
      <c r="EY242" s="5">
        <f t="shared" si="693"/>
        <v>16</v>
      </c>
      <c r="EZ242" s="5" t="str">
        <f t="shared" si="694"/>
        <v>Nivel de riesgo alto</v>
      </c>
      <c r="FA242" s="5" t="s">
        <v>253</v>
      </c>
      <c r="FB242" s="5">
        <f t="shared" si="695"/>
        <v>0</v>
      </c>
      <c r="FC242" s="5" t="s">
        <v>253</v>
      </c>
      <c r="FD242" s="5">
        <f t="shared" si="696"/>
        <v>0</v>
      </c>
      <c r="FE242" s="5" t="s">
        <v>253</v>
      </c>
      <c r="FF242" s="5">
        <f t="shared" si="697"/>
        <v>0</v>
      </c>
      <c r="FG242" s="5">
        <f t="shared" si="698"/>
        <v>0</v>
      </c>
      <c r="FH242" s="5" t="str">
        <f t="shared" si="699"/>
        <v>Nivel de riesgo bajo</v>
      </c>
      <c r="FI242" s="5" t="s">
        <v>253</v>
      </c>
      <c r="FJ242" s="5">
        <f t="shared" si="700"/>
        <v>0</v>
      </c>
      <c r="FK242" s="5" t="s">
        <v>253</v>
      </c>
      <c r="FL242" s="5">
        <f t="shared" si="701"/>
        <v>0</v>
      </c>
      <c r="FM242" s="5" t="s">
        <v>253</v>
      </c>
      <c r="FN242" s="5">
        <f t="shared" si="702"/>
        <v>0</v>
      </c>
      <c r="FO242" s="5">
        <f t="shared" si="703"/>
        <v>0</v>
      </c>
      <c r="FP242" s="5" t="str">
        <f t="shared" si="704"/>
        <v>Nivel de riesgo bajo</v>
      </c>
      <c r="FQ242" s="5" t="s">
        <v>206</v>
      </c>
      <c r="FR242" s="5">
        <f t="shared" si="705"/>
        <v>0</v>
      </c>
      <c r="FS242" s="5" t="s">
        <v>206</v>
      </c>
      <c r="FT242" s="5">
        <f t="shared" si="706"/>
        <v>0</v>
      </c>
      <c r="FU242" s="5" t="s">
        <v>206</v>
      </c>
      <c r="FV242" s="5">
        <f t="shared" si="707"/>
        <v>0</v>
      </c>
      <c r="FW242" s="5" t="s">
        <v>206</v>
      </c>
      <c r="FX242" s="5">
        <f t="shared" si="708"/>
        <v>0</v>
      </c>
      <c r="FY242" s="5" t="s">
        <v>206</v>
      </c>
      <c r="FZ242" s="5">
        <f t="shared" si="709"/>
        <v>0</v>
      </c>
      <c r="GA242" s="5" t="s">
        <v>206</v>
      </c>
      <c r="GB242" s="5">
        <f t="shared" si="710"/>
        <v>0</v>
      </c>
      <c r="GC242" s="5" t="s">
        <v>206</v>
      </c>
      <c r="GD242" s="5">
        <f t="shared" si="711"/>
        <v>0</v>
      </c>
      <c r="GE242" s="5">
        <f t="shared" si="712"/>
        <v>0</v>
      </c>
      <c r="GF242" s="5" t="str">
        <f t="shared" si="713"/>
        <v>Nivel de riesgo bajo</v>
      </c>
      <c r="GG242" s="5" t="s">
        <v>255</v>
      </c>
      <c r="GH242" s="5" t="s">
        <v>255</v>
      </c>
      <c r="GI242" s="5" t="s">
        <v>255</v>
      </c>
      <c r="GJ242" s="5" t="s">
        <v>255</v>
      </c>
      <c r="GK242" s="5" t="s">
        <v>255</v>
      </c>
      <c r="GL242" s="5" t="s">
        <v>255</v>
      </c>
      <c r="GM242" s="5" t="s">
        <v>255</v>
      </c>
      <c r="GN242" s="5" t="s">
        <v>256</v>
      </c>
      <c r="GO242" s="5" t="s">
        <v>256</v>
      </c>
      <c r="GP242" s="5" t="s">
        <v>256</v>
      </c>
      <c r="GQ242" s="5" t="s">
        <v>256</v>
      </c>
      <c r="GR242" s="5" t="s">
        <v>256</v>
      </c>
      <c r="GS242" s="5" t="s">
        <v>256</v>
      </c>
      <c r="GT242" s="5" t="s">
        <v>256</v>
      </c>
      <c r="GU242" s="5" t="s">
        <v>595</v>
      </c>
      <c r="GV242" s="5" t="str">
        <f>TEXT("6279188838813869446","0")</f>
        <v>6279188838813860000</v>
      </c>
    </row>
    <row r="243" spans="1:204" ht="15.75" customHeight="1" x14ac:dyDescent="0.15">
      <c r="A243" s="1">
        <f t="shared" si="663"/>
        <v>243</v>
      </c>
      <c r="B243" s="4">
        <v>45847.887118055558</v>
      </c>
      <c r="C243" s="5" t="s">
        <v>204</v>
      </c>
      <c r="D243" s="5" t="s">
        <v>204</v>
      </c>
      <c r="E243" s="5" t="s">
        <v>335</v>
      </c>
      <c r="F243" s="5" t="s">
        <v>206</v>
      </c>
      <c r="G243" s="5" t="s">
        <v>206</v>
      </c>
      <c r="H243" s="5" t="s">
        <v>206</v>
      </c>
      <c r="K243" s="5" t="s">
        <v>237</v>
      </c>
      <c r="P243" s="5" t="s">
        <v>237</v>
      </c>
      <c r="U243" s="5" t="s">
        <v>237</v>
      </c>
      <c r="AA243" s="5" t="s">
        <v>236</v>
      </c>
      <c r="AG243" s="5" t="s">
        <v>207</v>
      </c>
      <c r="AH243" s="5" t="s">
        <v>268</v>
      </c>
      <c r="AI243" s="5">
        <v>1995</v>
      </c>
      <c r="AJ243" s="5" t="s">
        <v>337</v>
      </c>
      <c r="AK243" s="5" t="str">
        <f t="shared" si="664"/>
        <v>Asalariada</v>
      </c>
      <c r="AQ243" s="5" t="s">
        <v>204</v>
      </c>
      <c r="AR243" s="5" t="s">
        <v>301</v>
      </c>
      <c r="AS243" s="5" t="s">
        <v>301</v>
      </c>
      <c r="AT243" s="5" t="s">
        <v>241</v>
      </c>
      <c r="AU243" s="5" t="s">
        <v>241</v>
      </c>
      <c r="AV243" s="5" t="s">
        <v>213</v>
      </c>
      <c r="AW243" s="5" t="s">
        <v>204</v>
      </c>
      <c r="AX243" s="5" t="s">
        <v>204</v>
      </c>
      <c r="AY243" s="5" t="s">
        <v>270</v>
      </c>
      <c r="AZ243" s="5" t="s">
        <v>204</v>
      </c>
      <c r="BA243" s="5" t="s">
        <v>263</v>
      </c>
      <c r="BF243" s="5" t="s">
        <v>204</v>
      </c>
      <c r="BG243" s="5" t="s">
        <v>207</v>
      </c>
      <c r="BH243" s="5" t="s">
        <v>215</v>
      </c>
      <c r="BI243" s="5" t="s">
        <v>207</v>
      </c>
      <c r="BJ243" s="5" t="s">
        <v>215</v>
      </c>
      <c r="BK243" s="5" t="s">
        <v>246</v>
      </c>
      <c r="BL243" s="5" t="s">
        <v>243</v>
      </c>
      <c r="BM243" s="5" t="s">
        <v>244</v>
      </c>
      <c r="BN243" s="5" t="s">
        <v>243</v>
      </c>
      <c r="BO243" s="5" t="s">
        <v>216</v>
      </c>
      <c r="BP243" s="5" t="s">
        <v>243</v>
      </c>
      <c r="BQ243" s="5" t="s">
        <v>216</v>
      </c>
      <c r="BR243" s="5" t="s">
        <v>216</v>
      </c>
      <c r="BS243" s="5" t="s">
        <v>247</v>
      </c>
      <c r="BT243" s="5" t="s">
        <v>248</v>
      </c>
      <c r="BU243" s="5" t="s">
        <v>217</v>
      </c>
      <c r="BV243" s="5" t="s">
        <v>248</v>
      </c>
      <c r="BW243" s="5" t="s">
        <v>248</v>
      </c>
      <c r="BX243" s="5" t="s">
        <v>232</v>
      </c>
      <c r="BY243" s="5" t="s">
        <v>217</v>
      </c>
      <c r="BZ243" s="5" t="s">
        <v>216</v>
      </c>
      <c r="CA243" s="5" t="s">
        <v>216</v>
      </c>
      <c r="CB243" s="5" t="s">
        <v>216</v>
      </c>
      <c r="CC243" s="5" t="s">
        <v>216</v>
      </c>
      <c r="CD243" s="5" t="s">
        <v>206</v>
      </c>
      <c r="CH243" s="5" t="s">
        <v>206</v>
      </c>
      <c r="CI243" s="5" t="s">
        <v>347</v>
      </c>
      <c r="CJ243" s="5">
        <v>9</v>
      </c>
      <c r="CK243" s="5" t="s">
        <v>223</v>
      </c>
      <c r="CU243" s="5" t="s">
        <v>206</v>
      </c>
      <c r="DA243" s="5" t="s">
        <v>272</v>
      </c>
      <c r="DB243" s="5">
        <f t="shared" si="665"/>
        <v>1</v>
      </c>
      <c r="DC243" s="5" t="s">
        <v>250</v>
      </c>
      <c r="DD243" s="5">
        <f t="shared" si="666"/>
        <v>3</v>
      </c>
      <c r="DE243" s="5" t="s">
        <v>230</v>
      </c>
      <c r="DF243" s="5">
        <f t="shared" si="667"/>
        <v>2</v>
      </c>
      <c r="DG243" s="5" t="s">
        <v>251</v>
      </c>
      <c r="DH243" s="5">
        <f t="shared" si="668"/>
        <v>1</v>
      </c>
      <c r="DI243" s="5" t="s">
        <v>251</v>
      </c>
      <c r="DJ243" s="5">
        <f t="shared" si="669"/>
        <v>1</v>
      </c>
      <c r="DK243" s="5" t="s">
        <v>251</v>
      </c>
      <c r="DL243" s="5">
        <f t="shared" si="670"/>
        <v>1</v>
      </c>
      <c r="DM243" s="5" t="s">
        <v>251</v>
      </c>
      <c r="DN243" s="5">
        <f t="shared" si="671"/>
        <v>1</v>
      </c>
      <c r="DO243" s="5" t="s">
        <v>281</v>
      </c>
      <c r="DP243" s="5">
        <f t="shared" si="672"/>
        <v>1</v>
      </c>
      <c r="DQ243" s="5" t="s">
        <v>281</v>
      </c>
      <c r="DR243" s="5">
        <f t="shared" si="673"/>
        <v>1</v>
      </c>
      <c r="DS243" s="5" t="s">
        <v>281</v>
      </c>
      <c r="DT243" s="5">
        <f t="shared" si="674"/>
        <v>1</v>
      </c>
      <c r="DU243" s="5" t="s">
        <v>281</v>
      </c>
      <c r="DV243" s="5">
        <f t="shared" si="675"/>
        <v>1</v>
      </c>
      <c r="DW243" s="5" t="s">
        <v>281</v>
      </c>
      <c r="DX243" s="5">
        <f t="shared" si="676"/>
        <v>1</v>
      </c>
      <c r="DY243" s="5">
        <f t="shared" si="677"/>
        <v>15</v>
      </c>
      <c r="DZ243" s="5" t="str">
        <f t="shared" si="678"/>
        <v>Nivel de riesgo bajo</v>
      </c>
      <c r="EA243" s="5" t="s">
        <v>247</v>
      </c>
      <c r="EB243" s="5">
        <f t="shared" si="679"/>
        <v>2</v>
      </c>
      <c r="EC243" s="5" t="s">
        <v>248</v>
      </c>
      <c r="ED243" s="5">
        <f t="shared" si="680"/>
        <v>1</v>
      </c>
      <c r="EE243" s="5" t="s">
        <v>253</v>
      </c>
      <c r="EF243" s="5">
        <f t="shared" si="681"/>
        <v>0</v>
      </c>
      <c r="EG243" s="5">
        <f t="shared" si="682"/>
        <v>3</v>
      </c>
      <c r="EH243" s="5" t="str">
        <f t="shared" si="683"/>
        <v>Nivel de riesgo medio</v>
      </c>
      <c r="EI243" s="5" t="s">
        <v>253</v>
      </c>
      <c r="EJ243" s="5">
        <f t="shared" si="684"/>
        <v>0</v>
      </c>
      <c r="EK243" s="5" t="s">
        <v>254</v>
      </c>
      <c r="EL243" s="5">
        <f t="shared" si="685"/>
        <v>4</v>
      </c>
      <c r="EM243" s="5" t="s">
        <v>248</v>
      </c>
      <c r="EN243" s="5">
        <f t="shared" si="686"/>
        <v>1</v>
      </c>
      <c r="EO243" s="5">
        <f t="shared" si="687"/>
        <v>5</v>
      </c>
      <c r="EP243" s="5" t="str">
        <f t="shared" si="688"/>
        <v>Nivel de riesgo medio</v>
      </c>
      <c r="EQ243" s="5" t="s">
        <v>232</v>
      </c>
      <c r="ER243" s="5">
        <f t="shared" si="689"/>
        <v>1</v>
      </c>
      <c r="ES243" s="5" t="s">
        <v>247</v>
      </c>
      <c r="ET243" s="5">
        <f t="shared" si="690"/>
        <v>2</v>
      </c>
      <c r="EU243" s="5" t="s">
        <v>254</v>
      </c>
      <c r="EV243" s="5">
        <f t="shared" si="691"/>
        <v>0</v>
      </c>
      <c r="EW243" s="5" t="s">
        <v>254</v>
      </c>
      <c r="EX243" s="5">
        <f t="shared" si="692"/>
        <v>0</v>
      </c>
      <c r="EY243" s="5">
        <f t="shared" si="693"/>
        <v>3</v>
      </c>
      <c r="EZ243" s="5" t="str">
        <f t="shared" si="694"/>
        <v>Nivel de riesgo medio</v>
      </c>
      <c r="FA243" s="5" t="s">
        <v>253</v>
      </c>
      <c r="FB243" s="5">
        <f t="shared" si="695"/>
        <v>0</v>
      </c>
      <c r="FC243" s="5" t="s">
        <v>248</v>
      </c>
      <c r="FD243" s="5">
        <f t="shared" si="696"/>
        <v>1</v>
      </c>
      <c r="FE243" s="5" t="s">
        <v>253</v>
      </c>
      <c r="FF243" s="5">
        <f t="shared" si="697"/>
        <v>0</v>
      </c>
      <c r="FG243" s="5">
        <f t="shared" si="698"/>
        <v>1</v>
      </c>
      <c r="FH243" s="5" t="str">
        <f t="shared" si="699"/>
        <v>Nivel de riesgo bajo</v>
      </c>
      <c r="FI243" s="5" t="s">
        <v>253</v>
      </c>
      <c r="FJ243" s="5">
        <f t="shared" si="700"/>
        <v>0</v>
      </c>
      <c r="FK243" s="5" t="s">
        <v>253</v>
      </c>
      <c r="FL243" s="5">
        <f t="shared" si="701"/>
        <v>0</v>
      </c>
      <c r="FM243" s="5" t="s">
        <v>253</v>
      </c>
      <c r="FN243" s="5">
        <f t="shared" si="702"/>
        <v>0</v>
      </c>
      <c r="FO243" s="5">
        <f t="shared" si="703"/>
        <v>0</v>
      </c>
      <c r="FP243" s="5" t="str">
        <f t="shared" si="704"/>
        <v>Nivel de riesgo bajo</v>
      </c>
      <c r="FQ243" s="5" t="s">
        <v>206</v>
      </c>
      <c r="FR243" s="5">
        <f t="shared" si="705"/>
        <v>0</v>
      </c>
      <c r="FS243" s="5" t="s">
        <v>206</v>
      </c>
      <c r="FT243" s="5">
        <f t="shared" si="706"/>
        <v>0</v>
      </c>
      <c r="FU243" s="5" t="s">
        <v>265</v>
      </c>
      <c r="FV243" s="5">
        <f t="shared" si="707"/>
        <v>1</v>
      </c>
      <c r="FW243" s="5" t="s">
        <v>206</v>
      </c>
      <c r="FX243" s="5">
        <f t="shared" si="708"/>
        <v>0</v>
      </c>
      <c r="FY243" s="5" t="s">
        <v>206</v>
      </c>
      <c r="FZ243" s="5">
        <f t="shared" si="709"/>
        <v>0</v>
      </c>
      <c r="GA243" s="5" t="s">
        <v>206</v>
      </c>
      <c r="GB243" s="5">
        <f t="shared" si="710"/>
        <v>0</v>
      </c>
      <c r="GC243" s="5" t="s">
        <v>206</v>
      </c>
      <c r="GD243" s="5">
        <f t="shared" si="711"/>
        <v>0</v>
      </c>
      <c r="GE243" s="5">
        <f t="shared" si="712"/>
        <v>1</v>
      </c>
      <c r="GF243" s="5" t="str">
        <f t="shared" si="713"/>
        <v>Nivel de riesgo medio</v>
      </c>
      <c r="GG243" s="5" t="s">
        <v>255</v>
      </c>
      <c r="GH243" s="5" t="s">
        <v>255</v>
      </c>
      <c r="GI243" s="5" t="s">
        <v>255</v>
      </c>
      <c r="GJ243" s="5" t="s">
        <v>255</v>
      </c>
      <c r="GK243" s="5" t="s">
        <v>233</v>
      </c>
      <c r="GL243" s="5" t="s">
        <v>233</v>
      </c>
      <c r="GM243" s="5" t="s">
        <v>273</v>
      </c>
      <c r="GN243" s="5" t="s">
        <v>256</v>
      </c>
      <c r="GO243" s="5" t="s">
        <v>256</v>
      </c>
      <c r="GP243" s="5" t="s">
        <v>256</v>
      </c>
      <c r="GQ243" s="5" t="s">
        <v>256</v>
      </c>
      <c r="GR243" s="5" t="s">
        <v>256</v>
      </c>
      <c r="GS243" s="5" t="s">
        <v>256</v>
      </c>
      <c r="GT243" s="5" t="s">
        <v>256</v>
      </c>
      <c r="GU243" s="5" t="s">
        <v>596</v>
      </c>
      <c r="GV243" s="5" t="str">
        <f>TEXT("6279194476292772010","0")</f>
        <v>6279194476292770000</v>
      </c>
    </row>
    <row r="244" spans="1:204" ht="15.75" customHeight="1" x14ac:dyDescent="0.15">
      <c r="A244" s="1">
        <f t="shared" si="663"/>
        <v>244</v>
      </c>
      <c r="B244" s="4">
        <v>45847.895740740743</v>
      </c>
      <c r="C244" s="5" t="s">
        <v>204</v>
      </c>
      <c r="D244" s="5" t="s">
        <v>206</v>
      </c>
      <c r="F244" s="5" t="s">
        <v>206</v>
      </c>
      <c r="G244" s="5" t="s">
        <v>206</v>
      </c>
      <c r="H244" s="5" t="s">
        <v>206</v>
      </c>
      <c r="K244" s="5" t="s">
        <v>237</v>
      </c>
      <c r="O244" s="5" t="s">
        <v>209</v>
      </c>
      <c r="S244" s="5" t="s">
        <v>208</v>
      </c>
      <c r="Y244" s="5" t="s">
        <v>209</v>
      </c>
      <c r="AC244" s="5" t="s">
        <v>208</v>
      </c>
      <c r="AH244" s="5" t="s">
        <v>268</v>
      </c>
      <c r="AI244" s="5">
        <v>2009</v>
      </c>
      <c r="AJ244" s="5" t="s">
        <v>337</v>
      </c>
      <c r="AK244" s="5" t="str">
        <f t="shared" si="664"/>
        <v>Asalariada</v>
      </c>
      <c r="AQ244" s="5" t="s">
        <v>204</v>
      </c>
      <c r="AR244" s="5" t="s">
        <v>301</v>
      </c>
      <c r="AS244" s="5" t="s">
        <v>301</v>
      </c>
      <c r="AT244" s="5" t="s">
        <v>301</v>
      </c>
      <c r="AU244" s="5" t="s">
        <v>301</v>
      </c>
      <c r="AV244" s="5" t="s">
        <v>285</v>
      </c>
      <c r="AW244" s="5" t="s">
        <v>204</v>
      </c>
      <c r="AX244" s="5" t="s">
        <v>206</v>
      </c>
      <c r="BF244" s="5" t="s">
        <v>204</v>
      </c>
      <c r="BG244" s="5" t="s">
        <v>207</v>
      </c>
      <c r="BH244" s="5" t="s">
        <v>215</v>
      </c>
      <c r="BI244" s="5" t="s">
        <v>207</v>
      </c>
      <c r="BJ244" s="5" t="s">
        <v>215</v>
      </c>
      <c r="BK244" s="5" t="s">
        <v>246</v>
      </c>
      <c r="BL244" s="5" t="s">
        <v>246</v>
      </c>
      <c r="BM244" s="5" t="s">
        <v>246</v>
      </c>
      <c r="BN244" s="5" t="s">
        <v>246</v>
      </c>
      <c r="BO244" s="5" t="s">
        <v>246</v>
      </c>
      <c r="BP244" s="5" t="s">
        <v>246</v>
      </c>
      <c r="BQ244" s="5" t="s">
        <v>246</v>
      </c>
      <c r="BR244" s="5" t="s">
        <v>246</v>
      </c>
      <c r="BS244" s="5" t="s">
        <v>232</v>
      </c>
      <c r="BT244" s="5" t="s">
        <v>232</v>
      </c>
      <c r="BU244" s="5" t="s">
        <v>248</v>
      </c>
      <c r="BV244" s="5" t="s">
        <v>248</v>
      </c>
      <c r="BW244" s="5" t="s">
        <v>247</v>
      </c>
      <c r="BX244" s="5" t="s">
        <v>217</v>
      </c>
      <c r="BY244" s="5" t="s">
        <v>248</v>
      </c>
      <c r="BZ244" s="5" t="s">
        <v>243</v>
      </c>
      <c r="CA244" s="5" t="s">
        <v>243</v>
      </c>
      <c r="CB244" s="5" t="s">
        <v>245</v>
      </c>
      <c r="CC244" s="5" t="s">
        <v>245</v>
      </c>
      <c r="CD244" s="5" t="s">
        <v>206</v>
      </c>
      <c r="CH244" s="5" t="s">
        <v>206</v>
      </c>
      <c r="CI244" s="5" t="s">
        <v>347</v>
      </c>
      <c r="CJ244" s="5">
        <v>9</v>
      </c>
      <c r="CK244" s="5" t="s">
        <v>223</v>
      </c>
      <c r="CU244" s="5" t="s">
        <v>206</v>
      </c>
      <c r="DA244" s="5" t="s">
        <v>231</v>
      </c>
      <c r="DB244" s="5">
        <f t="shared" si="665"/>
        <v>2</v>
      </c>
      <c r="DC244" s="5" t="s">
        <v>230</v>
      </c>
      <c r="DD244" s="5">
        <f t="shared" si="666"/>
        <v>2</v>
      </c>
      <c r="DE244" s="5" t="s">
        <v>230</v>
      </c>
      <c r="DF244" s="5">
        <f t="shared" si="667"/>
        <v>2</v>
      </c>
      <c r="DG244" s="5" t="s">
        <v>251</v>
      </c>
      <c r="DH244" s="5">
        <f t="shared" si="668"/>
        <v>1</v>
      </c>
      <c r="DI244" s="5" t="s">
        <v>230</v>
      </c>
      <c r="DJ244" s="5">
        <f t="shared" si="669"/>
        <v>2</v>
      </c>
      <c r="DK244" s="5" t="s">
        <v>251</v>
      </c>
      <c r="DL244" s="5">
        <f t="shared" si="670"/>
        <v>1</v>
      </c>
      <c r="DM244" s="5" t="s">
        <v>230</v>
      </c>
      <c r="DN244" s="5">
        <f t="shared" si="671"/>
        <v>2</v>
      </c>
      <c r="DO244" s="5" t="s">
        <v>252</v>
      </c>
      <c r="DP244" s="5">
        <f t="shared" si="672"/>
        <v>3</v>
      </c>
      <c r="DQ244" s="5" t="s">
        <v>231</v>
      </c>
      <c r="DR244" s="5">
        <f t="shared" si="673"/>
        <v>2</v>
      </c>
      <c r="DS244" s="5" t="s">
        <v>231</v>
      </c>
      <c r="DT244" s="5">
        <f t="shared" si="674"/>
        <v>2</v>
      </c>
      <c r="DU244" s="5" t="s">
        <v>231</v>
      </c>
      <c r="DV244" s="5">
        <f t="shared" si="675"/>
        <v>2</v>
      </c>
      <c r="DW244" s="5" t="s">
        <v>231</v>
      </c>
      <c r="DX244" s="5">
        <f t="shared" si="676"/>
        <v>2</v>
      </c>
      <c r="DY244" s="5">
        <f t="shared" si="677"/>
        <v>23</v>
      </c>
      <c r="DZ244" s="5" t="str">
        <f t="shared" si="678"/>
        <v>Nivel de riesgo medio</v>
      </c>
      <c r="EA244" s="5" t="s">
        <v>253</v>
      </c>
      <c r="EB244" s="5">
        <f t="shared" si="679"/>
        <v>0</v>
      </c>
      <c r="EC244" s="5" t="s">
        <v>253</v>
      </c>
      <c r="ED244" s="5">
        <f t="shared" si="680"/>
        <v>0</v>
      </c>
      <c r="EE244" s="5" t="s">
        <v>253</v>
      </c>
      <c r="EF244" s="5">
        <f t="shared" si="681"/>
        <v>0</v>
      </c>
      <c r="EG244" s="5">
        <f t="shared" si="682"/>
        <v>0</v>
      </c>
      <c r="EH244" s="5" t="str">
        <f t="shared" si="683"/>
        <v>Nivel de riesgo bajo</v>
      </c>
      <c r="EI244" s="5" t="s">
        <v>253</v>
      </c>
      <c r="EJ244" s="5">
        <f t="shared" si="684"/>
        <v>0</v>
      </c>
      <c r="EK244" s="5" t="s">
        <v>248</v>
      </c>
      <c r="EL244" s="5">
        <f t="shared" si="685"/>
        <v>1</v>
      </c>
      <c r="EM244" s="5" t="s">
        <v>248</v>
      </c>
      <c r="EN244" s="5">
        <f t="shared" si="686"/>
        <v>1</v>
      </c>
      <c r="EO244" s="5">
        <f t="shared" si="687"/>
        <v>2</v>
      </c>
      <c r="EP244" s="5" t="str">
        <f t="shared" si="688"/>
        <v>Nivel de riesgo medio</v>
      </c>
      <c r="EQ244" s="5" t="s">
        <v>254</v>
      </c>
      <c r="ER244" s="5">
        <f t="shared" si="689"/>
        <v>0</v>
      </c>
      <c r="ES244" s="5" t="s">
        <v>254</v>
      </c>
      <c r="ET244" s="5">
        <f t="shared" si="690"/>
        <v>0</v>
      </c>
      <c r="EU244" s="5" t="s">
        <v>254</v>
      </c>
      <c r="EV244" s="5">
        <f t="shared" si="691"/>
        <v>0</v>
      </c>
      <c r="EW244" s="5" t="s">
        <v>254</v>
      </c>
      <c r="EX244" s="5">
        <f t="shared" si="692"/>
        <v>0</v>
      </c>
      <c r="EY244" s="5">
        <f t="shared" si="693"/>
        <v>0</v>
      </c>
      <c r="EZ244" s="5" t="str">
        <f t="shared" si="694"/>
        <v>Nivel de riesgo bajo</v>
      </c>
      <c r="FA244" s="5" t="s">
        <v>253</v>
      </c>
      <c r="FB244" s="5">
        <f t="shared" si="695"/>
        <v>0</v>
      </c>
      <c r="FC244" s="5" t="s">
        <v>253</v>
      </c>
      <c r="FD244" s="5">
        <f t="shared" si="696"/>
        <v>0</v>
      </c>
      <c r="FE244" s="5" t="s">
        <v>253</v>
      </c>
      <c r="FF244" s="5">
        <f t="shared" si="697"/>
        <v>0</v>
      </c>
      <c r="FG244" s="5">
        <f t="shared" si="698"/>
        <v>0</v>
      </c>
      <c r="FH244" s="5" t="str">
        <f t="shared" si="699"/>
        <v>Nivel de riesgo bajo</v>
      </c>
      <c r="FI244" s="5" t="s">
        <v>253</v>
      </c>
      <c r="FJ244" s="5">
        <f t="shared" si="700"/>
        <v>0</v>
      </c>
      <c r="FK244" s="5" t="s">
        <v>253</v>
      </c>
      <c r="FL244" s="5">
        <f t="shared" si="701"/>
        <v>0</v>
      </c>
      <c r="FM244" s="5" t="s">
        <v>253</v>
      </c>
      <c r="FN244" s="5">
        <f t="shared" si="702"/>
        <v>0</v>
      </c>
      <c r="FO244" s="5">
        <f t="shared" si="703"/>
        <v>0</v>
      </c>
      <c r="FP244" s="5" t="str">
        <f t="shared" si="704"/>
        <v>Nivel de riesgo bajo</v>
      </c>
      <c r="FQ244" s="5" t="s">
        <v>206</v>
      </c>
      <c r="FR244" s="5">
        <f t="shared" si="705"/>
        <v>0</v>
      </c>
      <c r="FS244" s="5" t="s">
        <v>206</v>
      </c>
      <c r="FT244" s="5">
        <f t="shared" si="706"/>
        <v>0</v>
      </c>
      <c r="FU244" s="5" t="s">
        <v>206</v>
      </c>
      <c r="FV244" s="5">
        <f t="shared" si="707"/>
        <v>0</v>
      </c>
      <c r="FW244" s="5" t="s">
        <v>206</v>
      </c>
      <c r="FX244" s="5">
        <f t="shared" si="708"/>
        <v>0</v>
      </c>
      <c r="FY244" s="5" t="s">
        <v>206</v>
      </c>
      <c r="FZ244" s="5">
        <f t="shared" si="709"/>
        <v>0</v>
      </c>
      <c r="GA244" s="5" t="s">
        <v>206</v>
      </c>
      <c r="GB244" s="5">
        <f t="shared" si="710"/>
        <v>0</v>
      </c>
      <c r="GC244" s="5" t="s">
        <v>206</v>
      </c>
      <c r="GD244" s="5">
        <f t="shared" si="711"/>
        <v>0</v>
      </c>
      <c r="GE244" s="5">
        <f t="shared" si="712"/>
        <v>0</v>
      </c>
      <c r="GF244" s="5" t="str">
        <f t="shared" si="713"/>
        <v>Nivel de riesgo bajo</v>
      </c>
      <c r="GG244" s="5" t="s">
        <v>255</v>
      </c>
      <c r="GH244" s="5" t="s">
        <v>266</v>
      </c>
      <c r="GI244" s="5" t="s">
        <v>255</v>
      </c>
      <c r="GJ244" s="5" t="s">
        <v>255</v>
      </c>
      <c r="GK244" s="5" t="s">
        <v>233</v>
      </c>
      <c r="GL244" s="5" t="s">
        <v>255</v>
      </c>
      <c r="GM244" s="5" t="s">
        <v>255</v>
      </c>
      <c r="GN244" s="5" t="s">
        <v>243</v>
      </c>
      <c r="GO244" s="5" t="s">
        <v>243</v>
      </c>
      <c r="GP244" s="5" t="s">
        <v>243</v>
      </c>
      <c r="GQ244" s="5" t="s">
        <v>243</v>
      </c>
      <c r="GR244" s="5" t="s">
        <v>243</v>
      </c>
      <c r="GS244" s="5" t="s">
        <v>243</v>
      </c>
      <c r="GT244" s="5" t="s">
        <v>257</v>
      </c>
      <c r="GU244" s="5" t="s">
        <v>597</v>
      </c>
      <c r="GV244" s="5" t="str">
        <f>TEXT("6279201922453356502","0")</f>
        <v>6279201922453350000</v>
      </c>
    </row>
    <row r="245" spans="1:204" ht="15.75" customHeight="1" x14ac:dyDescent="0.15">
      <c r="A245" s="1">
        <f t="shared" si="663"/>
        <v>245</v>
      </c>
      <c r="B245" s="4">
        <v>45847.895983796298</v>
      </c>
      <c r="C245" s="5" t="s">
        <v>204</v>
      </c>
      <c r="D245" s="5" t="s">
        <v>206</v>
      </c>
      <c r="F245" s="5" t="s">
        <v>206</v>
      </c>
      <c r="G245" s="5" t="s">
        <v>204</v>
      </c>
      <c r="H245" s="5" t="s">
        <v>206</v>
      </c>
      <c r="L245" s="5" t="s">
        <v>236</v>
      </c>
      <c r="O245" s="5" t="s">
        <v>209</v>
      </c>
      <c r="T245" s="5" t="s">
        <v>209</v>
      </c>
      <c r="X245" s="5" t="s">
        <v>208</v>
      </c>
      <c r="AC245" s="5" t="s">
        <v>208</v>
      </c>
      <c r="AH245" s="5" t="s">
        <v>210</v>
      </c>
      <c r="AI245" s="5">
        <v>2023</v>
      </c>
      <c r="AJ245" s="5" t="s">
        <v>238</v>
      </c>
      <c r="AK245" s="5" t="str">
        <f t="shared" si="664"/>
        <v>Trabajadora por cuenta propia</v>
      </c>
      <c r="AO245" s="5" t="s">
        <v>323</v>
      </c>
      <c r="AP245" s="5" t="s">
        <v>284</v>
      </c>
      <c r="AR245" s="5" t="s">
        <v>301</v>
      </c>
      <c r="AS245" s="5" t="s">
        <v>301</v>
      </c>
      <c r="AT245" s="5" t="s">
        <v>301</v>
      </c>
      <c r="AU245" s="5" t="s">
        <v>301</v>
      </c>
      <c r="AV245" s="5" t="s">
        <v>269</v>
      </c>
      <c r="AW245" s="5" t="s">
        <v>204</v>
      </c>
      <c r="AX245" s="5" t="s">
        <v>204</v>
      </c>
      <c r="AY245" s="5" t="s">
        <v>406</v>
      </c>
      <c r="AZ245" s="5" t="s">
        <v>204</v>
      </c>
      <c r="BA245" s="5" t="s">
        <v>263</v>
      </c>
      <c r="BF245" s="5" t="s">
        <v>204</v>
      </c>
      <c r="BG245" s="5" t="s">
        <v>278</v>
      </c>
      <c r="BH245" s="5" t="s">
        <v>278</v>
      </c>
      <c r="BI245" s="5" t="s">
        <v>278</v>
      </c>
      <c r="BJ245" s="5" t="s">
        <v>278</v>
      </c>
      <c r="BK245" s="5" t="s">
        <v>244</v>
      </c>
      <c r="BL245" s="5" t="s">
        <v>244</v>
      </c>
      <c r="BM245" s="5" t="s">
        <v>244</v>
      </c>
      <c r="BN245" s="5" t="s">
        <v>244</v>
      </c>
      <c r="BO245" s="5" t="s">
        <v>244</v>
      </c>
      <c r="BP245" s="5" t="s">
        <v>244</v>
      </c>
      <c r="BQ245" s="5" t="s">
        <v>244</v>
      </c>
      <c r="BR245" s="5" t="s">
        <v>244</v>
      </c>
      <c r="BS245" s="5" t="s">
        <v>247</v>
      </c>
      <c r="BT245" s="5" t="s">
        <v>247</v>
      </c>
      <c r="BU245" s="5" t="s">
        <v>217</v>
      </c>
      <c r="BV245" s="5" t="s">
        <v>217</v>
      </c>
      <c r="BW245" s="5" t="s">
        <v>217</v>
      </c>
      <c r="BX245" s="5" t="s">
        <v>217</v>
      </c>
      <c r="BY245" s="5" t="s">
        <v>217</v>
      </c>
      <c r="BZ245" s="5" t="s">
        <v>244</v>
      </c>
      <c r="CA245" s="5" t="s">
        <v>244</v>
      </c>
      <c r="CB245" s="5" t="s">
        <v>244</v>
      </c>
      <c r="CC245" s="5" t="s">
        <v>244</v>
      </c>
      <c r="CD245" s="5" t="s">
        <v>206</v>
      </c>
      <c r="CH245" s="5" t="s">
        <v>206</v>
      </c>
      <c r="CI245" s="5" t="s">
        <v>206</v>
      </c>
      <c r="CJ245" s="5">
        <v>0</v>
      </c>
      <c r="CK245" s="5" t="s">
        <v>223</v>
      </c>
      <c r="CU245" s="5" t="s">
        <v>206</v>
      </c>
      <c r="DA245" s="5" t="s">
        <v>231</v>
      </c>
      <c r="DB245" s="5">
        <f t="shared" si="665"/>
        <v>2</v>
      </c>
      <c r="DC245" s="5" t="s">
        <v>230</v>
      </c>
      <c r="DD245" s="5">
        <f t="shared" si="666"/>
        <v>2</v>
      </c>
      <c r="DE245" s="5" t="s">
        <v>230</v>
      </c>
      <c r="DF245" s="5">
        <f t="shared" si="667"/>
        <v>2</v>
      </c>
      <c r="DG245" s="5" t="s">
        <v>251</v>
      </c>
      <c r="DH245" s="5">
        <f t="shared" si="668"/>
        <v>1</v>
      </c>
      <c r="DI245" s="5" t="s">
        <v>251</v>
      </c>
      <c r="DJ245" s="5">
        <f t="shared" si="669"/>
        <v>1</v>
      </c>
      <c r="DK245" s="5" t="s">
        <v>230</v>
      </c>
      <c r="DL245" s="5">
        <f t="shared" si="670"/>
        <v>2</v>
      </c>
      <c r="DM245" s="5" t="s">
        <v>251</v>
      </c>
      <c r="DN245" s="5">
        <f t="shared" si="671"/>
        <v>1</v>
      </c>
      <c r="DO245" s="5" t="s">
        <v>281</v>
      </c>
      <c r="DP245" s="5">
        <f t="shared" si="672"/>
        <v>1</v>
      </c>
      <c r="DQ245" s="5" t="s">
        <v>281</v>
      </c>
      <c r="DR245" s="5">
        <f t="shared" si="673"/>
        <v>1</v>
      </c>
      <c r="DS245" s="5" t="s">
        <v>281</v>
      </c>
      <c r="DT245" s="5">
        <f t="shared" si="674"/>
        <v>1</v>
      </c>
      <c r="DU245" s="5" t="s">
        <v>281</v>
      </c>
      <c r="DV245" s="5">
        <f t="shared" si="675"/>
        <v>1</v>
      </c>
      <c r="DW245" s="5" t="s">
        <v>281</v>
      </c>
      <c r="DX245" s="5">
        <f t="shared" si="676"/>
        <v>1</v>
      </c>
      <c r="DY245" s="5">
        <f t="shared" si="677"/>
        <v>16</v>
      </c>
      <c r="DZ245" s="5" t="str">
        <f t="shared" si="678"/>
        <v>Nivel de riesgo bajo</v>
      </c>
      <c r="EA245" s="5" t="s">
        <v>253</v>
      </c>
      <c r="EB245" s="5">
        <f t="shared" si="679"/>
        <v>0</v>
      </c>
      <c r="EC245" s="5" t="s">
        <v>253</v>
      </c>
      <c r="ED245" s="5">
        <f t="shared" si="680"/>
        <v>0</v>
      </c>
      <c r="EE245" s="5" t="s">
        <v>253</v>
      </c>
      <c r="EF245" s="5">
        <f t="shared" si="681"/>
        <v>0</v>
      </c>
      <c r="EG245" s="5">
        <f t="shared" si="682"/>
        <v>0</v>
      </c>
      <c r="EH245" s="5" t="str">
        <f t="shared" si="683"/>
        <v>Nivel de riesgo bajo</v>
      </c>
      <c r="EI245" s="5" t="s">
        <v>253</v>
      </c>
      <c r="EJ245" s="5">
        <f t="shared" si="684"/>
        <v>0</v>
      </c>
      <c r="EK245" s="5" t="s">
        <v>253</v>
      </c>
      <c r="EL245" s="5">
        <f t="shared" si="685"/>
        <v>0</v>
      </c>
      <c r="EM245" s="5" t="s">
        <v>253</v>
      </c>
      <c r="EN245" s="5">
        <f t="shared" si="686"/>
        <v>0</v>
      </c>
      <c r="EO245" s="5">
        <f t="shared" si="687"/>
        <v>0</v>
      </c>
      <c r="EP245" s="5" t="str">
        <f t="shared" si="688"/>
        <v>Nivel de riesgo bajo</v>
      </c>
      <c r="EQ245" s="5" t="s">
        <v>253</v>
      </c>
      <c r="ER245" s="5">
        <f t="shared" si="689"/>
        <v>4</v>
      </c>
      <c r="ES245" s="5" t="s">
        <v>253</v>
      </c>
      <c r="ET245" s="5">
        <f t="shared" si="690"/>
        <v>4</v>
      </c>
      <c r="EU245" s="5" t="s">
        <v>253</v>
      </c>
      <c r="EV245" s="5">
        <f t="shared" si="691"/>
        <v>4</v>
      </c>
      <c r="EW245" s="5" t="s">
        <v>253</v>
      </c>
      <c r="EX245" s="5">
        <f t="shared" si="692"/>
        <v>4</v>
      </c>
      <c r="EY245" s="5">
        <f t="shared" si="693"/>
        <v>16</v>
      </c>
      <c r="EZ245" s="5" t="str">
        <f t="shared" si="694"/>
        <v>Nivel de riesgo alto</v>
      </c>
      <c r="FA245" s="5" t="s">
        <v>253</v>
      </c>
      <c r="FB245" s="5">
        <f t="shared" si="695"/>
        <v>0</v>
      </c>
      <c r="FC245" s="5" t="s">
        <v>253</v>
      </c>
      <c r="FD245" s="5">
        <f t="shared" si="696"/>
        <v>0</v>
      </c>
      <c r="FE245" s="5" t="s">
        <v>253</v>
      </c>
      <c r="FF245" s="5">
        <f t="shared" si="697"/>
        <v>0</v>
      </c>
      <c r="FG245" s="5">
        <f t="shared" si="698"/>
        <v>0</v>
      </c>
      <c r="FH245" s="5" t="str">
        <f t="shared" si="699"/>
        <v>Nivel de riesgo bajo</v>
      </c>
      <c r="FI245" s="5" t="s">
        <v>253</v>
      </c>
      <c r="FJ245" s="5">
        <f t="shared" si="700"/>
        <v>0</v>
      </c>
      <c r="FK245" s="5" t="s">
        <v>253</v>
      </c>
      <c r="FL245" s="5">
        <f t="shared" si="701"/>
        <v>0</v>
      </c>
      <c r="FM245" s="5" t="s">
        <v>253</v>
      </c>
      <c r="FN245" s="5">
        <f t="shared" si="702"/>
        <v>0</v>
      </c>
      <c r="FO245" s="5">
        <f t="shared" si="703"/>
        <v>0</v>
      </c>
      <c r="FP245" s="5" t="str">
        <f t="shared" si="704"/>
        <v>Nivel de riesgo bajo</v>
      </c>
      <c r="FQ245" s="5" t="s">
        <v>206</v>
      </c>
      <c r="FR245" s="5">
        <f t="shared" si="705"/>
        <v>0</v>
      </c>
      <c r="FS245" s="5" t="s">
        <v>206</v>
      </c>
      <c r="FT245" s="5">
        <f t="shared" si="706"/>
        <v>0</v>
      </c>
      <c r="FU245" s="5" t="s">
        <v>206</v>
      </c>
      <c r="FV245" s="5">
        <f t="shared" si="707"/>
        <v>0</v>
      </c>
      <c r="FW245" s="5" t="s">
        <v>206</v>
      </c>
      <c r="FX245" s="5">
        <f t="shared" si="708"/>
        <v>0</v>
      </c>
      <c r="FY245" s="5" t="s">
        <v>206</v>
      </c>
      <c r="FZ245" s="5">
        <f t="shared" si="709"/>
        <v>0</v>
      </c>
      <c r="GA245" s="5" t="s">
        <v>206</v>
      </c>
      <c r="GB245" s="5">
        <f t="shared" si="710"/>
        <v>0</v>
      </c>
      <c r="GC245" s="5" t="s">
        <v>206</v>
      </c>
      <c r="GD245" s="5">
        <f t="shared" si="711"/>
        <v>0</v>
      </c>
      <c r="GE245" s="5">
        <f t="shared" si="712"/>
        <v>0</v>
      </c>
      <c r="GF245" s="5" t="str">
        <f t="shared" si="713"/>
        <v>Nivel de riesgo bajo</v>
      </c>
      <c r="GG245" s="5" t="s">
        <v>255</v>
      </c>
      <c r="GH245" s="5" t="s">
        <v>255</v>
      </c>
      <c r="GI245" s="5" t="s">
        <v>255</v>
      </c>
      <c r="GJ245" s="5" t="s">
        <v>255</v>
      </c>
      <c r="GK245" s="5" t="s">
        <v>233</v>
      </c>
      <c r="GL245" s="5" t="s">
        <v>255</v>
      </c>
      <c r="GM245" s="5" t="s">
        <v>298</v>
      </c>
      <c r="GN245" s="5" t="s">
        <v>256</v>
      </c>
      <c r="GO245" s="5" t="s">
        <v>256</v>
      </c>
      <c r="GP245" s="5" t="s">
        <v>256</v>
      </c>
      <c r="GQ245" s="5" t="s">
        <v>257</v>
      </c>
      <c r="GR245" s="5" t="s">
        <v>257</v>
      </c>
      <c r="GS245" s="5" t="s">
        <v>257</v>
      </c>
      <c r="GT245" s="5" t="s">
        <v>257</v>
      </c>
      <c r="GU245" s="5" t="s">
        <v>598</v>
      </c>
      <c r="GV245" s="5" t="str">
        <f>TEXT("6279202130325594463","0")</f>
        <v>6279202130325590000</v>
      </c>
    </row>
    <row r="246" spans="1:204" ht="15.75" customHeight="1" x14ac:dyDescent="0.15">
      <c r="A246" s="1">
        <f t="shared" si="663"/>
        <v>246</v>
      </c>
      <c r="B246" s="4">
        <v>45847.901863425926</v>
      </c>
      <c r="C246" s="5" t="s">
        <v>204</v>
      </c>
      <c r="D246" s="5" t="s">
        <v>206</v>
      </c>
      <c r="F246" s="5" t="s">
        <v>206</v>
      </c>
      <c r="G246" s="5" t="s">
        <v>206</v>
      </c>
      <c r="H246" s="5" t="s">
        <v>206</v>
      </c>
      <c r="K246" s="5" t="s">
        <v>237</v>
      </c>
      <c r="O246" s="5" t="s">
        <v>209</v>
      </c>
      <c r="T246" s="5" t="s">
        <v>209</v>
      </c>
      <c r="Y246" s="5" t="s">
        <v>209</v>
      </c>
      <c r="AE246" s="5" t="s">
        <v>237</v>
      </c>
      <c r="AH246" s="5" t="s">
        <v>275</v>
      </c>
      <c r="AI246" s="5">
        <v>2008</v>
      </c>
      <c r="AJ246" s="5" t="s">
        <v>238</v>
      </c>
      <c r="AK246" s="5" t="str">
        <f t="shared" si="664"/>
        <v>Trabajadora por cuenta propia</v>
      </c>
      <c r="AO246" s="5" t="s">
        <v>323</v>
      </c>
      <c r="AP246" s="5" t="s">
        <v>483</v>
      </c>
      <c r="AR246" s="5" t="s">
        <v>301</v>
      </c>
      <c r="AS246" s="5" t="s">
        <v>301</v>
      </c>
      <c r="AT246" s="5" t="s">
        <v>301</v>
      </c>
      <c r="AU246" s="5" t="s">
        <v>301</v>
      </c>
      <c r="AV246" s="5" t="s">
        <v>285</v>
      </c>
      <c r="AW246" s="5" t="s">
        <v>204</v>
      </c>
      <c r="AX246" s="5" t="s">
        <v>204</v>
      </c>
      <c r="AY246" s="5" t="s">
        <v>214</v>
      </c>
      <c r="AZ246" s="5" t="s">
        <v>204</v>
      </c>
      <c r="BA246" s="5" t="s">
        <v>263</v>
      </c>
      <c r="BF246" s="5" t="s">
        <v>204</v>
      </c>
      <c r="BG246" s="5" t="s">
        <v>278</v>
      </c>
      <c r="BH246" s="5" t="s">
        <v>242</v>
      </c>
      <c r="BI246" s="5" t="s">
        <v>207</v>
      </c>
      <c r="BJ246" s="5" t="s">
        <v>242</v>
      </c>
      <c r="BK246" s="5" t="s">
        <v>216</v>
      </c>
      <c r="BL246" s="5" t="s">
        <v>216</v>
      </c>
      <c r="BM246" s="5" t="s">
        <v>216</v>
      </c>
      <c r="BN246" s="5" t="s">
        <v>216</v>
      </c>
      <c r="BO246" s="5" t="s">
        <v>216</v>
      </c>
      <c r="BP246" s="5" t="s">
        <v>216</v>
      </c>
      <c r="BQ246" s="5" t="s">
        <v>216</v>
      </c>
      <c r="BR246" s="5" t="s">
        <v>216</v>
      </c>
      <c r="BS246" s="5" t="s">
        <v>217</v>
      </c>
      <c r="BT246" s="5" t="s">
        <v>248</v>
      </c>
      <c r="BU246" s="5" t="s">
        <v>217</v>
      </c>
      <c r="BV246" s="5" t="s">
        <v>217</v>
      </c>
      <c r="BW246" s="5" t="s">
        <v>217</v>
      </c>
      <c r="BX246" s="5" t="s">
        <v>217</v>
      </c>
      <c r="BY246" s="5" t="s">
        <v>217</v>
      </c>
      <c r="BZ246" s="5" t="s">
        <v>244</v>
      </c>
      <c r="CA246" s="5" t="s">
        <v>246</v>
      </c>
      <c r="CB246" s="5" t="s">
        <v>246</v>
      </c>
      <c r="CC246" s="5" t="s">
        <v>246</v>
      </c>
      <c r="CD246" s="5" t="s">
        <v>206</v>
      </c>
      <c r="CH246" s="5" t="s">
        <v>206</v>
      </c>
      <c r="CI246" s="5" t="s">
        <v>291</v>
      </c>
      <c r="CJ246" s="5">
        <v>1</v>
      </c>
      <c r="CK246" s="5" t="s">
        <v>223</v>
      </c>
      <c r="CU246" s="5" t="s">
        <v>206</v>
      </c>
      <c r="DA246" s="5" t="s">
        <v>272</v>
      </c>
      <c r="DB246" s="5">
        <f t="shared" si="665"/>
        <v>1</v>
      </c>
      <c r="DC246" s="5" t="s">
        <v>251</v>
      </c>
      <c r="DD246" s="5">
        <f t="shared" si="666"/>
        <v>1</v>
      </c>
      <c r="DE246" s="5" t="s">
        <v>251</v>
      </c>
      <c r="DF246" s="5">
        <f t="shared" si="667"/>
        <v>1</v>
      </c>
      <c r="DG246" s="5" t="s">
        <v>251</v>
      </c>
      <c r="DH246" s="5">
        <f t="shared" si="668"/>
        <v>1</v>
      </c>
      <c r="DI246" s="5" t="s">
        <v>251</v>
      </c>
      <c r="DJ246" s="5">
        <f t="shared" si="669"/>
        <v>1</v>
      </c>
      <c r="DK246" s="5" t="s">
        <v>251</v>
      </c>
      <c r="DL246" s="5">
        <f t="shared" si="670"/>
        <v>1</v>
      </c>
      <c r="DM246" s="5" t="s">
        <v>251</v>
      </c>
      <c r="DN246" s="5">
        <f t="shared" si="671"/>
        <v>1</v>
      </c>
      <c r="DO246" s="5" t="s">
        <v>281</v>
      </c>
      <c r="DP246" s="5">
        <f t="shared" si="672"/>
        <v>1</v>
      </c>
      <c r="DQ246" s="5" t="s">
        <v>281</v>
      </c>
      <c r="DR246" s="5">
        <f t="shared" si="673"/>
        <v>1</v>
      </c>
      <c r="DS246" s="5" t="s">
        <v>281</v>
      </c>
      <c r="DT246" s="5">
        <f t="shared" si="674"/>
        <v>1</v>
      </c>
      <c r="DU246" s="5" t="s">
        <v>281</v>
      </c>
      <c r="DV246" s="5">
        <f t="shared" si="675"/>
        <v>1</v>
      </c>
      <c r="DW246" s="5" t="s">
        <v>281</v>
      </c>
      <c r="DX246" s="5">
        <f t="shared" si="676"/>
        <v>1</v>
      </c>
      <c r="DY246" s="5">
        <f t="shared" si="677"/>
        <v>12</v>
      </c>
      <c r="DZ246" s="5" t="str">
        <f t="shared" si="678"/>
        <v>Nivel de riesgo bajo</v>
      </c>
      <c r="EA246" s="5" t="s">
        <v>254</v>
      </c>
      <c r="EB246" s="5">
        <f t="shared" si="679"/>
        <v>4</v>
      </c>
      <c r="EC246" s="5" t="s">
        <v>248</v>
      </c>
      <c r="ED246" s="5">
        <f t="shared" si="680"/>
        <v>1</v>
      </c>
      <c r="EE246" s="5" t="s">
        <v>253</v>
      </c>
      <c r="EF246" s="5">
        <f t="shared" si="681"/>
        <v>0</v>
      </c>
      <c r="EG246" s="5">
        <f t="shared" si="682"/>
        <v>5</v>
      </c>
      <c r="EH246" s="5" t="str">
        <f t="shared" si="683"/>
        <v>Nivel de riesgo alto</v>
      </c>
      <c r="EI246" s="5" t="s">
        <v>253</v>
      </c>
      <c r="EJ246" s="5">
        <f t="shared" si="684"/>
        <v>0</v>
      </c>
      <c r="EK246" s="5" t="s">
        <v>253</v>
      </c>
      <c r="EL246" s="5">
        <f t="shared" si="685"/>
        <v>0</v>
      </c>
      <c r="EM246" s="5" t="s">
        <v>253</v>
      </c>
      <c r="EN246" s="5">
        <f t="shared" si="686"/>
        <v>0</v>
      </c>
      <c r="EO246" s="5">
        <f t="shared" si="687"/>
        <v>0</v>
      </c>
      <c r="EP246" s="5" t="str">
        <f t="shared" si="688"/>
        <v>Nivel de riesgo bajo</v>
      </c>
      <c r="EQ246" s="5" t="s">
        <v>247</v>
      </c>
      <c r="ER246" s="5">
        <f t="shared" si="689"/>
        <v>2</v>
      </c>
      <c r="ES246" s="5" t="s">
        <v>248</v>
      </c>
      <c r="ET246" s="5">
        <f t="shared" si="690"/>
        <v>3</v>
      </c>
      <c r="EU246" s="5" t="s">
        <v>253</v>
      </c>
      <c r="EV246" s="5">
        <f t="shared" si="691"/>
        <v>4</v>
      </c>
      <c r="EW246" s="5" t="s">
        <v>247</v>
      </c>
      <c r="EX246" s="5">
        <f t="shared" si="692"/>
        <v>2</v>
      </c>
      <c r="EY246" s="5">
        <f t="shared" si="693"/>
        <v>11</v>
      </c>
      <c r="EZ246" s="5" t="str">
        <f t="shared" si="694"/>
        <v>Nivel de riesgo alto</v>
      </c>
      <c r="FA246" s="5" t="s">
        <v>248</v>
      </c>
      <c r="FB246" s="5">
        <f t="shared" si="695"/>
        <v>1</v>
      </c>
      <c r="FC246" s="5" t="s">
        <v>248</v>
      </c>
      <c r="FD246" s="5">
        <f t="shared" si="696"/>
        <v>1</v>
      </c>
      <c r="FE246" s="5" t="s">
        <v>253</v>
      </c>
      <c r="FF246" s="5">
        <f t="shared" si="697"/>
        <v>0</v>
      </c>
      <c r="FG246" s="5">
        <f t="shared" si="698"/>
        <v>2</v>
      </c>
      <c r="FH246" s="5" t="str">
        <f t="shared" si="699"/>
        <v>Nivel de riesgo bajo</v>
      </c>
      <c r="FI246" s="5" t="s">
        <v>253</v>
      </c>
      <c r="FJ246" s="5">
        <f t="shared" si="700"/>
        <v>0</v>
      </c>
      <c r="FK246" s="5" t="s">
        <v>253</v>
      </c>
      <c r="FL246" s="5">
        <f t="shared" si="701"/>
        <v>0</v>
      </c>
      <c r="FM246" s="5" t="s">
        <v>253</v>
      </c>
      <c r="FN246" s="5">
        <f t="shared" si="702"/>
        <v>0</v>
      </c>
      <c r="FO246" s="5">
        <f t="shared" si="703"/>
        <v>0</v>
      </c>
      <c r="FP246" s="5" t="str">
        <f t="shared" si="704"/>
        <v>Nivel de riesgo bajo</v>
      </c>
      <c r="FQ246" s="5" t="s">
        <v>206</v>
      </c>
      <c r="FR246" s="5">
        <f t="shared" si="705"/>
        <v>0</v>
      </c>
      <c r="FS246" s="5" t="s">
        <v>206</v>
      </c>
      <c r="FT246" s="5">
        <f t="shared" si="706"/>
        <v>0</v>
      </c>
      <c r="FU246" s="5" t="s">
        <v>206</v>
      </c>
      <c r="FV246" s="5">
        <f t="shared" si="707"/>
        <v>0</v>
      </c>
      <c r="FW246" s="5" t="s">
        <v>206</v>
      </c>
      <c r="FX246" s="5">
        <f t="shared" si="708"/>
        <v>0</v>
      </c>
      <c r="FY246" s="5" t="s">
        <v>206</v>
      </c>
      <c r="FZ246" s="5">
        <f t="shared" si="709"/>
        <v>0</v>
      </c>
      <c r="GA246" s="5" t="s">
        <v>206</v>
      </c>
      <c r="GB246" s="5">
        <f t="shared" si="710"/>
        <v>0</v>
      </c>
      <c r="GC246" s="5" t="s">
        <v>206</v>
      </c>
      <c r="GD246" s="5">
        <f t="shared" si="711"/>
        <v>0</v>
      </c>
      <c r="GE246" s="5">
        <f t="shared" si="712"/>
        <v>0</v>
      </c>
      <c r="GF246" s="5" t="str">
        <f t="shared" si="713"/>
        <v>Nivel de riesgo bajo</v>
      </c>
      <c r="GG246" s="5" t="s">
        <v>255</v>
      </c>
      <c r="GH246" s="5" t="s">
        <v>255</v>
      </c>
      <c r="GI246" s="5" t="s">
        <v>255</v>
      </c>
      <c r="GJ246" s="5" t="s">
        <v>298</v>
      </c>
      <c r="GK246" s="5" t="s">
        <v>298</v>
      </c>
      <c r="GL246" s="5" t="s">
        <v>233</v>
      </c>
      <c r="GM246" s="5" t="s">
        <v>298</v>
      </c>
      <c r="GN246" s="5" t="s">
        <v>234</v>
      </c>
      <c r="GO246" s="5" t="s">
        <v>234</v>
      </c>
      <c r="GP246" s="5" t="s">
        <v>234</v>
      </c>
      <c r="GQ246" s="5" t="s">
        <v>234</v>
      </c>
      <c r="GR246" s="5" t="s">
        <v>234</v>
      </c>
      <c r="GS246" s="5" t="s">
        <v>234</v>
      </c>
      <c r="GT246" s="5" t="s">
        <v>234</v>
      </c>
      <c r="GU246" s="5" t="s">
        <v>599</v>
      </c>
      <c r="GV246" s="5" t="str">
        <f>TEXT("6279207210925161345","0")</f>
        <v>6279207210925160000</v>
      </c>
    </row>
    <row r="247" spans="1:204" ht="15.75" hidden="1" customHeight="1" x14ac:dyDescent="0.15">
      <c r="B247" s="4">
        <v>45847.908263888887</v>
      </c>
      <c r="C247" s="5" t="s">
        <v>206</v>
      </c>
      <c r="GV247" s="5" t="str">
        <f>TEXT("6279212745317876172","0")</f>
        <v>6279212745317870000</v>
      </c>
    </row>
    <row r="248" spans="1:204" ht="15.75" customHeight="1" x14ac:dyDescent="0.15">
      <c r="A248" s="1">
        <f t="shared" ref="A248:A259" si="714">ROW(A248)</f>
        <v>248</v>
      </c>
      <c r="B248" s="4">
        <v>45847.911041666666</v>
      </c>
      <c r="C248" s="5" t="s">
        <v>204</v>
      </c>
      <c r="D248" s="5" t="s">
        <v>206</v>
      </c>
      <c r="F248" s="5" t="s">
        <v>206</v>
      </c>
      <c r="G248" s="5" t="s">
        <v>206</v>
      </c>
      <c r="H248" s="5" t="s">
        <v>206</v>
      </c>
      <c r="L248" s="5" t="s">
        <v>236</v>
      </c>
      <c r="O248" s="5" t="s">
        <v>209</v>
      </c>
      <c r="T248" s="5" t="s">
        <v>209</v>
      </c>
      <c r="X248" s="5" t="s">
        <v>208</v>
      </c>
      <c r="AG248" s="5" t="s">
        <v>207</v>
      </c>
      <c r="AH248" s="5" t="s">
        <v>210</v>
      </c>
      <c r="AI248" s="5">
        <v>2005</v>
      </c>
      <c r="AJ248" s="5" t="s">
        <v>238</v>
      </c>
      <c r="AK248" s="5" t="str">
        <f t="shared" ref="AK248:AK259" si="715">IF(OR(AJ248="Empleada del sector privado",AJ248="Empleada del sector público"),"Asalariada",
IF(AJ248="Trabajadora por cuenta propia","Trabajadora por cuenta propia",""))</f>
        <v>Trabajadora por cuenta propia</v>
      </c>
      <c r="AM248" s="5" t="s">
        <v>309</v>
      </c>
      <c r="AP248" s="5" t="s">
        <v>284</v>
      </c>
      <c r="AR248" s="5" t="s">
        <v>241</v>
      </c>
      <c r="AS248" s="5" t="s">
        <v>301</v>
      </c>
      <c r="AT248" s="5" t="s">
        <v>241</v>
      </c>
      <c r="AU248" s="5" t="s">
        <v>241</v>
      </c>
      <c r="AV248" s="5" t="s">
        <v>285</v>
      </c>
      <c r="AW248" s="5" t="s">
        <v>204</v>
      </c>
      <c r="AX248" s="5" t="s">
        <v>204</v>
      </c>
      <c r="AY248" s="5" t="s">
        <v>214</v>
      </c>
      <c r="AZ248" s="5" t="s">
        <v>204</v>
      </c>
      <c r="BA248" s="5" t="s">
        <v>295</v>
      </c>
      <c r="BB248" s="5" t="s">
        <v>204</v>
      </c>
      <c r="BC248" s="5" t="s">
        <v>204</v>
      </c>
      <c r="BD248" s="5" t="s">
        <v>290</v>
      </c>
      <c r="BE248" s="5" t="s">
        <v>204</v>
      </c>
      <c r="BF248" s="5" t="s">
        <v>204</v>
      </c>
      <c r="BG248" s="5" t="s">
        <v>215</v>
      </c>
      <c r="BH248" s="5" t="s">
        <v>242</v>
      </c>
      <c r="BI248" s="5" t="s">
        <v>207</v>
      </c>
      <c r="BJ248" s="5" t="s">
        <v>207</v>
      </c>
      <c r="BK248" s="5" t="s">
        <v>244</v>
      </c>
      <c r="BL248" s="5" t="s">
        <v>244</v>
      </c>
      <c r="BM248" s="5" t="s">
        <v>244</v>
      </c>
      <c r="BN248" s="5" t="s">
        <v>244</v>
      </c>
      <c r="BO248" s="5" t="s">
        <v>244</v>
      </c>
      <c r="BP248" s="5" t="s">
        <v>216</v>
      </c>
      <c r="BQ248" s="5" t="s">
        <v>216</v>
      </c>
      <c r="BR248" s="5" t="s">
        <v>216</v>
      </c>
      <c r="BS248" s="5" t="s">
        <v>217</v>
      </c>
      <c r="BT248" s="5" t="s">
        <v>217</v>
      </c>
      <c r="BU248" s="5" t="s">
        <v>248</v>
      </c>
      <c r="BV248" s="5" t="s">
        <v>248</v>
      </c>
      <c r="BW248" s="5" t="s">
        <v>217</v>
      </c>
      <c r="BX248" s="5" t="s">
        <v>247</v>
      </c>
      <c r="BY248" s="5" t="s">
        <v>248</v>
      </c>
      <c r="BZ248" s="5" t="s">
        <v>244</v>
      </c>
      <c r="CA248" s="5" t="s">
        <v>244</v>
      </c>
      <c r="CB248" s="5" t="s">
        <v>244</v>
      </c>
      <c r="CC248" s="5" t="s">
        <v>246</v>
      </c>
      <c r="CD248" s="5" t="s">
        <v>206</v>
      </c>
      <c r="CH248" s="5" t="s">
        <v>206</v>
      </c>
      <c r="CI248" s="5" t="s">
        <v>347</v>
      </c>
      <c r="CJ248" s="5">
        <v>2</v>
      </c>
      <c r="CK248" s="5" t="s">
        <v>223</v>
      </c>
      <c r="CU248" s="5" t="s">
        <v>206</v>
      </c>
      <c r="DA248" s="5" t="s">
        <v>231</v>
      </c>
      <c r="DB248" s="5">
        <f t="shared" ref="DB248:DB259" si="716">IF(DA248="Mejor que lo habitual",1,
IF(DA248="Igual que lo habitual",2,
IF(DA248="Menos que lo habitual",3,
IF(DA248="Mucho menos que lo habitual",4,""))))</f>
        <v>2</v>
      </c>
      <c r="DC248" s="5" t="s">
        <v>230</v>
      </c>
      <c r="DD248" s="5">
        <f t="shared" ref="DD248:DD259" si="717">IF(DC248="No, en absoluto",1,
IF(DC248="No más que lo habitual",2,
IF(DC248="Bastante más que lo habitual",3,
IF(DC248="Mucho más que lo habitual",4,""))))</f>
        <v>2</v>
      </c>
      <c r="DE248" s="5" t="s">
        <v>230</v>
      </c>
      <c r="DF248" s="5">
        <f t="shared" ref="DF248:DF259" si="718">IF(DE248="No, en absoluto",1,
IF(DE248="No más que lo habitual",2,
IF(DE248="Bastante más que lo habitual",3,
IF(DE248="Mucho más que lo habitual",4,""))))</f>
        <v>2</v>
      </c>
      <c r="DG248" s="5" t="s">
        <v>251</v>
      </c>
      <c r="DH248" s="5">
        <f t="shared" ref="DH248:DH259" si="719">IF(DG248="No, en absoluto",1,
IF(DG248="No más que lo habitual",2,
IF(DG248="Bastante más que lo habitual",3,
IF(DG248="Mucho más que lo habitual",4,""))))</f>
        <v>1</v>
      </c>
      <c r="DI248" s="5" t="s">
        <v>251</v>
      </c>
      <c r="DJ248" s="5">
        <f t="shared" ref="DJ248:DJ259" si="720">IF(DI248="No, en absoluto",1,
IF(DI248="No más que lo habitual",2,
IF(DI248="Bastante más que lo habitual",3,
IF(DI248="Mucho más que lo habitual",4,""))))</f>
        <v>1</v>
      </c>
      <c r="DK248" s="5" t="s">
        <v>251</v>
      </c>
      <c r="DL248" s="5">
        <f t="shared" ref="DL248:DL259" si="721">IF(DK248="No, en absoluto",1,
IF(DK248="No más que lo habitual",2,
IF(DK248="Bastante más que lo habitual",3,
IF(DK248="Mucho más que lo habitual",4,""))))</f>
        <v>1</v>
      </c>
      <c r="DM248" s="5" t="s">
        <v>251</v>
      </c>
      <c r="DN248" s="5">
        <f t="shared" ref="DN248:DN259" si="722">IF(DM248="No, en absoluto",1,
IF(DM248="No más que lo habitual",2,
IF(DM248="Bastante más que lo habitual",3,
IF(DM248="Mucho más que lo habitual",4,""))))</f>
        <v>1</v>
      </c>
      <c r="DO248" s="5" t="s">
        <v>281</v>
      </c>
      <c r="DP248" s="5">
        <f t="shared" ref="DP248:DP259" si="723">IF(DO248="Más que lo habitual",1,
IF(DO248="Igual que lo habitual",2,
IF(DO248="Menos que lo habitual",3,
IF(DO248="Mucho menos que lo habitual",4,""))))</f>
        <v>1</v>
      </c>
      <c r="DQ248" s="5" t="s">
        <v>281</v>
      </c>
      <c r="DR248" s="5">
        <f t="shared" ref="DR248:DR259" si="724">IF(DQ248="Más que lo habitual",1,
IF(DQ248="Igual que lo habitual",2,
IF(DQ248="Menos que lo habitual",3,
IF(DQ248="Mucho menos que lo habitual",4,""))))</f>
        <v>1</v>
      </c>
      <c r="DS248" s="5" t="s">
        <v>231</v>
      </c>
      <c r="DT248" s="5">
        <f t="shared" ref="DT248:DT259" si="725">IF(DS248="Más que lo habitual",1,
IF(DS248="Igual que lo habitual",2,
IF(DS248="Menos que lo habitual",3,
IF(DS248="Mucho menos que lo habitual",4,""))))</f>
        <v>2</v>
      </c>
      <c r="DU248" s="5" t="s">
        <v>231</v>
      </c>
      <c r="DV248" s="5">
        <f t="shared" ref="DV248:DV259" si="726">IF(DU248="Más que lo habitual",1,
IF(DU248="Igual que lo habitual",2,
IF(DU248="Menos que lo habitual",3,
IF(DU248="Mucho menos que lo habitual",4,""))))</f>
        <v>2</v>
      </c>
      <c r="DW248" s="5" t="s">
        <v>231</v>
      </c>
      <c r="DX248" s="5">
        <f t="shared" ref="DX248:DX259" si="727">IF(DW248="Más que lo habitual",1,
IF(DW248="Igual que lo habitual",2,
IF(DW248="Menos que lo habitual",3,
IF(DW248="Mucho menos que lo habitual",4,""))))</f>
        <v>2</v>
      </c>
      <c r="DY248" s="5">
        <f t="shared" ref="DY248:DY259" si="728">SUM(DB248,DD248,DF248,DH248,DJ248,DL248,DN248,DP248,DR248,DT248,DV248,DX248)</f>
        <v>18</v>
      </c>
      <c r="DZ248" s="5" t="str">
        <f t="shared" ref="DZ248:DZ259" si="729">IF(DY248&lt;=18,"Nivel de riesgo bajo",
IF(DY248&lt;=23,"Nivel de riesgo medio",
"Nivel de riesgo alto"))</f>
        <v>Nivel de riesgo bajo</v>
      </c>
      <c r="EA248" s="5" t="s">
        <v>247</v>
      </c>
      <c r="EB248" s="5">
        <f t="shared" ref="EB248:EB259" si="730">IF(EA248="Nunca/ casi nunca",0,
IF(EA248="Rara vez",1,
IF(EA248="A veces",2,
IF(EA248="A menudo",3,
IF(EA248="Siempre",4,"")))))</f>
        <v>2</v>
      </c>
      <c r="EC248" s="5" t="s">
        <v>247</v>
      </c>
      <c r="ED248" s="5">
        <f t="shared" ref="ED248:ED259" si="731">IF(EC248="Nunca/ casi nunca",0,
IF(EC248="Rara vez",1,
IF(EC248="A veces",2,
IF(EC248="A menudo",3,
IF(EC248="Siempre",4,"")))))</f>
        <v>2</v>
      </c>
      <c r="EE248" s="5" t="s">
        <v>253</v>
      </c>
      <c r="EF248" s="5">
        <f t="shared" ref="EF248:EF259" si="732">IF(EE248="Nunca/ casi nunca",0,
IF(EE248="Rara vez",1,
IF(EE248="A veces",2,
IF(EE248="A menudo",3,
IF(EE248="Siempre",4,"")))))</f>
        <v>0</v>
      </c>
      <c r="EG248" s="5">
        <f t="shared" ref="EG248:EG259" si="733">SUM(EB248,ED248,EF248)</f>
        <v>4</v>
      </c>
      <c r="EH248" s="5" t="str">
        <f t="shared" ref="EH248:EH259" si="734">IF(EG248&lt;=1,"Nivel de riesgo bajo",
IF(EG248&lt;=4,"Nivel de riesgo medio",
"Nivel de riesgo alto"))</f>
        <v>Nivel de riesgo medio</v>
      </c>
      <c r="EI248" s="5" t="s">
        <v>253</v>
      </c>
      <c r="EJ248" s="5">
        <f t="shared" ref="EJ248:EJ259" si="735">IF(EI248="Nunca/ casi nunca",0,
IF(EI248="Rara vez",1,
IF(EI248="A veces",2,
IF(EI248="A menudo",3,
IF(EI248="Siempre",4,"")))))</f>
        <v>0</v>
      </c>
      <c r="EK248" s="5" t="s">
        <v>253</v>
      </c>
      <c r="EL248" s="5">
        <f t="shared" ref="EL248:EL259" si="736">IF(EK248="Nunca/ casi nunca",0,
IF(EK248="Rara vez",1,
IF(EK248="A veces",2,
IF(EK248="A menudo",3,
IF(EK248="Siempre",4,"")))))</f>
        <v>0</v>
      </c>
      <c r="EM248" s="5" t="s">
        <v>253</v>
      </c>
      <c r="EN248" s="5">
        <f t="shared" ref="EN248:EN259" si="737">IF(EM248="Nunca/ casi nunca",0,
IF(EM248="Rara vez",1,
IF(EM248="A veces",2,
IF(EM248="A menudo",3,
IF(EM248="Siempre",4,"")))))</f>
        <v>0</v>
      </c>
      <c r="EO248" s="5">
        <f t="shared" ref="EO248:EO259" si="738">SUM(EJ248,EL248,EN248)</f>
        <v>0</v>
      </c>
      <c r="EP248" s="5" t="str">
        <f t="shared" ref="EP248:EP259" si="739">IF(EO248&lt;=1,"Nivel de riesgo bajo",
IF(EO248&lt;=5,"Nivel de riesgo medio",
"Nivel de riesgo alto"))</f>
        <v>Nivel de riesgo bajo</v>
      </c>
      <c r="EQ248" s="5" t="s">
        <v>247</v>
      </c>
      <c r="ER248" s="5">
        <f t="shared" ref="ER248:ER259" si="740">IF(EQ248="Nunca/ casi nunca",4,
IF(EQ248="Rara vez",3,
IF(EQ248="A veces",2,
IF(EQ248="A menudo",1,
IF(EQ248="Siempre",0,"")))))</f>
        <v>2</v>
      </c>
      <c r="ES248" s="5" t="s">
        <v>254</v>
      </c>
      <c r="ET248" s="5">
        <f t="shared" ref="ET248:ET259" si="741">IF(ES248="Nunca/ casi nunca",4,
IF(ES248="Rara vez",3,
IF(ES248="A veces",2,
IF(ES248="A menudo",1,
IF(ES248="Siempre",0,"")))))</f>
        <v>0</v>
      </c>
      <c r="EU248" s="5" t="s">
        <v>254</v>
      </c>
      <c r="EV248" s="5">
        <f t="shared" ref="EV248:EV259" si="742">IF(EU248="Nunca/ casi nunca",4,
IF(EU248="Rara vez",3,
IF(EU248="A veces",2,
IF(EU248="A menudo",1,
IF(EU248="Siempre",0,"")))))</f>
        <v>0</v>
      </c>
      <c r="EW248" s="5" t="s">
        <v>254</v>
      </c>
      <c r="EX248" s="5">
        <f t="shared" ref="EX248:EX259" si="743">IF(EW248="Nunca/ casi nunca",4,
IF(EW248="Rara vez",3,
IF(EW248="A veces",2,
IF(EW248="A menudo",1,
IF(EW248="Siempre",0,"")))))</f>
        <v>0</v>
      </c>
      <c r="EY248" s="5">
        <f t="shared" ref="EY248:EY259" si="744">SUM(ER248,ET248,EV248,EX248)</f>
        <v>2</v>
      </c>
      <c r="EZ248" s="5" t="str">
        <f t="shared" ref="EZ248:EZ259" si="745">IF(EY248&lt;=0,"Nivel de riesgo bajo",
IF(EY248&lt;=4,"Nivel de riesgo medio",
"Nivel de riesgo alto"))</f>
        <v>Nivel de riesgo medio</v>
      </c>
      <c r="FA248" s="5" t="s">
        <v>253</v>
      </c>
      <c r="FB248" s="5">
        <f t="shared" ref="FB248:FB259" si="746">IF(FA248="Nunca/ casi nunca",0,
IF(FA248="Rara vez",1,
IF(FA248="A veces",2,
IF(FA248="A menudo",3,
IF(FA248="Siempre",4,"")))))</f>
        <v>0</v>
      </c>
      <c r="FC248" s="5" t="s">
        <v>253</v>
      </c>
      <c r="FD248" s="5">
        <f t="shared" ref="FD248:FD259" si="747">IF(FC248="Nunca/ casi nunca",0,
IF(FC248="Rara vez",1,
IF(FC248="A veces",2,
IF(FC248="A menudo",3,
IF(FC248="Siempre",4,"")))))</f>
        <v>0</v>
      </c>
      <c r="FE248" s="5" t="s">
        <v>253</v>
      </c>
      <c r="FF248" s="5">
        <f t="shared" ref="FF248:FF259" si="748">IF(FE248="Nunca/ casi nunca",0,
IF(FE248="Rara vez",1,
IF(FE248="A veces",2,
IF(FE248="A menudo",3,
IF(FE248="Siempre",4,"")))))</f>
        <v>0</v>
      </c>
      <c r="FG248" s="5">
        <f t="shared" ref="FG248:FG259" si="749">SUM(FB248,FD248,FF248)</f>
        <v>0</v>
      </c>
      <c r="FH248" s="5" t="str">
        <f t="shared" ref="FH248:FH259" si="750">IF(FG248&lt;=2,"Nivel de riesgo bajo",
IF(FG248&lt;=5,"Nivel de riesgo medio",
"Nivel de riesgo alto"))</f>
        <v>Nivel de riesgo bajo</v>
      </c>
      <c r="FI248" s="5" t="s">
        <v>253</v>
      </c>
      <c r="FJ248" s="5">
        <f t="shared" ref="FJ248:FJ259" si="751">IF(FI248="Nunca/ casi nunca",0,
IF(FI248="Rara vez",1,
IF(FI248="A veces",2,
IF(FI248="A menudo",3,
IF(FI248="Siempre",4,"")))))</f>
        <v>0</v>
      </c>
      <c r="FK248" s="5" t="s">
        <v>253</v>
      </c>
      <c r="FL248" s="5">
        <f t="shared" ref="FL248:FL259" si="752">IF(FK248="Nunca/ casi nunca",0,
IF(FK248="Rara vez",1,
IF(FK248="A veces",2,
IF(FK248="A menudo",3,
IF(FK248="Siempre",4,"")))))</f>
        <v>0</v>
      </c>
      <c r="FM248" s="5" t="s">
        <v>253</v>
      </c>
      <c r="FN248" s="5">
        <f t="shared" ref="FN248:FN259" si="753">IF(FM248="Nunca/ casi nunca",0,
IF(FM248="Rara vez",1,
IF(FM248="A veces",2,
IF(FM248="A menudo",3,
IF(FM248="Siempre",4,"")))))</f>
        <v>0</v>
      </c>
      <c r="FO248" s="5">
        <f t="shared" ref="FO248:FO259" si="754">SUM(FJ248,FL248,FN248)</f>
        <v>0</v>
      </c>
      <c r="FP248" s="5" t="str">
        <f t="shared" ref="FP248:FP259" si="755">IF(FO248&lt;=2,"Nivel de riesgo bajo",
IF(FO248&lt;=5,"Nivel de riesgo medio",
"Nivel de riesgo alto"))</f>
        <v>Nivel de riesgo bajo</v>
      </c>
      <c r="FQ248" s="5" t="s">
        <v>206</v>
      </c>
      <c r="FR248" s="5">
        <f t="shared" ref="FR248:FR259" si="756">IF(FQ248="No",0,
IF(FQ248="Sí, unas pocas veces",1,
IF(FQ248="Sí, mensualmente",2,
IF(FQ248="Sí, semanalmente",3,
IF(FQ248="Sí, diariamente",4,"")))))</f>
        <v>0</v>
      </c>
      <c r="FS248" s="5" t="s">
        <v>206</v>
      </c>
      <c r="FT248" s="5">
        <f t="shared" ref="FT248:FT259" si="757">IF(FS248="No",0,
IF(FS248="Sí, unas pocas veces",1,
IF(FS248="Sí, mensualmente",2,
IF(FS248="Sí, semanalmente",3,
IF(FS248="Sí, diariamente",4,"")))))</f>
        <v>0</v>
      </c>
      <c r="FU248" s="5" t="s">
        <v>206</v>
      </c>
      <c r="FV248" s="5">
        <f t="shared" ref="FV248:FV259" si="758">IF(FU248="No",0,
IF(FU248="Sí, unas pocas veces",1,
IF(FU248="Sí, mensualmente",2,
IF(FU248="Sí, semanalmente",3,
IF(FU248="Sí, diariamente",4,"")))))</f>
        <v>0</v>
      </c>
      <c r="FW248" s="5" t="s">
        <v>206</v>
      </c>
      <c r="FX248" s="5">
        <f t="shared" ref="FX248:FX259" si="759">IF(FW248="No",0,
IF(FW248="Sí, unas pocas veces",1,
IF(FW248="Sí, mensualmente",2,
IF(FW248="Sí, semanalmente",3,
IF(FW248="Sí, diariamente",4,"")))))</f>
        <v>0</v>
      </c>
      <c r="FY248" s="5" t="s">
        <v>206</v>
      </c>
      <c r="FZ248" s="5">
        <f t="shared" ref="FZ248:FZ259" si="760">IF(FY248="No",0,
IF(FY248="Sí, unas pocas veces",1,
IF(FY248="Sí, mensualmente",2,
IF(FY248="Sí, semanalmente",3,
IF(FY248="Sí, diariamente",4,"")))))</f>
        <v>0</v>
      </c>
      <c r="GA248" s="5" t="s">
        <v>206</v>
      </c>
      <c r="GB248" s="5">
        <f t="shared" ref="GB248:GB259" si="761">IF(GA248="No",0,
IF(GA248="Sí, unas pocas veces",1,
IF(GA248="Sí, mensualmente",2,
IF(GA248="Sí, semanalmente",3,
IF(GA248="Sí, diariamente",4,"")))))</f>
        <v>0</v>
      </c>
      <c r="GC248" s="5" t="s">
        <v>206</v>
      </c>
      <c r="GD248" s="5">
        <f t="shared" ref="GD248:GD259" si="762">IF(GC248="No",0,
IF(GC248="Sí, unas pocas veces",1,
IF(GC248="Sí, mensualmente",2,
IF(GC248="Sí, semanalmente",3,
IF(GC248="Sí, diariamente",4,"")))))</f>
        <v>0</v>
      </c>
      <c r="GE248" s="5">
        <f t="shared" ref="GE248:GE259" si="763">SUM(FR248,FT248,FV248,FX248,FZ248,GB248,GD248)</f>
        <v>0</v>
      </c>
      <c r="GF248" s="5" t="str">
        <f t="shared" ref="GF248:GF259" si="764">IF(GE248&lt;=0,"Nivel de riesgo bajo",
IF(GE248&lt;=14,"Nivel de riesgo medio",
"Nivel de riesgo alto"))</f>
        <v>Nivel de riesgo bajo</v>
      </c>
      <c r="GG248" s="5" t="s">
        <v>298</v>
      </c>
      <c r="GH248" s="5" t="s">
        <v>233</v>
      </c>
      <c r="GI248" s="5" t="s">
        <v>233</v>
      </c>
      <c r="GJ248" s="5" t="s">
        <v>233</v>
      </c>
      <c r="GK248" s="5" t="s">
        <v>233</v>
      </c>
      <c r="GL248" s="5" t="s">
        <v>266</v>
      </c>
      <c r="GM248" s="5" t="s">
        <v>298</v>
      </c>
      <c r="GN248" s="5" t="s">
        <v>243</v>
      </c>
      <c r="GO248" s="5" t="s">
        <v>234</v>
      </c>
      <c r="GP248" s="5" t="s">
        <v>243</v>
      </c>
      <c r="GQ248" s="5" t="s">
        <v>244</v>
      </c>
      <c r="GR248" s="5" t="s">
        <v>244</v>
      </c>
      <c r="GS248" s="5" t="s">
        <v>243</v>
      </c>
      <c r="GT248" s="5" t="s">
        <v>243</v>
      </c>
      <c r="GU248" s="5" t="s">
        <v>338</v>
      </c>
      <c r="GV248" s="5" t="str">
        <f>TEXT("6279215144527801827","0")</f>
        <v>6279215144527800000</v>
      </c>
    </row>
    <row r="249" spans="1:204" ht="15.75" customHeight="1" x14ac:dyDescent="0.15">
      <c r="A249" s="1">
        <f t="shared" si="714"/>
        <v>249</v>
      </c>
      <c r="B249" s="4">
        <v>45847.913888888892</v>
      </c>
      <c r="C249" s="5" t="s">
        <v>204</v>
      </c>
      <c r="D249" s="5" t="s">
        <v>206</v>
      </c>
      <c r="F249" s="5" t="s">
        <v>206</v>
      </c>
      <c r="G249" s="5" t="s">
        <v>204</v>
      </c>
      <c r="H249" s="5" t="s">
        <v>206</v>
      </c>
      <c r="J249" s="5" t="s">
        <v>209</v>
      </c>
      <c r="N249" s="5" t="s">
        <v>208</v>
      </c>
      <c r="S249" s="5" t="s">
        <v>208</v>
      </c>
      <c r="X249" s="5" t="s">
        <v>208</v>
      </c>
      <c r="AC249" s="5" t="s">
        <v>208</v>
      </c>
      <c r="AH249" s="5" t="s">
        <v>210</v>
      </c>
      <c r="AI249" s="5">
        <v>2019</v>
      </c>
      <c r="AJ249" s="5" t="s">
        <v>238</v>
      </c>
      <c r="AK249" s="5" t="str">
        <f t="shared" si="715"/>
        <v>Trabajadora por cuenta propia</v>
      </c>
      <c r="AL249" s="5" t="s">
        <v>239</v>
      </c>
      <c r="AP249" s="5" t="s">
        <v>240</v>
      </c>
      <c r="AR249" s="5" t="s">
        <v>241</v>
      </c>
      <c r="AS249" s="5" t="s">
        <v>261</v>
      </c>
      <c r="AT249" s="5" t="s">
        <v>261</v>
      </c>
      <c r="AU249" s="5" t="s">
        <v>241</v>
      </c>
      <c r="AV249" s="5" t="s">
        <v>213</v>
      </c>
      <c r="AW249" s="5" t="s">
        <v>206</v>
      </c>
      <c r="BF249" s="5" t="s">
        <v>204</v>
      </c>
      <c r="BG249" s="5" t="s">
        <v>278</v>
      </c>
      <c r="BH249" s="5" t="s">
        <v>278</v>
      </c>
      <c r="BI249" s="5" t="s">
        <v>278</v>
      </c>
      <c r="BJ249" s="5" t="s">
        <v>278</v>
      </c>
      <c r="BK249" s="5" t="s">
        <v>246</v>
      </c>
      <c r="BL249" s="5" t="s">
        <v>246</v>
      </c>
      <c r="BM249" s="5" t="s">
        <v>246</v>
      </c>
      <c r="BN249" s="5" t="s">
        <v>243</v>
      </c>
      <c r="BO249" s="5" t="s">
        <v>246</v>
      </c>
      <c r="BP249" s="5" t="s">
        <v>243</v>
      </c>
      <c r="BQ249" s="5" t="s">
        <v>244</v>
      </c>
      <c r="BR249" s="5" t="s">
        <v>246</v>
      </c>
      <c r="BS249" s="5" t="s">
        <v>232</v>
      </c>
      <c r="BT249" s="5" t="s">
        <v>247</v>
      </c>
      <c r="BU249" s="5" t="s">
        <v>247</v>
      </c>
      <c r="BV249" s="5" t="s">
        <v>247</v>
      </c>
      <c r="BW249" s="5" t="s">
        <v>247</v>
      </c>
      <c r="BX249" s="5" t="s">
        <v>248</v>
      </c>
      <c r="BY249" s="5" t="s">
        <v>248</v>
      </c>
      <c r="CD249" s="5" t="s">
        <v>206</v>
      </c>
      <c r="CH249" s="5" t="s">
        <v>367</v>
      </c>
      <c r="CI249" s="5" t="s">
        <v>249</v>
      </c>
      <c r="CJ249" s="5">
        <v>2</v>
      </c>
      <c r="CK249" s="5" t="s">
        <v>223</v>
      </c>
      <c r="CU249" s="5" t="s">
        <v>206</v>
      </c>
      <c r="DA249" s="5" t="s">
        <v>272</v>
      </c>
      <c r="DB249" s="5">
        <f t="shared" si="716"/>
        <v>1</v>
      </c>
      <c r="DC249" s="5" t="s">
        <v>230</v>
      </c>
      <c r="DD249" s="5">
        <f t="shared" si="717"/>
        <v>2</v>
      </c>
      <c r="DE249" s="5" t="s">
        <v>230</v>
      </c>
      <c r="DF249" s="5">
        <f t="shared" si="718"/>
        <v>2</v>
      </c>
      <c r="DG249" s="5" t="s">
        <v>251</v>
      </c>
      <c r="DH249" s="5">
        <f t="shared" si="719"/>
        <v>1</v>
      </c>
      <c r="DI249" s="5" t="s">
        <v>251</v>
      </c>
      <c r="DJ249" s="5">
        <f t="shared" si="720"/>
        <v>1</v>
      </c>
      <c r="DK249" s="5" t="s">
        <v>251</v>
      </c>
      <c r="DL249" s="5">
        <f t="shared" si="721"/>
        <v>1</v>
      </c>
      <c r="DM249" s="5" t="s">
        <v>251</v>
      </c>
      <c r="DN249" s="5">
        <f t="shared" si="722"/>
        <v>1</v>
      </c>
      <c r="DO249" s="5" t="s">
        <v>252</v>
      </c>
      <c r="DP249" s="5">
        <f t="shared" si="723"/>
        <v>3</v>
      </c>
      <c r="DQ249" s="5" t="s">
        <v>252</v>
      </c>
      <c r="DR249" s="5">
        <f t="shared" si="724"/>
        <v>3</v>
      </c>
      <c r="DS249" s="5" t="s">
        <v>252</v>
      </c>
      <c r="DT249" s="5">
        <f t="shared" si="725"/>
        <v>3</v>
      </c>
      <c r="DU249" s="5" t="s">
        <v>231</v>
      </c>
      <c r="DV249" s="5">
        <f t="shared" si="726"/>
        <v>2</v>
      </c>
      <c r="DW249" s="5" t="s">
        <v>231</v>
      </c>
      <c r="DX249" s="5">
        <f t="shared" si="727"/>
        <v>2</v>
      </c>
      <c r="DY249" s="5">
        <f t="shared" si="728"/>
        <v>22</v>
      </c>
      <c r="DZ249" s="5" t="str">
        <f t="shared" si="729"/>
        <v>Nivel de riesgo medio</v>
      </c>
      <c r="EA249" s="5" t="s">
        <v>253</v>
      </c>
      <c r="EB249" s="5">
        <f t="shared" si="730"/>
        <v>0</v>
      </c>
      <c r="EC249" s="5" t="s">
        <v>248</v>
      </c>
      <c r="ED249" s="5">
        <f t="shared" si="731"/>
        <v>1</v>
      </c>
      <c r="EE249" s="5" t="s">
        <v>248</v>
      </c>
      <c r="EF249" s="5">
        <f t="shared" si="732"/>
        <v>1</v>
      </c>
      <c r="EG249" s="5">
        <f t="shared" si="733"/>
        <v>2</v>
      </c>
      <c r="EH249" s="5" t="str">
        <f t="shared" si="734"/>
        <v>Nivel de riesgo medio</v>
      </c>
      <c r="EI249" s="5" t="s">
        <v>253</v>
      </c>
      <c r="EJ249" s="5">
        <f t="shared" si="735"/>
        <v>0</v>
      </c>
      <c r="EK249" s="5" t="s">
        <v>248</v>
      </c>
      <c r="EL249" s="5">
        <f t="shared" si="736"/>
        <v>1</v>
      </c>
      <c r="EM249" s="5" t="s">
        <v>253</v>
      </c>
      <c r="EN249" s="5">
        <f t="shared" si="737"/>
        <v>0</v>
      </c>
      <c r="EO249" s="5">
        <f t="shared" si="738"/>
        <v>1</v>
      </c>
      <c r="EP249" s="5" t="str">
        <f t="shared" si="739"/>
        <v>Nivel de riesgo bajo</v>
      </c>
      <c r="EQ249" s="5" t="s">
        <v>247</v>
      </c>
      <c r="ER249" s="5">
        <f t="shared" si="740"/>
        <v>2</v>
      </c>
      <c r="ES249" s="5" t="s">
        <v>247</v>
      </c>
      <c r="ET249" s="5">
        <f t="shared" si="741"/>
        <v>2</v>
      </c>
      <c r="EU249" s="5" t="s">
        <v>247</v>
      </c>
      <c r="EV249" s="5">
        <f t="shared" si="742"/>
        <v>2</v>
      </c>
      <c r="EW249" s="5" t="s">
        <v>247</v>
      </c>
      <c r="EX249" s="5">
        <f t="shared" si="743"/>
        <v>2</v>
      </c>
      <c r="EY249" s="5">
        <f t="shared" si="744"/>
        <v>8</v>
      </c>
      <c r="EZ249" s="5" t="str">
        <f t="shared" si="745"/>
        <v>Nivel de riesgo alto</v>
      </c>
      <c r="FA249" s="5" t="s">
        <v>248</v>
      </c>
      <c r="FB249" s="5">
        <f t="shared" si="746"/>
        <v>1</v>
      </c>
      <c r="FC249" s="5" t="s">
        <v>253</v>
      </c>
      <c r="FD249" s="5">
        <f t="shared" si="747"/>
        <v>0</v>
      </c>
      <c r="FE249" s="5" t="s">
        <v>253</v>
      </c>
      <c r="FF249" s="5">
        <f t="shared" si="748"/>
        <v>0</v>
      </c>
      <c r="FG249" s="5">
        <f t="shared" si="749"/>
        <v>1</v>
      </c>
      <c r="FH249" s="5" t="str">
        <f t="shared" si="750"/>
        <v>Nivel de riesgo bajo</v>
      </c>
      <c r="FI249" s="5" t="s">
        <v>248</v>
      </c>
      <c r="FJ249" s="5">
        <f t="shared" si="751"/>
        <v>1</v>
      </c>
      <c r="FK249" s="5" t="s">
        <v>248</v>
      </c>
      <c r="FL249" s="5">
        <f t="shared" si="752"/>
        <v>1</v>
      </c>
      <c r="FM249" s="5" t="s">
        <v>248</v>
      </c>
      <c r="FN249" s="5">
        <f t="shared" si="753"/>
        <v>1</v>
      </c>
      <c r="FO249" s="5">
        <f t="shared" si="754"/>
        <v>3</v>
      </c>
      <c r="FP249" s="5" t="str">
        <f t="shared" si="755"/>
        <v>Nivel de riesgo medio</v>
      </c>
      <c r="FQ249" s="5" t="s">
        <v>206</v>
      </c>
      <c r="FR249" s="5">
        <f t="shared" si="756"/>
        <v>0</v>
      </c>
      <c r="FS249" s="5" t="s">
        <v>206</v>
      </c>
      <c r="FT249" s="5">
        <f t="shared" si="757"/>
        <v>0</v>
      </c>
      <c r="FU249" s="5" t="s">
        <v>206</v>
      </c>
      <c r="FV249" s="5">
        <f t="shared" si="758"/>
        <v>0</v>
      </c>
      <c r="FW249" s="5" t="s">
        <v>206</v>
      </c>
      <c r="FX249" s="5">
        <f t="shared" si="759"/>
        <v>0</v>
      </c>
      <c r="FY249" s="5" t="s">
        <v>206</v>
      </c>
      <c r="FZ249" s="5">
        <f t="shared" si="760"/>
        <v>0</v>
      </c>
      <c r="GA249" s="5" t="s">
        <v>206</v>
      </c>
      <c r="GB249" s="5">
        <f t="shared" si="761"/>
        <v>0</v>
      </c>
      <c r="GC249" s="5" t="s">
        <v>206</v>
      </c>
      <c r="GD249" s="5">
        <f t="shared" si="762"/>
        <v>0</v>
      </c>
      <c r="GE249" s="5">
        <f t="shared" si="763"/>
        <v>0</v>
      </c>
      <c r="GF249" s="5" t="str">
        <f t="shared" si="764"/>
        <v>Nivel de riesgo bajo</v>
      </c>
      <c r="GG249" s="5" t="s">
        <v>255</v>
      </c>
      <c r="GH249" s="5" t="s">
        <v>255</v>
      </c>
      <c r="GI249" s="5" t="s">
        <v>255</v>
      </c>
      <c r="GJ249" s="5" t="s">
        <v>266</v>
      </c>
      <c r="GK249" s="5" t="s">
        <v>233</v>
      </c>
      <c r="GL249" s="5" t="s">
        <v>298</v>
      </c>
      <c r="GM249" s="5" t="s">
        <v>273</v>
      </c>
      <c r="GN249" s="5" t="s">
        <v>256</v>
      </c>
      <c r="GO249" s="5" t="s">
        <v>243</v>
      </c>
      <c r="GP249" s="5" t="s">
        <v>243</v>
      </c>
      <c r="GQ249" s="5" t="s">
        <v>257</v>
      </c>
      <c r="GR249" s="5" t="s">
        <v>257</v>
      </c>
      <c r="GS249" s="5" t="s">
        <v>257</v>
      </c>
      <c r="GT249" s="5" t="s">
        <v>256</v>
      </c>
      <c r="GU249" s="5" t="s">
        <v>600</v>
      </c>
      <c r="GV249" s="5" t="str">
        <f>TEXT("6279217604129325260","0")</f>
        <v>6279217604129320000</v>
      </c>
    </row>
    <row r="250" spans="1:204" ht="15.75" customHeight="1" x14ac:dyDescent="0.15">
      <c r="A250" s="1">
        <f t="shared" si="714"/>
        <v>250</v>
      </c>
      <c r="B250" s="4">
        <v>45847.915648148148</v>
      </c>
      <c r="C250" s="5" t="s">
        <v>204</v>
      </c>
      <c r="D250" s="5" t="s">
        <v>206</v>
      </c>
      <c r="F250" s="5" t="s">
        <v>206</v>
      </c>
      <c r="G250" s="5" t="s">
        <v>204</v>
      </c>
      <c r="H250" s="5" t="s">
        <v>206</v>
      </c>
      <c r="L250" s="5" t="s">
        <v>236</v>
      </c>
      <c r="P250" s="5" t="s">
        <v>237</v>
      </c>
      <c r="S250" s="5" t="s">
        <v>208</v>
      </c>
      <c r="X250" s="5" t="s">
        <v>208</v>
      </c>
      <c r="AF250" s="5" t="s">
        <v>236</v>
      </c>
      <c r="AH250" s="5" t="s">
        <v>268</v>
      </c>
      <c r="AI250" s="5">
        <v>2020</v>
      </c>
      <c r="AJ250" s="5" t="s">
        <v>238</v>
      </c>
      <c r="AK250" s="5" t="str">
        <f t="shared" si="715"/>
        <v>Trabajadora por cuenta propia</v>
      </c>
      <c r="AL250" s="5" t="s">
        <v>239</v>
      </c>
      <c r="AP250" s="5" t="s">
        <v>297</v>
      </c>
      <c r="AR250" s="5" t="s">
        <v>301</v>
      </c>
      <c r="AS250" s="5" t="s">
        <v>301</v>
      </c>
      <c r="AT250" s="5" t="s">
        <v>301</v>
      </c>
      <c r="AU250" s="5" t="s">
        <v>301</v>
      </c>
      <c r="AV250" s="5" t="s">
        <v>277</v>
      </c>
      <c r="AW250" s="5" t="s">
        <v>206</v>
      </c>
      <c r="BF250" s="5" t="s">
        <v>204</v>
      </c>
      <c r="BG250" s="5" t="s">
        <v>242</v>
      </c>
      <c r="BH250" s="5" t="s">
        <v>242</v>
      </c>
      <c r="BI250" s="5" t="s">
        <v>278</v>
      </c>
      <c r="BJ250" s="5" t="s">
        <v>215</v>
      </c>
      <c r="BK250" s="5" t="s">
        <v>216</v>
      </c>
      <c r="BL250" s="5" t="s">
        <v>216</v>
      </c>
      <c r="BM250" s="5" t="s">
        <v>216</v>
      </c>
      <c r="BN250" s="5" t="s">
        <v>246</v>
      </c>
      <c r="BO250" s="5" t="s">
        <v>216</v>
      </c>
      <c r="BP250" s="5" t="s">
        <v>216</v>
      </c>
      <c r="BQ250" s="5" t="s">
        <v>216</v>
      </c>
      <c r="BR250" s="5" t="s">
        <v>216</v>
      </c>
      <c r="BS250" s="5" t="s">
        <v>217</v>
      </c>
      <c r="BT250" s="5" t="s">
        <v>247</v>
      </c>
      <c r="BU250" s="5" t="s">
        <v>217</v>
      </c>
      <c r="BV250" s="5" t="s">
        <v>247</v>
      </c>
      <c r="BW250" s="5" t="s">
        <v>217</v>
      </c>
      <c r="BX250" s="5" t="s">
        <v>217</v>
      </c>
      <c r="BY250" s="5" t="s">
        <v>217</v>
      </c>
      <c r="CD250" s="5" t="s">
        <v>206</v>
      </c>
      <c r="CH250" s="5" t="s">
        <v>206</v>
      </c>
      <c r="CI250" s="5" t="s">
        <v>249</v>
      </c>
      <c r="CJ250" s="5">
        <v>3</v>
      </c>
      <c r="CK250" s="5" t="s">
        <v>223</v>
      </c>
      <c r="CU250" s="5" t="s">
        <v>206</v>
      </c>
      <c r="DA250" s="5" t="s">
        <v>231</v>
      </c>
      <c r="DB250" s="5">
        <f t="shared" si="716"/>
        <v>2</v>
      </c>
      <c r="DC250" s="5" t="s">
        <v>251</v>
      </c>
      <c r="DD250" s="5">
        <f t="shared" si="717"/>
        <v>1</v>
      </c>
      <c r="DE250" s="5" t="s">
        <v>251</v>
      </c>
      <c r="DF250" s="5">
        <f t="shared" si="718"/>
        <v>1</v>
      </c>
      <c r="DG250" s="5" t="s">
        <v>251</v>
      </c>
      <c r="DH250" s="5">
        <f t="shared" si="719"/>
        <v>1</v>
      </c>
      <c r="DI250" s="5" t="s">
        <v>251</v>
      </c>
      <c r="DJ250" s="5">
        <f t="shared" si="720"/>
        <v>1</v>
      </c>
      <c r="DK250" s="5" t="s">
        <v>251</v>
      </c>
      <c r="DL250" s="5">
        <f t="shared" si="721"/>
        <v>1</v>
      </c>
      <c r="DM250" s="5" t="s">
        <v>251</v>
      </c>
      <c r="DN250" s="5">
        <f t="shared" si="722"/>
        <v>1</v>
      </c>
      <c r="DO250" s="5" t="s">
        <v>281</v>
      </c>
      <c r="DP250" s="5">
        <f t="shared" si="723"/>
        <v>1</v>
      </c>
      <c r="DQ250" s="5" t="s">
        <v>281</v>
      </c>
      <c r="DR250" s="5">
        <f t="shared" si="724"/>
        <v>1</v>
      </c>
      <c r="DS250" s="5" t="s">
        <v>281</v>
      </c>
      <c r="DT250" s="5">
        <f t="shared" si="725"/>
        <v>1</v>
      </c>
      <c r="DU250" s="5" t="s">
        <v>281</v>
      </c>
      <c r="DV250" s="5">
        <f t="shared" si="726"/>
        <v>1</v>
      </c>
      <c r="DW250" s="5" t="s">
        <v>281</v>
      </c>
      <c r="DX250" s="5">
        <f t="shared" si="727"/>
        <v>1</v>
      </c>
      <c r="DY250" s="5">
        <f t="shared" si="728"/>
        <v>13</v>
      </c>
      <c r="DZ250" s="5" t="str">
        <f t="shared" si="729"/>
        <v>Nivel de riesgo bajo</v>
      </c>
      <c r="EA250" s="5" t="s">
        <v>248</v>
      </c>
      <c r="EB250" s="5">
        <f t="shared" si="730"/>
        <v>1</v>
      </c>
      <c r="EC250" s="5" t="s">
        <v>248</v>
      </c>
      <c r="ED250" s="5">
        <f t="shared" si="731"/>
        <v>1</v>
      </c>
      <c r="EE250" s="5" t="s">
        <v>248</v>
      </c>
      <c r="EF250" s="5">
        <f t="shared" si="732"/>
        <v>1</v>
      </c>
      <c r="EG250" s="5">
        <f t="shared" si="733"/>
        <v>3</v>
      </c>
      <c r="EH250" s="5" t="str">
        <f t="shared" si="734"/>
        <v>Nivel de riesgo medio</v>
      </c>
      <c r="EI250" s="5" t="s">
        <v>248</v>
      </c>
      <c r="EJ250" s="5">
        <f t="shared" si="735"/>
        <v>1</v>
      </c>
      <c r="EK250" s="5" t="s">
        <v>247</v>
      </c>
      <c r="EL250" s="5">
        <f t="shared" si="736"/>
        <v>2</v>
      </c>
      <c r="EM250" s="5" t="s">
        <v>248</v>
      </c>
      <c r="EN250" s="5">
        <f t="shared" si="737"/>
        <v>1</v>
      </c>
      <c r="EO250" s="5">
        <f t="shared" si="738"/>
        <v>4</v>
      </c>
      <c r="EP250" s="5" t="str">
        <f t="shared" si="739"/>
        <v>Nivel de riesgo medio</v>
      </c>
      <c r="EQ250" s="5" t="s">
        <v>254</v>
      </c>
      <c r="ER250" s="5">
        <f t="shared" si="740"/>
        <v>0</v>
      </c>
      <c r="ES250" s="5" t="s">
        <v>254</v>
      </c>
      <c r="ET250" s="5">
        <f t="shared" si="741"/>
        <v>0</v>
      </c>
      <c r="EU250" s="5" t="s">
        <v>254</v>
      </c>
      <c r="EV250" s="5">
        <f t="shared" si="742"/>
        <v>0</v>
      </c>
      <c r="EW250" s="5" t="s">
        <v>254</v>
      </c>
      <c r="EX250" s="5">
        <f t="shared" si="743"/>
        <v>0</v>
      </c>
      <c r="EY250" s="5">
        <f t="shared" si="744"/>
        <v>0</v>
      </c>
      <c r="EZ250" s="5" t="str">
        <f t="shared" si="745"/>
        <v>Nivel de riesgo bajo</v>
      </c>
      <c r="FA250" s="5" t="s">
        <v>248</v>
      </c>
      <c r="FB250" s="5">
        <f t="shared" si="746"/>
        <v>1</v>
      </c>
      <c r="FC250" s="5" t="s">
        <v>248</v>
      </c>
      <c r="FD250" s="5">
        <f t="shared" si="747"/>
        <v>1</v>
      </c>
      <c r="FE250" s="5" t="s">
        <v>248</v>
      </c>
      <c r="FF250" s="5">
        <f t="shared" si="748"/>
        <v>1</v>
      </c>
      <c r="FG250" s="5">
        <f t="shared" si="749"/>
        <v>3</v>
      </c>
      <c r="FH250" s="5" t="str">
        <f t="shared" si="750"/>
        <v>Nivel de riesgo medio</v>
      </c>
      <c r="FI250" s="5" t="s">
        <v>248</v>
      </c>
      <c r="FJ250" s="5">
        <f t="shared" si="751"/>
        <v>1</v>
      </c>
      <c r="FK250" s="5" t="s">
        <v>248</v>
      </c>
      <c r="FL250" s="5">
        <f t="shared" si="752"/>
        <v>1</v>
      </c>
      <c r="FM250" s="5" t="s">
        <v>248</v>
      </c>
      <c r="FN250" s="5">
        <f t="shared" si="753"/>
        <v>1</v>
      </c>
      <c r="FO250" s="5">
        <f t="shared" si="754"/>
        <v>3</v>
      </c>
      <c r="FP250" s="5" t="str">
        <f t="shared" si="755"/>
        <v>Nivel de riesgo medio</v>
      </c>
      <c r="FQ250" s="5" t="s">
        <v>265</v>
      </c>
      <c r="FR250" s="5">
        <f t="shared" si="756"/>
        <v>1</v>
      </c>
      <c r="FS250" s="5" t="s">
        <v>206</v>
      </c>
      <c r="FT250" s="5">
        <f t="shared" si="757"/>
        <v>0</v>
      </c>
      <c r="FU250" s="5" t="s">
        <v>206</v>
      </c>
      <c r="FV250" s="5">
        <f t="shared" si="758"/>
        <v>0</v>
      </c>
      <c r="FW250" s="5" t="s">
        <v>206</v>
      </c>
      <c r="FX250" s="5">
        <f t="shared" si="759"/>
        <v>0</v>
      </c>
      <c r="FY250" s="5" t="s">
        <v>206</v>
      </c>
      <c r="FZ250" s="5">
        <f t="shared" si="760"/>
        <v>0</v>
      </c>
      <c r="GA250" s="5" t="s">
        <v>206</v>
      </c>
      <c r="GB250" s="5">
        <f t="shared" si="761"/>
        <v>0</v>
      </c>
      <c r="GC250" s="5" t="s">
        <v>206</v>
      </c>
      <c r="GD250" s="5">
        <f t="shared" si="762"/>
        <v>0</v>
      </c>
      <c r="GE250" s="5">
        <f t="shared" si="763"/>
        <v>1</v>
      </c>
      <c r="GF250" s="5" t="str">
        <f t="shared" si="764"/>
        <v>Nivel de riesgo medio</v>
      </c>
      <c r="GG250" s="5" t="s">
        <v>273</v>
      </c>
      <c r="GH250" s="5" t="s">
        <v>273</v>
      </c>
      <c r="GI250" s="5" t="s">
        <v>273</v>
      </c>
      <c r="GJ250" s="5" t="s">
        <v>273</v>
      </c>
      <c r="GK250" s="5" t="s">
        <v>233</v>
      </c>
      <c r="GL250" s="5" t="s">
        <v>233</v>
      </c>
      <c r="GM250" s="5" t="s">
        <v>233</v>
      </c>
      <c r="GN250" s="5" t="s">
        <v>257</v>
      </c>
      <c r="GO250" s="5" t="s">
        <v>257</v>
      </c>
      <c r="GP250" s="5" t="s">
        <v>257</v>
      </c>
      <c r="GQ250" s="5" t="s">
        <v>257</v>
      </c>
      <c r="GR250" s="5" t="s">
        <v>257</v>
      </c>
      <c r="GS250" s="5" t="s">
        <v>257</v>
      </c>
      <c r="GT250" s="5" t="s">
        <v>257</v>
      </c>
      <c r="GU250" s="5" t="s">
        <v>601</v>
      </c>
      <c r="GV250" s="5" t="str">
        <f>TEXT("6279219125416048183","0")</f>
        <v>6279219125416040000</v>
      </c>
    </row>
    <row r="251" spans="1:204" ht="15.75" customHeight="1" x14ac:dyDescent="0.15">
      <c r="A251" s="1">
        <f t="shared" si="714"/>
        <v>251</v>
      </c>
      <c r="B251" s="4">
        <v>45847.923043981478</v>
      </c>
      <c r="C251" s="5" t="s">
        <v>204</v>
      </c>
      <c r="D251" s="5" t="s">
        <v>206</v>
      </c>
      <c r="F251" s="5" t="s">
        <v>206</v>
      </c>
      <c r="G251" s="5" t="s">
        <v>204</v>
      </c>
      <c r="H251" s="5" t="s">
        <v>206</v>
      </c>
      <c r="K251" s="5" t="s">
        <v>237</v>
      </c>
      <c r="O251" s="5" t="s">
        <v>209</v>
      </c>
      <c r="T251" s="5" t="s">
        <v>209</v>
      </c>
      <c r="AB251" s="5" t="s">
        <v>207</v>
      </c>
      <c r="AD251" s="5" t="s">
        <v>209</v>
      </c>
      <c r="AH251" s="5" t="s">
        <v>210</v>
      </c>
      <c r="AI251" s="5">
        <v>2014</v>
      </c>
      <c r="AJ251" s="5" t="s">
        <v>238</v>
      </c>
      <c r="AK251" s="5" t="str">
        <f t="shared" si="715"/>
        <v>Trabajadora por cuenta propia</v>
      </c>
      <c r="AN251" s="5" t="s">
        <v>288</v>
      </c>
      <c r="AP251" s="5" t="s">
        <v>240</v>
      </c>
      <c r="AR251" s="5" t="s">
        <v>301</v>
      </c>
      <c r="AS251" s="5" t="s">
        <v>301</v>
      </c>
      <c r="AT251" s="5" t="s">
        <v>301</v>
      </c>
      <c r="AU251" s="5" t="s">
        <v>301</v>
      </c>
      <c r="AV251" s="5" t="s">
        <v>285</v>
      </c>
      <c r="AW251" s="5" t="s">
        <v>204</v>
      </c>
      <c r="AX251" s="5" t="s">
        <v>204</v>
      </c>
      <c r="AY251" s="5" t="s">
        <v>339</v>
      </c>
      <c r="AZ251" s="5" t="s">
        <v>204</v>
      </c>
      <c r="BA251" s="5" t="s">
        <v>295</v>
      </c>
      <c r="BB251" s="5" t="s">
        <v>206</v>
      </c>
      <c r="BC251" s="5" t="s">
        <v>206</v>
      </c>
      <c r="BD251" s="5" t="s">
        <v>206</v>
      </c>
      <c r="BE251" s="5" t="s">
        <v>206</v>
      </c>
      <c r="BF251" s="5" t="s">
        <v>204</v>
      </c>
      <c r="BG251" s="5" t="s">
        <v>242</v>
      </c>
      <c r="BH251" s="5" t="s">
        <v>215</v>
      </c>
      <c r="BI251" s="5" t="s">
        <v>278</v>
      </c>
      <c r="BJ251" s="5" t="s">
        <v>215</v>
      </c>
      <c r="BK251" s="5" t="s">
        <v>244</v>
      </c>
      <c r="BL251" s="5" t="s">
        <v>244</v>
      </c>
      <c r="BM251" s="5" t="s">
        <v>244</v>
      </c>
      <c r="BN251" s="5" t="s">
        <v>244</v>
      </c>
      <c r="BO251" s="5" t="s">
        <v>244</v>
      </c>
      <c r="BP251" s="5" t="s">
        <v>244</v>
      </c>
      <c r="BQ251" s="5" t="s">
        <v>244</v>
      </c>
      <c r="BR251" s="5" t="s">
        <v>244</v>
      </c>
      <c r="BS251" s="5" t="s">
        <v>248</v>
      </c>
      <c r="BT251" s="5" t="s">
        <v>217</v>
      </c>
      <c r="BU251" s="5" t="s">
        <v>217</v>
      </c>
      <c r="BV251" s="5" t="s">
        <v>217</v>
      </c>
      <c r="BW251" s="5" t="s">
        <v>248</v>
      </c>
      <c r="BX251" s="5" t="s">
        <v>217</v>
      </c>
      <c r="BY251" s="5" t="s">
        <v>248</v>
      </c>
      <c r="BZ251" s="5" t="s">
        <v>244</v>
      </c>
      <c r="CA251" s="5" t="s">
        <v>244</v>
      </c>
      <c r="CB251" s="5" t="s">
        <v>244</v>
      </c>
      <c r="CC251" s="5" t="s">
        <v>244</v>
      </c>
      <c r="CD251" s="5" t="s">
        <v>206</v>
      </c>
      <c r="CH251" s="5" t="s">
        <v>206</v>
      </c>
      <c r="CI251" s="5" t="s">
        <v>307</v>
      </c>
      <c r="CJ251" s="5">
        <v>2</v>
      </c>
      <c r="CK251" s="5" t="s">
        <v>223</v>
      </c>
      <c r="CU251" s="5" t="s">
        <v>206</v>
      </c>
      <c r="DA251" s="5" t="s">
        <v>231</v>
      </c>
      <c r="DB251" s="5">
        <f t="shared" si="716"/>
        <v>2</v>
      </c>
      <c r="DC251" s="5" t="s">
        <v>251</v>
      </c>
      <c r="DD251" s="5">
        <f t="shared" si="717"/>
        <v>1</v>
      </c>
      <c r="DE251" s="5" t="s">
        <v>251</v>
      </c>
      <c r="DF251" s="5">
        <f t="shared" si="718"/>
        <v>1</v>
      </c>
      <c r="DG251" s="5" t="s">
        <v>251</v>
      </c>
      <c r="DH251" s="5">
        <f t="shared" si="719"/>
        <v>1</v>
      </c>
      <c r="DI251" s="5" t="s">
        <v>251</v>
      </c>
      <c r="DJ251" s="5">
        <f t="shared" si="720"/>
        <v>1</v>
      </c>
      <c r="DK251" s="5" t="s">
        <v>251</v>
      </c>
      <c r="DL251" s="5">
        <f t="shared" si="721"/>
        <v>1</v>
      </c>
      <c r="DM251" s="5" t="s">
        <v>251</v>
      </c>
      <c r="DN251" s="5">
        <f t="shared" si="722"/>
        <v>1</v>
      </c>
      <c r="DO251" s="5" t="s">
        <v>231</v>
      </c>
      <c r="DP251" s="5">
        <f t="shared" si="723"/>
        <v>2</v>
      </c>
      <c r="DQ251" s="5" t="s">
        <v>231</v>
      </c>
      <c r="DR251" s="5">
        <f t="shared" si="724"/>
        <v>2</v>
      </c>
      <c r="DS251" s="5" t="s">
        <v>231</v>
      </c>
      <c r="DT251" s="5">
        <f t="shared" si="725"/>
        <v>2</v>
      </c>
      <c r="DU251" s="5" t="s">
        <v>231</v>
      </c>
      <c r="DV251" s="5">
        <f t="shared" si="726"/>
        <v>2</v>
      </c>
      <c r="DW251" s="5" t="s">
        <v>281</v>
      </c>
      <c r="DX251" s="5">
        <f t="shared" si="727"/>
        <v>1</v>
      </c>
      <c r="DY251" s="5">
        <f t="shared" si="728"/>
        <v>17</v>
      </c>
      <c r="DZ251" s="5" t="str">
        <f t="shared" si="729"/>
        <v>Nivel de riesgo bajo</v>
      </c>
      <c r="EA251" s="5" t="s">
        <v>248</v>
      </c>
      <c r="EB251" s="5">
        <f t="shared" si="730"/>
        <v>1</v>
      </c>
      <c r="EC251" s="5" t="s">
        <v>248</v>
      </c>
      <c r="ED251" s="5">
        <f t="shared" si="731"/>
        <v>1</v>
      </c>
      <c r="EE251" s="5" t="s">
        <v>253</v>
      </c>
      <c r="EF251" s="5">
        <f t="shared" si="732"/>
        <v>0</v>
      </c>
      <c r="EG251" s="5">
        <f t="shared" si="733"/>
        <v>2</v>
      </c>
      <c r="EH251" s="5" t="str">
        <f t="shared" si="734"/>
        <v>Nivel de riesgo medio</v>
      </c>
      <c r="EI251" s="5" t="s">
        <v>253</v>
      </c>
      <c r="EJ251" s="5">
        <f t="shared" si="735"/>
        <v>0</v>
      </c>
      <c r="EK251" s="5" t="s">
        <v>248</v>
      </c>
      <c r="EL251" s="5">
        <f t="shared" si="736"/>
        <v>1</v>
      </c>
      <c r="EM251" s="5" t="s">
        <v>248</v>
      </c>
      <c r="EN251" s="5">
        <f t="shared" si="737"/>
        <v>1</v>
      </c>
      <c r="EO251" s="5">
        <f t="shared" si="738"/>
        <v>2</v>
      </c>
      <c r="EP251" s="5" t="str">
        <f t="shared" si="739"/>
        <v>Nivel de riesgo medio</v>
      </c>
      <c r="EQ251" s="5" t="s">
        <v>232</v>
      </c>
      <c r="ER251" s="5">
        <f t="shared" si="740"/>
        <v>1</v>
      </c>
      <c r="ES251" s="5" t="s">
        <v>247</v>
      </c>
      <c r="ET251" s="5">
        <f t="shared" si="741"/>
        <v>2</v>
      </c>
      <c r="EU251" s="5" t="s">
        <v>254</v>
      </c>
      <c r="EV251" s="5">
        <f t="shared" si="742"/>
        <v>0</v>
      </c>
      <c r="EW251" s="5" t="s">
        <v>254</v>
      </c>
      <c r="EX251" s="5">
        <f t="shared" si="743"/>
        <v>0</v>
      </c>
      <c r="EY251" s="5">
        <f t="shared" si="744"/>
        <v>3</v>
      </c>
      <c r="EZ251" s="5" t="str">
        <f t="shared" si="745"/>
        <v>Nivel de riesgo medio</v>
      </c>
      <c r="FA251" s="5" t="s">
        <v>253</v>
      </c>
      <c r="FB251" s="5">
        <f t="shared" si="746"/>
        <v>0</v>
      </c>
      <c r="FC251" s="5" t="s">
        <v>253</v>
      </c>
      <c r="FD251" s="5">
        <f t="shared" si="747"/>
        <v>0</v>
      </c>
      <c r="FE251" s="5" t="s">
        <v>253</v>
      </c>
      <c r="FF251" s="5">
        <f t="shared" si="748"/>
        <v>0</v>
      </c>
      <c r="FG251" s="5">
        <f t="shared" si="749"/>
        <v>0</v>
      </c>
      <c r="FH251" s="5" t="str">
        <f t="shared" si="750"/>
        <v>Nivel de riesgo bajo</v>
      </c>
      <c r="FI251" s="5" t="s">
        <v>248</v>
      </c>
      <c r="FJ251" s="5">
        <f t="shared" si="751"/>
        <v>1</v>
      </c>
      <c r="FK251" s="5" t="s">
        <v>248</v>
      </c>
      <c r="FL251" s="5">
        <f t="shared" si="752"/>
        <v>1</v>
      </c>
      <c r="FM251" s="5" t="s">
        <v>253</v>
      </c>
      <c r="FN251" s="5">
        <f t="shared" si="753"/>
        <v>0</v>
      </c>
      <c r="FO251" s="5">
        <f t="shared" si="754"/>
        <v>2</v>
      </c>
      <c r="FP251" s="5" t="str">
        <f t="shared" si="755"/>
        <v>Nivel de riesgo bajo</v>
      </c>
      <c r="FQ251" s="5" t="s">
        <v>206</v>
      </c>
      <c r="FR251" s="5">
        <f t="shared" si="756"/>
        <v>0</v>
      </c>
      <c r="FS251" s="5" t="s">
        <v>206</v>
      </c>
      <c r="FT251" s="5">
        <f t="shared" si="757"/>
        <v>0</v>
      </c>
      <c r="FU251" s="5" t="s">
        <v>206</v>
      </c>
      <c r="FV251" s="5">
        <f t="shared" si="758"/>
        <v>0</v>
      </c>
      <c r="FW251" s="5" t="s">
        <v>206</v>
      </c>
      <c r="FX251" s="5">
        <f t="shared" si="759"/>
        <v>0</v>
      </c>
      <c r="FY251" s="5" t="s">
        <v>206</v>
      </c>
      <c r="FZ251" s="5">
        <f t="shared" si="760"/>
        <v>0</v>
      </c>
      <c r="GA251" s="5" t="s">
        <v>206</v>
      </c>
      <c r="GB251" s="5">
        <f t="shared" si="761"/>
        <v>0</v>
      </c>
      <c r="GC251" s="5" t="s">
        <v>206</v>
      </c>
      <c r="GD251" s="5">
        <f t="shared" si="762"/>
        <v>0</v>
      </c>
      <c r="GE251" s="5">
        <f t="shared" si="763"/>
        <v>0</v>
      </c>
      <c r="GF251" s="5" t="str">
        <f t="shared" si="764"/>
        <v>Nivel de riesgo bajo</v>
      </c>
      <c r="GG251" s="5" t="s">
        <v>266</v>
      </c>
      <c r="GH251" s="5" t="s">
        <v>233</v>
      </c>
      <c r="GI251" s="5" t="s">
        <v>298</v>
      </c>
      <c r="GJ251" s="5" t="s">
        <v>233</v>
      </c>
      <c r="GK251" s="5" t="s">
        <v>233</v>
      </c>
      <c r="GL251" s="5" t="s">
        <v>233</v>
      </c>
      <c r="GM251" s="5" t="s">
        <v>266</v>
      </c>
      <c r="GN251" s="5" t="s">
        <v>243</v>
      </c>
      <c r="GO251" s="5" t="s">
        <v>244</v>
      </c>
      <c r="GP251" s="5" t="s">
        <v>257</v>
      </c>
      <c r="GQ251" s="5" t="s">
        <v>244</v>
      </c>
      <c r="GR251" s="5" t="s">
        <v>244</v>
      </c>
      <c r="GS251" s="5" t="s">
        <v>243</v>
      </c>
      <c r="GT251" s="5" t="s">
        <v>244</v>
      </c>
      <c r="GU251" s="5" t="s">
        <v>303</v>
      </c>
      <c r="GV251" s="5" t="str">
        <f>TEXT("6279225512391303403","0")</f>
        <v>6279225512391300000</v>
      </c>
    </row>
    <row r="252" spans="1:204" ht="15.75" customHeight="1" x14ac:dyDescent="0.15">
      <c r="A252" s="1">
        <f t="shared" si="714"/>
        <v>252</v>
      </c>
      <c r="B252" s="4">
        <v>45847.92359953704</v>
      </c>
      <c r="C252" s="5" t="s">
        <v>204</v>
      </c>
      <c r="D252" s="5" t="s">
        <v>206</v>
      </c>
      <c r="F252" s="5" t="s">
        <v>206</v>
      </c>
      <c r="G252" s="5" t="s">
        <v>204</v>
      </c>
      <c r="H252" s="5" t="s">
        <v>204</v>
      </c>
      <c r="J252" s="5" t="s">
        <v>209</v>
      </c>
      <c r="O252" s="5" t="s">
        <v>209</v>
      </c>
      <c r="S252" s="5" t="s">
        <v>208</v>
      </c>
      <c r="X252" s="5" t="s">
        <v>208</v>
      </c>
      <c r="AE252" s="5" t="s">
        <v>237</v>
      </c>
      <c r="AH252" s="5" t="s">
        <v>268</v>
      </c>
      <c r="AI252" s="5">
        <v>2021</v>
      </c>
      <c r="AJ252" s="5" t="s">
        <v>330</v>
      </c>
      <c r="AK252" s="5" t="str">
        <f t="shared" si="715"/>
        <v>Asalariada</v>
      </c>
      <c r="AQ252" s="5" t="s">
        <v>204</v>
      </c>
      <c r="AR252" s="5" t="s">
        <v>241</v>
      </c>
      <c r="AS252" s="5" t="s">
        <v>276</v>
      </c>
      <c r="AT252" s="5" t="s">
        <v>276</v>
      </c>
      <c r="AU252" s="5" t="s">
        <v>261</v>
      </c>
      <c r="AV252" s="5" t="s">
        <v>213</v>
      </c>
      <c r="AW252" s="5" t="s">
        <v>206</v>
      </c>
      <c r="BF252" s="5" t="s">
        <v>204</v>
      </c>
      <c r="BG252" s="5" t="s">
        <v>215</v>
      </c>
      <c r="BH252" s="5" t="s">
        <v>264</v>
      </c>
      <c r="BI252" s="5" t="s">
        <v>242</v>
      </c>
      <c r="BJ252" s="5" t="s">
        <v>215</v>
      </c>
      <c r="BK252" s="5" t="s">
        <v>216</v>
      </c>
      <c r="BL252" s="5" t="s">
        <v>244</v>
      </c>
      <c r="BM252" s="5" t="s">
        <v>216</v>
      </c>
      <c r="BN252" s="5" t="s">
        <v>216</v>
      </c>
      <c r="BO252" s="5" t="s">
        <v>216</v>
      </c>
      <c r="BP252" s="5" t="s">
        <v>216</v>
      </c>
      <c r="BQ252" s="5" t="s">
        <v>216</v>
      </c>
      <c r="BR252" s="5" t="s">
        <v>244</v>
      </c>
      <c r="BS252" s="5" t="s">
        <v>248</v>
      </c>
      <c r="BT252" s="5" t="s">
        <v>247</v>
      </c>
      <c r="BU252" s="5" t="s">
        <v>247</v>
      </c>
      <c r="BV252" s="5" t="s">
        <v>217</v>
      </c>
      <c r="BW252" s="5" t="s">
        <v>247</v>
      </c>
      <c r="BX252" s="5" t="s">
        <v>247</v>
      </c>
      <c r="BY252" s="5" t="s">
        <v>247</v>
      </c>
      <c r="CD252" s="5" t="s">
        <v>206</v>
      </c>
      <c r="CH252" s="5" t="s">
        <v>206</v>
      </c>
      <c r="CI252" s="5" t="s">
        <v>307</v>
      </c>
      <c r="CJ252" s="5">
        <v>2</v>
      </c>
      <c r="CK252" s="5" t="s">
        <v>223</v>
      </c>
      <c r="CU252" s="5" t="s">
        <v>206</v>
      </c>
      <c r="DA252" s="5" t="s">
        <v>252</v>
      </c>
      <c r="DB252" s="5">
        <f t="shared" si="716"/>
        <v>3</v>
      </c>
      <c r="DC252" s="5" t="s">
        <v>250</v>
      </c>
      <c r="DD252" s="5">
        <f t="shared" si="717"/>
        <v>3</v>
      </c>
      <c r="DE252" s="5" t="s">
        <v>250</v>
      </c>
      <c r="DF252" s="5">
        <f t="shared" si="718"/>
        <v>3</v>
      </c>
      <c r="DG252" s="5" t="s">
        <v>250</v>
      </c>
      <c r="DH252" s="5">
        <f t="shared" si="719"/>
        <v>3</v>
      </c>
      <c r="DI252" s="5" t="s">
        <v>250</v>
      </c>
      <c r="DJ252" s="5">
        <f t="shared" si="720"/>
        <v>3</v>
      </c>
      <c r="DK252" s="5" t="s">
        <v>230</v>
      </c>
      <c r="DL252" s="5">
        <f t="shared" si="721"/>
        <v>2</v>
      </c>
      <c r="DM252" s="5" t="s">
        <v>250</v>
      </c>
      <c r="DN252" s="5">
        <f t="shared" si="722"/>
        <v>3</v>
      </c>
      <c r="DO252" s="5" t="s">
        <v>281</v>
      </c>
      <c r="DP252" s="5">
        <f t="shared" si="723"/>
        <v>1</v>
      </c>
      <c r="DQ252" s="5" t="s">
        <v>231</v>
      </c>
      <c r="DR252" s="5">
        <f t="shared" si="724"/>
        <v>2</v>
      </c>
      <c r="DS252" s="5" t="s">
        <v>231</v>
      </c>
      <c r="DT252" s="5">
        <f t="shared" si="725"/>
        <v>2</v>
      </c>
      <c r="DU252" s="5" t="s">
        <v>231</v>
      </c>
      <c r="DV252" s="5">
        <f t="shared" si="726"/>
        <v>2</v>
      </c>
      <c r="DW252" s="5" t="s">
        <v>231</v>
      </c>
      <c r="DX252" s="5">
        <f t="shared" si="727"/>
        <v>2</v>
      </c>
      <c r="DY252" s="5">
        <f t="shared" si="728"/>
        <v>29</v>
      </c>
      <c r="DZ252" s="5" t="str">
        <f t="shared" si="729"/>
        <v>Nivel de riesgo alto</v>
      </c>
      <c r="EA252" s="5" t="s">
        <v>232</v>
      </c>
      <c r="EB252" s="5">
        <f t="shared" si="730"/>
        <v>3</v>
      </c>
      <c r="EC252" s="5" t="s">
        <v>247</v>
      </c>
      <c r="ED252" s="5">
        <f t="shared" si="731"/>
        <v>2</v>
      </c>
      <c r="EE252" s="5" t="s">
        <v>248</v>
      </c>
      <c r="EF252" s="5">
        <f t="shared" si="732"/>
        <v>1</v>
      </c>
      <c r="EG252" s="5">
        <f t="shared" si="733"/>
        <v>6</v>
      </c>
      <c r="EH252" s="5" t="str">
        <f t="shared" si="734"/>
        <v>Nivel de riesgo alto</v>
      </c>
      <c r="EI252" s="5" t="s">
        <v>247</v>
      </c>
      <c r="EJ252" s="5">
        <f t="shared" si="735"/>
        <v>2</v>
      </c>
      <c r="EK252" s="5" t="s">
        <v>247</v>
      </c>
      <c r="EL252" s="5">
        <f t="shared" si="736"/>
        <v>2</v>
      </c>
      <c r="EM252" s="5" t="s">
        <v>247</v>
      </c>
      <c r="EN252" s="5">
        <f t="shared" si="737"/>
        <v>2</v>
      </c>
      <c r="EO252" s="5">
        <f t="shared" si="738"/>
        <v>6</v>
      </c>
      <c r="EP252" s="5" t="str">
        <f t="shared" si="739"/>
        <v>Nivel de riesgo alto</v>
      </c>
      <c r="EQ252" s="5" t="s">
        <v>247</v>
      </c>
      <c r="ER252" s="5">
        <f t="shared" si="740"/>
        <v>2</v>
      </c>
      <c r="ES252" s="5" t="s">
        <v>232</v>
      </c>
      <c r="ET252" s="5">
        <f t="shared" si="741"/>
        <v>1</v>
      </c>
      <c r="EU252" s="5" t="s">
        <v>232</v>
      </c>
      <c r="EV252" s="5">
        <f t="shared" si="742"/>
        <v>1</v>
      </c>
      <c r="EW252" s="5" t="s">
        <v>247</v>
      </c>
      <c r="EX252" s="5">
        <f t="shared" si="743"/>
        <v>2</v>
      </c>
      <c r="EY252" s="5">
        <f t="shared" si="744"/>
        <v>6</v>
      </c>
      <c r="EZ252" s="5" t="str">
        <f t="shared" si="745"/>
        <v>Nivel de riesgo alto</v>
      </c>
      <c r="FA252" s="5" t="s">
        <v>248</v>
      </c>
      <c r="FB252" s="5">
        <f t="shared" si="746"/>
        <v>1</v>
      </c>
      <c r="FC252" s="5" t="s">
        <v>254</v>
      </c>
      <c r="FD252" s="5">
        <f t="shared" si="747"/>
        <v>4</v>
      </c>
      <c r="FE252" s="5" t="s">
        <v>254</v>
      </c>
      <c r="FF252" s="5">
        <f t="shared" si="748"/>
        <v>4</v>
      </c>
      <c r="FG252" s="5">
        <f t="shared" si="749"/>
        <v>9</v>
      </c>
      <c r="FH252" s="5" t="str">
        <f t="shared" si="750"/>
        <v>Nivel de riesgo alto</v>
      </c>
      <c r="FI252" s="5" t="s">
        <v>232</v>
      </c>
      <c r="FJ252" s="5">
        <f t="shared" si="751"/>
        <v>3</v>
      </c>
      <c r="FK252" s="5" t="s">
        <v>232</v>
      </c>
      <c r="FL252" s="5">
        <f t="shared" si="752"/>
        <v>3</v>
      </c>
      <c r="FM252" s="5" t="s">
        <v>232</v>
      </c>
      <c r="FN252" s="5">
        <f t="shared" si="753"/>
        <v>3</v>
      </c>
      <c r="FO252" s="5">
        <f t="shared" si="754"/>
        <v>9</v>
      </c>
      <c r="FP252" s="5" t="str">
        <f t="shared" si="755"/>
        <v>Nivel de riesgo alto</v>
      </c>
      <c r="FQ252" s="5" t="s">
        <v>265</v>
      </c>
      <c r="FR252" s="5">
        <f t="shared" si="756"/>
        <v>1</v>
      </c>
      <c r="FS252" s="5" t="s">
        <v>206</v>
      </c>
      <c r="FT252" s="5">
        <f t="shared" si="757"/>
        <v>0</v>
      </c>
      <c r="FU252" s="5" t="s">
        <v>206</v>
      </c>
      <c r="FV252" s="5">
        <f t="shared" si="758"/>
        <v>0</v>
      </c>
      <c r="FW252" s="5" t="s">
        <v>206</v>
      </c>
      <c r="FX252" s="5">
        <f t="shared" si="759"/>
        <v>0</v>
      </c>
      <c r="FY252" s="5" t="s">
        <v>206</v>
      </c>
      <c r="FZ252" s="5">
        <f t="shared" si="760"/>
        <v>0</v>
      </c>
      <c r="GA252" s="5" t="s">
        <v>206</v>
      </c>
      <c r="GB252" s="5">
        <f t="shared" si="761"/>
        <v>0</v>
      </c>
      <c r="GC252" s="5" t="s">
        <v>265</v>
      </c>
      <c r="GD252" s="5">
        <f t="shared" si="762"/>
        <v>1</v>
      </c>
      <c r="GE252" s="5">
        <f t="shared" si="763"/>
        <v>2</v>
      </c>
      <c r="GF252" s="5" t="str">
        <f t="shared" si="764"/>
        <v>Nivel de riesgo medio</v>
      </c>
      <c r="GG252" s="5" t="s">
        <v>273</v>
      </c>
      <c r="GH252" s="5" t="s">
        <v>266</v>
      </c>
      <c r="GI252" s="5" t="s">
        <v>273</v>
      </c>
      <c r="GJ252" s="5" t="s">
        <v>255</v>
      </c>
      <c r="GK252" s="5" t="s">
        <v>233</v>
      </c>
      <c r="GL252" s="5" t="s">
        <v>273</v>
      </c>
      <c r="GM252" s="5" t="s">
        <v>273</v>
      </c>
      <c r="GN252" s="5" t="s">
        <v>234</v>
      </c>
      <c r="GO252" s="5" t="s">
        <v>234</v>
      </c>
      <c r="GP252" s="5" t="s">
        <v>234</v>
      </c>
      <c r="GQ252" s="5" t="s">
        <v>234</v>
      </c>
      <c r="GR252" s="5" t="s">
        <v>234</v>
      </c>
      <c r="GS252" s="5" t="s">
        <v>234</v>
      </c>
      <c r="GT252" s="5" t="s">
        <v>257</v>
      </c>
      <c r="GU252" s="5" t="s">
        <v>602</v>
      </c>
      <c r="GV252" s="5" t="str">
        <f>TEXT("6279225991176077716","0")</f>
        <v>6279225991176070000</v>
      </c>
    </row>
    <row r="253" spans="1:204" ht="15.75" customHeight="1" x14ac:dyDescent="0.15">
      <c r="A253" s="1">
        <f t="shared" si="714"/>
        <v>253</v>
      </c>
      <c r="B253" s="4">
        <v>45847.92496527778</v>
      </c>
      <c r="C253" s="5" t="s">
        <v>204</v>
      </c>
      <c r="D253" s="5" t="s">
        <v>206</v>
      </c>
      <c r="F253" s="5" t="s">
        <v>206</v>
      </c>
      <c r="G253" s="5" t="s">
        <v>206</v>
      </c>
      <c r="H253" s="5" t="s">
        <v>206</v>
      </c>
      <c r="J253" s="5" t="s">
        <v>209</v>
      </c>
      <c r="O253" s="5" t="s">
        <v>209</v>
      </c>
      <c r="S253" s="5" t="s">
        <v>208</v>
      </c>
      <c r="X253" s="5" t="s">
        <v>208</v>
      </c>
      <c r="AC253" s="5" t="s">
        <v>208</v>
      </c>
      <c r="AH253" s="5" t="s">
        <v>268</v>
      </c>
      <c r="AI253" s="5">
        <v>2024</v>
      </c>
      <c r="AJ253" s="5" t="s">
        <v>330</v>
      </c>
      <c r="AK253" s="5" t="str">
        <f t="shared" si="715"/>
        <v>Asalariada</v>
      </c>
      <c r="AQ253" s="5" t="s">
        <v>204</v>
      </c>
      <c r="AR253" s="5" t="s">
        <v>261</v>
      </c>
      <c r="AS253" s="5" t="s">
        <v>241</v>
      </c>
      <c r="AT253" s="5" t="s">
        <v>261</v>
      </c>
      <c r="AU253" s="5" t="s">
        <v>241</v>
      </c>
      <c r="AV253" s="5" t="s">
        <v>213</v>
      </c>
      <c r="AW253" s="5" t="s">
        <v>206</v>
      </c>
      <c r="BF253" s="5" t="s">
        <v>204</v>
      </c>
      <c r="BG253" s="5" t="s">
        <v>278</v>
      </c>
      <c r="BH253" s="5" t="s">
        <v>242</v>
      </c>
      <c r="BI253" s="5" t="s">
        <v>278</v>
      </c>
      <c r="BJ253" s="5" t="s">
        <v>242</v>
      </c>
      <c r="BK253" s="5" t="s">
        <v>243</v>
      </c>
      <c r="BL253" s="5" t="s">
        <v>246</v>
      </c>
      <c r="BM253" s="5" t="s">
        <v>243</v>
      </c>
      <c r="BN253" s="5" t="s">
        <v>244</v>
      </c>
      <c r="BO253" s="5" t="s">
        <v>244</v>
      </c>
      <c r="BP253" s="5" t="s">
        <v>244</v>
      </c>
      <c r="BQ253" s="5" t="s">
        <v>243</v>
      </c>
      <c r="BR253" s="5" t="s">
        <v>243</v>
      </c>
      <c r="BS253" s="5" t="s">
        <v>232</v>
      </c>
      <c r="BT253" s="5" t="s">
        <v>232</v>
      </c>
      <c r="BU253" s="5" t="s">
        <v>247</v>
      </c>
      <c r="BV253" s="5" t="s">
        <v>247</v>
      </c>
      <c r="BW253" s="5" t="s">
        <v>247</v>
      </c>
      <c r="BX253" s="5" t="s">
        <v>247</v>
      </c>
      <c r="BY253" s="5" t="s">
        <v>247</v>
      </c>
      <c r="CD253" s="5" t="s">
        <v>206</v>
      </c>
      <c r="CH253" s="5" t="s">
        <v>331</v>
      </c>
      <c r="CI253" s="5" t="s">
        <v>291</v>
      </c>
      <c r="CJ253" s="5">
        <v>1</v>
      </c>
      <c r="CK253" s="5" t="s">
        <v>223</v>
      </c>
      <c r="CU253" s="5" t="s">
        <v>206</v>
      </c>
      <c r="DA253" s="5" t="s">
        <v>252</v>
      </c>
      <c r="DB253" s="5">
        <f t="shared" si="716"/>
        <v>3</v>
      </c>
      <c r="DC253" s="5" t="s">
        <v>230</v>
      </c>
      <c r="DD253" s="5">
        <f t="shared" si="717"/>
        <v>2</v>
      </c>
      <c r="DE253" s="5" t="s">
        <v>230</v>
      </c>
      <c r="DF253" s="5">
        <f t="shared" si="718"/>
        <v>2</v>
      </c>
      <c r="DG253" s="5" t="s">
        <v>230</v>
      </c>
      <c r="DH253" s="5">
        <f t="shared" si="719"/>
        <v>2</v>
      </c>
      <c r="DI253" s="5" t="s">
        <v>230</v>
      </c>
      <c r="DJ253" s="5">
        <f t="shared" si="720"/>
        <v>2</v>
      </c>
      <c r="DK253" s="5" t="s">
        <v>251</v>
      </c>
      <c r="DL253" s="5">
        <f t="shared" si="721"/>
        <v>1</v>
      </c>
      <c r="DM253" s="5" t="s">
        <v>251</v>
      </c>
      <c r="DN253" s="5">
        <f t="shared" si="722"/>
        <v>1</v>
      </c>
      <c r="DO253" s="5" t="s">
        <v>281</v>
      </c>
      <c r="DP253" s="5">
        <f t="shared" si="723"/>
        <v>1</v>
      </c>
      <c r="DQ253" s="5" t="s">
        <v>231</v>
      </c>
      <c r="DR253" s="5">
        <f t="shared" si="724"/>
        <v>2</v>
      </c>
      <c r="DS253" s="5" t="s">
        <v>252</v>
      </c>
      <c r="DT253" s="5">
        <f t="shared" si="725"/>
        <v>3</v>
      </c>
      <c r="DU253" s="5" t="s">
        <v>231</v>
      </c>
      <c r="DV253" s="5">
        <f t="shared" si="726"/>
        <v>2</v>
      </c>
      <c r="DW253" s="5" t="s">
        <v>231</v>
      </c>
      <c r="DX253" s="5">
        <f t="shared" si="727"/>
        <v>2</v>
      </c>
      <c r="DY253" s="5">
        <f t="shared" si="728"/>
        <v>23</v>
      </c>
      <c r="DZ253" s="5" t="str">
        <f t="shared" si="729"/>
        <v>Nivel de riesgo medio</v>
      </c>
      <c r="EA253" s="5" t="s">
        <v>247</v>
      </c>
      <c r="EB253" s="5">
        <f t="shared" si="730"/>
        <v>2</v>
      </c>
      <c r="EC253" s="5" t="s">
        <v>247</v>
      </c>
      <c r="ED253" s="5">
        <f t="shared" si="731"/>
        <v>2</v>
      </c>
      <c r="EE253" s="5" t="s">
        <v>248</v>
      </c>
      <c r="EF253" s="5">
        <f t="shared" si="732"/>
        <v>1</v>
      </c>
      <c r="EG253" s="5">
        <f t="shared" si="733"/>
        <v>5</v>
      </c>
      <c r="EH253" s="5" t="str">
        <f t="shared" si="734"/>
        <v>Nivel de riesgo alto</v>
      </c>
      <c r="EI253" s="5" t="s">
        <v>247</v>
      </c>
      <c r="EJ253" s="5">
        <f t="shared" si="735"/>
        <v>2</v>
      </c>
      <c r="EK253" s="5" t="s">
        <v>254</v>
      </c>
      <c r="EL253" s="5">
        <f t="shared" si="736"/>
        <v>4</v>
      </c>
      <c r="EM253" s="5" t="s">
        <v>232</v>
      </c>
      <c r="EN253" s="5">
        <f t="shared" si="737"/>
        <v>3</v>
      </c>
      <c r="EO253" s="5">
        <f t="shared" si="738"/>
        <v>9</v>
      </c>
      <c r="EP253" s="5" t="str">
        <f t="shared" si="739"/>
        <v>Nivel de riesgo alto</v>
      </c>
      <c r="EQ253" s="5" t="s">
        <v>247</v>
      </c>
      <c r="ER253" s="5">
        <f t="shared" si="740"/>
        <v>2</v>
      </c>
      <c r="ES253" s="5" t="s">
        <v>247</v>
      </c>
      <c r="ET253" s="5">
        <f t="shared" si="741"/>
        <v>2</v>
      </c>
      <c r="EU253" s="5" t="s">
        <v>248</v>
      </c>
      <c r="EV253" s="5">
        <f t="shared" si="742"/>
        <v>3</v>
      </c>
      <c r="EW253" s="5" t="s">
        <v>248</v>
      </c>
      <c r="EX253" s="5">
        <f t="shared" si="743"/>
        <v>3</v>
      </c>
      <c r="EY253" s="5">
        <f t="shared" si="744"/>
        <v>10</v>
      </c>
      <c r="EZ253" s="5" t="str">
        <f t="shared" si="745"/>
        <v>Nivel de riesgo alto</v>
      </c>
      <c r="FA253" s="5" t="s">
        <v>247</v>
      </c>
      <c r="FB253" s="5">
        <f t="shared" si="746"/>
        <v>2</v>
      </c>
      <c r="FC253" s="5" t="s">
        <v>253</v>
      </c>
      <c r="FD253" s="5">
        <f t="shared" si="747"/>
        <v>0</v>
      </c>
      <c r="FE253" s="5" t="s">
        <v>253</v>
      </c>
      <c r="FF253" s="5">
        <f t="shared" si="748"/>
        <v>0</v>
      </c>
      <c r="FG253" s="5">
        <f t="shared" si="749"/>
        <v>2</v>
      </c>
      <c r="FH253" s="5" t="str">
        <f t="shared" si="750"/>
        <v>Nivel de riesgo bajo</v>
      </c>
      <c r="FI253" s="5" t="s">
        <v>248</v>
      </c>
      <c r="FJ253" s="5">
        <f t="shared" si="751"/>
        <v>1</v>
      </c>
      <c r="FK253" s="5" t="s">
        <v>248</v>
      </c>
      <c r="FL253" s="5">
        <f t="shared" si="752"/>
        <v>1</v>
      </c>
      <c r="FM253" s="5" t="s">
        <v>248</v>
      </c>
      <c r="FN253" s="5">
        <f t="shared" si="753"/>
        <v>1</v>
      </c>
      <c r="FO253" s="5">
        <f t="shared" si="754"/>
        <v>3</v>
      </c>
      <c r="FP253" s="5" t="str">
        <f t="shared" si="755"/>
        <v>Nivel de riesgo medio</v>
      </c>
      <c r="FQ253" s="5" t="s">
        <v>265</v>
      </c>
      <c r="FR253" s="5">
        <f t="shared" si="756"/>
        <v>1</v>
      </c>
      <c r="FS253" s="5" t="s">
        <v>206</v>
      </c>
      <c r="FT253" s="5">
        <f t="shared" si="757"/>
        <v>0</v>
      </c>
      <c r="FU253" s="5" t="s">
        <v>206</v>
      </c>
      <c r="FV253" s="5">
        <f t="shared" si="758"/>
        <v>0</v>
      </c>
      <c r="FW253" s="5" t="s">
        <v>206</v>
      </c>
      <c r="FX253" s="5">
        <f t="shared" si="759"/>
        <v>0</v>
      </c>
      <c r="FY253" s="5" t="s">
        <v>206</v>
      </c>
      <c r="FZ253" s="5">
        <f t="shared" si="760"/>
        <v>0</v>
      </c>
      <c r="GA253" s="5" t="s">
        <v>206</v>
      </c>
      <c r="GB253" s="5">
        <f t="shared" si="761"/>
        <v>0</v>
      </c>
      <c r="GC253" s="5" t="s">
        <v>265</v>
      </c>
      <c r="GD253" s="5">
        <f t="shared" si="762"/>
        <v>1</v>
      </c>
      <c r="GE253" s="5">
        <f t="shared" si="763"/>
        <v>2</v>
      </c>
      <c r="GF253" s="5" t="str">
        <f t="shared" si="764"/>
        <v>Nivel de riesgo medio</v>
      </c>
      <c r="GG253" s="5" t="s">
        <v>273</v>
      </c>
      <c r="GH253" s="5" t="s">
        <v>273</v>
      </c>
      <c r="GI253" s="5" t="s">
        <v>273</v>
      </c>
      <c r="GJ253" s="5" t="s">
        <v>266</v>
      </c>
      <c r="GK253" s="5" t="s">
        <v>298</v>
      </c>
      <c r="GL253" s="5" t="s">
        <v>298</v>
      </c>
      <c r="GM253" s="5" t="s">
        <v>298</v>
      </c>
      <c r="GN253" s="5" t="s">
        <v>243</v>
      </c>
      <c r="GO253" s="5" t="s">
        <v>243</v>
      </c>
      <c r="GP253" s="5" t="s">
        <v>243</v>
      </c>
      <c r="GQ253" s="5" t="s">
        <v>243</v>
      </c>
      <c r="GR253" s="5" t="s">
        <v>243</v>
      </c>
      <c r="GS253" s="5" t="s">
        <v>243</v>
      </c>
      <c r="GT253" s="5" t="s">
        <v>243</v>
      </c>
      <c r="GU253" s="5" t="s">
        <v>603</v>
      </c>
      <c r="GV253" s="5" t="str">
        <f>TEXT("6279227174376370259","0")</f>
        <v>6279227174376370000</v>
      </c>
    </row>
    <row r="254" spans="1:204" ht="15.75" customHeight="1" x14ac:dyDescent="0.15">
      <c r="A254" s="1">
        <f t="shared" si="714"/>
        <v>254</v>
      </c>
      <c r="B254" s="4">
        <v>45847.929131944446</v>
      </c>
      <c r="C254" s="5" t="s">
        <v>204</v>
      </c>
      <c r="D254" s="5" t="s">
        <v>204</v>
      </c>
      <c r="E254" s="5" t="s">
        <v>335</v>
      </c>
      <c r="F254" s="5" t="s">
        <v>206</v>
      </c>
      <c r="G254" s="5" t="s">
        <v>204</v>
      </c>
      <c r="H254" s="5" t="s">
        <v>204</v>
      </c>
      <c r="J254" s="5" t="s">
        <v>209</v>
      </c>
      <c r="O254" s="5" t="s">
        <v>209</v>
      </c>
      <c r="S254" s="5" t="s">
        <v>208</v>
      </c>
      <c r="Y254" s="5" t="s">
        <v>209</v>
      </c>
      <c r="AC254" s="5" t="s">
        <v>208</v>
      </c>
      <c r="AH254" s="5" t="s">
        <v>210</v>
      </c>
      <c r="AI254" s="5">
        <v>2021</v>
      </c>
      <c r="AJ254" s="5" t="s">
        <v>238</v>
      </c>
      <c r="AK254" s="5" t="str">
        <f t="shared" si="715"/>
        <v>Trabajadora por cuenta propia</v>
      </c>
      <c r="AM254" s="5" t="s">
        <v>309</v>
      </c>
      <c r="AP254" s="5" t="s">
        <v>604</v>
      </c>
      <c r="AR254" s="5" t="s">
        <v>241</v>
      </c>
      <c r="AS254" s="5" t="s">
        <v>241</v>
      </c>
      <c r="AT254" s="5" t="s">
        <v>241</v>
      </c>
      <c r="AU254" s="5" t="s">
        <v>241</v>
      </c>
      <c r="AV254" s="5" t="s">
        <v>285</v>
      </c>
      <c r="AW254" s="5" t="s">
        <v>204</v>
      </c>
      <c r="AX254" s="5" t="s">
        <v>206</v>
      </c>
      <c r="BF254" s="5" t="s">
        <v>204</v>
      </c>
      <c r="BG254" s="5" t="s">
        <v>278</v>
      </c>
      <c r="BH254" s="5" t="s">
        <v>271</v>
      </c>
      <c r="BI254" s="5" t="s">
        <v>278</v>
      </c>
      <c r="BJ254" s="5" t="s">
        <v>271</v>
      </c>
      <c r="BK254" s="5" t="s">
        <v>243</v>
      </c>
      <c r="BL254" s="5" t="s">
        <v>243</v>
      </c>
      <c r="BM254" s="5" t="s">
        <v>246</v>
      </c>
      <c r="BN254" s="5" t="s">
        <v>243</v>
      </c>
      <c r="BO254" s="5" t="s">
        <v>243</v>
      </c>
      <c r="BP254" s="5" t="s">
        <v>243</v>
      </c>
      <c r="BQ254" s="5" t="s">
        <v>246</v>
      </c>
      <c r="BR254" s="5" t="s">
        <v>246</v>
      </c>
      <c r="BS254" s="5" t="s">
        <v>254</v>
      </c>
      <c r="BT254" s="5" t="s">
        <v>232</v>
      </c>
      <c r="BU254" s="5" t="s">
        <v>247</v>
      </c>
      <c r="BV254" s="5" t="s">
        <v>248</v>
      </c>
      <c r="BW254" s="5" t="s">
        <v>248</v>
      </c>
      <c r="BX254" s="5" t="s">
        <v>247</v>
      </c>
      <c r="BY254" s="5" t="s">
        <v>248</v>
      </c>
      <c r="BZ254" s="5" t="s">
        <v>246</v>
      </c>
      <c r="CA254" s="5" t="s">
        <v>243</v>
      </c>
      <c r="CB254" s="5" t="s">
        <v>243</v>
      </c>
      <c r="CC254" s="5" t="s">
        <v>243</v>
      </c>
      <c r="CD254" s="5" t="s">
        <v>204</v>
      </c>
      <c r="CE254" s="5" t="s">
        <v>286</v>
      </c>
      <c r="CF254" s="5" t="s">
        <v>279</v>
      </c>
      <c r="CG254" s="5" t="s">
        <v>206</v>
      </c>
      <c r="CH254" s="5" t="s">
        <v>206</v>
      </c>
      <c r="CI254" s="5" t="s">
        <v>307</v>
      </c>
      <c r="CJ254" s="5">
        <v>3</v>
      </c>
      <c r="CK254" s="5" t="s">
        <v>223</v>
      </c>
      <c r="CU254" s="5" t="s">
        <v>206</v>
      </c>
      <c r="DA254" s="5" t="s">
        <v>229</v>
      </c>
      <c r="DB254" s="5">
        <f t="shared" si="716"/>
        <v>4</v>
      </c>
      <c r="DC254" s="5" t="s">
        <v>250</v>
      </c>
      <c r="DD254" s="5">
        <f t="shared" si="717"/>
        <v>3</v>
      </c>
      <c r="DE254" s="5" t="s">
        <v>250</v>
      </c>
      <c r="DF254" s="5">
        <f t="shared" si="718"/>
        <v>3</v>
      </c>
      <c r="DG254" s="5" t="s">
        <v>250</v>
      </c>
      <c r="DH254" s="5">
        <f t="shared" si="719"/>
        <v>3</v>
      </c>
      <c r="DI254" s="5" t="s">
        <v>230</v>
      </c>
      <c r="DJ254" s="5">
        <f t="shared" si="720"/>
        <v>2</v>
      </c>
      <c r="DK254" s="5" t="s">
        <v>230</v>
      </c>
      <c r="DL254" s="5">
        <f t="shared" si="721"/>
        <v>2</v>
      </c>
      <c r="DM254" s="5" t="s">
        <v>230</v>
      </c>
      <c r="DN254" s="5">
        <f t="shared" si="722"/>
        <v>2</v>
      </c>
      <c r="DO254" s="5" t="s">
        <v>229</v>
      </c>
      <c r="DP254" s="5">
        <f t="shared" si="723"/>
        <v>4</v>
      </c>
      <c r="DQ254" s="5" t="s">
        <v>229</v>
      </c>
      <c r="DR254" s="5">
        <f t="shared" si="724"/>
        <v>4</v>
      </c>
      <c r="DS254" s="5" t="s">
        <v>252</v>
      </c>
      <c r="DT254" s="5">
        <f t="shared" si="725"/>
        <v>3</v>
      </c>
      <c r="DU254" s="5" t="s">
        <v>252</v>
      </c>
      <c r="DV254" s="5">
        <f t="shared" si="726"/>
        <v>3</v>
      </c>
      <c r="DW254" s="5" t="s">
        <v>229</v>
      </c>
      <c r="DX254" s="5">
        <f t="shared" si="727"/>
        <v>4</v>
      </c>
      <c r="DY254" s="5">
        <f t="shared" si="728"/>
        <v>37</v>
      </c>
      <c r="DZ254" s="5" t="str">
        <f t="shared" si="729"/>
        <v>Nivel de riesgo alto</v>
      </c>
      <c r="EA254" s="5" t="s">
        <v>248</v>
      </c>
      <c r="EB254" s="5">
        <f t="shared" si="730"/>
        <v>1</v>
      </c>
      <c r="EC254" s="5" t="s">
        <v>248</v>
      </c>
      <c r="ED254" s="5">
        <f t="shared" si="731"/>
        <v>1</v>
      </c>
      <c r="EE254" s="5" t="s">
        <v>248</v>
      </c>
      <c r="EF254" s="5">
        <f t="shared" si="732"/>
        <v>1</v>
      </c>
      <c r="EG254" s="5">
        <f t="shared" si="733"/>
        <v>3</v>
      </c>
      <c r="EH254" s="5" t="str">
        <f t="shared" si="734"/>
        <v>Nivel de riesgo medio</v>
      </c>
      <c r="EI254" s="5" t="s">
        <v>248</v>
      </c>
      <c r="EJ254" s="5">
        <f t="shared" si="735"/>
        <v>1</v>
      </c>
      <c r="EK254" s="5" t="s">
        <v>248</v>
      </c>
      <c r="EL254" s="5">
        <f t="shared" si="736"/>
        <v>1</v>
      </c>
      <c r="EM254" s="5" t="s">
        <v>248</v>
      </c>
      <c r="EN254" s="5">
        <f t="shared" si="737"/>
        <v>1</v>
      </c>
      <c r="EO254" s="5">
        <f t="shared" si="738"/>
        <v>3</v>
      </c>
      <c r="EP254" s="5" t="str">
        <f t="shared" si="739"/>
        <v>Nivel de riesgo medio</v>
      </c>
      <c r="EQ254" s="5" t="s">
        <v>248</v>
      </c>
      <c r="ER254" s="5">
        <f t="shared" si="740"/>
        <v>3</v>
      </c>
      <c r="ES254" s="5" t="s">
        <v>248</v>
      </c>
      <c r="ET254" s="5">
        <f t="shared" si="741"/>
        <v>3</v>
      </c>
      <c r="EU254" s="5" t="s">
        <v>248</v>
      </c>
      <c r="EV254" s="5">
        <f t="shared" si="742"/>
        <v>3</v>
      </c>
      <c r="EW254" s="5" t="s">
        <v>248</v>
      </c>
      <c r="EX254" s="5">
        <f t="shared" si="743"/>
        <v>3</v>
      </c>
      <c r="EY254" s="5">
        <f t="shared" si="744"/>
        <v>12</v>
      </c>
      <c r="EZ254" s="5" t="str">
        <f t="shared" si="745"/>
        <v>Nivel de riesgo alto</v>
      </c>
      <c r="FA254" s="5" t="s">
        <v>248</v>
      </c>
      <c r="FB254" s="5">
        <f t="shared" si="746"/>
        <v>1</v>
      </c>
      <c r="FC254" s="5" t="s">
        <v>248</v>
      </c>
      <c r="FD254" s="5">
        <f t="shared" si="747"/>
        <v>1</v>
      </c>
      <c r="FE254" s="5" t="s">
        <v>248</v>
      </c>
      <c r="FF254" s="5">
        <f t="shared" si="748"/>
        <v>1</v>
      </c>
      <c r="FG254" s="5">
        <f t="shared" si="749"/>
        <v>3</v>
      </c>
      <c r="FH254" s="5" t="str">
        <f t="shared" si="750"/>
        <v>Nivel de riesgo medio</v>
      </c>
      <c r="FI254" s="5" t="s">
        <v>248</v>
      </c>
      <c r="FJ254" s="5">
        <f t="shared" si="751"/>
        <v>1</v>
      </c>
      <c r="FK254" s="5" t="s">
        <v>248</v>
      </c>
      <c r="FL254" s="5">
        <f t="shared" si="752"/>
        <v>1</v>
      </c>
      <c r="FM254" s="5" t="s">
        <v>248</v>
      </c>
      <c r="FN254" s="5">
        <f t="shared" si="753"/>
        <v>1</v>
      </c>
      <c r="FO254" s="5">
        <f t="shared" si="754"/>
        <v>3</v>
      </c>
      <c r="FP254" s="5" t="str">
        <f t="shared" si="755"/>
        <v>Nivel de riesgo medio</v>
      </c>
      <c r="FQ254" s="5" t="s">
        <v>206</v>
      </c>
      <c r="FR254" s="5">
        <f t="shared" si="756"/>
        <v>0</v>
      </c>
      <c r="FS254" s="5" t="s">
        <v>206</v>
      </c>
      <c r="FT254" s="5">
        <f t="shared" si="757"/>
        <v>0</v>
      </c>
      <c r="FU254" s="5" t="s">
        <v>206</v>
      </c>
      <c r="FV254" s="5">
        <f t="shared" si="758"/>
        <v>0</v>
      </c>
      <c r="FW254" s="5" t="s">
        <v>206</v>
      </c>
      <c r="FX254" s="5">
        <f t="shared" si="759"/>
        <v>0</v>
      </c>
      <c r="FY254" s="5" t="s">
        <v>206</v>
      </c>
      <c r="FZ254" s="5">
        <f t="shared" si="760"/>
        <v>0</v>
      </c>
      <c r="GA254" s="5" t="s">
        <v>206</v>
      </c>
      <c r="GB254" s="5">
        <f t="shared" si="761"/>
        <v>0</v>
      </c>
      <c r="GC254" s="5" t="s">
        <v>206</v>
      </c>
      <c r="GD254" s="5">
        <f t="shared" si="762"/>
        <v>0</v>
      </c>
      <c r="GE254" s="5">
        <f t="shared" si="763"/>
        <v>0</v>
      </c>
      <c r="GF254" s="5" t="str">
        <f t="shared" si="764"/>
        <v>Nivel de riesgo bajo</v>
      </c>
      <c r="GG254" s="5" t="s">
        <v>255</v>
      </c>
      <c r="GH254" s="5" t="s">
        <v>255</v>
      </c>
      <c r="GI254" s="5" t="s">
        <v>255</v>
      </c>
      <c r="GJ254" s="5" t="s">
        <v>255</v>
      </c>
      <c r="GK254" s="5" t="s">
        <v>233</v>
      </c>
      <c r="GL254" s="5" t="s">
        <v>233</v>
      </c>
      <c r="GM254" s="5" t="s">
        <v>298</v>
      </c>
      <c r="GN254" s="5" t="s">
        <v>256</v>
      </c>
      <c r="GO254" s="5" t="s">
        <v>243</v>
      </c>
      <c r="GP254" s="5" t="s">
        <v>243</v>
      </c>
      <c r="GQ254" s="5" t="s">
        <v>243</v>
      </c>
      <c r="GR254" s="5" t="s">
        <v>243</v>
      </c>
      <c r="GS254" s="5" t="s">
        <v>243</v>
      </c>
      <c r="GT254" s="5" t="s">
        <v>256</v>
      </c>
      <c r="GU254" s="5" t="s">
        <v>605</v>
      </c>
      <c r="GV254" s="5" t="str">
        <f>TEXT("6279230773815536872","0")</f>
        <v>6279230773815530000</v>
      </c>
    </row>
    <row r="255" spans="1:204" ht="15.75" customHeight="1" x14ac:dyDescent="0.15">
      <c r="A255" s="1">
        <f t="shared" si="714"/>
        <v>255</v>
      </c>
      <c r="B255" s="4">
        <v>45847.940046296295</v>
      </c>
      <c r="C255" s="5" t="s">
        <v>204</v>
      </c>
      <c r="D255" s="5" t="s">
        <v>206</v>
      </c>
      <c r="F255" s="5" t="s">
        <v>206</v>
      </c>
      <c r="G255" s="5" t="s">
        <v>204</v>
      </c>
      <c r="H255" s="5" t="s">
        <v>206</v>
      </c>
      <c r="K255" s="5" t="s">
        <v>237</v>
      </c>
      <c r="O255" s="5" t="s">
        <v>209</v>
      </c>
      <c r="S255" s="5" t="s">
        <v>208</v>
      </c>
      <c r="X255" s="5" t="s">
        <v>208</v>
      </c>
      <c r="AC255" s="5" t="s">
        <v>208</v>
      </c>
      <c r="AH255" s="5" t="s">
        <v>210</v>
      </c>
      <c r="AI255" s="5">
        <v>2017</v>
      </c>
      <c r="AJ255" s="5" t="s">
        <v>330</v>
      </c>
      <c r="AK255" s="5" t="str">
        <f t="shared" si="715"/>
        <v>Asalariada</v>
      </c>
      <c r="AQ255" s="5" t="s">
        <v>206</v>
      </c>
      <c r="AR255" s="5" t="s">
        <v>241</v>
      </c>
      <c r="AS255" s="5" t="s">
        <v>241</v>
      </c>
      <c r="AT255" s="5" t="s">
        <v>294</v>
      </c>
      <c r="AU255" s="5" t="s">
        <v>294</v>
      </c>
      <c r="AV255" s="5" t="s">
        <v>302</v>
      </c>
      <c r="AW255" s="5" t="s">
        <v>206</v>
      </c>
      <c r="BF255" s="5" t="s">
        <v>204</v>
      </c>
      <c r="BG255" s="5" t="s">
        <v>207</v>
      </c>
      <c r="BH255" s="5" t="s">
        <v>242</v>
      </c>
      <c r="BI255" s="5" t="s">
        <v>207</v>
      </c>
      <c r="BJ255" s="5" t="s">
        <v>215</v>
      </c>
      <c r="BK255" s="5" t="s">
        <v>216</v>
      </c>
      <c r="BL255" s="5" t="s">
        <v>216</v>
      </c>
      <c r="BM255" s="5" t="s">
        <v>216</v>
      </c>
      <c r="BN255" s="5" t="s">
        <v>216</v>
      </c>
      <c r="BO255" s="5" t="s">
        <v>216</v>
      </c>
      <c r="BP255" s="5" t="s">
        <v>216</v>
      </c>
      <c r="BQ255" s="5" t="s">
        <v>216</v>
      </c>
      <c r="BR255" s="5" t="s">
        <v>216</v>
      </c>
      <c r="BS255" s="5" t="s">
        <v>247</v>
      </c>
      <c r="BT255" s="5" t="s">
        <v>247</v>
      </c>
      <c r="BU255" s="5" t="s">
        <v>247</v>
      </c>
      <c r="BV255" s="5" t="s">
        <v>248</v>
      </c>
      <c r="BW255" s="5" t="s">
        <v>232</v>
      </c>
      <c r="BX255" s="5" t="s">
        <v>247</v>
      </c>
      <c r="BY255" s="5" t="s">
        <v>232</v>
      </c>
      <c r="CD255" s="5" t="s">
        <v>206</v>
      </c>
      <c r="CH255" s="5" t="s">
        <v>206</v>
      </c>
      <c r="CI255" s="5" t="s">
        <v>206</v>
      </c>
      <c r="CJ255" s="5">
        <v>0</v>
      </c>
      <c r="CK255" s="5" t="s">
        <v>223</v>
      </c>
      <c r="CU255" s="5" t="s">
        <v>206</v>
      </c>
      <c r="DA255" s="5" t="s">
        <v>252</v>
      </c>
      <c r="DB255" s="5">
        <f t="shared" si="716"/>
        <v>3</v>
      </c>
      <c r="DC255" s="5" t="s">
        <v>280</v>
      </c>
      <c r="DD255" s="5">
        <f t="shared" si="717"/>
        <v>4</v>
      </c>
      <c r="DE255" s="5" t="s">
        <v>230</v>
      </c>
      <c r="DF255" s="5">
        <f t="shared" si="718"/>
        <v>2</v>
      </c>
      <c r="DG255" s="5" t="s">
        <v>230</v>
      </c>
      <c r="DH255" s="5">
        <f t="shared" si="719"/>
        <v>2</v>
      </c>
      <c r="DI255" s="5" t="s">
        <v>251</v>
      </c>
      <c r="DJ255" s="5">
        <f t="shared" si="720"/>
        <v>1</v>
      </c>
      <c r="DK255" s="5" t="s">
        <v>251</v>
      </c>
      <c r="DL255" s="5">
        <f t="shared" si="721"/>
        <v>1</v>
      </c>
      <c r="DM255" s="5" t="s">
        <v>251</v>
      </c>
      <c r="DN255" s="5">
        <f t="shared" si="722"/>
        <v>1</v>
      </c>
      <c r="DO255" s="5" t="s">
        <v>231</v>
      </c>
      <c r="DP255" s="5">
        <f t="shared" si="723"/>
        <v>2</v>
      </c>
      <c r="DQ255" s="5" t="s">
        <v>231</v>
      </c>
      <c r="DR255" s="5">
        <f t="shared" si="724"/>
        <v>2</v>
      </c>
      <c r="DS255" s="5" t="s">
        <v>252</v>
      </c>
      <c r="DT255" s="5">
        <f t="shared" si="725"/>
        <v>3</v>
      </c>
      <c r="DU255" s="5" t="s">
        <v>231</v>
      </c>
      <c r="DV255" s="5">
        <f t="shared" si="726"/>
        <v>2</v>
      </c>
      <c r="DW255" s="5" t="s">
        <v>231</v>
      </c>
      <c r="DX255" s="5">
        <f t="shared" si="727"/>
        <v>2</v>
      </c>
      <c r="DY255" s="5">
        <f t="shared" si="728"/>
        <v>25</v>
      </c>
      <c r="DZ255" s="5" t="str">
        <f t="shared" si="729"/>
        <v>Nivel de riesgo alto</v>
      </c>
      <c r="EA255" s="5" t="s">
        <v>247</v>
      </c>
      <c r="EB255" s="5">
        <f t="shared" si="730"/>
        <v>2</v>
      </c>
      <c r="EC255" s="5" t="s">
        <v>248</v>
      </c>
      <c r="ED255" s="5">
        <f t="shared" si="731"/>
        <v>1</v>
      </c>
      <c r="EE255" s="5" t="s">
        <v>248</v>
      </c>
      <c r="EF255" s="5">
        <f t="shared" si="732"/>
        <v>1</v>
      </c>
      <c r="EG255" s="5">
        <f t="shared" si="733"/>
        <v>4</v>
      </c>
      <c r="EH255" s="5" t="str">
        <f t="shared" si="734"/>
        <v>Nivel de riesgo medio</v>
      </c>
      <c r="EI255" s="5" t="s">
        <v>247</v>
      </c>
      <c r="EJ255" s="5">
        <f t="shared" si="735"/>
        <v>2</v>
      </c>
      <c r="EK255" s="5" t="s">
        <v>248</v>
      </c>
      <c r="EL255" s="5">
        <f t="shared" si="736"/>
        <v>1</v>
      </c>
      <c r="EM255" s="5" t="s">
        <v>248</v>
      </c>
      <c r="EN255" s="5">
        <f t="shared" si="737"/>
        <v>1</v>
      </c>
      <c r="EO255" s="5">
        <f t="shared" si="738"/>
        <v>4</v>
      </c>
      <c r="EP255" s="5" t="str">
        <f t="shared" si="739"/>
        <v>Nivel de riesgo medio</v>
      </c>
      <c r="EQ255" s="5" t="s">
        <v>247</v>
      </c>
      <c r="ER255" s="5">
        <f t="shared" si="740"/>
        <v>2</v>
      </c>
      <c r="ES255" s="5" t="s">
        <v>232</v>
      </c>
      <c r="ET255" s="5">
        <f t="shared" si="741"/>
        <v>1</v>
      </c>
      <c r="EU255" s="5" t="s">
        <v>232</v>
      </c>
      <c r="EV255" s="5">
        <f t="shared" si="742"/>
        <v>1</v>
      </c>
      <c r="EW255" s="5" t="s">
        <v>254</v>
      </c>
      <c r="EX255" s="5">
        <f t="shared" si="743"/>
        <v>0</v>
      </c>
      <c r="EY255" s="5">
        <f t="shared" si="744"/>
        <v>4</v>
      </c>
      <c r="EZ255" s="5" t="str">
        <f t="shared" si="745"/>
        <v>Nivel de riesgo medio</v>
      </c>
      <c r="FA255" s="5" t="s">
        <v>248</v>
      </c>
      <c r="FB255" s="5">
        <f t="shared" si="746"/>
        <v>1</v>
      </c>
      <c r="FC255" s="5" t="s">
        <v>253</v>
      </c>
      <c r="FD255" s="5">
        <f t="shared" si="747"/>
        <v>0</v>
      </c>
      <c r="FE255" s="5" t="s">
        <v>253</v>
      </c>
      <c r="FF255" s="5">
        <f t="shared" si="748"/>
        <v>0</v>
      </c>
      <c r="FG255" s="5">
        <f t="shared" si="749"/>
        <v>1</v>
      </c>
      <c r="FH255" s="5" t="str">
        <f t="shared" si="750"/>
        <v>Nivel de riesgo bajo</v>
      </c>
      <c r="FI255" s="5" t="s">
        <v>247</v>
      </c>
      <c r="FJ255" s="5">
        <f t="shared" si="751"/>
        <v>2</v>
      </c>
      <c r="FK255" s="5" t="s">
        <v>247</v>
      </c>
      <c r="FL255" s="5">
        <f t="shared" si="752"/>
        <v>2</v>
      </c>
      <c r="FM255" s="5" t="s">
        <v>248</v>
      </c>
      <c r="FN255" s="5">
        <f t="shared" si="753"/>
        <v>1</v>
      </c>
      <c r="FO255" s="5">
        <f t="shared" si="754"/>
        <v>5</v>
      </c>
      <c r="FP255" s="5" t="str">
        <f t="shared" si="755"/>
        <v>Nivel de riesgo medio</v>
      </c>
      <c r="FQ255" s="5" t="s">
        <v>206</v>
      </c>
      <c r="FR255" s="5">
        <f t="shared" si="756"/>
        <v>0</v>
      </c>
      <c r="FS255" s="5" t="s">
        <v>206</v>
      </c>
      <c r="FT255" s="5">
        <f t="shared" si="757"/>
        <v>0</v>
      </c>
      <c r="FU255" s="5" t="s">
        <v>206</v>
      </c>
      <c r="FV255" s="5">
        <f t="shared" si="758"/>
        <v>0</v>
      </c>
      <c r="FW255" s="5" t="s">
        <v>206</v>
      </c>
      <c r="FX255" s="5">
        <f t="shared" si="759"/>
        <v>0</v>
      </c>
      <c r="FY255" s="5" t="s">
        <v>206</v>
      </c>
      <c r="FZ255" s="5">
        <f t="shared" si="760"/>
        <v>0</v>
      </c>
      <c r="GA255" s="5" t="s">
        <v>206</v>
      </c>
      <c r="GB255" s="5">
        <f t="shared" si="761"/>
        <v>0</v>
      </c>
      <c r="GC255" s="5" t="s">
        <v>206</v>
      </c>
      <c r="GD255" s="5">
        <f t="shared" si="762"/>
        <v>0</v>
      </c>
      <c r="GE255" s="5">
        <f t="shared" si="763"/>
        <v>0</v>
      </c>
      <c r="GF255" s="5" t="str">
        <f t="shared" si="764"/>
        <v>Nivel de riesgo bajo</v>
      </c>
      <c r="GG255" s="5" t="s">
        <v>255</v>
      </c>
      <c r="GH255" s="5" t="s">
        <v>255</v>
      </c>
      <c r="GI255" s="5" t="s">
        <v>255</v>
      </c>
      <c r="GJ255" s="5" t="s">
        <v>233</v>
      </c>
      <c r="GK255" s="5" t="s">
        <v>233</v>
      </c>
      <c r="GL255" s="5" t="s">
        <v>233</v>
      </c>
      <c r="GM255" s="5" t="s">
        <v>266</v>
      </c>
      <c r="GN255" s="5" t="s">
        <v>256</v>
      </c>
      <c r="GO255" s="5" t="s">
        <v>243</v>
      </c>
      <c r="GP255" s="5" t="s">
        <v>243</v>
      </c>
      <c r="GQ255" s="5" t="s">
        <v>243</v>
      </c>
      <c r="GR255" s="5" t="s">
        <v>243</v>
      </c>
      <c r="GS255" s="5" t="s">
        <v>257</v>
      </c>
      <c r="GT255" s="5" t="s">
        <v>243</v>
      </c>
      <c r="GU255" s="5" t="s">
        <v>606</v>
      </c>
      <c r="GV255" s="5" t="str">
        <f>TEXT("6279240205482085835","0")</f>
        <v>6279240205482080000</v>
      </c>
    </row>
    <row r="256" spans="1:204" ht="15.75" customHeight="1" x14ac:dyDescent="0.15">
      <c r="A256" s="1">
        <f t="shared" si="714"/>
        <v>256</v>
      </c>
      <c r="B256" s="4">
        <v>45847.948541666665</v>
      </c>
      <c r="C256" s="5" t="s">
        <v>204</v>
      </c>
      <c r="D256" s="5" t="s">
        <v>206</v>
      </c>
      <c r="F256" s="5" t="s">
        <v>206</v>
      </c>
      <c r="G256" s="5" t="s">
        <v>206</v>
      </c>
      <c r="H256" s="5" t="s">
        <v>206</v>
      </c>
      <c r="K256" s="5" t="s">
        <v>237</v>
      </c>
      <c r="O256" s="5" t="s">
        <v>209</v>
      </c>
      <c r="U256" s="5" t="s">
        <v>237</v>
      </c>
      <c r="Y256" s="5" t="s">
        <v>209</v>
      </c>
      <c r="AG256" s="5" t="s">
        <v>207</v>
      </c>
      <c r="AH256" s="5" t="s">
        <v>210</v>
      </c>
      <c r="AI256" s="5">
        <v>2022</v>
      </c>
      <c r="AJ256" s="5" t="s">
        <v>238</v>
      </c>
      <c r="AK256" s="5" t="str">
        <f t="shared" si="715"/>
        <v>Trabajadora por cuenta propia</v>
      </c>
      <c r="AM256" s="5" t="s">
        <v>309</v>
      </c>
      <c r="AP256" s="5" t="s">
        <v>297</v>
      </c>
      <c r="AR256" s="5" t="s">
        <v>241</v>
      </c>
      <c r="AS256" s="5" t="s">
        <v>241</v>
      </c>
      <c r="AT256" s="5" t="s">
        <v>241</v>
      </c>
      <c r="AU256" s="5" t="s">
        <v>241</v>
      </c>
      <c r="AV256" s="5" t="s">
        <v>285</v>
      </c>
      <c r="AW256" s="5" t="s">
        <v>204</v>
      </c>
      <c r="AX256" s="5" t="s">
        <v>204</v>
      </c>
      <c r="AY256" s="5" t="s">
        <v>214</v>
      </c>
      <c r="AZ256" s="5" t="s">
        <v>204</v>
      </c>
      <c r="BA256" s="5" t="s">
        <v>295</v>
      </c>
      <c r="BB256" s="5" t="s">
        <v>206</v>
      </c>
      <c r="BC256" s="5" t="s">
        <v>206</v>
      </c>
      <c r="BD256" s="5" t="s">
        <v>290</v>
      </c>
      <c r="BE256" s="5" t="s">
        <v>206</v>
      </c>
      <c r="BF256" s="5" t="s">
        <v>204</v>
      </c>
      <c r="BG256" s="5" t="s">
        <v>207</v>
      </c>
      <c r="BH256" s="5" t="s">
        <v>278</v>
      </c>
      <c r="BI256" s="5" t="s">
        <v>207</v>
      </c>
      <c r="BJ256" s="5" t="s">
        <v>278</v>
      </c>
      <c r="BK256" s="5" t="s">
        <v>245</v>
      </c>
      <c r="BL256" s="5" t="s">
        <v>245</v>
      </c>
      <c r="BM256" s="5" t="s">
        <v>245</v>
      </c>
      <c r="BN256" s="5" t="s">
        <v>245</v>
      </c>
      <c r="BO256" s="5" t="s">
        <v>243</v>
      </c>
      <c r="BP256" s="5" t="s">
        <v>243</v>
      </c>
      <c r="BQ256" s="5" t="s">
        <v>243</v>
      </c>
      <c r="BR256" s="5" t="s">
        <v>245</v>
      </c>
      <c r="BS256" s="5" t="s">
        <v>254</v>
      </c>
      <c r="BT256" s="5" t="s">
        <v>232</v>
      </c>
      <c r="BU256" s="5" t="s">
        <v>232</v>
      </c>
      <c r="BV256" s="5" t="s">
        <v>247</v>
      </c>
      <c r="BW256" s="5" t="s">
        <v>232</v>
      </c>
      <c r="BX256" s="5" t="s">
        <v>232</v>
      </c>
      <c r="BY256" s="5" t="s">
        <v>232</v>
      </c>
      <c r="BZ256" s="5" t="s">
        <v>245</v>
      </c>
      <c r="CA256" s="5" t="s">
        <v>245</v>
      </c>
      <c r="CB256" s="5" t="s">
        <v>245</v>
      </c>
      <c r="CC256" s="5" t="s">
        <v>245</v>
      </c>
      <c r="CD256" s="5" t="s">
        <v>206</v>
      </c>
      <c r="CH256" s="5" t="s">
        <v>206</v>
      </c>
      <c r="CI256" s="5" t="s">
        <v>383</v>
      </c>
      <c r="CJ256" s="5">
        <v>9</v>
      </c>
      <c r="CK256" s="5" t="s">
        <v>223</v>
      </c>
      <c r="CU256" s="5" t="s">
        <v>206</v>
      </c>
      <c r="DA256" s="5" t="s">
        <v>231</v>
      </c>
      <c r="DB256" s="5">
        <f t="shared" si="716"/>
        <v>2</v>
      </c>
      <c r="DC256" s="5" t="s">
        <v>230</v>
      </c>
      <c r="DD256" s="5">
        <f t="shared" si="717"/>
        <v>2</v>
      </c>
      <c r="DE256" s="5" t="s">
        <v>230</v>
      </c>
      <c r="DF256" s="5">
        <f t="shared" si="718"/>
        <v>2</v>
      </c>
      <c r="DG256" s="5" t="s">
        <v>230</v>
      </c>
      <c r="DH256" s="5">
        <f t="shared" si="719"/>
        <v>2</v>
      </c>
      <c r="DI256" s="5" t="s">
        <v>250</v>
      </c>
      <c r="DJ256" s="5">
        <f t="shared" si="720"/>
        <v>3</v>
      </c>
      <c r="DK256" s="5" t="s">
        <v>230</v>
      </c>
      <c r="DL256" s="5">
        <f t="shared" si="721"/>
        <v>2</v>
      </c>
      <c r="DM256" s="5" t="s">
        <v>230</v>
      </c>
      <c r="DN256" s="5">
        <f t="shared" si="722"/>
        <v>2</v>
      </c>
      <c r="DO256" s="5" t="s">
        <v>281</v>
      </c>
      <c r="DP256" s="5">
        <f t="shared" si="723"/>
        <v>1</v>
      </c>
      <c r="DQ256" s="5" t="s">
        <v>231</v>
      </c>
      <c r="DR256" s="5">
        <f t="shared" si="724"/>
        <v>2</v>
      </c>
      <c r="DS256" s="5" t="s">
        <v>231</v>
      </c>
      <c r="DT256" s="5">
        <f t="shared" si="725"/>
        <v>2</v>
      </c>
      <c r="DU256" s="5" t="s">
        <v>231</v>
      </c>
      <c r="DV256" s="5">
        <f t="shared" si="726"/>
        <v>2</v>
      </c>
      <c r="DW256" s="5" t="s">
        <v>252</v>
      </c>
      <c r="DX256" s="5">
        <f t="shared" si="727"/>
        <v>3</v>
      </c>
      <c r="DY256" s="5">
        <f t="shared" si="728"/>
        <v>25</v>
      </c>
      <c r="DZ256" s="5" t="str">
        <f t="shared" si="729"/>
        <v>Nivel de riesgo alto</v>
      </c>
      <c r="EA256" s="5" t="s">
        <v>232</v>
      </c>
      <c r="EB256" s="5">
        <f t="shared" si="730"/>
        <v>3</v>
      </c>
      <c r="EC256" s="5" t="s">
        <v>247</v>
      </c>
      <c r="ED256" s="5">
        <f t="shared" si="731"/>
        <v>2</v>
      </c>
      <c r="EE256" s="5" t="s">
        <v>248</v>
      </c>
      <c r="EF256" s="5">
        <f t="shared" si="732"/>
        <v>1</v>
      </c>
      <c r="EG256" s="5">
        <f t="shared" si="733"/>
        <v>6</v>
      </c>
      <c r="EH256" s="5" t="str">
        <f t="shared" si="734"/>
        <v>Nivel de riesgo alto</v>
      </c>
      <c r="EI256" s="5" t="s">
        <v>248</v>
      </c>
      <c r="EJ256" s="5">
        <f t="shared" si="735"/>
        <v>1</v>
      </c>
      <c r="EK256" s="5" t="s">
        <v>247</v>
      </c>
      <c r="EL256" s="5">
        <f t="shared" si="736"/>
        <v>2</v>
      </c>
      <c r="EM256" s="5" t="s">
        <v>232</v>
      </c>
      <c r="EN256" s="5">
        <f t="shared" si="737"/>
        <v>3</v>
      </c>
      <c r="EO256" s="5">
        <f t="shared" si="738"/>
        <v>6</v>
      </c>
      <c r="EP256" s="5" t="str">
        <f t="shared" si="739"/>
        <v>Nivel de riesgo alto</v>
      </c>
      <c r="EQ256" s="5" t="s">
        <v>253</v>
      </c>
      <c r="ER256" s="5">
        <f t="shared" si="740"/>
        <v>4</v>
      </c>
      <c r="ES256" s="5" t="s">
        <v>253</v>
      </c>
      <c r="ET256" s="5">
        <f t="shared" si="741"/>
        <v>4</v>
      </c>
      <c r="EU256" s="5" t="s">
        <v>254</v>
      </c>
      <c r="EV256" s="5">
        <f t="shared" si="742"/>
        <v>0</v>
      </c>
      <c r="EW256" s="5" t="s">
        <v>232</v>
      </c>
      <c r="EX256" s="5">
        <f t="shared" si="743"/>
        <v>1</v>
      </c>
      <c r="EY256" s="5">
        <f t="shared" si="744"/>
        <v>9</v>
      </c>
      <c r="EZ256" s="5" t="str">
        <f t="shared" si="745"/>
        <v>Nivel de riesgo alto</v>
      </c>
      <c r="FA256" s="5" t="s">
        <v>247</v>
      </c>
      <c r="FB256" s="5">
        <f t="shared" si="746"/>
        <v>2</v>
      </c>
      <c r="FC256" s="5" t="s">
        <v>253</v>
      </c>
      <c r="FD256" s="5">
        <f t="shared" si="747"/>
        <v>0</v>
      </c>
      <c r="FE256" s="5" t="s">
        <v>253</v>
      </c>
      <c r="FF256" s="5">
        <f t="shared" si="748"/>
        <v>0</v>
      </c>
      <c r="FG256" s="5">
        <f t="shared" si="749"/>
        <v>2</v>
      </c>
      <c r="FH256" s="5" t="str">
        <f t="shared" si="750"/>
        <v>Nivel de riesgo bajo</v>
      </c>
      <c r="FI256" s="5" t="s">
        <v>232</v>
      </c>
      <c r="FJ256" s="5">
        <f t="shared" si="751"/>
        <v>3</v>
      </c>
      <c r="FK256" s="5" t="s">
        <v>248</v>
      </c>
      <c r="FL256" s="5">
        <f t="shared" si="752"/>
        <v>1</v>
      </c>
      <c r="FM256" s="5" t="s">
        <v>248</v>
      </c>
      <c r="FN256" s="5">
        <f t="shared" si="753"/>
        <v>1</v>
      </c>
      <c r="FO256" s="5">
        <f t="shared" si="754"/>
        <v>5</v>
      </c>
      <c r="FP256" s="5" t="str">
        <f t="shared" si="755"/>
        <v>Nivel de riesgo medio</v>
      </c>
      <c r="FQ256" s="5" t="s">
        <v>265</v>
      </c>
      <c r="FR256" s="5">
        <f t="shared" si="756"/>
        <v>1</v>
      </c>
      <c r="FS256" s="5" t="s">
        <v>206</v>
      </c>
      <c r="FT256" s="5">
        <f t="shared" si="757"/>
        <v>0</v>
      </c>
      <c r="FU256" s="5" t="s">
        <v>206</v>
      </c>
      <c r="FV256" s="5">
        <f t="shared" si="758"/>
        <v>0</v>
      </c>
      <c r="FW256" s="5" t="s">
        <v>206</v>
      </c>
      <c r="FX256" s="5">
        <f t="shared" si="759"/>
        <v>0</v>
      </c>
      <c r="FY256" s="5" t="s">
        <v>206</v>
      </c>
      <c r="FZ256" s="5">
        <f t="shared" si="760"/>
        <v>0</v>
      </c>
      <c r="GA256" s="5" t="s">
        <v>265</v>
      </c>
      <c r="GB256" s="5">
        <f t="shared" si="761"/>
        <v>1</v>
      </c>
      <c r="GC256" s="5" t="s">
        <v>265</v>
      </c>
      <c r="GD256" s="5">
        <f t="shared" si="762"/>
        <v>1</v>
      </c>
      <c r="GE256" s="5">
        <f t="shared" si="763"/>
        <v>3</v>
      </c>
      <c r="GF256" s="5" t="str">
        <f t="shared" si="764"/>
        <v>Nivel de riesgo medio</v>
      </c>
      <c r="GG256" s="5" t="s">
        <v>255</v>
      </c>
      <c r="GH256" s="5" t="s">
        <v>273</v>
      </c>
      <c r="GI256" s="5" t="s">
        <v>255</v>
      </c>
      <c r="GJ256" s="5" t="s">
        <v>266</v>
      </c>
      <c r="GK256" s="5" t="s">
        <v>233</v>
      </c>
      <c r="GL256" s="5" t="s">
        <v>233</v>
      </c>
      <c r="GM256" s="5" t="s">
        <v>233</v>
      </c>
      <c r="GN256" s="5" t="s">
        <v>234</v>
      </c>
      <c r="GO256" s="5" t="s">
        <v>244</v>
      </c>
      <c r="GP256" s="5" t="s">
        <v>257</v>
      </c>
      <c r="GQ256" s="5" t="s">
        <v>257</v>
      </c>
      <c r="GR256" s="5" t="s">
        <v>257</v>
      </c>
      <c r="GS256" s="5" t="s">
        <v>234</v>
      </c>
      <c r="GT256" s="5" t="s">
        <v>256</v>
      </c>
      <c r="GU256" s="5" t="s">
        <v>607</v>
      </c>
      <c r="GV256" s="5" t="str">
        <f>TEXT("6279247542475391303","0")</f>
        <v>6279247542475390000</v>
      </c>
    </row>
    <row r="257" spans="1:204" ht="15.75" customHeight="1" x14ac:dyDescent="0.15">
      <c r="A257" s="1">
        <f t="shared" si="714"/>
        <v>257</v>
      </c>
      <c r="B257" s="4">
        <v>45847.957025462965</v>
      </c>
      <c r="C257" s="5" t="s">
        <v>204</v>
      </c>
      <c r="D257" s="5" t="s">
        <v>206</v>
      </c>
      <c r="F257" s="5" t="s">
        <v>204</v>
      </c>
      <c r="G257" s="5" t="s">
        <v>206</v>
      </c>
      <c r="H257" s="5" t="s">
        <v>206</v>
      </c>
      <c r="K257" s="5" t="s">
        <v>237</v>
      </c>
      <c r="P257" s="5" t="s">
        <v>237</v>
      </c>
      <c r="S257" s="5" t="s">
        <v>208</v>
      </c>
      <c r="Y257" s="5" t="s">
        <v>209</v>
      </c>
      <c r="AG257" s="5" t="s">
        <v>207</v>
      </c>
      <c r="AH257" s="5" t="s">
        <v>275</v>
      </c>
      <c r="AI257" s="5">
        <v>2024</v>
      </c>
      <c r="AJ257" s="5" t="s">
        <v>238</v>
      </c>
      <c r="AK257" s="5" t="str">
        <f t="shared" si="715"/>
        <v>Trabajadora por cuenta propia</v>
      </c>
      <c r="AL257" s="5" t="s">
        <v>239</v>
      </c>
      <c r="AP257" s="5" t="s">
        <v>240</v>
      </c>
      <c r="AR257" s="5" t="s">
        <v>301</v>
      </c>
      <c r="AS257" s="5" t="s">
        <v>241</v>
      </c>
      <c r="AT257" s="5" t="s">
        <v>241</v>
      </c>
      <c r="AU257" s="5" t="s">
        <v>301</v>
      </c>
      <c r="AV257" s="5" t="s">
        <v>285</v>
      </c>
      <c r="AW257" s="5" t="s">
        <v>204</v>
      </c>
      <c r="AX257" s="5" t="s">
        <v>204</v>
      </c>
      <c r="AY257" s="5" t="s">
        <v>214</v>
      </c>
      <c r="AZ257" s="5" t="s">
        <v>204</v>
      </c>
      <c r="BA257" s="5" t="s">
        <v>295</v>
      </c>
      <c r="BB257" s="5" t="s">
        <v>204</v>
      </c>
      <c r="BC257" s="5" t="s">
        <v>204</v>
      </c>
      <c r="BD257" s="5" t="s">
        <v>306</v>
      </c>
      <c r="BE257" s="5" t="s">
        <v>204</v>
      </c>
      <c r="BF257" s="5" t="s">
        <v>204</v>
      </c>
      <c r="BG257" s="5" t="s">
        <v>264</v>
      </c>
      <c r="BH257" s="5" t="s">
        <v>264</v>
      </c>
      <c r="BI257" s="5" t="s">
        <v>207</v>
      </c>
      <c r="BJ257" s="5" t="s">
        <v>264</v>
      </c>
      <c r="BK257" s="5" t="s">
        <v>244</v>
      </c>
      <c r="BL257" s="5" t="s">
        <v>244</v>
      </c>
      <c r="BM257" s="5" t="s">
        <v>244</v>
      </c>
      <c r="BN257" s="5" t="s">
        <v>244</v>
      </c>
      <c r="BO257" s="5" t="s">
        <v>216</v>
      </c>
      <c r="BP257" s="5" t="s">
        <v>243</v>
      </c>
      <c r="BQ257" s="5" t="s">
        <v>244</v>
      </c>
      <c r="BR257" s="5" t="s">
        <v>216</v>
      </c>
      <c r="BS257" s="5" t="s">
        <v>232</v>
      </c>
      <c r="BT257" s="5" t="s">
        <v>217</v>
      </c>
      <c r="BU257" s="5" t="s">
        <v>248</v>
      </c>
      <c r="BV257" s="5" t="s">
        <v>217</v>
      </c>
      <c r="BW257" s="5" t="s">
        <v>248</v>
      </c>
      <c r="BX257" s="5" t="s">
        <v>247</v>
      </c>
      <c r="BY257" s="5" t="s">
        <v>217</v>
      </c>
      <c r="BZ257" s="5" t="s">
        <v>244</v>
      </c>
      <c r="CA257" s="5" t="s">
        <v>244</v>
      </c>
      <c r="CB257" s="5" t="s">
        <v>216</v>
      </c>
      <c r="CC257" s="5" t="s">
        <v>244</v>
      </c>
      <c r="CD257" s="5" t="s">
        <v>206</v>
      </c>
      <c r="CH257" s="5" t="s">
        <v>206</v>
      </c>
      <c r="CI257" s="5" t="s">
        <v>307</v>
      </c>
      <c r="CJ257" s="5">
        <v>2</v>
      </c>
      <c r="CK257" s="5" t="s">
        <v>223</v>
      </c>
      <c r="CU257" s="5" t="s">
        <v>206</v>
      </c>
      <c r="DA257" s="5" t="s">
        <v>231</v>
      </c>
      <c r="DB257" s="5">
        <f t="shared" si="716"/>
        <v>2</v>
      </c>
      <c r="DC257" s="5" t="s">
        <v>230</v>
      </c>
      <c r="DD257" s="5">
        <f t="shared" si="717"/>
        <v>2</v>
      </c>
      <c r="DE257" s="5" t="s">
        <v>250</v>
      </c>
      <c r="DF257" s="5">
        <f t="shared" si="718"/>
        <v>3</v>
      </c>
      <c r="DG257" s="5" t="s">
        <v>230</v>
      </c>
      <c r="DH257" s="5">
        <f t="shared" si="719"/>
        <v>2</v>
      </c>
      <c r="DI257" s="5" t="s">
        <v>230</v>
      </c>
      <c r="DJ257" s="5">
        <f t="shared" si="720"/>
        <v>2</v>
      </c>
      <c r="DK257" s="5" t="s">
        <v>251</v>
      </c>
      <c r="DL257" s="5">
        <f t="shared" si="721"/>
        <v>1</v>
      </c>
      <c r="DM257" s="5" t="s">
        <v>251</v>
      </c>
      <c r="DN257" s="5">
        <f t="shared" si="722"/>
        <v>1</v>
      </c>
      <c r="DO257" s="5" t="s">
        <v>281</v>
      </c>
      <c r="DP257" s="5">
        <f t="shared" si="723"/>
        <v>1</v>
      </c>
      <c r="DQ257" s="5" t="s">
        <v>281</v>
      </c>
      <c r="DR257" s="5">
        <f t="shared" si="724"/>
        <v>1</v>
      </c>
      <c r="DS257" s="5" t="s">
        <v>281</v>
      </c>
      <c r="DT257" s="5">
        <f t="shared" si="725"/>
        <v>1</v>
      </c>
      <c r="DU257" s="5" t="s">
        <v>231</v>
      </c>
      <c r="DV257" s="5">
        <f t="shared" si="726"/>
        <v>2</v>
      </c>
      <c r="DW257" s="5" t="s">
        <v>231</v>
      </c>
      <c r="DX257" s="5">
        <f t="shared" si="727"/>
        <v>2</v>
      </c>
      <c r="DY257" s="5">
        <f t="shared" si="728"/>
        <v>20</v>
      </c>
      <c r="DZ257" s="5" t="str">
        <f t="shared" si="729"/>
        <v>Nivel de riesgo medio</v>
      </c>
      <c r="EA257" s="5" t="s">
        <v>248</v>
      </c>
      <c r="EB257" s="5">
        <f t="shared" si="730"/>
        <v>1</v>
      </c>
      <c r="EC257" s="5" t="s">
        <v>248</v>
      </c>
      <c r="ED257" s="5">
        <f t="shared" si="731"/>
        <v>1</v>
      </c>
      <c r="EE257" s="5" t="s">
        <v>253</v>
      </c>
      <c r="EF257" s="5">
        <f t="shared" si="732"/>
        <v>0</v>
      </c>
      <c r="EG257" s="5">
        <f t="shared" si="733"/>
        <v>2</v>
      </c>
      <c r="EH257" s="5" t="str">
        <f t="shared" si="734"/>
        <v>Nivel de riesgo medio</v>
      </c>
      <c r="EI257" s="5" t="s">
        <v>253</v>
      </c>
      <c r="EJ257" s="5">
        <f t="shared" si="735"/>
        <v>0</v>
      </c>
      <c r="EK257" s="5" t="s">
        <v>248</v>
      </c>
      <c r="EL257" s="5">
        <f t="shared" si="736"/>
        <v>1</v>
      </c>
      <c r="EM257" s="5" t="s">
        <v>247</v>
      </c>
      <c r="EN257" s="5">
        <f t="shared" si="737"/>
        <v>2</v>
      </c>
      <c r="EO257" s="5">
        <f t="shared" si="738"/>
        <v>3</v>
      </c>
      <c r="EP257" s="5" t="str">
        <f t="shared" si="739"/>
        <v>Nivel de riesgo medio</v>
      </c>
      <c r="EQ257" s="5" t="s">
        <v>247</v>
      </c>
      <c r="ER257" s="5">
        <f t="shared" si="740"/>
        <v>2</v>
      </c>
      <c r="ES257" s="5" t="s">
        <v>232</v>
      </c>
      <c r="ET257" s="5">
        <f t="shared" si="741"/>
        <v>1</v>
      </c>
      <c r="EU257" s="5" t="s">
        <v>254</v>
      </c>
      <c r="EV257" s="5">
        <f t="shared" si="742"/>
        <v>0</v>
      </c>
      <c r="EW257" s="5" t="s">
        <v>254</v>
      </c>
      <c r="EX257" s="5">
        <f t="shared" si="743"/>
        <v>0</v>
      </c>
      <c r="EY257" s="5">
        <f t="shared" si="744"/>
        <v>3</v>
      </c>
      <c r="EZ257" s="5" t="str">
        <f t="shared" si="745"/>
        <v>Nivel de riesgo medio</v>
      </c>
      <c r="FA257" s="5" t="s">
        <v>248</v>
      </c>
      <c r="FB257" s="5">
        <f t="shared" si="746"/>
        <v>1</v>
      </c>
      <c r="FC257" s="5" t="s">
        <v>253</v>
      </c>
      <c r="FD257" s="5">
        <f t="shared" si="747"/>
        <v>0</v>
      </c>
      <c r="FE257" s="5" t="s">
        <v>248</v>
      </c>
      <c r="FF257" s="5">
        <f t="shared" si="748"/>
        <v>1</v>
      </c>
      <c r="FG257" s="5">
        <f t="shared" si="749"/>
        <v>2</v>
      </c>
      <c r="FH257" s="5" t="str">
        <f t="shared" si="750"/>
        <v>Nivel de riesgo bajo</v>
      </c>
      <c r="FI257" s="5" t="s">
        <v>248</v>
      </c>
      <c r="FJ257" s="5">
        <f t="shared" si="751"/>
        <v>1</v>
      </c>
      <c r="FK257" s="5" t="s">
        <v>253</v>
      </c>
      <c r="FL257" s="5">
        <f t="shared" si="752"/>
        <v>0</v>
      </c>
      <c r="FM257" s="5" t="s">
        <v>253</v>
      </c>
      <c r="FN257" s="5">
        <f t="shared" si="753"/>
        <v>0</v>
      </c>
      <c r="FO257" s="5">
        <f t="shared" si="754"/>
        <v>1</v>
      </c>
      <c r="FP257" s="5" t="str">
        <f t="shared" si="755"/>
        <v>Nivel de riesgo bajo</v>
      </c>
      <c r="FQ257" s="5" t="s">
        <v>206</v>
      </c>
      <c r="FR257" s="5">
        <f t="shared" si="756"/>
        <v>0</v>
      </c>
      <c r="FS257" s="5" t="s">
        <v>206</v>
      </c>
      <c r="FT257" s="5">
        <f t="shared" si="757"/>
        <v>0</v>
      </c>
      <c r="FU257" s="5" t="s">
        <v>206</v>
      </c>
      <c r="FV257" s="5">
        <f t="shared" si="758"/>
        <v>0</v>
      </c>
      <c r="FW257" s="5" t="s">
        <v>206</v>
      </c>
      <c r="FX257" s="5">
        <f t="shared" si="759"/>
        <v>0</v>
      </c>
      <c r="FY257" s="5" t="s">
        <v>206</v>
      </c>
      <c r="FZ257" s="5">
        <f t="shared" si="760"/>
        <v>0</v>
      </c>
      <c r="GA257" s="5" t="s">
        <v>206</v>
      </c>
      <c r="GB257" s="5">
        <f t="shared" si="761"/>
        <v>0</v>
      </c>
      <c r="GC257" s="5" t="s">
        <v>206</v>
      </c>
      <c r="GD257" s="5">
        <f t="shared" si="762"/>
        <v>0</v>
      </c>
      <c r="GE257" s="5">
        <f t="shared" si="763"/>
        <v>0</v>
      </c>
      <c r="GF257" s="5" t="str">
        <f t="shared" si="764"/>
        <v>Nivel de riesgo bajo</v>
      </c>
      <c r="GG257" s="5" t="s">
        <v>255</v>
      </c>
      <c r="GH257" s="5" t="s">
        <v>266</v>
      </c>
      <c r="GI257" s="5" t="s">
        <v>255</v>
      </c>
      <c r="GJ257" s="5" t="s">
        <v>266</v>
      </c>
      <c r="GK257" s="5" t="s">
        <v>266</v>
      </c>
      <c r="GL257" s="5" t="s">
        <v>266</v>
      </c>
      <c r="GM257" s="5" t="s">
        <v>233</v>
      </c>
      <c r="GN257" s="5" t="s">
        <v>243</v>
      </c>
      <c r="GO257" s="5" t="s">
        <v>244</v>
      </c>
      <c r="GP257" s="5" t="s">
        <v>244</v>
      </c>
      <c r="GQ257" s="5" t="s">
        <v>234</v>
      </c>
      <c r="GR257" s="5" t="s">
        <v>234</v>
      </c>
      <c r="GS257" s="5" t="s">
        <v>234</v>
      </c>
      <c r="GT257" s="5" t="s">
        <v>234</v>
      </c>
      <c r="GU257" s="5" t="s">
        <v>608</v>
      </c>
      <c r="GV257" s="5" t="str">
        <f>TEXT("6279254873111471640","0")</f>
        <v>6279254873111470000</v>
      </c>
    </row>
    <row r="258" spans="1:204" ht="15.75" customHeight="1" x14ac:dyDescent="0.15">
      <c r="A258" s="1">
        <f t="shared" si="714"/>
        <v>258</v>
      </c>
      <c r="B258" s="4">
        <v>45847.967465277776</v>
      </c>
      <c r="C258" s="5" t="s">
        <v>204</v>
      </c>
      <c r="D258" s="5" t="s">
        <v>206</v>
      </c>
      <c r="F258" s="5" t="s">
        <v>206</v>
      </c>
      <c r="G258" s="5" t="s">
        <v>206</v>
      </c>
      <c r="H258" s="5" t="s">
        <v>206</v>
      </c>
      <c r="K258" s="5" t="s">
        <v>237</v>
      </c>
      <c r="N258" s="5" t="s">
        <v>208</v>
      </c>
      <c r="T258" s="5" t="s">
        <v>209</v>
      </c>
      <c r="X258" s="5" t="s">
        <v>208</v>
      </c>
      <c r="AC258" s="5" t="s">
        <v>208</v>
      </c>
      <c r="AH258" s="5" t="s">
        <v>275</v>
      </c>
      <c r="AI258" s="5">
        <v>2000</v>
      </c>
      <c r="AJ258" s="5" t="s">
        <v>238</v>
      </c>
      <c r="AK258" s="5" t="str">
        <f t="shared" si="715"/>
        <v>Trabajadora por cuenta propia</v>
      </c>
      <c r="AN258" s="5" t="s">
        <v>288</v>
      </c>
      <c r="AP258" s="5" t="s">
        <v>321</v>
      </c>
      <c r="AR258" s="5" t="s">
        <v>241</v>
      </c>
      <c r="AS258" s="5" t="s">
        <v>261</v>
      </c>
      <c r="AT258" s="5" t="s">
        <v>261</v>
      </c>
      <c r="AU258" s="5" t="s">
        <v>241</v>
      </c>
      <c r="AV258" s="5" t="s">
        <v>285</v>
      </c>
      <c r="AW258" s="5" t="s">
        <v>204</v>
      </c>
      <c r="AX258" s="5" t="s">
        <v>206</v>
      </c>
      <c r="BF258" s="5" t="s">
        <v>204</v>
      </c>
      <c r="BG258" s="5" t="s">
        <v>207</v>
      </c>
      <c r="BH258" s="5" t="s">
        <v>207</v>
      </c>
      <c r="BI258" s="5" t="s">
        <v>207</v>
      </c>
      <c r="BJ258" s="5" t="s">
        <v>207</v>
      </c>
      <c r="BK258" s="5" t="s">
        <v>246</v>
      </c>
      <c r="BL258" s="5" t="s">
        <v>243</v>
      </c>
      <c r="BM258" s="5" t="s">
        <v>243</v>
      </c>
      <c r="BN258" s="5" t="s">
        <v>245</v>
      </c>
      <c r="BO258" s="5" t="s">
        <v>245</v>
      </c>
      <c r="BP258" s="5" t="s">
        <v>246</v>
      </c>
      <c r="BQ258" s="5" t="s">
        <v>244</v>
      </c>
      <c r="BR258" s="5" t="s">
        <v>243</v>
      </c>
      <c r="BS258" s="5" t="s">
        <v>248</v>
      </c>
      <c r="BT258" s="5" t="s">
        <v>248</v>
      </c>
      <c r="BU258" s="5" t="s">
        <v>248</v>
      </c>
      <c r="BV258" s="5" t="s">
        <v>217</v>
      </c>
      <c r="BW258" s="5" t="s">
        <v>217</v>
      </c>
      <c r="BX258" s="5" t="s">
        <v>217</v>
      </c>
      <c r="BY258" s="5" t="s">
        <v>248</v>
      </c>
      <c r="BZ258" s="5" t="s">
        <v>243</v>
      </c>
      <c r="CA258" s="5" t="s">
        <v>243</v>
      </c>
      <c r="CB258" s="5" t="s">
        <v>244</v>
      </c>
      <c r="CC258" s="5" t="s">
        <v>244</v>
      </c>
      <c r="CD258" s="5" t="s">
        <v>206</v>
      </c>
      <c r="CH258" s="5" t="s">
        <v>206</v>
      </c>
      <c r="CI258" s="5" t="s">
        <v>206</v>
      </c>
      <c r="CJ258" s="5">
        <v>0</v>
      </c>
      <c r="CK258" s="5" t="s">
        <v>223</v>
      </c>
      <c r="CU258" s="5" t="s">
        <v>206</v>
      </c>
      <c r="DA258" s="5" t="s">
        <v>272</v>
      </c>
      <c r="DB258" s="5">
        <f t="shared" si="716"/>
        <v>1</v>
      </c>
      <c r="DC258" s="5" t="s">
        <v>251</v>
      </c>
      <c r="DD258" s="5">
        <f t="shared" si="717"/>
        <v>1</v>
      </c>
      <c r="DE258" s="5" t="s">
        <v>251</v>
      </c>
      <c r="DF258" s="5">
        <f t="shared" si="718"/>
        <v>1</v>
      </c>
      <c r="DG258" s="5" t="s">
        <v>230</v>
      </c>
      <c r="DH258" s="5">
        <f t="shared" si="719"/>
        <v>2</v>
      </c>
      <c r="DI258" s="5" t="s">
        <v>251</v>
      </c>
      <c r="DJ258" s="5">
        <f t="shared" si="720"/>
        <v>1</v>
      </c>
      <c r="DK258" s="5" t="s">
        <v>251</v>
      </c>
      <c r="DL258" s="5">
        <f t="shared" si="721"/>
        <v>1</v>
      </c>
      <c r="DM258" s="5" t="s">
        <v>251</v>
      </c>
      <c r="DN258" s="5">
        <f t="shared" si="722"/>
        <v>1</v>
      </c>
      <c r="DO258" s="5" t="s">
        <v>281</v>
      </c>
      <c r="DP258" s="5">
        <f t="shared" si="723"/>
        <v>1</v>
      </c>
      <c r="DQ258" s="5" t="s">
        <v>281</v>
      </c>
      <c r="DR258" s="5">
        <f t="shared" si="724"/>
        <v>1</v>
      </c>
      <c r="DS258" s="5" t="s">
        <v>231</v>
      </c>
      <c r="DT258" s="5">
        <f t="shared" si="725"/>
        <v>2</v>
      </c>
      <c r="DU258" s="5" t="s">
        <v>281</v>
      </c>
      <c r="DV258" s="5">
        <f t="shared" si="726"/>
        <v>1</v>
      </c>
      <c r="DW258" s="5" t="s">
        <v>231</v>
      </c>
      <c r="DX258" s="5">
        <f t="shared" si="727"/>
        <v>2</v>
      </c>
      <c r="DY258" s="5">
        <f t="shared" si="728"/>
        <v>15</v>
      </c>
      <c r="DZ258" s="5" t="str">
        <f t="shared" si="729"/>
        <v>Nivel de riesgo bajo</v>
      </c>
      <c r="EA258" s="5" t="s">
        <v>247</v>
      </c>
      <c r="EB258" s="5">
        <f t="shared" si="730"/>
        <v>2</v>
      </c>
      <c r="EC258" s="5" t="s">
        <v>247</v>
      </c>
      <c r="ED258" s="5">
        <f t="shared" si="731"/>
        <v>2</v>
      </c>
      <c r="EE258" s="5" t="s">
        <v>247</v>
      </c>
      <c r="EF258" s="5">
        <f t="shared" si="732"/>
        <v>2</v>
      </c>
      <c r="EG258" s="5">
        <f t="shared" si="733"/>
        <v>6</v>
      </c>
      <c r="EH258" s="5" t="str">
        <f t="shared" si="734"/>
        <v>Nivel de riesgo alto</v>
      </c>
      <c r="EI258" s="5" t="s">
        <v>248</v>
      </c>
      <c r="EJ258" s="5">
        <f t="shared" si="735"/>
        <v>1</v>
      </c>
      <c r="EK258" s="5" t="s">
        <v>253</v>
      </c>
      <c r="EL258" s="5">
        <f t="shared" si="736"/>
        <v>0</v>
      </c>
      <c r="EM258" s="5" t="s">
        <v>248</v>
      </c>
      <c r="EN258" s="5">
        <f t="shared" si="737"/>
        <v>1</v>
      </c>
      <c r="EO258" s="5">
        <f t="shared" si="738"/>
        <v>2</v>
      </c>
      <c r="EP258" s="5" t="str">
        <f t="shared" si="739"/>
        <v>Nivel de riesgo medio</v>
      </c>
      <c r="EQ258" s="5" t="s">
        <v>248</v>
      </c>
      <c r="ER258" s="5">
        <f t="shared" si="740"/>
        <v>3</v>
      </c>
      <c r="ES258" s="5" t="s">
        <v>248</v>
      </c>
      <c r="ET258" s="5">
        <f t="shared" si="741"/>
        <v>3</v>
      </c>
      <c r="EU258" s="5" t="s">
        <v>247</v>
      </c>
      <c r="EV258" s="5">
        <f t="shared" si="742"/>
        <v>2</v>
      </c>
      <c r="EW258" s="5" t="s">
        <v>248</v>
      </c>
      <c r="EX258" s="5">
        <f t="shared" si="743"/>
        <v>3</v>
      </c>
      <c r="EY258" s="5">
        <f t="shared" si="744"/>
        <v>11</v>
      </c>
      <c r="EZ258" s="5" t="str">
        <f t="shared" si="745"/>
        <v>Nivel de riesgo alto</v>
      </c>
      <c r="FA258" s="5" t="s">
        <v>253</v>
      </c>
      <c r="FB258" s="5">
        <f t="shared" si="746"/>
        <v>0</v>
      </c>
      <c r="FC258" s="5" t="s">
        <v>247</v>
      </c>
      <c r="FD258" s="5">
        <f t="shared" si="747"/>
        <v>2</v>
      </c>
      <c r="FE258" s="5" t="s">
        <v>248</v>
      </c>
      <c r="FF258" s="5">
        <f t="shared" si="748"/>
        <v>1</v>
      </c>
      <c r="FG258" s="5">
        <f t="shared" si="749"/>
        <v>3</v>
      </c>
      <c r="FH258" s="5" t="str">
        <f t="shared" si="750"/>
        <v>Nivel de riesgo medio</v>
      </c>
      <c r="FI258" s="5" t="s">
        <v>247</v>
      </c>
      <c r="FJ258" s="5">
        <f t="shared" si="751"/>
        <v>2</v>
      </c>
      <c r="FK258" s="5" t="s">
        <v>248</v>
      </c>
      <c r="FL258" s="5">
        <f t="shared" si="752"/>
        <v>1</v>
      </c>
      <c r="FM258" s="5" t="s">
        <v>248</v>
      </c>
      <c r="FN258" s="5">
        <f t="shared" si="753"/>
        <v>1</v>
      </c>
      <c r="FO258" s="5">
        <f t="shared" si="754"/>
        <v>4</v>
      </c>
      <c r="FP258" s="5" t="str">
        <f t="shared" si="755"/>
        <v>Nivel de riesgo medio</v>
      </c>
      <c r="FQ258" s="5" t="s">
        <v>361</v>
      </c>
      <c r="FR258" s="5">
        <f t="shared" si="756"/>
        <v>3</v>
      </c>
      <c r="FS258" s="5" t="s">
        <v>325</v>
      </c>
      <c r="FT258" s="5">
        <f t="shared" si="757"/>
        <v>2</v>
      </c>
      <c r="FU258" s="5" t="s">
        <v>391</v>
      </c>
      <c r="FV258" s="5">
        <f t="shared" si="758"/>
        <v>4</v>
      </c>
      <c r="FW258" s="5" t="s">
        <v>361</v>
      </c>
      <c r="FX258" s="5">
        <f t="shared" si="759"/>
        <v>3</v>
      </c>
      <c r="FY258" s="5" t="s">
        <v>391</v>
      </c>
      <c r="FZ258" s="5">
        <f t="shared" si="760"/>
        <v>4</v>
      </c>
      <c r="GA258" s="5" t="s">
        <v>325</v>
      </c>
      <c r="GB258" s="5">
        <f t="shared" si="761"/>
        <v>2</v>
      </c>
      <c r="GC258" s="5" t="s">
        <v>361</v>
      </c>
      <c r="GD258" s="5">
        <f t="shared" si="762"/>
        <v>3</v>
      </c>
      <c r="GE258" s="5">
        <f t="shared" si="763"/>
        <v>21</v>
      </c>
      <c r="GF258" s="5" t="str">
        <f t="shared" si="764"/>
        <v>Nivel de riesgo alto</v>
      </c>
      <c r="GG258" s="5" t="s">
        <v>266</v>
      </c>
      <c r="GH258" s="5" t="s">
        <v>266</v>
      </c>
      <c r="GI258" s="5" t="s">
        <v>298</v>
      </c>
      <c r="GJ258" s="5" t="s">
        <v>298</v>
      </c>
      <c r="GK258" s="5" t="s">
        <v>266</v>
      </c>
      <c r="GL258" s="5" t="s">
        <v>298</v>
      </c>
      <c r="GM258" s="5" t="s">
        <v>266</v>
      </c>
      <c r="GN258" s="5" t="s">
        <v>244</v>
      </c>
      <c r="GO258" s="5" t="s">
        <v>244</v>
      </c>
      <c r="GP258" s="5" t="s">
        <v>257</v>
      </c>
      <c r="GQ258" s="5" t="s">
        <v>244</v>
      </c>
      <c r="GR258" s="5" t="s">
        <v>244</v>
      </c>
      <c r="GS258" s="5" t="s">
        <v>257</v>
      </c>
      <c r="GT258" s="5" t="s">
        <v>244</v>
      </c>
      <c r="GU258" s="5" t="s">
        <v>609</v>
      </c>
      <c r="GV258" s="5" t="str">
        <f>TEXT("6279263890149662477","0")</f>
        <v>6279263890149660000</v>
      </c>
    </row>
    <row r="259" spans="1:204" ht="15.75" customHeight="1" x14ac:dyDescent="0.15">
      <c r="A259" s="1">
        <f t="shared" si="714"/>
        <v>259</v>
      </c>
      <c r="B259" s="4">
        <v>45847.969930555555</v>
      </c>
      <c r="C259" s="5" t="s">
        <v>204</v>
      </c>
      <c r="D259" s="5" t="s">
        <v>206</v>
      </c>
      <c r="F259" s="5" t="s">
        <v>206</v>
      </c>
      <c r="G259" s="5" t="s">
        <v>204</v>
      </c>
      <c r="H259" s="5" t="s">
        <v>204</v>
      </c>
      <c r="L259" s="5" t="s">
        <v>236</v>
      </c>
      <c r="O259" s="5" t="s">
        <v>209</v>
      </c>
      <c r="S259" s="5" t="s">
        <v>208</v>
      </c>
      <c r="X259" s="5" t="s">
        <v>208</v>
      </c>
      <c r="AC259" s="5" t="s">
        <v>208</v>
      </c>
      <c r="AH259" s="5" t="s">
        <v>259</v>
      </c>
      <c r="AI259" s="5">
        <v>2025</v>
      </c>
      <c r="AJ259" s="5" t="s">
        <v>238</v>
      </c>
      <c r="AK259" s="5" t="str">
        <f t="shared" si="715"/>
        <v>Trabajadora por cuenta propia</v>
      </c>
      <c r="AM259" s="5" t="s">
        <v>309</v>
      </c>
      <c r="AP259" s="5" t="s">
        <v>610</v>
      </c>
      <c r="AR259" s="5" t="s">
        <v>241</v>
      </c>
      <c r="AS259" s="5" t="s">
        <v>301</v>
      </c>
      <c r="AT259" s="5" t="s">
        <v>301</v>
      </c>
      <c r="AU259" s="5" t="s">
        <v>301</v>
      </c>
      <c r="AV259" s="5" t="s">
        <v>213</v>
      </c>
      <c r="AW259" s="5" t="s">
        <v>204</v>
      </c>
      <c r="AX259" s="5" t="s">
        <v>204</v>
      </c>
      <c r="AY259" s="5" t="s">
        <v>214</v>
      </c>
      <c r="AZ259" s="5" t="s">
        <v>204</v>
      </c>
      <c r="BA259" s="5" t="s">
        <v>289</v>
      </c>
      <c r="BB259" s="5" t="s">
        <v>204</v>
      </c>
      <c r="BC259" s="5" t="s">
        <v>204</v>
      </c>
      <c r="BD259" s="5" t="s">
        <v>290</v>
      </c>
      <c r="BE259" s="5" t="s">
        <v>206</v>
      </c>
      <c r="BF259" s="5" t="s">
        <v>204</v>
      </c>
      <c r="BG259" s="5" t="s">
        <v>278</v>
      </c>
      <c r="BH259" s="5" t="s">
        <v>271</v>
      </c>
      <c r="BI259" s="5" t="s">
        <v>278</v>
      </c>
      <c r="BJ259" s="5" t="s">
        <v>271</v>
      </c>
      <c r="BK259" s="5" t="s">
        <v>244</v>
      </c>
      <c r="BL259" s="5" t="s">
        <v>246</v>
      </c>
      <c r="BM259" s="5" t="s">
        <v>246</v>
      </c>
      <c r="BN259" s="5" t="s">
        <v>244</v>
      </c>
      <c r="BO259" s="5" t="s">
        <v>244</v>
      </c>
      <c r="BP259" s="5" t="s">
        <v>246</v>
      </c>
      <c r="BQ259" s="5" t="s">
        <v>244</v>
      </c>
      <c r="BR259" s="5" t="s">
        <v>244</v>
      </c>
      <c r="BS259" s="5" t="s">
        <v>232</v>
      </c>
      <c r="BT259" s="5" t="s">
        <v>247</v>
      </c>
      <c r="BU259" s="5" t="s">
        <v>248</v>
      </c>
      <c r="BV259" s="5" t="s">
        <v>248</v>
      </c>
      <c r="BW259" s="5" t="s">
        <v>248</v>
      </c>
      <c r="BX259" s="5" t="s">
        <v>248</v>
      </c>
      <c r="BY259" s="5" t="s">
        <v>248</v>
      </c>
      <c r="BZ259" s="5" t="s">
        <v>244</v>
      </c>
      <c r="CA259" s="5" t="s">
        <v>244</v>
      </c>
      <c r="CB259" s="5" t="s">
        <v>216</v>
      </c>
      <c r="CC259" s="5" t="s">
        <v>216</v>
      </c>
      <c r="CD259" s="5" t="s">
        <v>204</v>
      </c>
      <c r="CE259" s="5" t="s">
        <v>218</v>
      </c>
      <c r="CF259" s="5" t="s">
        <v>279</v>
      </c>
      <c r="CG259" s="5" t="s">
        <v>206</v>
      </c>
      <c r="CH259" s="5" t="s">
        <v>206</v>
      </c>
      <c r="CI259" s="5" t="s">
        <v>307</v>
      </c>
      <c r="CJ259" s="5">
        <v>5</v>
      </c>
      <c r="CK259" s="5" t="s">
        <v>223</v>
      </c>
      <c r="CU259" s="5" t="s">
        <v>206</v>
      </c>
      <c r="DA259" s="5" t="s">
        <v>231</v>
      </c>
      <c r="DB259" s="5">
        <f t="shared" si="716"/>
        <v>2</v>
      </c>
      <c r="DC259" s="5" t="s">
        <v>230</v>
      </c>
      <c r="DD259" s="5">
        <f t="shared" si="717"/>
        <v>2</v>
      </c>
      <c r="DE259" s="5" t="s">
        <v>230</v>
      </c>
      <c r="DF259" s="5">
        <f t="shared" si="718"/>
        <v>2</v>
      </c>
      <c r="DG259" s="5" t="s">
        <v>230</v>
      </c>
      <c r="DH259" s="5">
        <f t="shared" si="719"/>
        <v>2</v>
      </c>
      <c r="DI259" s="5" t="s">
        <v>230</v>
      </c>
      <c r="DJ259" s="5">
        <f t="shared" si="720"/>
        <v>2</v>
      </c>
      <c r="DK259" s="5" t="s">
        <v>251</v>
      </c>
      <c r="DL259" s="5">
        <f t="shared" si="721"/>
        <v>1</v>
      </c>
      <c r="DM259" s="5" t="s">
        <v>251</v>
      </c>
      <c r="DN259" s="5">
        <f t="shared" si="722"/>
        <v>1</v>
      </c>
      <c r="DO259" s="5" t="s">
        <v>281</v>
      </c>
      <c r="DP259" s="5">
        <f t="shared" si="723"/>
        <v>1</v>
      </c>
      <c r="DQ259" s="5" t="s">
        <v>281</v>
      </c>
      <c r="DR259" s="5">
        <f t="shared" si="724"/>
        <v>1</v>
      </c>
      <c r="DS259" s="5" t="s">
        <v>281</v>
      </c>
      <c r="DT259" s="5">
        <f t="shared" si="725"/>
        <v>1</v>
      </c>
      <c r="DU259" s="5" t="s">
        <v>231</v>
      </c>
      <c r="DV259" s="5">
        <f t="shared" si="726"/>
        <v>2</v>
      </c>
      <c r="DW259" s="5" t="s">
        <v>281</v>
      </c>
      <c r="DX259" s="5">
        <f t="shared" si="727"/>
        <v>1</v>
      </c>
      <c r="DY259" s="5">
        <f t="shared" si="728"/>
        <v>18</v>
      </c>
      <c r="DZ259" s="5" t="str">
        <f t="shared" si="729"/>
        <v>Nivel de riesgo bajo</v>
      </c>
      <c r="EA259" s="5" t="s">
        <v>253</v>
      </c>
      <c r="EB259" s="5">
        <f t="shared" si="730"/>
        <v>0</v>
      </c>
      <c r="EC259" s="5" t="s">
        <v>248</v>
      </c>
      <c r="ED259" s="5">
        <f t="shared" si="731"/>
        <v>1</v>
      </c>
      <c r="EE259" s="5" t="s">
        <v>247</v>
      </c>
      <c r="EF259" s="5">
        <f t="shared" si="732"/>
        <v>2</v>
      </c>
      <c r="EG259" s="5">
        <f t="shared" si="733"/>
        <v>3</v>
      </c>
      <c r="EH259" s="5" t="str">
        <f t="shared" si="734"/>
        <v>Nivel de riesgo medio</v>
      </c>
      <c r="EI259" s="5" t="s">
        <v>253</v>
      </c>
      <c r="EJ259" s="5">
        <f t="shared" si="735"/>
        <v>0</v>
      </c>
      <c r="EK259" s="5" t="s">
        <v>253</v>
      </c>
      <c r="EL259" s="5">
        <f t="shared" si="736"/>
        <v>0</v>
      </c>
      <c r="EM259" s="5" t="s">
        <v>248</v>
      </c>
      <c r="EN259" s="5">
        <f t="shared" si="737"/>
        <v>1</v>
      </c>
      <c r="EO259" s="5">
        <f t="shared" si="738"/>
        <v>1</v>
      </c>
      <c r="EP259" s="5" t="str">
        <f t="shared" si="739"/>
        <v>Nivel de riesgo bajo</v>
      </c>
      <c r="EQ259" s="5" t="s">
        <v>232</v>
      </c>
      <c r="ER259" s="5">
        <f t="shared" si="740"/>
        <v>1</v>
      </c>
      <c r="ES259" s="5" t="s">
        <v>232</v>
      </c>
      <c r="ET259" s="5">
        <f t="shared" si="741"/>
        <v>1</v>
      </c>
      <c r="EU259" s="5" t="s">
        <v>254</v>
      </c>
      <c r="EV259" s="5">
        <f t="shared" si="742"/>
        <v>0</v>
      </c>
      <c r="EW259" s="5" t="s">
        <v>248</v>
      </c>
      <c r="EX259" s="5">
        <f t="shared" si="743"/>
        <v>3</v>
      </c>
      <c r="EY259" s="5">
        <f t="shared" si="744"/>
        <v>5</v>
      </c>
      <c r="EZ259" s="5" t="str">
        <f t="shared" si="745"/>
        <v>Nivel de riesgo alto</v>
      </c>
      <c r="FA259" s="5" t="s">
        <v>253</v>
      </c>
      <c r="FB259" s="5">
        <f t="shared" si="746"/>
        <v>0</v>
      </c>
      <c r="FC259" s="5" t="s">
        <v>253</v>
      </c>
      <c r="FD259" s="5">
        <f t="shared" si="747"/>
        <v>0</v>
      </c>
      <c r="FE259" s="5" t="s">
        <v>253</v>
      </c>
      <c r="FF259" s="5">
        <f t="shared" si="748"/>
        <v>0</v>
      </c>
      <c r="FG259" s="5">
        <f t="shared" si="749"/>
        <v>0</v>
      </c>
      <c r="FH259" s="5" t="str">
        <f t="shared" si="750"/>
        <v>Nivel de riesgo bajo</v>
      </c>
      <c r="FI259" s="5" t="s">
        <v>253</v>
      </c>
      <c r="FJ259" s="5">
        <f t="shared" si="751"/>
        <v>0</v>
      </c>
      <c r="FK259" s="5" t="s">
        <v>248</v>
      </c>
      <c r="FL259" s="5">
        <f t="shared" si="752"/>
        <v>1</v>
      </c>
      <c r="FM259" s="5" t="s">
        <v>248</v>
      </c>
      <c r="FN259" s="5">
        <f t="shared" si="753"/>
        <v>1</v>
      </c>
      <c r="FO259" s="5">
        <f t="shared" si="754"/>
        <v>2</v>
      </c>
      <c r="FP259" s="5" t="str">
        <f t="shared" si="755"/>
        <v>Nivel de riesgo bajo</v>
      </c>
      <c r="FQ259" s="5" t="s">
        <v>206</v>
      </c>
      <c r="FR259" s="5">
        <f t="shared" si="756"/>
        <v>0</v>
      </c>
      <c r="FS259" s="5" t="s">
        <v>206</v>
      </c>
      <c r="FT259" s="5">
        <f t="shared" si="757"/>
        <v>0</v>
      </c>
      <c r="FU259" s="5" t="s">
        <v>206</v>
      </c>
      <c r="FV259" s="5">
        <f t="shared" si="758"/>
        <v>0</v>
      </c>
      <c r="FW259" s="5" t="s">
        <v>206</v>
      </c>
      <c r="FX259" s="5">
        <f t="shared" si="759"/>
        <v>0</v>
      </c>
      <c r="FY259" s="5" t="s">
        <v>206</v>
      </c>
      <c r="FZ259" s="5">
        <f t="shared" si="760"/>
        <v>0</v>
      </c>
      <c r="GA259" s="5" t="s">
        <v>206</v>
      </c>
      <c r="GB259" s="5">
        <f t="shared" si="761"/>
        <v>0</v>
      </c>
      <c r="GC259" s="5" t="s">
        <v>206</v>
      </c>
      <c r="GD259" s="5">
        <f t="shared" si="762"/>
        <v>0</v>
      </c>
      <c r="GE259" s="5">
        <f t="shared" si="763"/>
        <v>0</v>
      </c>
      <c r="GF259" s="5" t="str">
        <f t="shared" si="764"/>
        <v>Nivel de riesgo bajo</v>
      </c>
      <c r="GG259" s="5" t="s">
        <v>255</v>
      </c>
      <c r="GH259" s="5" t="s">
        <v>255</v>
      </c>
      <c r="GI259" s="5" t="s">
        <v>255</v>
      </c>
      <c r="GJ259" s="5" t="s">
        <v>273</v>
      </c>
      <c r="GK259" s="5" t="s">
        <v>233</v>
      </c>
      <c r="GL259" s="5" t="s">
        <v>255</v>
      </c>
      <c r="GM259" s="5" t="s">
        <v>255</v>
      </c>
      <c r="GN259" s="5" t="s">
        <v>256</v>
      </c>
      <c r="GO259" s="5" t="s">
        <v>256</v>
      </c>
      <c r="GP259" s="5" t="s">
        <v>256</v>
      </c>
      <c r="GQ259" s="5" t="s">
        <v>256</v>
      </c>
      <c r="GR259" s="5" t="s">
        <v>256</v>
      </c>
      <c r="GS259" s="5" t="s">
        <v>256</v>
      </c>
      <c r="GT259" s="5" t="s">
        <v>256</v>
      </c>
      <c r="GU259" s="5" t="s">
        <v>611</v>
      </c>
      <c r="GV259" s="5" t="str">
        <f>TEXT("6279266028768679894","0")</f>
        <v>6279266028768670000</v>
      </c>
    </row>
    <row r="260" spans="1:204" ht="15.75" hidden="1" customHeight="1" x14ac:dyDescent="0.15">
      <c r="B260" s="4">
        <v>45847.972013888888</v>
      </c>
      <c r="C260" s="5" t="s">
        <v>204</v>
      </c>
      <c r="D260" s="5" t="s">
        <v>206</v>
      </c>
      <c r="F260" s="5" t="s">
        <v>206</v>
      </c>
      <c r="G260" s="5" t="s">
        <v>204</v>
      </c>
      <c r="H260" s="5" t="s">
        <v>206</v>
      </c>
      <c r="L260" s="5" t="s">
        <v>236</v>
      </c>
      <c r="O260" s="5" t="s">
        <v>209</v>
      </c>
      <c r="T260" s="5" t="s">
        <v>209</v>
      </c>
      <c r="X260" s="5" t="s">
        <v>208</v>
      </c>
      <c r="AD260" s="5" t="s">
        <v>209</v>
      </c>
      <c r="AH260" s="5" t="s">
        <v>275</v>
      </c>
      <c r="AI260" s="5">
        <v>2023</v>
      </c>
      <c r="AJ260" s="5" t="s">
        <v>260</v>
      </c>
      <c r="AK260" s="5"/>
      <c r="AR260" s="5" t="s">
        <v>241</v>
      </c>
      <c r="AS260" s="5" t="s">
        <v>241</v>
      </c>
      <c r="AT260" s="5" t="s">
        <v>294</v>
      </c>
      <c r="AU260" s="5" t="s">
        <v>241</v>
      </c>
      <c r="AV260" s="5" t="s">
        <v>285</v>
      </c>
      <c r="AW260" s="5" t="s">
        <v>204</v>
      </c>
      <c r="AX260" s="5" t="s">
        <v>204</v>
      </c>
      <c r="AY260" s="5" t="s">
        <v>270</v>
      </c>
      <c r="AZ260" s="5" t="s">
        <v>204</v>
      </c>
      <c r="BA260" s="5" t="s">
        <v>263</v>
      </c>
      <c r="BF260" s="5" t="s">
        <v>204</v>
      </c>
      <c r="BG260" s="5" t="s">
        <v>207</v>
      </c>
      <c r="BH260" s="5" t="s">
        <v>242</v>
      </c>
      <c r="BI260" s="5" t="s">
        <v>207</v>
      </c>
      <c r="BJ260" s="5" t="s">
        <v>242</v>
      </c>
      <c r="BK260" s="5" t="s">
        <v>244</v>
      </c>
      <c r="BL260" s="5" t="s">
        <v>244</v>
      </c>
      <c r="BM260" s="5" t="s">
        <v>244</v>
      </c>
      <c r="BN260" s="5" t="s">
        <v>244</v>
      </c>
      <c r="BO260" s="5" t="s">
        <v>244</v>
      </c>
      <c r="BP260" s="5" t="s">
        <v>244</v>
      </c>
      <c r="BQ260" s="5" t="s">
        <v>244</v>
      </c>
      <c r="BR260" s="5" t="s">
        <v>244</v>
      </c>
      <c r="BS260" s="5" t="s">
        <v>247</v>
      </c>
      <c r="BT260" s="5" t="s">
        <v>248</v>
      </c>
      <c r="BU260" s="5" t="s">
        <v>247</v>
      </c>
      <c r="BV260" s="5" t="s">
        <v>248</v>
      </c>
      <c r="BW260" s="5" t="s">
        <v>248</v>
      </c>
      <c r="BX260" s="5" t="s">
        <v>248</v>
      </c>
      <c r="BY260" s="5" t="s">
        <v>248</v>
      </c>
      <c r="BZ260" s="5" t="s">
        <v>244</v>
      </c>
      <c r="CA260" s="5" t="s">
        <v>244</v>
      </c>
      <c r="CB260" s="5" t="s">
        <v>244</v>
      </c>
      <c r="CC260" s="5" t="s">
        <v>246</v>
      </c>
      <c r="CD260" s="5" t="s">
        <v>206</v>
      </c>
      <c r="CH260" s="5" t="s">
        <v>206</v>
      </c>
      <c r="CI260" s="5" t="s">
        <v>206</v>
      </c>
      <c r="CJ260" s="5">
        <v>2</v>
      </c>
      <c r="CK260" s="5" t="s">
        <v>223</v>
      </c>
      <c r="CU260" s="5" t="s">
        <v>206</v>
      </c>
      <c r="DA260" s="5" t="s">
        <v>231</v>
      </c>
      <c r="DB260" s="5"/>
      <c r="DC260" s="5" t="s">
        <v>230</v>
      </c>
      <c r="DD260" s="5"/>
      <c r="DE260" s="5" t="s">
        <v>230</v>
      </c>
      <c r="DF260" s="5"/>
      <c r="DG260" s="5" t="s">
        <v>251</v>
      </c>
      <c r="DH260" s="5"/>
      <c r="DI260" s="5" t="s">
        <v>251</v>
      </c>
      <c r="DJ260" s="5"/>
      <c r="DK260" s="5" t="s">
        <v>251</v>
      </c>
      <c r="DL260" s="5"/>
      <c r="DM260" s="5" t="s">
        <v>251</v>
      </c>
      <c r="DN260" s="5"/>
      <c r="DO260" s="5" t="s">
        <v>231</v>
      </c>
      <c r="DP260" s="5"/>
      <c r="DQ260" s="5" t="s">
        <v>231</v>
      </c>
      <c r="DR260" s="5"/>
      <c r="DS260" s="5" t="s">
        <v>231</v>
      </c>
      <c r="DT260" s="5"/>
      <c r="DU260" s="5" t="s">
        <v>281</v>
      </c>
      <c r="DV260" s="5"/>
      <c r="DW260" s="5" t="s">
        <v>231</v>
      </c>
      <c r="DX260" s="5"/>
      <c r="DY260" s="5"/>
      <c r="DZ260" s="5"/>
      <c r="EA260" s="5" t="s">
        <v>247</v>
      </c>
      <c r="EB260" s="5"/>
      <c r="EC260" s="5" t="s">
        <v>248</v>
      </c>
      <c r="ED260" s="5"/>
      <c r="EE260" s="5" t="s">
        <v>248</v>
      </c>
      <c r="EF260" s="5"/>
      <c r="EG260" s="5"/>
      <c r="EH260" s="5"/>
      <c r="EI260" s="5" t="s">
        <v>247</v>
      </c>
      <c r="EJ260" s="5"/>
      <c r="EK260" s="5" t="s">
        <v>248</v>
      </c>
      <c r="EL260" s="5"/>
      <c r="EM260" s="5" t="s">
        <v>248</v>
      </c>
      <c r="EN260" s="5"/>
      <c r="EO260" s="5"/>
      <c r="EP260" s="5"/>
      <c r="EQ260" s="5" t="s">
        <v>254</v>
      </c>
      <c r="ER260" s="5"/>
      <c r="ES260" s="5" t="s">
        <v>254</v>
      </c>
      <c r="ET260" s="5"/>
      <c r="EU260" s="5" t="s">
        <v>254</v>
      </c>
      <c r="EV260" s="5"/>
      <c r="EW260" s="5" t="s">
        <v>254</v>
      </c>
      <c r="EX260" s="5"/>
      <c r="EY260" s="5"/>
      <c r="EZ260" s="5"/>
      <c r="FA260" s="5" t="s">
        <v>248</v>
      </c>
      <c r="FB260" s="5"/>
      <c r="FC260" s="5" t="s">
        <v>253</v>
      </c>
      <c r="FD260" s="5"/>
      <c r="FE260" s="5" t="s">
        <v>248</v>
      </c>
      <c r="FF260" s="5"/>
      <c r="FG260" s="5"/>
      <c r="FH260" s="5"/>
      <c r="FI260" s="5" t="s">
        <v>247</v>
      </c>
      <c r="FJ260" s="5"/>
      <c r="FK260" s="5" t="s">
        <v>253</v>
      </c>
      <c r="FL260" s="5"/>
      <c r="FM260" s="5" t="s">
        <v>253</v>
      </c>
      <c r="FN260" s="5"/>
      <c r="FO260" s="5"/>
      <c r="FP260" s="5"/>
      <c r="FQ260" s="5" t="s">
        <v>206</v>
      </c>
      <c r="FR260" s="5"/>
      <c r="FS260" s="5" t="s">
        <v>206</v>
      </c>
      <c r="FT260" s="5"/>
      <c r="FU260" s="5" t="s">
        <v>206</v>
      </c>
      <c r="FV260" s="5"/>
      <c r="FW260" s="5" t="s">
        <v>206</v>
      </c>
      <c r="FX260" s="5"/>
      <c r="FY260" s="5" t="s">
        <v>206</v>
      </c>
      <c r="FZ260" s="5"/>
      <c r="GA260" s="5" t="s">
        <v>206</v>
      </c>
      <c r="GB260" s="5"/>
      <c r="GC260" s="5" t="s">
        <v>206</v>
      </c>
      <c r="GD260" s="5"/>
      <c r="GE260" s="5"/>
      <c r="GF260" s="5"/>
      <c r="GG260" s="5" t="s">
        <v>255</v>
      </c>
      <c r="GH260" s="5" t="s">
        <v>255</v>
      </c>
      <c r="GI260" s="5" t="s">
        <v>255</v>
      </c>
      <c r="GJ260" s="5" t="s">
        <v>266</v>
      </c>
      <c r="GK260" s="5" t="s">
        <v>233</v>
      </c>
      <c r="GL260" s="5" t="s">
        <v>233</v>
      </c>
      <c r="GM260" s="5" t="s">
        <v>233</v>
      </c>
      <c r="GN260" s="5" t="s">
        <v>234</v>
      </c>
      <c r="GO260" s="5" t="s">
        <v>257</v>
      </c>
      <c r="GP260" s="5" t="s">
        <v>257</v>
      </c>
      <c r="GQ260" s="5" t="s">
        <v>234</v>
      </c>
      <c r="GR260" s="5" t="s">
        <v>243</v>
      </c>
      <c r="GS260" s="5" t="s">
        <v>257</v>
      </c>
      <c r="GT260" s="5" t="s">
        <v>243</v>
      </c>
      <c r="GU260" s="5" t="s">
        <v>612</v>
      </c>
      <c r="GV260" s="5" t="str">
        <f>TEXT("6279267820314876576","0")</f>
        <v>6279267820314870000</v>
      </c>
    </row>
    <row r="261" spans="1:204" ht="15.75" customHeight="1" x14ac:dyDescent="0.15">
      <c r="A261" s="1">
        <f t="shared" ref="A261:A267" si="765">ROW(A261)</f>
        <v>261</v>
      </c>
      <c r="B261" s="4">
        <v>45847.980543981481</v>
      </c>
      <c r="C261" s="5" t="s">
        <v>204</v>
      </c>
      <c r="D261" s="5" t="s">
        <v>206</v>
      </c>
      <c r="F261" s="5" t="s">
        <v>206</v>
      </c>
      <c r="G261" s="5" t="s">
        <v>206</v>
      </c>
      <c r="H261" s="5" t="s">
        <v>206</v>
      </c>
      <c r="K261" s="5" t="s">
        <v>237</v>
      </c>
      <c r="O261" s="5" t="s">
        <v>209</v>
      </c>
      <c r="S261" s="5" t="s">
        <v>208</v>
      </c>
      <c r="X261" s="5" t="s">
        <v>208</v>
      </c>
      <c r="AC261" s="5" t="s">
        <v>208</v>
      </c>
      <c r="AH261" s="5" t="s">
        <v>210</v>
      </c>
      <c r="AI261" s="5">
        <v>2021</v>
      </c>
      <c r="AJ261" s="5" t="s">
        <v>238</v>
      </c>
      <c r="AK261" s="5" t="str">
        <f t="shared" ref="AK261:AK267" si="766">IF(OR(AJ261="Empleada del sector privado",AJ261="Empleada del sector público"),"Asalariada",
IF(AJ261="Trabajadora por cuenta propia","Trabajadora por cuenta propia",""))</f>
        <v>Trabajadora por cuenta propia</v>
      </c>
      <c r="AN261" s="5" t="s">
        <v>288</v>
      </c>
      <c r="AP261" s="5" t="s">
        <v>321</v>
      </c>
      <c r="AR261" s="5" t="s">
        <v>294</v>
      </c>
      <c r="AS261" s="5" t="s">
        <v>294</v>
      </c>
      <c r="AT261" s="5" t="s">
        <v>276</v>
      </c>
      <c r="AU261" s="5" t="s">
        <v>276</v>
      </c>
      <c r="AV261" s="5" t="s">
        <v>213</v>
      </c>
      <c r="AW261" s="5" t="s">
        <v>206</v>
      </c>
      <c r="BF261" s="5" t="s">
        <v>204</v>
      </c>
      <c r="BG261" s="5" t="s">
        <v>242</v>
      </c>
      <c r="BH261" s="5" t="s">
        <v>242</v>
      </c>
      <c r="BI261" s="5" t="s">
        <v>215</v>
      </c>
      <c r="BJ261" s="5" t="s">
        <v>264</v>
      </c>
      <c r="BK261" s="5" t="s">
        <v>246</v>
      </c>
      <c r="BL261" s="5" t="s">
        <v>243</v>
      </c>
      <c r="BM261" s="5" t="s">
        <v>243</v>
      </c>
      <c r="BN261" s="5" t="s">
        <v>246</v>
      </c>
      <c r="BO261" s="5" t="s">
        <v>246</v>
      </c>
      <c r="BP261" s="5" t="s">
        <v>243</v>
      </c>
      <c r="BQ261" s="5" t="s">
        <v>244</v>
      </c>
      <c r="BR261" s="5" t="s">
        <v>244</v>
      </c>
      <c r="BS261" s="5" t="s">
        <v>247</v>
      </c>
      <c r="BT261" s="5" t="s">
        <v>232</v>
      </c>
      <c r="BU261" s="5" t="s">
        <v>248</v>
      </c>
      <c r="BV261" s="5" t="s">
        <v>247</v>
      </c>
      <c r="BW261" s="5" t="s">
        <v>248</v>
      </c>
      <c r="BX261" s="5" t="s">
        <v>248</v>
      </c>
      <c r="BY261" s="5" t="s">
        <v>217</v>
      </c>
      <c r="CD261" s="5" t="s">
        <v>206</v>
      </c>
      <c r="CH261" s="5" t="s">
        <v>470</v>
      </c>
      <c r="CI261" s="5" t="s">
        <v>332</v>
      </c>
      <c r="CJ261" s="5">
        <v>3</v>
      </c>
      <c r="CK261" s="5" t="s">
        <v>223</v>
      </c>
      <c r="CU261" s="5" t="s">
        <v>206</v>
      </c>
      <c r="DA261" s="5" t="s">
        <v>231</v>
      </c>
      <c r="DB261" s="5">
        <f t="shared" ref="DB261:DB267" si="767">IF(DA261="Mejor que lo habitual",1,
IF(DA261="Igual que lo habitual",2,
IF(DA261="Menos que lo habitual",3,
IF(DA261="Mucho menos que lo habitual",4,""))))</f>
        <v>2</v>
      </c>
      <c r="DC261" s="5" t="s">
        <v>230</v>
      </c>
      <c r="DD261" s="5">
        <f t="shared" ref="DD261:DD267" si="768">IF(DC261="No, en absoluto",1,
IF(DC261="No más que lo habitual",2,
IF(DC261="Bastante más que lo habitual",3,
IF(DC261="Mucho más que lo habitual",4,""))))</f>
        <v>2</v>
      </c>
      <c r="DE261" s="5" t="s">
        <v>250</v>
      </c>
      <c r="DF261" s="5">
        <f t="shared" ref="DF261:DF267" si="769">IF(DE261="No, en absoluto",1,
IF(DE261="No más que lo habitual",2,
IF(DE261="Bastante más que lo habitual",3,
IF(DE261="Mucho más que lo habitual",4,""))))</f>
        <v>3</v>
      </c>
      <c r="DG261" s="5" t="s">
        <v>230</v>
      </c>
      <c r="DH261" s="5">
        <f t="shared" ref="DH261:DH267" si="770">IF(DG261="No, en absoluto",1,
IF(DG261="No más que lo habitual",2,
IF(DG261="Bastante más que lo habitual",3,
IF(DG261="Mucho más que lo habitual",4,""))))</f>
        <v>2</v>
      </c>
      <c r="DI261" s="5" t="s">
        <v>230</v>
      </c>
      <c r="DJ261" s="5">
        <f t="shared" ref="DJ261:DJ267" si="771">IF(DI261="No, en absoluto",1,
IF(DI261="No más que lo habitual",2,
IF(DI261="Bastante más que lo habitual",3,
IF(DI261="Mucho más que lo habitual",4,""))))</f>
        <v>2</v>
      </c>
      <c r="DK261" s="5" t="s">
        <v>250</v>
      </c>
      <c r="DL261" s="5">
        <f t="shared" ref="DL261:DL267" si="772">IF(DK261="No, en absoluto",1,
IF(DK261="No más que lo habitual",2,
IF(DK261="Bastante más que lo habitual",3,
IF(DK261="Mucho más que lo habitual",4,""))))</f>
        <v>3</v>
      </c>
      <c r="DM261" s="5" t="s">
        <v>251</v>
      </c>
      <c r="DN261" s="5">
        <f t="shared" ref="DN261:DN267" si="773">IF(DM261="No, en absoluto",1,
IF(DM261="No más que lo habitual",2,
IF(DM261="Bastante más que lo habitual",3,
IF(DM261="Mucho más que lo habitual",4,""))))</f>
        <v>1</v>
      </c>
      <c r="DO261" s="5" t="s">
        <v>231</v>
      </c>
      <c r="DP261" s="5">
        <f t="shared" ref="DP261:DP267" si="774">IF(DO261="Más que lo habitual",1,
IF(DO261="Igual que lo habitual",2,
IF(DO261="Menos que lo habitual",3,
IF(DO261="Mucho menos que lo habitual",4,""))))</f>
        <v>2</v>
      </c>
      <c r="DQ261" s="5" t="s">
        <v>281</v>
      </c>
      <c r="DR261" s="5">
        <f t="shared" ref="DR261:DR267" si="775">IF(DQ261="Más que lo habitual",1,
IF(DQ261="Igual que lo habitual",2,
IF(DQ261="Menos que lo habitual",3,
IF(DQ261="Mucho menos que lo habitual",4,""))))</f>
        <v>1</v>
      </c>
      <c r="DS261" s="5" t="s">
        <v>231</v>
      </c>
      <c r="DT261" s="5">
        <f t="shared" ref="DT261:DT267" si="776">IF(DS261="Más que lo habitual",1,
IF(DS261="Igual que lo habitual",2,
IF(DS261="Menos que lo habitual",3,
IF(DS261="Mucho menos que lo habitual",4,""))))</f>
        <v>2</v>
      </c>
      <c r="DU261" s="5" t="s">
        <v>231</v>
      </c>
      <c r="DV261" s="5">
        <f t="shared" ref="DV261:DV267" si="777">IF(DU261="Más que lo habitual",1,
IF(DU261="Igual que lo habitual",2,
IF(DU261="Menos que lo habitual",3,
IF(DU261="Mucho menos que lo habitual",4,""))))</f>
        <v>2</v>
      </c>
      <c r="DW261" s="5" t="s">
        <v>231</v>
      </c>
      <c r="DX261" s="5">
        <f t="shared" ref="DX261:DX267" si="778">IF(DW261="Más que lo habitual",1,
IF(DW261="Igual que lo habitual",2,
IF(DW261="Menos que lo habitual",3,
IF(DW261="Mucho menos que lo habitual",4,""))))</f>
        <v>2</v>
      </c>
      <c r="DY261" s="5">
        <f t="shared" ref="DY261:DY267" si="779">SUM(DB261,DD261,DF261,DH261,DJ261,DL261,DN261,DP261,DR261,DT261,DV261,DX261)</f>
        <v>24</v>
      </c>
      <c r="DZ261" s="5" t="str">
        <f t="shared" ref="DZ261:DZ267" si="780">IF(DY261&lt;=18,"Nivel de riesgo bajo",
IF(DY261&lt;=23,"Nivel de riesgo medio",
"Nivel de riesgo alto"))</f>
        <v>Nivel de riesgo alto</v>
      </c>
      <c r="EA261" s="5" t="s">
        <v>247</v>
      </c>
      <c r="EB261" s="5">
        <f t="shared" ref="EB261:EB267" si="781">IF(EA261="Nunca/ casi nunca",0,
IF(EA261="Rara vez",1,
IF(EA261="A veces",2,
IF(EA261="A menudo",3,
IF(EA261="Siempre",4,"")))))</f>
        <v>2</v>
      </c>
      <c r="EC261" s="5" t="s">
        <v>247</v>
      </c>
      <c r="ED261" s="5">
        <f t="shared" ref="ED261:ED267" si="782">IF(EC261="Nunca/ casi nunca",0,
IF(EC261="Rara vez",1,
IF(EC261="A veces",2,
IF(EC261="A menudo",3,
IF(EC261="Siempre",4,"")))))</f>
        <v>2</v>
      </c>
      <c r="EE261" s="5" t="s">
        <v>248</v>
      </c>
      <c r="EF261" s="5">
        <f t="shared" ref="EF261:EF267" si="783">IF(EE261="Nunca/ casi nunca",0,
IF(EE261="Rara vez",1,
IF(EE261="A veces",2,
IF(EE261="A menudo",3,
IF(EE261="Siempre",4,"")))))</f>
        <v>1</v>
      </c>
      <c r="EG261" s="5">
        <f t="shared" ref="EG261:EG267" si="784">SUM(EB261,ED261,EF261)</f>
        <v>5</v>
      </c>
      <c r="EH261" s="5" t="str">
        <f t="shared" ref="EH261:EH267" si="785">IF(EG261&lt;=1,"Nivel de riesgo bajo",
IF(EG261&lt;=4,"Nivel de riesgo medio",
"Nivel de riesgo alto"))</f>
        <v>Nivel de riesgo alto</v>
      </c>
      <c r="EI261" s="5" t="s">
        <v>248</v>
      </c>
      <c r="EJ261" s="5">
        <f t="shared" ref="EJ261:EJ267" si="786">IF(EI261="Nunca/ casi nunca",0,
IF(EI261="Rara vez",1,
IF(EI261="A veces",2,
IF(EI261="A menudo",3,
IF(EI261="Siempre",4,"")))))</f>
        <v>1</v>
      </c>
      <c r="EK261" s="5" t="s">
        <v>253</v>
      </c>
      <c r="EL261" s="5">
        <f t="shared" ref="EL261:EL267" si="787">IF(EK261="Nunca/ casi nunca",0,
IF(EK261="Rara vez",1,
IF(EK261="A veces",2,
IF(EK261="A menudo",3,
IF(EK261="Siempre",4,"")))))</f>
        <v>0</v>
      </c>
      <c r="EM261" s="5" t="s">
        <v>248</v>
      </c>
      <c r="EN261" s="5">
        <f t="shared" ref="EN261:EN267" si="788">IF(EM261="Nunca/ casi nunca",0,
IF(EM261="Rara vez",1,
IF(EM261="A veces",2,
IF(EM261="A menudo",3,
IF(EM261="Siempre",4,"")))))</f>
        <v>1</v>
      </c>
      <c r="EO261" s="5">
        <f t="shared" ref="EO261:EO267" si="789">SUM(EJ261,EL261,EN261)</f>
        <v>2</v>
      </c>
      <c r="EP261" s="5" t="str">
        <f t="shared" ref="EP261:EP267" si="790">IF(EO261&lt;=1,"Nivel de riesgo bajo",
IF(EO261&lt;=5,"Nivel de riesgo medio",
"Nivel de riesgo alto"))</f>
        <v>Nivel de riesgo medio</v>
      </c>
      <c r="EQ261" s="5" t="s">
        <v>253</v>
      </c>
      <c r="ER261" s="5">
        <f t="shared" ref="ER261:ER267" si="791">IF(EQ261="Nunca/ casi nunca",4,
IF(EQ261="Rara vez",3,
IF(EQ261="A veces",2,
IF(EQ261="A menudo",1,
IF(EQ261="Siempre",0,"")))))</f>
        <v>4</v>
      </c>
      <c r="ES261" s="5" t="s">
        <v>253</v>
      </c>
      <c r="ET261" s="5">
        <f t="shared" ref="ET261:ET267" si="792">IF(ES261="Nunca/ casi nunca",4,
IF(ES261="Rara vez",3,
IF(ES261="A veces",2,
IF(ES261="A menudo",1,
IF(ES261="Siempre",0,"")))))</f>
        <v>4</v>
      </c>
      <c r="EU261" s="5" t="s">
        <v>253</v>
      </c>
      <c r="EV261" s="5">
        <f t="shared" ref="EV261:EV267" si="793">IF(EU261="Nunca/ casi nunca",4,
IF(EU261="Rara vez",3,
IF(EU261="A veces",2,
IF(EU261="A menudo",1,
IF(EU261="Siempre",0,"")))))</f>
        <v>4</v>
      </c>
      <c r="EW261" s="5" t="s">
        <v>253</v>
      </c>
      <c r="EX261" s="5">
        <f t="shared" ref="EX261:EX267" si="794">IF(EW261="Nunca/ casi nunca",4,
IF(EW261="Rara vez",3,
IF(EW261="A veces",2,
IF(EW261="A menudo",1,
IF(EW261="Siempre",0,"")))))</f>
        <v>4</v>
      </c>
      <c r="EY261" s="5">
        <f t="shared" ref="EY261:EY267" si="795">SUM(ER261,ET261,EV261,EX261)</f>
        <v>16</v>
      </c>
      <c r="EZ261" s="5" t="str">
        <f t="shared" ref="EZ261:EZ267" si="796">IF(EY261&lt;=0,"Nivel de riesgo bajo",
IF(EY261&lt;=4,"Nivel de riesgo medio",
"Nivel de riesgo alto"))</f>
        <v>Nivel de riesgo alto</v>
      </c>
      <c r="FA261" s="5" t="s">
        <v>253</v>
      </c>
      <c r="FB261" s="5">
        <f t="shared" ref="FB261:FB267" si="797">IF(FA261="Nunca/ casi nunca",0,
IF(FA261="Rara vez",1,
IF(FA261="A veces",2,
IF(FA261="A menudo",3,
IF(FA261="Siempre",4,"")))))</f>
        <v>0</v>
      </c>
      <c r="FC261" s="5" t="s">
        <v>253</v>
      </c>
      <c r="FD261" s="5">
        <f t="shared" ref="FD261:FD267" si="798">IF(FC261="Nunca/ casi nunca",0,
IF(FC261="Rara vez",1,
IF(FC261="A veces",2,
IF(FC261="A menudo",3,
IF(FC261="Siempre",4,"")))))</f>
        <v>0</v>
      </c>
      <c r="FE261" s="5" t="s">
        <v>253</v>
      </c>
      <c r="FF261" s="5">
        <f t="shared" ref="FF261:FF267" si="799">IF(FE261="Nunca/ casi nunca",0,
IF(FE261="Rara vez",1,
IF(FE261="A veces",2,
IF(FE261="A menudo",3,
IF(FE261="Siempre",4,"")))))</f>
        <v>0</v>
      </c>
      <c r="FG261" s="5">
        <f t="shared" ref="FG261:FG267" si="800">SUM(FB261,FD261,FF261)</f>
        <v>0</v>
      </c>
      <c r="FH261" s="5" t="str">
        <f t="shared" ref="FH261:FH267" si="801">IF(FG261&lt;=2,"Nivel de riesgo bajo",
IF(FG261&lt;=5,"Nivel de riesgo medio",
"Nivel de riesgo alto"))</f>
        <v>Nivel de riesgo bajo</v>
      </c>
      <c r="FI261" s="5" t="s">
        <v>253</v>
      </c>
      <c r="FJ261" s="5">
        <f t="shared" ref="FJ261:FJ267" si="802">IF(FI261="Nunca/ casi nunca",0,
IF(FI261="Rara vez",1,
IF(FI261="A veces",2,
IF(FI261="A menudo",3,
IF(FI261="Siempre",4,"")))))</f>
        <v>0</v>
      </c>
      <c r="FK261" s="5" t="s">
        <v>247</v>
      </c>
      <c r="FL261" s="5">
        <f t="shared" ref="FL261:FL267" si="803">IF(FK261="Nunca/ casi nunca",0,
IF(FK261="Rara vez",1,
IF(FK261="A veces",2,
IF(FK261="A menudo",3,
IF(FK261="Siempre",4,"")))))</f>
        <v>2</v>
      </c>
      <c r="FM261" s="5" t="s">
        <v>248</v>
      </c>
      <c r="FN261" s="5">
        <f t="shared" ref="FN261:FN267" si="804">IF(FM261="Nunca/ casi nunca",0,
IF(FM261="Rara vez",1,
IF(FM261="A veces",2,
IF(FM261="A menudo",3,
IF(FM261="Siempre",4,"")))))</f>
        <v>1</v>
      </c>
      <c r="FO261" s="5">
        <f t="shared" ref="FO261:FO267" si="805">SUM(FJ261,FL261,FN261)</f>
        <v>3</v>
      </c>
      <c r="FP261" s="5" t="str">
        <f t="shared" ref="FP261:FP267" si="806">IF(FO261&lt;=2,"Nivel de riesgo bajo",
IF(FO261&lt;=5,"Nivel de riesgo medio",
"Nivel de riesgo alto"))</f>
        <v>Nivel de riesgo medio</v>
      </c>
      <c r="FQ261" s="5" t="s">
        <v>206</v>
      </c>
      <c r="FR261" s="5">
        <f t="shared" ref="FR261:FR267" si="807">IF(FQ261="No",0,
IF(FQ261="Sí, unas pocas veces",1,
IF(FQ261="Sí, mensualmente",2,
IF(FQ261="Sí, semanalmente",3,
IF(FQ261="Sí, diariamente",4,"")))))</f>
        <v>0</v>
      </c>
      <c r="FS261" s="5" t="s">
        <v>206</v>
      </c>
      <c r="FT261" s="5">
        <f t="shared" ref="FT261:FT267" si="808">IF(FS261="No",0,
IF(FS261="Sí, unas pocas veces",1,
IF(FS261="Sí, mensualmente",2,
IF(FS261="Sí, semanalmente",3,
IF(FS261="Sí, diariamente",4,"")))))</f>
        <v>0</v>
      </c>
      <c r="FU261" s="5" t="s">
        <v>206</v>
      </c>
      <c r="FV261" s="5">
        <f t="shared" ref="FV261:FV267" si="809">IF(FU261="No",0,
IF(FU261="Sí, unas pocas veces",1,
IF(FU261="Sí, mensualmente",2,
IF(FU261="Sí, semanalmente",3,
IF(FU261="Sí, diariamente",4,"")))))</f>
        <v>0</v>
      </c>
      <c r="FW261" s="5" t="s">
        <v>206</v>
      </c>
      <c r="FX261" s="5">
        <f t="shared" ref="FX261:FX267" si="810">IF(FW261="No",0,
IF(FW261="Sí, unas pocas veces",1,
IF(FW261="Sí, mensualmente",2,
IF(FW261="Sí, semanalmente",3,
IF(FW261="Sí, diariamente",4,"")))))</f>
        <v>0</v>
      </c>
      <c r="FY261" s="5" t="s">
        <v>206</v>
      </c>
      <c r="FZ261" s="5">
        <f t="shared" ref="FZ261:FZ267" si="811">IF(FY261="No",0,
IF(FY261="Sí, unas pocas veces",1,
IF(FY261="Sí, mensualmente",2,
IF(FY261="Sí, semanalmente",3,
IF(FY261="Sí, diariamente",4,"")))))</f>
        <v>0</v>
      </c>
      <c r="GA261" s="5" t="s">
        <v>206</v>
      </c>
      <c r="GB261" s="5">
        <f t="shared" ref="GB261:GB267" si="812">IF(GA261="No",0,
IF(GA261="Sí, unas pocas veces",1,
IF(GA261="Sí, mensualmente",2,
IF(GA261="Sí, semanalmente",3,
IF(GA261="Sí, diariamente",4,"")))))</f>
        <v>0</v>
      </c>
      <c r="GC261" s="5" t="s">
        <v>206</v>
      </c>
      <c r="GD261" s="5">
        <f t="shared" ref="GD261:GD267" si="813">IF(GC261="No",0,
IF(GC261="Sí, unas pocas veces",1,
IF(GC261="Sí, mensualmente",2,
IF(GC261="Sí, semanalmente",3,
IF(GC261="Sí, diariamente",4,"")))))</f>
        <v>0</v>
      </c>
      <c r="GE261" s="5">
        <f t="shared" ref="GE261:GE267" si="814">SUM(FR261,FT261,FV261,FX261,FZ261,GB261,GD261)</f>
        <v>0</v>
      </c>
      <c r="GF261" s="5" t="str">
        <f t="shared" ref="GF261:GF267" si="815">IF(GE261&lt;=0,"Nivel de riesgo bajo",
IF(GE261&lt;=14,"Nivel de riesgo medio",
"Nivel de riesgo alto"))</f>
        <v>Nivel de riesgo bajo</v>
      </c>
      <c r="GG261" s="5" t="s">
        <v>273</v>
      </c>
      <c r="GH261" s="5" t="s">
        <v>273</v>
      </c>
      <c r="GI261" s="5" t="s">
        <v>273</v>
      </c>
      <c r="GJ261" s="5" t="s">
        <v>233</v>
      </c>
      <c r="GK261" s="5" t="s">
        <v>233</v>
      </c>
      <c r="GL261" s="5" t="s">
        <v>273</v>
      </c>
      <c r="GM261" s="5" t="s">
        <v>273</v>
      </c>
      <c r="GN261" s="5" t="s">
        <v>243</v>
      </c>
      <c r="GO261" s="5" t="s">
        <v>243</v>
      </c>
      <c r="GP261" s="5" t="s">
        <v>243</v>
      </c>
      <c r="GQ261" s="5" t="s">
        <v>257</v>
      </c>
      <c r="GR261" s="5" t="s">
        <v>257</v>
      </c>
      <c r="GS261" s="5" t="s">
        <v>257</v>
      </c>
      <c r="GT261" s="5" t="s">
        <v>243</v>
      </c>
      <c r="GU261" s="5" t="s">
        <v>613</v>
      </c>
      <c r="GV261" s="5" t="str">
        <f>TEXT("6279275194013606553","0")</f>
        <v>6279275194013600000</v>
      </c>
    </row>
    <row r="262" spans="1:204" ht="15.75" customHeight="1" x14ac:dyDescent="0.15">
      <c r="A262" s="1">
        <f t="shared" si="765"/>
        <v>262</v>
      </c>
      <c r="B262" s="4">
        <v>45847.995393518519</v>
      </c>
      <c r="C262" s="5" t="s">
        <v>204</v>
      </c>
      <c r="D262" s="5" t="s">
        <v>206</v>
      </c>
      <c r="F262" s="5" t="s">
        <v>206</v>
      </c>
      <c r="G262" s="5" t="s">
        <v>206</v>
      </c>
      <c r="H262" s="5" t="s">
        <v>206</v>
      </c>
      <c r="J262" s="5" t="s">
        <v>209</v>
      </c>
      <c r="N262" s="5" t="s">
        <v>208</v>
      </c>
      <c r="T262" s="5" t="s">
        <v>209</v>
      </c>
      <c r="X262" s="5" t="s">
        <v>208</v>
      </c>
      <c r="AC262" s="5" t="s">
        <v>208</v>
      </c>
      <c r="AH262" s="5" t="s">
        <v>259</v>
      </c>
      <c r="AI262" s="5">
        <v>2015</v>
      </c>
      <c r="AJ262" s="5" t="s">
        <v>238</v>
      </c>
      <c r="AK262" s="5" t="str">
        <f t="shared" si="766"/>
        <v>Trabajadora por cuenta propia</v>
      </c>
      <c r="AN262" s="5" t="s">
        <v>288</v>
      </c>
      <c r="AP262" s="5" t="s">
        <v>297</v>
      </c>
      <c r="AR262" s="5" t="s">
        <v>276</v>
      </c>
      <c r="AS262" s="5" t="s">
        <v>276</v>
      </c>
      <c r="AT262" s="5" t="s">
        <v>276</v>
      </c>
      <c r="AU262" s="5" t="s">
        <v>276</v>
      </c>
      <c r="AV262" s="5" t="s">
        <v>213</v>
      </c>
      <c r="AW262" s="5" t="s">
        <v>204</v>
      </c>
      <c r="AX262" s="5" t="s">
        <v>204</v>
      </c>
      <c r="AY262" s="5" t="s">
        <v>406</v>
      </c>
      <c r="AZ262" s="5" t="s">
        <v>204</v>
      </c>
      <c r="BA262" s="5" t="s">
        <v>295</v>
      </c>
      <c r="BB262" s="5" t="s">
        <v>206</v>
      </c>
      <c r="BC262" s="5" t="s">
        <v>206</v>
      </c>
      <c r="BD262" s="5" t="s">
        <v>306</v>
      </c>
      <c r="BE262" s="5" t="s">
        <v>206</v>
      </c>
      <c r="BF262" s="5" t="s">
        <v>204</v>
      </c>
      <c r="BG262" s="5" t="s">
        <v>215</v>
      </c>
      <c r="BH262" s="5" t="s">
        <v>215</v>
      </c>
      <c r="BI262" s="5" t="s">
        <v>215</v>
      </c>
      <c r="BJ262" s="5" t="s">
        <v>215</v>
      </c>
      <c r="BK262" s="5" t="s">
        <v>216</v>
      </c>
      <c r="BL262" s="5" t="s">
        <v>216</v>
      </c>
      <c r="BM262" s="5" t="s">
        <v>216</v>
      </c>
      <c r="BN262" s="5" t="s">
        <v>216</v>
      </c>
      <c r="BO262" s="5" t="s">
        <v>216</v>
      </c>
      <c r="BP262" s="5" t="s">
        <v>216</v>
      </c>
      <c r="BQ262" s="5" t="s">
        <v>216</v>
      </c>
      <c r="BR262" s="5" t="s">
        <v>216</v>
      </c>
      <c r="BS262" s="5" t="s">
        <v>247</v>
      </c>
      <c r="BT262" s="5" t="s">
        <v>217</v>
      </c>
      <c r="BU262" s="5" t="s">
        <v>247</v>
      </c>
      <c r="BV262" s="5" t="s">
        <v>217</v>
      </c>
      <c r="BW262" s="5" t="s">
        <v>217</v>
      </c>
      <c r="BX262" s="5" t="s">
        <v>217</v>
      </c>
      <c r="BY262" s="5" t="s">
        <v>217</v>
      </c>
      <c r="BZ262" s="5" t="s">
        <v>216</v>
      </c>
      <c r="CA262" s="5" t="s">
        <v>216</v>
      </c>
      <c r="CB262" s="5" t="s">
        <v>216</v>
      </c>
      <c r="CC262" s="5" t="s">
        <v>216</v>
      </c>
      <c r="CD262" s="5" t="s">
        <v>206</v>
      </c>
      <c r="CH262" s="5" t="s">
        <v>206</v>
      </c>
      <c r="CI262" s="5" t="s">
        <v>206</v>
      </c>
      <c r="CJ262" s="5">
        <v>0</v>
      </c>
      <c r="CK262" s="5" t="s">
        <v>223</v>
      </c>
      <c r="CU262" s="5" t="s">
        <v>206</v>
      </c>
      <c r="DA262" s="5" t="s">
        <v>272</v>
      </c>
      <c r="DB262" s="5">
        <f t="shared" si="767"/>
        <v>1</v>
      </c>
      <c r="DC262" s="5" t="s">
        <v>251</v>
      </c>
      <c r="DD262" s="5">
        <f t="shared" si="768"/>
        <v>1</v>
      </c>
      <c r="DE262" s="5" t="s">
        <v>251</v>
      </c>
      <c r="DF262" s="5">
        <f t="shared" si="769"/>
        <v>1</v>
      </c>
      <c r="DG262" s="5" t="s">
        <v>251</v>
      </c>
      <c r="DH262" s="5">
        <f t="shared" si="770"/>
        <v>1</v>
      </c>
      <c r="DI262" s="5" t="s">
        <v>251</v>
      </c>
      <c r="DJ262" s="5">
        <f t="shared" si="771"/>
        <v>1</v>
      </c>
      <c r="DK262" s="5" t="s">
        <v>251</v>
      </c>
      <c r="DL262" s="5">
        <f t="shared" si="772"/>
        <v>1</v>
      </c>
      <c r="DM262" s="5" t="s">
        <v>251</v>
      </c>
      <c r="DN262" s="5">
        <f t="shared" si="773"/>
        <v>1</v>
      </c>
      <c r="DO262" s="5" t="s">
        <v>281</v>
      </c>
      <c r="DP262" s="5">
        <f t="shared" si="774"/>
        <v>1</v>
      </c>
      <c r="DQ262" s="5" t="s">
        <v>281</v>
      </c>
      <c r="DR262" s="5">
        <f t="shared" si="775"/>
        <v>1</v>
      </c>
      <c r="DS262" s="5" t="s">
        <v>281</v>
      </c>
      <c r="DT262" s="5">
        <f t="shared" si="776"/>
        <v>1</v>
      </c>
      <c r="DU262" s="5" t="s">
        <v>281</v>
      </c>
      <c r="DV262" s="5">
        <f t="shared" si="777"/>
        <v>1</v>
      </c>
      <c r="DW262" s="5" t="s">
        <v>281</v>
      </c>
      <c r="DX262" s="5">
        <f t="shared" si="778"/>
        <v>1</v>
      </c>
      <c r="DY262" s="5">
        <f t="shared" si="779"/>
        <v>12</v>
      </c>
      <c r="DZ262" s="5" t="str">
        <f t="shared" si="780"/>
        <v>Nivel de riesgo bajo</v>
      </c>
      <c r="EA262" s="5" t="s">
        <v>253</v>
      </c>
      <c r="EB262" s="5">
        <f t="shared" si="781"/>
        <v>0</v>
      </c>
      <c r="EC262" s="5" t="s">
        <v>253</v>
      </c>
      <c r="ED262" s="5">
        <f t="shared" si="782"/>
        <v>0</v>
      </c>
      <c r="EE262" s="5" t="s">
        <v>253</v>
      </c>
      <c r="EF262" s="5">
        <f t="shared" si="783"/>
        <v>0</v>
      </c>
      <c r="EG262" s="5">
        <f t="shared" si="784"/>
        <v>0</v>
      </c>
      <c r="EH262" s="5" t="str">
        <f t="shared" si="785"/>
        <v>Nivel de riesgo bajo</v>
      </c>
      <c r="EI262" s="5" t="s">
        <v>253</v>
      </c>
      <c r="EJ262" s="5">
        <f t="shared" si="786"/>
        <v>0</v>
      </c>
      <c r="EK262" s="5" t="s">
        <v>253</v>
      </c>
      <c r="EL262" s="5">
        <f t="shared" si="787"/>
        <v>0</v>
      </c>
      <c r="EM262" s="5" t="s">
        <v>253</v>
      </c>
      <c r="EN262" s="5">
        <f t="shared" si="788"/>
        <v>0</v>
      </c>
      <c r="EO262" s="5">
        <f t="shared" si="789"/>
        <v>0</v>
      </c>
      <c r="EP262" s="5" t="str">
        <f t="shared" si="790"/>
        <v>Nivel de riesgo bajo</v>
      </c>
      <c r="EQ262" s="5" t="s">
        <v>254</v>
      </c>
      <c r="ER262" s="5">
        <f t="shared" si="791"/>
        <v>0</v>
      </c>
      <c r="ES262" s="5" t="s">
        <v>254</v>
      </c>
      <c r="ET262" s="5">
        <f t="shared" si="792"/>
        <v>0</v>
      </c>
      <c r="EU262" s="5" t="s">
        <v>254</v>
      </c>
      <c r="EV262" s="5">
        <f t="shared" si="793"/>
        <v>0</v>
      </c>
      <c r="EW262" s="5" t="s">
        <v>254</v>
      </c>
      <c r="EX262" s="5">
        <f t="shared" si="794"/>
        <v>0</v>
      </c>
      <c r="EY262" s="5">
        <f t="shared" si="795"/>
        <v>0</v>
      </c>
      <c r="EZ262" s="5" t="str">
        <f t="shared" si="796"/>
        <v>Nivel de riesgo bajo</v>
      </c>
      <c r="FA262" s="5" t="s">
        <v>253</v>
      </c>
      <c r="FB262" s="5">
        <f t="shared" si="797"/>
        <v>0</v>
      </c>
      <c r="FC262" s="5" t="s">
        <v>253</v>
      </c>
      <c r="FD262" s="5">
        <f t="shared" si="798"/>
        <v>0</v>
      </c>
      <c r="FE262" s="5" t="s">
        <v>253</v>
      </c>
      <c r="FF262" s="5">
        <f t="shared" si="799"/>
        <v>0</v>
      </c>
      <c r="FG262" s="5">
        <f t="shared" si="800"/>
        <v>0</v>
      </c>
      <c r="FH262" s="5" t="str">
        <f t="shared" si="801"/>
        <v>Nivel de riesgo bajo</v>
      </c>
      <c r="FI262" s="5" t="s">
        <v>253</v>
      </c>
      <c r="FJ262" s="5">
        <f t="shared" si="802"/>
        <v>0</v>
      </c>
      <c r="FK262" s="5" t="s">
        <v>253</v>
      </c>
      <c r="FL262" s="5">
        <f t="shared" si="803"/>
        <v>0</v>
      </c>
      <c r="FM262" s="5" t="s">
        <v>253</v>
      </c>
      <c r="FN262" s="5">
        <f t="shared" si="804"/>
        <v>0</v>
      </c>
      <c r="FO262" s="5">
        <f t="shared" si="805"/>
        <v>0</v>
      </c>
      <c r="FP262" s="5" t="str">
        <f t="shared" si="806"/>
        <v>Nivel de riesgo bajo</v>
      </c>
      <c r="FQ262" s="5" t="s">
        <v>206</v>
      </c>
      <c r="FR262" s="5">
        <f t="shared" si="807"/>
        <v>0</v>
      </c>
      <c r="FS262" s="5" t="s">
        <v>206</v>
      </c>
      <c r="FT262" s="5">
        <f t="shared" si="808"/>
        <v>0</v>
      </c>
      <c r="FU262" s="5" t="s">
        <v>206</v>
      </c>
      <c r="FV262" s="5">
        <f t="shared" si="809"/>
        <v>0</v>
      </c>
      <c r="FW262" s="5" t="s">
        <v>206</v>
      </c>
      <c r="FX262" s="5">
        <f t="shared" si="810"/>
        <v>0</v>
      </c>
      <c r="FY262" s="5" t="s">
        <v>206</v>
      </c>
      <c r="FZ262" s="5">
        <f t="shared" si="811"/>
        <v>0</v>
      </c>
      <c r="GA262" s="5" t="s">
        <v>206</v>
      </c>
      <c r="GB262" s="5">
        <f t="shared" si="812"/>
        <v>0</v>
      </c>
      <c r="GC262" s="5" t="s">
        <v>206</v>
      </c>
      <c r="GD262" s="5">
        <f t="shared" si="813"/>
        <v>0</v>
      </c>
      <c r="GE262" s="5">
        <f t="shared" si="814"/>
        <v>0</v>
      </c>
      <c r="GF262" s="5" t="str">
        <f t="shared" si="815"/>
        <v>Nivel de riesgo bajo</v>
      </c>
      <c r="GG262" s="5" t="s">
        <v>255</v>
      </c>
      <c r="GH262" s="5" t="s">
        <v>255</v>
      </c>
      <c r="GI262" s="5" t="s">
        <v>255</v>
      </c>
      <c r="GJ262" s="5" t="s">
        <v>233</v>
      </c>
      <c r="GK262" s="5" t="s">
        <v>233</v>
      </c>
      <c r="GL262" s="5" t="s">
        <v>298</v>
      </c>
      <c r="GM262" s="5" t="s">
        <v>233</v>
      </c>
      <c r="GN262" s="5" t="s">
        <v>234</v>
      </c>
      <c r="GO262" s="5" t="s">
        <v>234</v>
      </c>
      <c r="GP262" s="5" t="s">
        <v>234</v>
      </c>
      <c r="GQ262" s="5" t="s">
        <v>234</v>
      </c>
      <c r="GR262" s="5" t="s">
        <v>234</v>
      </c>
      <c r="GS262" s="5" t="s">
        <v>234</v>
      </c>
      <c r="GT262" s="5" t="s">
        <v>234</v>
      </c>
      <c r="GU262" s="5" t="s">
        <v>614</v>
      </c>
      <c r="GV262" s="5" t="str">
        <f>TEXT("6279288025124682043","0")</f>
        <v>6279288025124680000</v>
      </c>
    </row>
    <row r="263" spans="1:204" ht="15.75" customHeight="1" x14ac:dyDescent="0.15">
      <c r="A263" s="1">
        <f t="shared" si="765"/>
        <v>263</v>
      </c>
      <c r="B263" s="4">
        <v>45848.02207175926</v>
      </c>
      <c r="C263" s="5" t="s">
        <v>204</v>
      </c>
      <c r="D263" s="5" t="s">
        <v>206</v>
      </c>
      <c r="F263" s="5" t="s">
        <v>206</v>
      </c>
      <c r="G263" s="5" t="s">
        <v>206</v>
      </c>
      <c r="H263" s="5" t="s">
        <v>206</v>
      </c>
      <c r="K263" s="5" t="s">
        <v>237</v>
      </c>
      <c r="P263" s="5" t="s">
        <v>237</v>
      </c>
      <c r="T263" s="5" t="s">
        <v>209</v>
      </c>
      <c r="X263" s="5" t="s">
        <v>208</v>
      </c>
      <c r="AE263" s="5" t="s">
        <v>237</v>
      </c>
      <c r="AH263" s="5" t="s">
        <v>210</v>
      </c>
      <c r="AI263" s="5">
        <v>2022</v>
      </c>
      <c r="AJ263" s="5" t="s">
        <v>238</v>
      </c>
      <c r="AK263" s="5" t="str">
        <f t="shared" si="766"/>
        <v>Trabajadora por cuenta propia</v>
      </c>
      <c r="AM263" s="5" t="s">
        <v>309</v>
      </c>
      <c r="AP263" s="5" t="s">
        <v>240</v>
      </c>
      <c r="AR263" s="5" t="s">
        <v>261</v>
      </c>
      <c r="AS263" s="5" t="s">
        <v>261</v>
      </c>
      <c r="AT263" s="5" t="s">
        <v>294</v>
      </c>
      <c r="AU263" s="5" t="s">
        <v>261</v>
      </c>
      <c r="AV263" s="5" t="s">
        <v>302</v>
      </c>
      <c r="AW263" s="5" t="s">
        <v>204</v>
      </c>
      <c r="AX263" s="5" t="s">
        <v>204</v>
      </c>
      <c r="AY263" s="5" t="s">
        <v>214</v>
      </c>
      <c r="AZ263" s="5" t="s">
        <v>204</v>
      </c>
      <c r="BA263" s="5" t="s">
        <v>295</v>
      </c>
      <c r="BB263" s="5" t="s">
        <v>204</v>
      </c>
      <c r="BC263" s="5" t="s">
        <v>204</v>
      </c>
      <c r="BD263" s="5" t="s">
        <v>206</v>
      </c>
      <c r="BE263" s="5" t="s">
        <v>206</v>
      </c>
      <c r="BF263" s="5" t="s">
        <v>204</v>
      </c>
      <c r="BG263" s="5" t="s">
        <v>242</v>
      </c>
      <c r="BH263" s="5" t="s">
        <v>242</v>
      </c>
      <c r="BI263" s="5" t="s">
        <v>215</v>
      </c>
      <c r="BJ263" s="5" t="s">
        <v>242</v>
      </c>
      <c r="BK263" s="5" t="s">
        <v>244</v>
      </c>
      <c r="BL263" s="5" t="s">
        <v>216</v>
      </c>
      <c r="BM263" s="5" t="s">
        <v>244</v>
      </c>
      <c r="BN263" s="5" t="s">
        <v>216</v>
      </c>
      <c r="BO263" s="5" t="s">
        <v>216</v>
      </c>
      <c r="BP263" s="5" t="s">
        <v>244</v>
      </c>
      <c r="BQ263" s="5" t="s">
        <v>216</v>
      </c>
      <c r="BR263" s="5" t="s">
        <v>244</v>
      </c>
      <c r="BS263" s="5" t="s">
        <v>247</v>
      </c>
      <c r="BT263" s="5" t="s">
        <v>247</v>
      </c>
      <c r="BU263" s="5" t="s">
        <v>247</v>
      </c>
      <c r="BV263" s="5" t="s">
        <v>247</v>
      </c>
      <c r="BW263" s="5" t="s">
        <v>247</v>
      </c>
      <c r="BX263" s="5" t="s">
        <v>247</v>
      </c>
      <c r="BY263" s="5" t="s">
        <v>247</v>
      </c>
      <c r="BZ263" s="5" t="s">
        <v>244</v>
      </c>
      <c r="CA263" s="5" t="s">
        <v>246</v>
      </c>
      <c r="CB263" s="5" t="s">
        <v>246</v>
      </c>
      <c r="CC263" s="5" t="s">
        <v>246</v>
      </c>
      <c r="CD263" s="5" t="s">
        <v>206</v>
      </c>
      <c r="CH263" s="5" t="s">
        <v>310</v>
      </c>
      <c r="CI263" s="5" t="s">
        <v>307</v>
      </c>
      <c r="CJ263" s="5">
        <v>5</v>
      </c>
      <c r="CK263" s="5" t="s">
        <v>223</v>
      </c>
      <c r="CU263" s="5" t="s">
        <v>206</v>
      </c>
      <c r="DA263" s="5" t="s">
        <v>252</v>
      </c>
      <c r="DB263" s="5">
        <f t="shared" si="767"/>
        <v>3</v>
      </c>
      <c r="DC263" s="5" t="s">
        <v>250</v>
      </c>
      <c r="DD263" s="5">
        <f t="shared" si="768"/>
        <v>3</v>
      </c>
      <c r="DE263" s="5" t="s">
        <v>230</v>
      </c>
      <c r="DF263" s="5">
        <f t="shared" si="769"/>
        <v>2</v>
      </c>
      <c r="DG263" s="5" t="s">
        <v>230</v>
      </c>
      <c r="DH263" s="5">
        <f t="shared" si="770"/>
        <v>2</v>
      </c>
      <c r="DI263" s="5" t="s">
        <v>251</v>
      </c>
      <c r="DJ263" s="5">
        <f t="shared" si="771"/>
        <v>1</v>
      </c>
      <c r="DK263" s="5" t="s">
        <v>251</v>
      </c>
      <c r="DL263" s="5">
        <f t="shared" si="772"/>
        <v>1</v>
      </c>
      <c r="DM263" s="5" t="s">
        <v>251</v>
      </c>
      <c r="DN263" s="5">
        <f t="shared" si="773"/>
        <v>1</v>
      </c>
      <c r="DO263" s="5" t="s">
        <v>281</v>
      </c>
      <c r="DP263" s="5">
        <f t="shared" si="774"/>
        <v>1</v>
      </c>
      <c r="DQ263" s="5" t="s">
        <v>252</v>
      </c>
      <c r="DR263" s="5">
        <f t="shared" si="775"/>
        <v>3</v>
      </c>
      <c r="DS263" s="5" t="s">
        <v>231</v>
      </c>
      <c r="DT263" s="5">
        <f t="shared" si="776"/>
        <v>2</v>
      </c>
      <c r="DU263" s="5" t="s">
        <v>281</v>
      </c>
      <c r="DV263" s="5">
        <f t="shared" si="777"/>
        <v>1</v>
      </c>
      <c r="DW263" s="5" t="s">
        <v>281</v>
      </c>
      <c r="DX263" s="5">
        <f t="shared" si="778"/>
        <v>1</v>
      </c>
      <c r="DY263" s="5">
        <f t="shared" si="779"/>
        <v>21</v>
      </c>
      <c r="DZ263" s="5" t="str">
        <f t="shared" si="780"/>
        <v>Nivel de riesgo medio</v>
      </c>
      <c r="EA263" s="5" t="s">
        <v>232</v>
      </c>
      <c r="EB263" s="5">
        <f t="shared" si="781"/>
        <v>3</v>
      </c>
      <c r="EC263" s="5" t="s">
        <v>247</v>
      </c>
      <c r="ED263" s="5">
        <f t="shared" si="782"/>
        <v>2</v>
      </c>
      <c r="EE263" s="5" t="s">
        <v>247</v>
      </c>
      <c r="EF263" s="5">
        <f t="shared" si="783"/>
        <v>2</v>
      </c>
      <c r="EG263" s="5">
        <f t="shared" si="784"/>
        <v>7</v>
      </c>
      <c r="EH263" s="5" t="str">
        <f t="shared" si="785"/>
        <v>Nivel de riesgo alto</v>
      </c>
      <c r="EI263" s="5" t="s">
        <v>247</v>
      </c>
      <c r="EJ263" s="5">
        <f t="shared" si="786"/>
        <v>2</v>
      </c>
      <c r="EK263" s="5" t="s">
        <v>247</v>
      </c>
      <c r="EL263" s="5">
        <f t="shared" si="787"/>
        <v>2</v>
      </c>
      <c r="EM263" s="5" t="s">
        <v>232</v>
      </c>
      <c r="EN263" s="5">
        <f t="shared" si="788"/>
        <v>3</v>
      </c>
      <c r="EO263" s="5">
        <f t="shared" si="789"/>
        <v>7</v>
      </c>
      <c r="EP263" s="5" t="str">
        <f t="shared" si="790"/>
        <v>Nivel de riesgo alto</v>
      </c>
      <c r="EQ263" s="5" t="s">
        <v>248</v>
      </c>
      <c r="ER263" s="5">
        <f t="shared" si="791"/>
        <v>3</v>
      </c>
      <c r="ES263" s="5" t="s">
        <v>254</v>
      </c>
      <c r="ET263" s="5">
        <f t="shared" si="792"/>
        <v>0</v>
      </c>
      <c r="EU263" s="5" t="s">
        <v>254</v>
      </c>
      <c r="EV263" s="5">
        <f t="shared" si="793"/>
        <v>0</v>
      </c>
      <c r="EW263" s="5" t="s">
        <v>254</v>
      </c>
      <c r="EX263" s="5">
        <f t="shared" si="794"/>
        <v>0</v>
      </c>
      <c r="EY263" s="5">
        <f t="shared" si="795"/>
        <v>3</v>
      </c>
      <c r="EZ263" s="5" t="str">
        <f t="shared" si="796"/>
        <v>Nivel de riesgo medio</v>
      </c>
      <c r="FA263" s="5" t="s">
        <v>254</v>
      </c>
      <c r="FB263" s="5">
        <f t="shared" si="797"/>
        <v>4</v>
      </c>
      <c r="FC263" s="5" t="s">
        <v>254</v>
      </c>
      <c r="FD263" s="5">
        <f t="shared" si="798"/>
        <v>4</v>
      </c>
      <c r="FE263" s="5" t="s">
        <v>247</v>
      </c>
      <c r="FF263" s="5">
        <f t="shared" si="799"/>
        <v>2</v>
      </c>
      <c r="FG263" s="5">
        <f t="shared" si="800"/>
        <v>10</v>
      </c>
      <c r="FH263" s="5" t="str">
        <f t="shared" si="801"/>
        <v>Nivel de riesgo alto</v>
      </c>
      <c r="FI263" s="5" t="s">
        <v>247</v>
      </c>
      <c r="FJ263" s="5">
        <f t="shared" si="802"/>
        <v>2</v>
      </c>
      <c r="FK263" s="5" t="s">
        <v>247</v>
      </c>
      <c r="FL263" s="5">
        <f t="shared" si="803"/>
        <v>2</v>
      </c>
      <c r="FM263" s="5" t="s">
        <v>247</v>
      </c>
      <c r="FN263" s="5">
        <f t="shared" si="804"/>
        <v>2</v>
      </c>
      <c r="FO263" s="5">
        <f t="shared" si="805"/>
        <v>6</v>
      </c>
      <c r="FP263" s="5" t="str">
        <f t="shared" si="806"/>
        <v>Nivel de riesgo alto</v>
      </c>
      <c r="FQ263" s="5" t="s">
        <v>206</v>
      </c>
      <c r="FR263" s="5">
        <f t="shared" si="807"/>
        <v>0</v>
      </c>
      <c r="FS263" s="5" t="s">
        <v>206</v>
      </c>
      <c r="FT263" s="5">
        <f t="shared" si="808"/>
        <v>0</v>
      </c>
      <c r="FU263" s="5" t="s">
        <v>206</v>
      </c>
      <c r="FV263" s="5">
        <f t="shared" si="809"/>
        <v>0</v>
      </c>
      <c r="FW263" s="5" t="s">
        <v>206</v>
      </c>
      <c r="FX263" s="5">
        <f t="shared" si="810"/>
        <v>0</v>
      </c>
      <c r="FY263" s="5" t="s">
        <v>206</v>
      </c>
      <c r="FZ263" s="5">
        <f t="shared" si="811"/>
        <v>0</v>
      </c>
      <c r="GA263" s="5" t="s">
        <v>206</v>
      </c>
      <c r="GB263" s="5">
        <f t="shared" si="812"/>
        <v>0</v>
      </c>
      <c r="GC263" s="5" t="s">
        <v>206</v>
      </c>
      <c r="GD263" s="5">
        <f t="shared" si="813"/>
        <v>0</v>
      </c>
      <c r="GE263" s="5">
        <f t="shared" si="814"/>
        <v>0</v>
      </c>
      <c r="GF263" s="5" t="str">
        <f t="shared" si="815"/>
        <v>Nivel de riesgo bajo</v>
      </c>
      <c r="GG263" s="5" t="s">
        <v>255</v>
      </c>
      <c r="GH263" s="5" t="s">
        <v>255</v>
      </c>
      <c r="GI263" s="5" t="s">
        <v>255</v>
      </c>
      <c r="GJ263" s="5" t="s">
        <v>255</v>
      </c>
      <c r="GK263" s="5" t="s">
        <v>233</v>
      </c>
      <c r="GL263" s="5" t="s">
        <v>233</v>
      </c>
      <c r="GM263" s="5" t="s">
        <v>255</v>
      </c>
      <c r="GN263" s="5" t="s">
        <v>256</v>
      </c>
      <c r="GO263" s="5" t="s">
        <v>256</v>
      </c>
      <c r="GP263" s="5" t="s">
        <v>256</v>
      </c>
      <c r="GQ263" s="5" t="s">
        <v>256</v>
      </c>
      <c r="GR263" s="5" t="s">
        <v>257</v>
      </c>
      <c r="GS263" s="5" t="s">
        <v>243</v>
      </c>
      <c r="GT263" s="5" t="s">
        <v>243</v>
      </c>
      <c r="GU263" s="5" t="s">
        <v>615</v>
      </c>
      <c r="GV263" s="5" t="str">
        <f>TEXT("6279311070614966608","0")</f>
        <v>6279311070614960000</v>
      </c>
    </row>
    <row r="264" spans="1:204" ht="15.75" customHeight="1" x14ac:dyDescent="0.15">
      <c r="A264" s="1">
        <f t="shared" si="765"/>
        <v>264</v>
      </c>
      <c r="B264" s="4">
        <v>45848.053078703706</v>
      </c>
      <c r="C264" s="5" t="s">
        <v>204</v>
      </c>
      <c r="D264" s="5" t="s">
        <v>204</v>
      </c>
      <c r="E264" s="5" t="s">
        <v>335</v>
      </c>
      <c r="F264" s="5" t="s">
        <v>206</v>
      </c>
      <c r="G264" s="5" t="s">
        <v>204</v>
      </c>
      <c r="H264" s="5" t="s">
        <v>206</v>
      </c>
      <c r="K264" s="5" t="s">
        <v>237</v>
      </c>
      <c r="O264" s="5" t="s">
        <v>209</v>
      </c>
      <c r="S264" s="5" t="s">
        <v>208</v>
      </c>
      <c r="X264" s="5" t="s">
        <v>208</v>
      </c>
      <c r="AD264" s="5" t="s">
        <v>209</v>
      </c>
      <c r="AH264" s="5" t="s">
        <v>275</v>
      </c>
      <c r="AI264" s="5">
        <v>2021</v>
      </c>
      <c r="AJ264" s="5" t="s">
        <v>238</v>
      </c>
      <c r="AK264" s="5" t="str">
        <f t="shared" si="766"/>
        <v>Trabajadora por cuenta propia</v>
      </c>
      <c r="AM264" s="5" t="s">
        <v>309</v>
      </c>
      <c r="AP264" s="5" t="s">
        <v>284</v>
      </c>
      <c r="AR264" s="5" t="s">
        <v>301</v>
      </c>
      <c r="AS264" s="5" t="s">
        <v>301</v>
      </c>
      <c r="AT264" s="5" t="s">
        <v>301</v>
      </c>
      <c r="AU264" s="5" t="s">
        <v>301</v>
      </c>
      <c r="AV264" s="5" t="s">
        <v>269</v>
      </c>
      <c r="AW264" s="5" t="s">
        <v>204</v>
      </c>
      <c r="AX264" s="5" t="s">
        <v>206</v>
      </c>
      <c r="BF264" s="5" t="s">
        <v>204</v>
      </c>
      <c r="BG264" s="5" t="s">
        <v>278</v>
      </c>
      <c r="BH264" s="5" t="s">
        <v>278</v>
      </c>
      <c r="BI264" s="5" t="s">
        <v>278</v>
      </c>
      <c r="BJ264" s="5" t="s">
        <v>278</v>
      </c>
      <c r="BK264" s="5" t="s">
        <v>244</v>
      </c>
      <c r="BL264" s="5" t="s">
        <v>216</v>
      </c>
      <c r="BM264" s="5" t="s">
        <v>244</v>
      </c>
      <c r="BN264" s="5" t="s">
        <v>244</v>
      </c>
      <c r="BO264" s="5" t="s">
        <v>244</v>
      </c>
      <c r="BP264" s="5" t="s">
        <v>244</v>
      </c>
      <c r="BQ264" s="5" t="s">
        <v>244</v>
      </c>
      <c r="BR264" s="5" t="s">
        <v>244</v>
      </c>
      <c r="BS264" s="5" t="s">
        <v>248</v>
      </c>
      <c r="BT264" s="5" t="s">
        <v>248</v>
      </c>
      <c r="BU264" s="5" t="s">
        <v>248</v>
      </c>
      <c r="BV264" s="5" t="s">
        <v>217</v>
      </c>
      <c r="BW264" s="5" t="s">
        <v>217</v>
      </c>
      <c r="BX264" s="5" t="s">
        <v>217</v>
      </c>
      <c r="BY264" s="5" t="s">
        <v>217</v>
      </c>
      <c r="BZ264" s="5" t="s">
        <v>216</v>
      </c>
      <c r="CA264" s="5" t="s">
        <v>216</v>
      </c>
      <c r="CB264" s="5" t="s">
        <v>216</v>
      </c>
      <c r="CC264" s="5" t="s">
        <v>216</v>
      </c>
      <c r="CD264" s="5" t="s">
        <v>206</v>
      </c>
      <c r="CH264" s="5" t="s">
        <v>206</v>
      </c>
      <c r="CI264" s="5" t="s">
        <v>291</v>
      </c>
      <c r="CJ264" s="5">
        <v>5</v>
      </c>
      <c r="CK264" s="5" t="s">
        <v>223</v>
      </c>
      <c r="CU264" s="5" t="s">
        <v>206</v>
      </c>
      <c r="DA264" s="5" t="s">
        <v>272</v>
      </c>
      <c r="DB264" s="5">
        <f t="shared" si="767"/>
        <v>1</v>
      </c>
      <c r="DC264" s="5" t="s">
        <v>230</v>
      </c>
      <c r="DD264" s="5">
        <f t="shared" si="768"/>
        <v>2</v>
      </c>
      <c r="DE264" s="5" t="s">
        <v>230</v>
      </c>
      <c r="DF264" s="5">
        <f t="shared" si="769"/>
        <v>2</v>
      </c>
      <c r="DG264" s="5" t="s">
        <v>251</v>
      </c>
      <c r="DH264" s="5">
        <f t="shared" si="770"/>
        <v>1</v>
      </c>
      <c r="DI264" s="5" t="s">
        <v>230</v>
      </c>
      <c r="DJ264" s="5">
        <f t="shared" si="771"/>
        <v>2</v>
      </c>
      <c r="DK264" s="5" t="s">
        <v>230</v>
      </c>
      <c r="DL264" s="5">
        <f t="shared" si="772"/>
        <v>2</v>
      </c>
      <c r="DM264" s="5" t="s">
        <v>251</v>
      </c>
      <c r="DN264" s="5">
        <f t="shared" si="773"/>
        <v>1</v>
      </c>
      <c r="DO264" s="5" t="s">
        <v>281</v>
      </c>
      <c r="DP264" s="5">
        <f t="shared" si="774"/>
        <v>1</v>
      </c>
      <c r="DQ264" s="5" t="s">
        <v>281</v>
      </c>
      <c r="DR264" s="5">
        <f t="shared" si="775"/>
        <v>1</v>
      </c>
      <c r="DS264" s="5" t="s">
        <v>281</v>
      </c>
      <c r="DT264" s="5">
        <f t="shared" si="776"/>
        <v>1</v>
      </c>
      <c r="DU264" s="5" t="s">
        <v>281</v>
      </c>
      <c r="DV264" s="5">
        <f t="shared" si="777"/>
        <v>1</v>
      </c>
      <c r="DW264" s="5" t="s">
        <v>281</v>
      </c>
      <c r="DX264" s="5">
        <f t="shared" si="778"/>
        <v>1</v>
      </c>
      <c r="DY264" s="5">
        <f t="shared" si="779"/>
        <v>16</v>
      </c>
      <c r="DZ264" s="5" t="str">
        <f t="shared" si="780"/>
        <v>Nivel de riesgo bajo</v>
      </c>
      <c r="EA264" s="5" t="s">
        <v>248</v>
      </c>
      <c r="EB264" s="5">
        <f t="shared" si="781"/>
        <v>1</v>
      </c>
      <c r="EC264" s="5" t="s">
        <v>248</v>
      </c>
      <c r="ED264" s="5">
        <f t="shared" si="782"/>
        <v>1</v>
      </c>
      <c r="EE264" s="5" t="s">
        <v>253</v>
      </c>
      <c r="EF264" s="5">
        <f t="shared" si="783"/>
        <v>0</v>
      </c>
      <c r="EG264" s="5">
        <f t="shared" si="784"/>
        <v>2</v>
      </c>
      <c r="EH264" s="5" t="str">
        <f t="shared" si="785"/>
        <v>Nivel de riesgo medio</v>
      </c>
      <c r="EI264" s="5" t="s">
        <v>248</v>
      </c>
      <c r="EJ264" s="5">
        <f t="shared" si="786"/>
        <v>1</v>
      </c>
      <c r="EK264" s="5" t="s">
        <v>247</v>
      </c>
      <c r="EL264" s="5">
        <f t="shared" si="787"/>
        <v>2</v>
      </c>
      <c r="EM264" s="5" t="s">
        <v>253</v>
      </c>
      <c r="EN264" s="5">
        <f t="shared" si="788"/>
        <v>0</v>
      </c>
      <c r="EO264" s="5">
        <f t="shared" si="789"/>
        <v>3</v>
      </c>
      <c r="EP264" s="5" t="str">
        <f t="shared" si="790"/>
        <v>Nivel de riesgo medio</v>
      </c>
      <c r="EQ264" s="5" t="s">
        <v>253</v>
      </c>
      <c r="ER264" s="5">
        <f t="shared" si="791"/>
        <v>4</v>
      </c>
      <c r="ES264" s="5" t="s">
        <v>253</v>
      </c>
      <c r="ET264" s="5">
        <f t="shared" si="792"/>
        <v>4</v>
      </c>
      <c r="EU264" s="5" t="s">
        <v>253</v>
      </c>
      <c r="EV264" s="5">
        <f t="shared" si="793"/>
        <v>4</v>
      </c>
      <c r="EW264" s="5" t="s">
        <v>254</v>
      </c>
      <c r="EX264" s="5">
        <f t="shared" si="794"/>
        <v>0</v>
      </c>
      <c r="EY264" s="5">
        <f t="shared" si="795"/>
        <v>12</v>
      </c>
      <c r="EZ264" s="5" t="str">
        <f t="shared" si="796"/>
        <v>Nivel de riesgo alto</v>
      </c>
      <c r="FA264" s="5" t="s">
        <v>253</v>
      </c>
      <c r="FB264" s="5">
        <f t="shared" si="797"/>
        <v>0</v>
      </c>
      <c r="FC264" s="5" t="s">
        <v>253</v>
      </c>
      <c r="FD264" s="5">
        <f t="shared" si="798"/>
        <v>0</v>
      </c>
      <c r="FE264" s="5" t="s">
        <v>254</v>
      </c>
      <c r="FF264" s="5">
        <f t="shared" si="799"/>
        <v>4</v>
      </c>
      <c r="FG264" s="5">
        <f t="shared" si="800"/>
        <v>4</v>
      </c>
      <c r="FH264" s="5" t="str">
        <f t="shared" si="801"/>
        <v>Nivel de riesgo medio</v>
      </c>
      <c r="FI264" s="5" t="s">
        <v>253</v>
      </c>
      <c r="FJ264" s="5">
        <f t="shared" si="802"/>
        <v>0</v>
      </c>
      <c r="FK264" s="5" t="s">
        <v>253</v>
      </c>
      <c r="FL264" s="5">
        <f t="shared" si="803"/>
        <v>0</v>
      </c>
      <c r="FM264" s="5" t="s">
        <v>253</v>
      </c>
      <c r="FN264" s="5">
        <f t="shared" si="804"/>
        <v>0</v>
      </c>
      <c r="FO264" s="5">
        <f t="shared" si="805"/>
        <v>0</v>
      </c>
      <c r="FP264" s="5" t="str">
        <f t="shared" si="806"/>
        <v>Nivel de riesgo bajo</v>
      </c>
      <c r="FQ264" s="5" t="s">
        <v>391</v>
      </c>
      <c r="FR264" s="5">
        <f t="shared" si="807"/>
        <v>4</v>
      </c>
      <c r="FS264" s="5" t="s">
        <v>391</v>
      </c>
      <c r="FT264" s="5">
        <f t="shared" si="808"/>
        <v>4</v>
      </c>
      <c r="FU264" s="5" t="s">
        <v>391</v>
      </c>
      <c r="FV264" s="5">
        <f t="shared" si="809"/>
        <v>4</v>
      </c>
      <c r="FW264" s="5" t="s">
        <v>391</v>
      </c>
      <c r="FX264" s="5">
        <f t="shared" si="810"/>
        <v>4</v>
      </c>
      <c r="FY264" s="5" t="s">
        <v>391</v>
      </c>
      <c r="FZ264" s="5">
        <f t="shared" si="811"/>
        <v>4</v>
      </c>
      <c r="GA264" s="5" t="s">
        <v>391</v>
      </c>
      <c r="GB264" s="5">
        <f t="shared" si="812"/>
        <v>4</v>
      </c>
      <c r="GC264" s="5" t="s">
        <v>391</v>
      </c>
      <c r="GD264" s="5">
        <f t="shared" si="813"/>
        <v>4</v>
      </c>
      <c r="GE264" s="5">
        <f t="shared" si="814"/>
        <v>28</v>
      </c>
      <c r="GF264" s="5" t="str">
        <f t="shared" si="815"/>
        <v>Nivel de riesgo alto</v>
      </c>
      <c r="GG264" s="5" t="s">
        <v>255</v>
      </c>
      <c r="GH264" s="5" t="s">
        <v>255</v>
      </c>
      <c r="GI264" s="5" t="s">
        <v>255</v>
      </c>
      <c r="GJ264" s="5" t="s">
        <v>255</v>
      </c>
      <c r="GK264" s="5" t="s">
        <v>233</v>
      </c>
      <c r="GL264" s="5" t="s">
        <v>233</v>
      </c>
      <c r="GM264" s="5" t="s">
        <v>233</v>
      </c>
      <c r="GN264" s="5" t="s">
        <v>256</v>
      </c>
      <c r="GO264" s="5" t="s">
        <v>256</v>
      </c>
      <c r="GP264" s="5" t="s">
        <v>256</v>
      </c>
      <c r="GQ264" s="5" t="s">
        <v>256</v>
      </c>
      <c r="GR264" s="5" t="s">
        <v>256</v>
      </c>
      <c r="GS264" s="5" t="s">
        <v>256</v>
      </c>
      <c r="GT264" s="5" t="s">
        <v>256</v>
      </c>
      <c r="GU264" s="5" t="s">
        <v>616</v>
      </c>
      <c r="GV264" s="5" t="str">
        <f>TEXT("6279337863711272704","0")</f>
        <v>6279337863711270000</v>
      </c>
    </row>
    <row r="265" spans="1:204" ht="15.75" customHeight="1" x14ac:dyDescent="0.15">
      <c r="A265" s="1">
        <f t="shared" si="765"/>
        <v>265</v>
      </c>
      <c r="B265" s="4">
        <v>45848.074826388889</v>
      </c>
      <c r="C265" s="5" t="s">
        <v>204</v>
      </c>
      <c r="D265" s="5" t="s">
        <v>206</v>
      </c>
      <c r="F265" s="5" t="s">
        <v>206</v>
      </c>
      <c r="G265" s="5" t="s">
        <v>204</v>
      </c>
      <c r="H265" s="5" t="s">
        <v>206</v>
      </c>
      <c r="K265" s="5" t="s">
        <v>237</v>
      </c>
      <c r="O265" s="5" t="s">
        <v>209</v>
      </c>
      <c r="S265" s="5" t="s">
        <v>208</v>
      </c>
      <c r="X265" s="5" t="s">
        <v>208</v>
      </c>
      <c r="AD265" s="5" t="s">
        <v>209</v>
      </c>
      <c r="AH265" s="5" t="s">
        <v>268</v>
      </c>
      <c r="AI265" s="5">
        <v>2017</v>
      </c>
      <c r="AJ265" s="5" t="s">
        <v>238</v>
      </c>
      <c r="AK265" s="5" t="str">
        <f t="shared" si="766"/>
        <v>Trabajadora por cuenta propia</v>
      </c>
      <c r="AN265" s="5" t="s">
        <v>288</v>
      </c>
      <c r="AP265" s="5" t="s">
        <v>284</v>
      </c>
      <c r="AR265" s="5" t="s">
        <v>241</v>
      </c>
      <c r="AS265" s="5" t="s">
        <v>241</v>
      </c>
      <c r="AT265" s="5" t="s">
        <v>294</v>
      </c>
      <c r="AU265" s="5" t="s">
        <v>294</v>
      </c>
      <c r="AV265" s="5" t="s">
        <v>269</v>
      </c>
      <c r="AW265" s="5" t="s">
        <v>204</v>
      </c>
      <c r="AX265" s="5" t="s">
        <v>204</v>
      </c>
      <c r="AY265" s="5" t="s">
        <v>214</v>
      </c>
      <c r="AZ265" s="5" t="s">
        <v>204</v>
      </c>
      <c r="BA265" s="5" t="s">
        <v>295</v>
      </c>
      <c r="BB265" s="5" t="s">
        <v>204</v>
      </c>
      <c r="BC265" s="5" t="s">
        <v>204</v>
      </c>
      <c r="BD265" s="5" t="s">
        <v>206</v>
      </c>
      <c r="BE265" s="5" t="s">
        <v>206</v>
      </c>
      <c r="BF265" s="5" t="s">
        <v>204</v>
      </c>
      <c r="BG265" s="5" t="s">
        <v>242</v>
      </c>
      <c r="BH265" s="5" t="s">
        <v>215</v>
      </c>
      <c r="BI265" s="5" t="s">
        <v>278</v>
      </c>
      <c r="BJ265" s="5" t="s">
        <v>242</v>
      </c>
      <c r="BK265" s="5" t="s">
        <v>244</v>
      </c>
      <c r="BL265" s="5" t="s">
        <v>216</v>
      </c>
      <c r="BM265" s="5" t="s">
        <v>244</v>
      </c>
      <c r="BN265" s="5" t="s">
        <v>244</v>
      </c>
      <c r="BO265" s="5" t="s">
        <v>216</v>
      </c>
      <c r="BP265" s="5" t="s">
        <v>244</v>
      </c>
      <c r="BQ265" s="5" t="s">
        <v>244</v>
      </c>
      <c r="BR265" s="5" t="s">
        <v>244</v>
      </c>
      <c r="BS265" s="5" t="s">
        <v>247</v>
      </c>
      <c r="BT265" s="5" t="s">
        <v>217</v>
      </c>
      <c r="BU265" s="5" t="s">
        <v>217</v>
      </c>
      <c r="BV265" s="5" t="s">
        <v>248</v>
      </c>
      <c r="BW265" s="5" t="s">
        <v>217</v>
      </c>
      <c r="BX265" s="5" t="s">
        <v>217</v>
      </c>
      <c r="BY265" s="5" t="s">
        <v>217</v>
      </c>
      <c r="BZ265" s="5" t="s">
        <v>244</v>
      </c>
      <c r="CA265" s="5" t="s">
        <v>244</v>
      </c>
      <c r="CB265" s="5" t="s">
        <v>244</v>
      </c>
      <c r="CC265" s="5" t="s">
        <v>244</v>
      </c>
      <c r="CD265" s="5" t="s">
        <v>204</v>
      </c>
      <c r="CE265" s="5" t="s">
        <v>218</v>
      </c>
      <c r="CF265" s="5" t="s">
        <v>219</v>
      </c>
      <c r="CG265" s="5" t="s">
        <v>206</v>
      </c>
      <c r="CH265" s="5" t="s">
        <v>206</v>
      </c>
      <c r="CI265" s="5" t="s">
        <v>291</v>
      </c>
      <c r="CJ265" s="5">
        <v>2</v>
      </c>
      <c r="CK265" s="5" t="s">
        <v>223</v>
      </c>
      <c r="CU265" s="5" t="s">
        <v>206</v>
      </c>
      <c r="DA265" s="5" t="s">
        <v>231</v>
      </c>
      <c r="DB265" s="5">
        <f t="shared" si="767"/>
        <v>2</v>
      </c>
      <c r="DC265" s="5" t="s">
        <v>251</v>
      </c>
      <c r="DD265" s="5">
        <f t="shared" si="768"/>
        <v>1</v>
      </c>
      <c r="DE265" s="5" t="s">
        <v>251</v>
      </c>
      <c r="DF265" s="5">
        <f t="shared" si="769"/>
        <v>1</v>
      </c>
      <c r="DG265" s="5" t="s">
        <v>251</v>
      </c>
      <c r="DH265" s="5">
        <f t="shared" si="770"/>
        <v>1</v>
      </c>
      <c r="DI265" s="5" t="s">
        <v>251</v>
      </c>
      <c r="DJ265" s="5">
        <f t="shared" si="771"/>
        <v>1</v>
      </c>
      <c r="DK265" s="5" t="s">
        <v>251</v>
      </c>
      <c r="DL265" s="5">
        <f t="shared" si="772"/>
        <v>1</v>
      </c>
      <c r="DM265" s="5" t="s">
        <v>251</v>
      </c>
      <c r="DN265" s="5">
        <f t="shared" si="773"/>
        <v>1</v>
      </c>
      <c r="DO265" s="5" t="s">
        <v>229</v>
      </c>
      <c r="DP265" s="5">
        <f t="shared" si="774"/>
        <v>4</v>
      </c>
      <c r="DQ265" s="5" t="s">
        <v>231</v>
      </c>
      <c r="DR265" s="5">
        <f t="shared" si="775"/>
        <v>2</v>
      </c>
      <c r="DS265" s="5" t="s">
        <v>231</v>
      </c>
      <c r="DT265" s="5">
        <f t="shared" si="776"/>
        <v>2</v>
      </c>
      <c r="DU265" s="5" t="s">
        <v>231</v>
      </c>
      <c r="DV265" s="5">
        <f t="shared" si="777"/>
        <v>2</v>
      </c>
      <c r="DW265" s="5" t="s">
        <v>231</v>
      </c>
      <c r="DX265" s="5">
        <f t="shared" si="778"/>
        <v>2</v>
      </c>
      <c r="DY265" s="5">
        <f t="shared" si="779"/>
        <v>20</v>
      </c>
      <c r="DZ265" s="5" t="str">
        <f t="shared" si="780"/>
        <v>Nivel de riesgo medio</v>
      </c>
      <c r="EA265" s="5" t="s">
        <v>253</v>
      </c>
      <c r="EB265" s="5">
        <f t="shared" si="781"/>
        <v>0</v>
      </c>
      <c r="EC265" s="5" t="s">
        <v>253</v>
      </c>
      <c r="ED265" s="5">
        <f t="shared" si="782"/>
        <v>0</v>
      </c>
      <c r="EE265" s="5" t="s">
        <v>253</v>
      </c>
      <c r="EF265" s="5">
        <f t="shared" si="783"/>
        <v>0</v>
      </c>
      <c r="EG265" s="5">
        <f t="shared" si="784"/>
        <v>0</v>
      </c>
      <c r="EH265" s="5" t="str">
        <f t="shared" si="785"/>
        <v>Nivel de riesgo bajo</v>
      </c>
      <c r="EI265" s="5" t="s">
        <v>248</v>
      </c>
      <c r="EJ265" s="5">
        <f t="shared" si="786"/>
        <v>1</v>
      </c>
      <c r="EK265" s="5" t="s">
        <v>248</v>
      </c>
      <c r="EL265" s="5">
        <f t="shared" si="787"/>
        <v>1</v>
      </c>
      <c r="EM265" s="5" t="s">
        <v>248</v>
      </c>
      <c r="EN265" s="5">
        <f t="shared" si="788"/>
        <v>1</v>
      </c>
      <c r="EO265" s="5">
        <f t="shared" si="789"/>
        <v>3</v>
      </c>
      <c r="EP265" s="5" t="str">
        <f t="shared" si="790"/>
        <v>Nivel de riesgo medio</v>
      </c>
      <c r="EQ265" s="5" t="s">
        <v>247</v>
      </c>
      <c r="ER265" s="5">
        <f t="shared" si="791"/>
        <v>2</v>
      </c>
      <c r="ES265" s="5" t="s">
        <v>232</v>
      </c>
      <c r="ET265" s="5">
        <f t="shared" si="792"/>
        <v>1</v>
      </c>
      <c r="EU265" s="5" t="s">
        <v>232</v>
      </c>
      <c r="EV265" s="5">
        <f t="shared" si="793"/>
        <v>1</v>
      </c>
      <c r="EW265" s="5" t="s">
        <v>232</v>
      </c>
      <c r="EX265" s="5">
        <f t="shared" si="794"/>
        <v>1</v>
      </c>
      <c r="EY265" s="5">
        <f t="shared" si="795"/>
        <v>5</v>
      </c>
      <c r="EZ265" s="5" t="str">
        <f t="shared" si="796"/>
        <v>Nivel de riesgo alto</v>
      </c>
      <c r="FA265" s="5" t="s">
        <v>253</v>
      </c>
      <c r="FB265" s="5">
        <f t="shared" si="797"/>
        <v>0</v>
      </c>
      <c r="FC265" s="5" t="s">
        <v>248</v>
      </c>
      <c r="FD265" s="5">
        <f t="shared" si="798"/>
        <v>1</v>
      </c>
      <c r="FE265" s="5" t="s">
        <v>253</v>
      </c>
      <c r="FF265" s="5">
        <f t="shared" si="799"/>
        <v>0</v>
      </c>
      <c r="FG265" s="5">
        <f t="shared" si="800"/>
        <v>1</v>
      </c>
      <c r="FH265" s="5" t="str">
        <f t="shared" si="801"/>
        <v>Nivel de riesgo bajo</v>
      </c>
      <c r="FI265" s="5" t="s">
        <v>253</v>
      </c>
      <c r="FJ265" s="5">
        <f t="shared" si="802"/>
        <v>0</v>
      </c>
      <c r="FK265" s="5" t="s">
        <v>253</v>
      </c>
      <c r="FL265" s="5">
        <f t="shared" si="803"/>
        <v>0</v>
      </c>
      <c r="FM265" s="5" t="s">
        <v>253</v>
      </c>
      <c r="FN265" s="5">
        <f t="shared" si="804"/>
        <v>0</v>
      </c>
      <c r="FO265" s="5">
        <f t="shared" si="805"/>
        <v>0</v>
      </c>
      <c r="FP265" s="5" t="str">
        <f t="shared" si="806"/>
        <v>Nivel de riesgo bajo</v>
      </c>
      <c r="FQ265" s="5" t="s">
        <v>206</v>
      </c>
      <c r="FR265" s="5">
        <f t="shared" si="807"/>
        <v>0</v>
      </c>
      <c r="FS265" s="5" t="s">
        <v>206</v>
      </c>
      <c r="FT265" s="5">
        <f t="shared" si="808"/>
        <v>0</v>
      </c>
      <c r="FU265" s="5" t="s">
        <v>206</v>
      </c>
      <c r="FV265" s="5">
        <f t="shared" si="809"/>
        <v>0</v>
      </c>
      <c r="FW265" s="5" t="s">
        <v>206</v>
      </c>
      <c r="FX265" s="5">
        <f t="shared" si="810"/>
        <v>0</v>
      </c>
      <c r="FY265" s="5" t="s">
        <v>206</v>
      </c>
      <c r="FZ265" s="5">
        <f t="shared" si="811"/>
        <v>0</v>
      </c>
      <c r="GA265" s="5" t="s">
        <v>206</v>
      </c>
      <c r="GB265" s="5">
        <f t="shared" si="812"/>
        <v>0</v>
      </c>
      <c r="GC265" s="5" t="s">
        <v>206</v>
      </c>
      <c r="GD265" s="5">
        <f t="shared" si="813"/>
        <v>0</v>
      </c>
      <c r="GE265" s="5">
        <f t="shared" si="814"/>
        <v>0</v>
      </c>
      <c r="GF265" s="5" t="str">
        <f t="shared" si="815"/>
        <v>Nivel de riesgo bajo</v>
      </c>
      <c r="GG265" s="5" t="s">
        <v>255</v>
      </c>
      <c r="GH265" s="5" t="s">
        <v>255</v>
      </c>
      <c r="GI265" s="5" t="s">
        <v>273</v>
      </c>
      <c r="GJ265" s="5" t="s">
        <v>298</v>
      </c>
      <c r="GK265" s="5" t="s">
        <v>233</v>
      </c>
      <c r="GL265" s="5" t="s">
        <v>266</v>
      </c>
      <c r="GM265" s="5" t="s">
        <v>255</v>
      </c>
      <c r="GN265" s="5" t="s">
        <v>256</v>
      </c>
      <c r="GO265" s="5" t="s">
        <v>257</v>
      </c>
      <c r="GP265" s="5" t="s">
        <v>257</v>
      </c>
      <c r="GQ265" s="5" t="s">
        <v>244</v>
      </c>
      <c r="GR265" s="5" t="s">
        <v>244</v>
      </c>
      <c r="GS265" s="5" t="s">
        <v>257</v>
      </c>
      <c r="GT265" s="5" t="s">
        <v>257</v>
      </c>
      <c r="GU265" s="5" t="s">
        <v>617</v>
      </c>
      <c r="GV265" s="5" t="str">
        <f>TEXT("6279356654832696401","0")</f>
        <v>6279356654832690000</v>
      </c>
    </row>
    <row r="266" spans="1:204" ht="15.75" customHeight="1" x14ac:dyDescent="0.15">
      <c r="A266" s="1">
        <f t="shared" si="765"/>
        <v>266</v>
      </c>
      <c r="B266" s="4">
        <v>45848.165231481478</v>
      </c>
      <c r="C266" s="5" t="s">
        <v>204</v>
      </c>
      <c r="D266" s="5" t="s">
        <v>204</v>
      </c>
      <c r="E266" s="5" t="s">
        <v>283</v>
      </c>
      <c r="F266" s="5" t="s">
        <v>206</v>
      </c>
      <c r="G266" s="5" t="s">
        <v>206</v>
      </c>
      <c r="H266" s="5" t="s">
        <v>206</v>
      </c>
      <c r="J266" s="5" t="s">
        <v>209</v>
      </c>
      <c r="R266" s="5" t="s">
        <v>207</v>
      </c>
      <c r="U266" s="5" t="s">
        <v>237</v>
      </c>
      <c r="X266" s="5" t="s">
        <v>208</v>
      </c>
      <c r="AC266" s="5" t="s">
        <v>208</v>
      </c>
      <c r="AH266" s="5" t="s">
        <v>210</v>
      </c>
      <c r="AI266" s="5">
        <v>2024</v>
      </c>
      <c r="AJ266" s="5" t="s">
        <v>330</v>
      </c>
      <c r="AK266" s="5" t="str">
        <f t="shared" si="766"/>
        <v>Asalariada</v>
      </c>
      <c r="AQ266" s="5" t="s">
        <v>204</v>
      </c>
      <c r="AR266" s="5" t="s">
        <v>294</v>
      </c>
      <c r="AS266" s="5" t="s">
        <v>294</v>
      </c>
      <c r="AT266" s="5" t="s">
        <v>294</v>
      </c>
      <c r="AU266" s="5" t="s">
        <v>294</v>
      </c>
      <c r="AV266" s="5" t="s">
        <v>213</v>
      </c>
      <c r="AW266" s="5" t="s">
        <v>206</v>
      </c>
      <c r="BF266" s="5" t="s">
        <v>204</v>
      </c>
      <c r="BG266" s="5" t="s">
        <v>207</v>
      </c>
      <c r="BH266" s="5" t="s">
        <v>264</v>
      </c>
      <c r="BI266" s="5" t="s">
        <v>215</v>
      </c>
      <c r="BJ266" s="5" t="s">
        <v>264</v>
      </c>
      <c r="BK266" s="5" t="s">
        <v>243</v>
      </c>
      <c r="BL266" s="5" t="s">
        <v>246</v>
      </c>
      <c r="BM266" s="5" t="s">
        <v>246</v>
      </c>
      <c r="BN266" s="5" t="s">
        <v>246</v>
      </c>
      <c r="BO266" s="5" t="s">
        <v>246</v>
      </c>
      <c r="BP266" s="5" t="s">
        <v>246</v>
      </c>
      <c r="BQ266" s="5" t="s">
        <v>246</v>
      </c>
      <c r="BR266" s="5" t="s">
        <v>246</v>
      </c>
      <c r="BS266" s="5" t="s">
        <v>217</v>
      </c>
      <c r="BT266" s="5" t="s">
        <v>248</v>
      </c>
      <c r="BU266" s="5" t="s">
        <v>247</v>
      </c>
      <c r="BV266" s="5" t="s">
        <v>247</v>
      </c>
      <c r="BW266" s="5" t="s">
        <v>247</v>
      </c>
      <c r="BX266" s="5" t="s">
        <v>247</v>
      </c>
      <c r="BY266" s="5" t="s">
        <v>247</v>
      </c>
      <c r="CD266" s="5" t="s">
        <v>204</v>
      </c>
      <c r="CE266" s="5" t="s">
        <v>218</v>
      </c>
      <c r="CF266" s="5" t="s">
        <v>219</v>
      </c>
      <c r="CG266" s="5" t="s">
        <v>206</v>
      </c>
      <c r="CH266" s="5" t="s">
        <v>331</v>
      </c>
      <c r="CI266" s="5" t="s">
        <v>291</v>
      </c>
      <c r="CJ266" s="5">
        <v>1</v>
      </c>
      <c r="CN266" s="5" t="s">
        <v>618</v>
      </c>
      <c r="CU266" s="5" t="s">
        <v>204</v>
      </c>
      <c r="CV266" s="5" t="s">
        <v>350</v>
      </c>
      <c r="CW266" s="5" t="s">
        <v>619</v>
      </c>
      <c r="CX266" s="5" t="s">
        <v>226</v>
      </c>
      <c r="CY266" s="5" t="s">
        <v>353</v>
      </c>
      <c r="CZ266" s="5" t="s">
        <v>228</v>
      </c>
      <c r="DA266" s="5" t="s">
        <v>272</v>
      </c>
      <c r="DB266" s="5">
        <f t="shared" si="767"/>
        <v>1</v>
      </c>
      <c r="DC266" s="5" t="s">
        <v>230</v>
      </c>
      <c r="DD266" s="5">
        <f t="shared" si="768"/>
        <v>2</v>
      </c>
      <c r="DE266" s="5" t="s">
        <v>230</v>
      </c>
      <c r="DF266" s="5">
        <f t="shared" si="769"/>
        <v>2</v>
      </c>
      <c r="DG266" s="5" t="s">
        <v>251</v>
      </c>
      <c r="DH266" s="5">
        <f t="shared" si="770"/>
        <v>1</v>
      </c>
      <c r="DI266" s="5" t="s">
        <v>251</v>
      </c>
      <c r="DJ266" s="5">
        <f t="shared" si="771"/>
        <v>1</v>
      </c>
      <c r="DK266" s="5" t="s">
        <v>251</v>
      </c>
      <c r="DL266" s="5">
        <f t="shared" si="772"/>
        <v>1</v>
      </c>
      <c r="DM266" s="5" t="s">
        <v>251</v>
      </c>
      <c r="DN266" s="5">
        <f t="shared" si="773"/>
        <v>1</v>
      </c>
      <c r="DO266" s="5" t="s">
        <v>231</v>
      </c>
      <c r="DP266" s="5">
        <f t="shared" si="774"/>
        <v>2</v>
      </c>
      <c r="DQ266" s="5" t="s">
        <v>281</v>
      </c>
      <c r="DR266" s="5">
        <f t="shared" si="775"/>
        <v>1</v>
      </c>
      <c r="DS266" s="5" t="s">
        <v>281</v>
      </c>
      <c r="DT266" s="5">
        <f t="shared" si="776"/>
        <v>1</v>
      </c>
      <c r="DU266" s="5" t="s">
        <v>281</v>
      </c>
      <c r="DV266" s="5">
        <f t="shared" si="777"/>
        <v>1</v>
      </c>
      <c r="DW266" s="5" t="s">
        <v>281</v>
      </c>
      <c r="DX266" s="5">
        <f t="shared" si="778"/>
        <v>1</v>
      </c>
      <c r="DY266" s="5">
        <f t="shared" si="779"/>
        <v>15</v>
      </c>
      <c r="DZ266" s="5" t="str">
        <f t="shared" si="780"/>
        <v>Nivel de riesgo bajo</v>
      </c>
      <c r="EA266" s="5" t="s">
        <v>254</v>
      </c>
      <c r="EB266" s="5">
        <f t="shared" si="781"/>
        <v>4</v>
      </c>
      <c r="EC266" s="5" t="s">
        <v>254</v>
      </c>
      <c r="ED266" s="5">
        <f t="shared" si="782"/>
        <v>4</v>
      </c>
      <c r="EE266" s="5" t="s">
        <v>248</v>
      </c>
      <c r="EF266" s="5">
        <f t="shared" si="783"/>
        <v>1</v>
      </c>
      <c r="EG266" s="5">
        <f t="shared" si="784"/>
        <v>9</v>
      </c>
      <c r="EH266" s="5" t="str">
        <f t="shared" si="785"/>
        <v>Nivel de riesgo alto</v>
      </c>
      <c r="EI266" s="5" t="s">
        <v>248</v>
      </c>
      <c r="EJ266" s="5">
        <f t="shared" si="786"/>
        <v>1</v>
      </c>
      <c r="EK266" s="5" t="s">
        <v>248</v>
      </c>
      <c r="EL266" s="5">
        <f t="shared" si="787"/>
        <v>1</v>
      </c>
      <c r="EM266" s="5" t="s">
        <v>248</v>
      </c>
      <c r="EN266" s="5">
        <f t="shared" si="788"/>
        <v>1</v>
      </c>
      <c r="EO266" s="5">
        <f t="shared" si="789"/>
        <v>3</v>
      </c>
      <c r="EP266" s="5" t="str">
        <f t="shared" si="790"/>
        <v>Nivel de riesgo medio</v>
      </c>
      <c r="EQ266" s="5" t="s">
        <v>248</v>
      </c>
      <c r="ER266" s="5">
        <f t="shared" si="791"/>
        <v>3</v>
      </c>
      <c r="ES266" s="5" t="s">
        <v>254</v>
      </c>
      <c r="ET266" s="5">
        <f t="shared" si="792"/>
        <v>0</v>
      </c>
      <c r="EU266" s="5" t="s">
        <v>254</v>
      </c>
      <c r="EV266" s="5">
        <f t="shared" si="793"/>
        <v>0</v>
      </c>
      <c r="EW266" s="5" t="s">
        <v>254</v>
      </c>
      <c r="EX266" s="5">
        <f t="shared" si="794"/>
        <v>0</v>
      </c>
      <c r="EY266" s="5">
        <f t="shared" si="795"/>
        <v>3</v>
      </c>
      <c r="EZ266" s="5" t="str">
        <f t="shared" si="796"/>
        <v>Nivel de riesgo medio</v>
      </c>
      <c r="FA266" s="5" t="s">
        <v>254</v>
      </c>
      <c r="FB266" s="5">
        <f t="shared" si="797"/>
        <v>4</v>
      </c>
      <c r="FC266" s="5" t="s">
        <v>254</v>
      </c>
      <c r="FD266" s="5">
        <f t="shared" si="798"/>
        <v>4</v>
      </c>
      <c r="FE266" s="5" t="s">
        <v>254</v>
      </c>
      <c r="FF266" s="5">
        <f t="shared" si="799"/>
        <v>4</v>
      </c>
      <c r="FG266" s="5">
        <f t="shared" si="800"/>
        <v>12</v>
      </c>
      <c r="FH266" s="5" t="str">
        <f t="shared" si="801"/>
        <v>Nivel de riesgo alto</v>
      </c>
      <c r="FI266" s="5" t="s">
        <v>254</v>
      </c>
      <c r="FJ266" s="5">
        <f t="shared" si="802"/>
        <v>4</v>
      </c>
      <c r="FK266" s="5" t="s">
        <v>254</v>
      </c>
      <c r="FL266" s="5">
        <f t="shared" si="803"/>
        <v>4</v>
      </c>
      <c r="FM266" s="5" t="s">
        <v>254</v>
      </c>
      <c r="FN266" s="5">
        <f t="shared" si="804"/>
        <v>4</v>
      </c>
      <c r="FO266" s="5">
        <f t="shared" si="805"/>
        <v>12</v>
      </c>
      <c r="FP266" s="5" t="str">
        <f t="shared" si="806"/>
        <v>Nivel de riesgo alto</v>
      </c>
      <c r="FQ266" s="5" t="s">
        <v>206</v>
      </c>
      <c r="FR266" s="5">
        <f t="shared" si="807"/>
        <v>0</v>
      </c>
      <c r="FS266" s="5" t="s">
        <v>206</v>
      </c>
      <c r="FT266" s="5">
        <f t="shared" si="808"/>
        <v>0</v>
      </c>
      <c r="FU266" s="5" t="s">
        <v>206</v>
      </c>
      <c r="FV266" s="5">
        <f t="shared" si="809"/>
        <v>0</v>
      </c>
      <c r="FW266" s="5" t="s">
        <v>206</v>
      </c>
      <c r="FX266" s="5">
        <f t="shared" si="810"/>
        <v>0</v>
      </c>
      <c r="FY266" s="5" t="s">
        <v>206</v>
      </c>
      <c r="FZ266" s="5">
        <f t="shared" si="811"/>
        <v>0</v>
      </c>
      <c r="GA266" s="5" t="s">
        <v>206</v>
      </c>
      <c r="GB266" s="5">
        <f t="shared" si="812"/>
        <v>0</v>
      </c>
      <c r="GC266" s="5" t="s">
        <v>206</v>
      </c>
      <c r="GD266" s="5">
        <f t="shared" si="813"/>
        <v>0</v>
      </c>
      <c r="GE266" s="5">
        <f t="shared" si="814"/>
        <v>0</v>
      </c>
      <c r="GF266" s="5" t="str">
        <f t="shared" si="815"/>
        <v>Nivel de riesgo bajo</v>
      </c>
      <c r="GG266" s="5" t="s">
        <v>255</v>
      </c>
      <c r="GH266" s="5" t="s">
        <v>255</v>
      </c>
      <c r="GI266" s="5" t="s">
        <v>255</v>
      </c>
      <c r="GJ266" s="5" t="s">
        <v>298</v>
      </c>
      <c r="GK266" s="5" t="s">
        <v>233</v>
      </c>
      <c r="GL266" s="5" t="s">
        <v>233</v>
      </c>
      <c r="GM266" s="5" t="s">
        <v>233</v>
      </c>
      <c r="GN266" s="5" t="s">
        <v>257</v>
      </c>
      <c r="GO266" s="5" t="s">
        <v>257</v>
      </c>
      <c r="GP266" s="5" t="s">
        <v>257</v>
      </c>
      <c r="GQ266" s="5" t="s">
        <v>256</v>
      </c>
      <c r="GR266" s="5" t="s">
        <v>257</v>
      </c>
      <c r="GS266" s="5" t="s">
        <v>257</v>
      </c>
      <c r="GT266" s="5" t="s">
        <v>257</v>
      </c>
      <c r="GU266" s="5" t="s">
        <v>620</v>
      </c>
      <c r="GV266" s="5" t="str">
        <f>TEXT("6279434769688131110","0")</f>
        <v>6279434769688130000</v>
      </c>
    </row>
    <row r="267" spans="1:204" ht="15.75" customHeight="1" x14ac:dyDescent="0.15">
      <c r="A267" s="1">
        <f t="shared" si="765"/>
        <v>267</v>
      </c>
      <c r="B267" s="4">
        <v>45848.256365740737</v>
      </c>
      <c r="C267" s="5" t="s">
        <v>204</v>
      </c>
      <c r="D267" s="5" t="s">
        <v>204</v>
      </c>
      <c r="E267" s="5" t="s">
        <v>335</v>
      </c>
      <c r="F267" s="5" t="s">
        <v>204</v>
      </c>
      <c r="G267" s="5" t="s">
        <v>206</v>
      </c>
      <c r="H267" s="5" t="s">
        <v>204</v>
      </c>
      <c r="L267" s="5" t="s">
        <v>236</v>
      </c>
      <c r="O267" s="5" t="s">
        <v>209</v>
      </c>
      <c r="T267" s="5" t="s">
        <v>209</v>
      </c>
      <c r="X267" s="5" t="s">
        <v>208</v>
      </c>
      <c r="AC267" s="5" t="s">
        <v>208</v>
      </c>
      <c r="AH267" s="5" t="s">
        <v>210</v>
      </c>
      <c r="AI267" s="5">
        <v>1999</v>
      </c>
      <c r="AJ267" s="5" t="s">
        <v>238</v>
      </c>
      <c r="AK267" s="5" t="str">
        <f t="shared" si="766"/>
        <v>Trabajadora por cuenta propia</v>
      </c>
      <c r="AL267" s="5" t="s">
        <v>239</v>
      </c>
      <c r="AP267" s="5" t="s">
        <v>284</v>
      </c>
      <c r="AR267" s="5" t="s">
        <v>301</v>
      </c>
      <c r="AS267" s="5" t="s">
        <v>241</v>
      </c>
      <c r="AT267" s="5" t="s">
        <v>241</v>
      </c>
      <c r="AU267" s="5" t="s">
        <v>301</v>
      </c>
      <c r="AV267" s="5" t="s">
        <v>269</v>
      </c>
      <c r="AW267" s="5" t="s">
        <v>204</v>
      </c>
      <c r="AX267" s="5" t="s">
        <v>204</v>
      </c>
      <c r="AY267" s="5" t="s">
        <v>214</v>
      </c>
      <c r="AZ267" s="5" t="s">
        <v>204</v>
      </c>
      <c r="BA267" s="5" t="s">
        <v>289</v>
      </c>
      <c r="BB267" s="5" t="s">
        <v>204</v>
      </c>
      <c r="BC267" s="5" t="s">
        <v>206</v>
      </c>
      <c r="BD267" s="5" t="s">
        <v>290</v>
      </c>
      <c r="BE267" s="5" t="s">
        <v>204</v>
      </c>
      <c r="BF267" s="5" t="s">
        <v>204</v>
      </c>
      <c r="BG267" s="5" t="s">
        <v>242</v>
      </c>
      <c r="BH267" s="5" t="s">
        <v>215</v>
      </c>
      <c r="BI267" s="5" t="s">
        <v>242</v>
      </c>
      <c r="BJ267" s="5" t="s">
        <v>215</v>
      </c>
      <c r="BK267" s="5" t="s">
        <v>243</v>
      </c>
      <c r="BL267" s="5" t="s">
        <v>243</v>
      </c>
      <c r="BM267" s="5" t="s">
        <v>243</v>
      </c>
      <c r="BN267" s="5" t="s">
        <v>246</v>
      </c>
      <c r="BO267" s="5" t="s">
        <v>246</v>
      </c>
      <c r="BP267" s="5" t="s">
        <v>246</v>
      </c>
      <c r="BQ267" s="5" t="s">
        <v>244</v>
      </c>
      <c r="BR267" s="5" t="s">
        <v>244</v>
      </c>
      <c r="BS267" s="5" t="s">
        <v>247</v>
      </c>
      <c r="BT267" s="5" t="s">
        <v>248</v>
      </c>
      <c r="BU267" s="5" t="s">
        <v>248</v>
      </c>
      <c r="BV267" s="5" t="s">
        <v>248</v>
      </c>
      <c r="BW267" s="5" t="s">
        <v>217</v>
      </c>
      <c r="BX267" s="5" t="s">
        <v>217</v>
      </c>
      <c r="BY267" s="5" t="s">
        <v>217</v>
      </c>
      <c r="BZ267" s="5" t="s">
        <v>244</v>
      </c>
      <c r="CA267" s="5" t="s">
        <v>244</v>
      </c>
      <c r="CB267" s="5" t="s">
        <v>244</v>
      </c>
      <c r="CC267" s="5" t="s">
        <v>244</v>
      </c>
      <c r="CD267" s="5" t="s">
        <v>206</v>
      </c>
      <c r="CH267" s="5" t="s">
        <v>470</v>
      </c>
      <c r="CI267" s="5" t="s">
        <v>332</v>
      </c>
      <c r="CJ267" s="5">
        <v>3</v>
      </c>
      <c r="CK267" s="5" t="s">
        <v>223</v>
      </c>
      <c r="CU267" s="5" t="s">
        <v>206</v>
      </c>
      <c r="DA267" s="5" t="s">
        <v>231</v>
      </c>
      <c r="DB267" s="5">
        <f t="shared" si="767"/>
        <v>2</v>
      </c>
      <c r="DC267" s="5" t="s">
        <v>250</v>
      </c>
      <c r="DD267" s="5">
        <f t="shared" si="768"/>
        <v>3</v>
      </c>
      <c r="DE267" s="5" t="s">
        <v>250</v>
      </c>
      <c r="DF267" s="5">
        <f t="shared" si="769"/>
        <v>3</v>
      </c>
      <c r="DG267" s="5" t="s">
        <v>230</v>
      </c>
      <c r="DH267" s="5">
        <f t="shared" si="770"/>
        <v>2</v>
      </c>
      <c r="DI267" s="5" t="s">
        <v>230</v>
      </c>
      <c r="DJ267" s="5">
        <f t="shared" si="771"/>
        <v>2</v>
      </c>
      <c r="DK267" s="5" t="s">
        <v>230</v>
      </c>
      <c r="DL267" s="5">
        <f t="shared" si="772"/>
        <v>2</v>
      </c>
      <c r="DM267" s="5" t="s">
        <v>251</v>
      </c>
      <c r="DN267" s="5">
        <f t="shared" si="773"/>
        <v>1</v>
      </c>
      <c r="DO267" s="5" t="s">
        <v>281</v>
      </c>
      <c r="DP267" s="5">
        <f t="shared" si="774"/>
        <v>1</v>
      </c>
      <c r="DQ267" s="5" t="s">
        <v>281</v>
      </c>
      <c r="DR267" s="5">
        <f t="shared" si="775"/>
        <v>1</v>
      </c>
      <c r="DS267" s="5" t="s">
        <v>231</v>
      </c>
      <c r="DT267" s="5">
        <f t="shared" si="776"/>
        <v>2</v>
      </c>
      <c r="DU267" s="5" t="s">
        <v>231</v>
      </c>
      <c r="DV267" s="5">
        <f t="shared" si="777"/>
        <v>2</v>
      </c>
      <c r="DW267" s="5" t="s">
        <v>281</v>
      </c>
      <c r="DX267" s="5">
        <f t="shared" si="778"/>
        <v>1</v>
      </c>
      <c r="DY267" s="5">
        <f t="shared" si="779"/>
        <v>22</v>
      </c>
      <c r="DZ267" s="5" t="str">
        <f t="shared" si="780"/>
        <v>Nivel de riesgo medio</v>
      </c>
      <c r="EA267" s="5" t="s">
        <v>232</v>
      </c>
      <c r="EB267" s="5">
        <f t="shared" si="781"/>
        <v>3</v>
      </c>
      <c r="EC267" s="5" t="s">
        <v>254</v>
      </c>
      <c r="ED267" s="5">
        <f t="shared" si="782"/>
        <v>4</v>
      </c>
      <c r="EE267" s="5" t="s">
        <v>253</v>
      </c>
      <c r="EF267" s="5">
        <f t="shared" si="783"/>
        <v>0</v>
      </c>
      <c r="EG267" s="5">
        <f t="shared" si="784"/>
        <v>7</v>
      </c>
      <c r="EH267" s="5" t="str">
        <f t="shared" si="785"/>
        <v>Nivel de riesgo alto</v>
      </c>
      <c r="EI267" s="5" t="s">
        <v>248</v>
      </c>
      <c r="EJ267" s="5">
        <f t="shared" si="786"/>
        <v>1</v>
      </c>
      <c r="EK267" s="5" t="s">
        <v>247</v>
      </c>
      <c r="EL267" s="5">
        <f t="shared" si="787"/>
        <v>2</v>
      </c>
      <c r="EM267" s="5" t="s">
        <v>248</v>
      </c>
      <c r="EN267" s="5">
        <f t="shared" si="788"/>
        <v>1</v>
      </c>
      <c r="EO267" s="5">
        <f t="shared" si="789"/>
        <v>4</v>
      </c>
      <c r="EP267" s="5" t="str">
        <f t="shared" si="790"/>
        <v>Nivel de riesgo medio</v>
      </c>
      <c r="EQ267" s="5" t="s">
        <v>247</v>
      </c>
      <c r="ER267" s="5">
        <f t="shared" si="791"/>
        <v>2</v>
      </c>
      <c r="ES267" s="5" t="s">
        <v>247</v>
      </c>
      <c r="ET267" s="5">
        <f t="shared" si="792"/>
        <v>2</v>
      </c>
      <c r="EU267" s="5" t="s">
        <v>254</v>
      </c>
      <c r="EV267" s="5">
        <f t="shared" si="793"/>
        <v>0</v>
      </c>
      <c r="EW267" s="5" t="s">
        <v>254</v>
      </c>
      <c r="EX267" s="5">
        <f t="shared" si="794"/>
        <v>0</v>
      </c>
      <c r="EY267" s="5">
        <f t="shared" si="795"/>
        <v>4</v>
      </c>
      <c r="EZ267" s="5" t="str">
        <f t="shared" si="796"/>
        <v>Nivel de riesgo medio</v>
      </c>
      <c r="FA267" s="5" t="s">
        <v>247</v>
      </c>
      <c r="FB267" s="5">
        <f t="shared" si="797"/>
        <v>2</v>
      </c>
      <c r="FC267" s="5" t="s">
        <v>253</v>
      </c>
      <c r="FD267" s="5">
        <f t="shared" si="798"/>
        <v>0</v>
      </c>
      <c r="FE267" s="5" t="s">
        <v>253</v>
      </c>
      <c r="FF267" s="5">
        <f t="shared" si="799"/>
        <v>0</v>
      </c>
      <c r="FG267" s="5">
        <f t="shared" si="800"/>
        <v>2</v>
      </c>
      <c r="FH267" s="5" t="str">
        <f t="shared" si="801"/>
        <v>Nivel de riesgo bajo</v>
      </c>
      <c r="FI267" s="5" t="s">
        <v>253</v>
      </c>
      <c r="FJ267" s="5">
        <f t="shared" si="802"/>
        <v>0</v>
      </c>
      <c r="FK267" s="5" t="s">
        <v>253</v>
      </c>
      <c r="FL267" s="5">
        <f t="shared" si="803"/>
        <v>0</v>
      </c>
      <c r="FM267" s="5" t="s">
        <v>248</v>
      </c>
      <c r="FN267" s="5">
        <f t="shared" si="804"/>
        <v>1</v>
      </c>
      <c r="FO267" s="5">
        <f t="shared" si="805"/>
        <v>1</v>
      </c>
      <c r="FP267" s="5" t="str">
        <f t="shared" si="806"/>
        <v>Nivel de riesgo bajo</v>
      </c>
      <c r="FQ267" s="5" t="s">
        <v>206</v>
      </c>
      <c r="FR267" s="5">
        <f t="shared" si="807"/>
        <v>0</v>
      </c>
      <c r="FS267" s="5" t="s">
        <v>206</v>
      </c>
      <c r="FT267" s="5">
        <f t="shared" si="808"/>
        <v>0</v>
      </c>
      <c r="FU267" s="5" t="s">
        <v>206</v>
      </c>
      <c r="FV267" s="5">
        <f t="shared" si="809"/>
        <v>0</v>
      </c>
      <c r="FW267" s="5" t="s">
        <v>206</v>
      </c>
      <c r="FX267" s="5">
        <f t="shared" si="810"/>
        <v>0</v>
      </c>
      <c r="FY267" s="5" t="s">
        <v>206</v>
      </c>
      <c r="FZ267" s="5">
        <f t="shared" si="811"/>
        <v>0</v>
      </c>
      <c r="GA267" s="5" t="s">
        <v>206</v>
      </c>
      <c r="GB267" s="5">
        <f t="shared" si="812"/>
        <v>0</v>
      </c>
      <c r="GC267" s="5" t="s">
        <v>206</v>
      </c>
      <c r="GD267" s="5">
        <f t="shared" si="813"/>
        <v>0</v>
      </c>
      <c r="GE267" s="5">
        <f t="shared" si="814"/>
        <v>0</v>
      </c>
      <c r="GF267" s="5" t="str">
        <f t="shared" si="815"/>
        <v>Nivel de riesgo bajo</v>
      </c>
      <c r="GG267" s="5" t="s">
        <v>255</v>
      </c>
      <c r="GH267" s="5" t="s">
        <v>255</v>
      </c>
      <c r="GI267" s="5" t="s">
        <v>255</v>
      </c>
      <c r="GJ267" s="5" t="s">
        <v>255</v>
      </c>
      <c r="GK267" s="5" t="s">
        <v>233</v>
      </c>
      <c r="GL267" s="5" t="s">
        <v>273</v>
      </c>
      <c r="GM267" s="5" t="s">
        <v>255</v>
      </c>
      <c r="GN267" s="5" t="s">
        <v>256</v>
      </c>
      <c r="GO267" s="5" t="s">
        <v>243</v>
      </c>
      <c r="GP267" s="5" t="s">
        <v>243</v>
      </c>
      <c r="GQ267" s="5" t="s">
        <v>243</v>
      </c>
      <c r="GR267" s="5" t="s">
        <v>243</v>
      </c>
      <c r="GS267" s="5" t="s">
        <v>257</v>
      </c>
      <c r="GT267" s="5" t="s">
        <v>256</v>
      </c>
      <c r="GU267" s="5" t="s">
        <v>621</v>
      </c>
      <c r="GV267" s="5" t="str">
        <f>TEXT("6279513505028863188","0")</f>
        <v>6279513505028860000</v>
      </c>
    </row>
    <row r="268" spans="1:204" ht="15.75" hidden="1" customHeight="1" x14ac:dyDescent="0.15">
      <c r="B268" s="4">
        <v>45848.297881944447</v>
      </c>
      <c r="C268" s="5" t="s">
        <v>204</v>
      </c>
      <c r="D268" s="5" t="s">
        <v>206</v>
      </c>
      <c r="F268" s="5" t="s">
        <v>206</v>
      </c>
      <c r="G268" s="5" t="s">
        <v>206</v>
      </c>
      <c r="H268" s="5" t="s">
        <v>206</v>
      </c>
      <c r="K268" s="5" t="s">
        <v>237</v>
      </c>
      <c r="P268" s="5" t="s">
        <v>237</v>
      </c>
      <c r="U268" s="5" t="s">
        <v>237</v>
      </c>
      <c r="Y268" s="5" t="s">
        <v>209</v>
      </c>
      <c r="AE268" s="5" t="s">
        <v>237</v>
      </c>
      <c r="AH268" s="5" t="s">
        <v>275</v>
      </c>
      <c r="AI268" s="5">
        <v>2000</v>
      </c>
      <c r="AJ268" s="5" t="s">
        <v>293</v>
      </c>
      <c r="AK268" s="5"/>
      <c r="AR268" s="5" t="s">
        <v>241</v>
      </c>
      <c r="AS268" s="5" t="s">
        <v>241</v>
      </c>
      <c r="AT268" s="5" t="s">
        <v>294</v>
      </c>
      <c r="AU268" s="5" t="s">
        <v>294</v>
      </c>
      <c r="AV268" s="5" t="s">
        <v>277</v>
      </c>
      <c r="AW268" s="5" t="s">
        <v>204</v>
      </c>
      <c r="AX268" s="5" t="s">
        <v>204</v>
      </c>
      <c r="AY268" s="5" t="s">
        <v>214</v>
      </c>
      <c r="AZ268" s="5" t="s">
        <v>204</v>
      </c>
      <c r="BA268" s="5" t="s">
        <v>295</v>
      </c>
      <c r="BB268" s="5" t="s">
        <v>204</v>
      </c>
      <c r="BC268" s="5" t="s">
        <v>204</v>
      </c>
      <c r="BD268" s="5" t="s">
        <v>306</v>
      </c>
      <c r="BE268" s="5" t="s">
        <v>204</v>
      </c>
      <c r="BF268" s="5" t="s">
        <v>204</v>
      </c>
      <c r="BG268" s="5" t="s">
        <v>264</v>
      </c>
      <c r="BH268" s="5" t="s">
        <v>215</v>
      </c>
      <c r="BI268" s="5" t="s">
        <v>278</v>
      </c>
      <c r="BJ268" s="5" t="s">
        <v>278</v>
      </c>
      <c r="BK268" s="5" t="s">
        <v>244</v>
      </c>
      <c r="BL268" s="5" t="s">
        <v>244</v>
      </c>
      <c r="BM268" s="5" t="s">
        <v>244</v>
      </c>
      <c r="BN268" s="5" t="s">
        <v>244</v>
      </c>
      <c r="BO268" s="5" t="s">
        <v>244</v>
      </c>
      <c r="BP268" s="5" t="s">
        <v>244</v>
      </c>
      <c r="BQ268" s="5" t="s">
        <v>244</v>
      </c>
      <c r="BR268" s="5" t="s">
        <v>244</v>
      </c>
      <c r="BS268" s="5" t="s">
        <v>248</v>
      </c>
      <c r="BT268" s="5" t="s">
        <v>248</v>
      </c>
      <c r="BU268" s="5" t="s">
        <v>248</v>
      </c>
      <c r="BV268" s="5" t="s">
        <v>248</v>
      </c>
      <c r="BW268" s="5" t="s">
        <v>248</v>
      </c>
      <c r="BX268" s="5" t="s">
        <v>248</v>
      </c>
      <c r="BY268" s="5" t="s">
        <v>248</v>
      </c>
      <c r="BZ268" s="5" t="s">
        <v>244</v>
      </c>
      <c r="CA268" s="5" t="s">
        <v>244</v>
      </c>
      <c r="CB268" s="5" t="s">
        <v>244</v>
      </c>
      <c r="CC268" s="5" t="s">
        <v>244</v>
      </c>
      <c r="CD268" s="5" t="s">
        <v>204</v>
      </c>
      <c r="CE268" s="5" t="s">
        <v>286</v>
      </c>
      <c r="CF268" s="5" t="s">
        <v>219</v>
      </c>
      <c r="CG268" s="5" t="s">
        <v>220</v>
      </c>
      <c r="CH268" s="5" t="s">
        <v>206</v>
      </c>
      <c r="CI268" s="5" t="s">
        <v>206</v>
      </c>
      <c r="CJ268" s="5">
        <v>0</v>
      </c>
      <c r="CK268" s="5" t="s">
        <v>223</v>
      </c>
      <c r="CU268" s="5" t="s">
        <v>206</v>
      </c>
      <c r="DA268" s="5" t="s">
        <v>231</v>
      </c>
      <c r="DB268" s="5"/>
      <c r="DC268" s="5" t="s">
        <v>230</v>
      </c>
      <c r="DD268" s="5"/>
      <c r="DE268" s="5" t="s">
        <v>230</v>
      </c>
      <c r="DF268" s="5"/>
      <c r="DG268" s="5" t="s">
        <v>230</v>
      </c>
      <c r="DH268" s="5"/>
      <c r="DI268" s="5" t="s">
        <v>230</v>
      </c>
      <c r="DJ268" s="5"/>
      <c r="DK268" s="5" t="s">
        <v>230</v>
      </c>
      <c r="DL268" s="5"/>
      <c r="DM268" s="5" t="s">
        <v>230</v>
      </c>
      <c r="DN268" s="5"/>
      <c r="DO268" s="5" t="s">
        <v>231</v>
      </c>
      <c r="DP268" s="5"/>
      <c r="DQ268" s="5" t="s">
        <v>231</v>
      </c>
      <c r="DR268" s="5"/>
      <c r="DS268" s="5" t="s">
        <v>231</v>
      </c>
      <c r="DT268" s="5"/>
      <c r="DU268" s="5" t="s">
        <v>231</v>
      </c>
      <c r="DV268" s="5"/>
      <c r="DW268" s="5" t="s">
        <v>231</v>
      </c>
      <c r="DX268" s="5"/>
      <c r="DY268" s="5"/>
      <c r="DZ268" s="5"/>
      <c r="EA268" s="5" t="s">
        <v>232</v>
      </c>
      <c r="EB268" s="5"/>
      <c r="EC268" s="5" t="s">
        <v>232</v>
      </c>
      <c r="ED268" s="5"/>
      <c r="EE268" s="5" t="s">
        <v>232</v>
      </c>
      <c r="EF268" s="5"/>
      <c r="EG268" s="5"/>
      <c r="EH268" s="5"/>
      <c r="EI268" s="5" t="s">
        <v>232</v>
      </c>
      <c r="EJ268" s="5"/>
      <c r="EK268" s="5" t="s">
        <v>232</v>
      </c>
      <c r="EL268" s="5"/>
      <c r="EM268" s="5" t="s">
        <v>232</v>
      </c>
      <c r="EN268" s="5"/>
      <c r="EO268" s="5"/>
      <c r="EP268" s="5"/>
      <c r="EQ268" s="5" t="s">
        <v>232</v>
      </c>
      <c r="ER268" s="5"/>
      <c r="ES268" s="5" t="s">
        <v>232</v>
      </c>
      <c r="ET268" s="5"/>
      <c r="EU268" s="5" t="s">
        <v>232</v>
      </c>
      <c r="EV268" s="5"/>
      <c r="EW268" s="5" t="s">
        <v>232</v>
      </c>
      <c r="EX268" s="5"/>
      <c r="EY268" s="5"/>
      <c r="EZ268" s="5"/>
      <c r="FA268" s="5" t="s">
        <v>232</v>
      </c>
      <c r="FB268" s="5"/>
      <c r="FC268" s="5" t="s">
        <v>232</v>
      </c>
      <c r="FD268" s="5"/>
      <c r="FE268" s="5" t="s">
        <v>232</v>
      </c>
      <c r="FF268" s="5"/>
      <c r="FG268" s="5"/>
      <c r="FH268" s="5"/>
      <c r="FI268" s="5" t="s">
        <v>232</v>
      </c>
      <c r="FJ268" s="5"/>
      <c r="FK268" s="5" t="s">
        <v>232</v>
      </c>
      <c r="FL268" s="5"/>
      <c r="FM268" s="5" t="s">
        <v>232</v>
      </c>
      <c r="FN268" s="5"/>
      <c r="FO268" s="5"/>
      <c r="FP268" s="5"/>
      <c r="FQ268" s="5" t="s">
        <v>206</v>
      </c>
      <c r="FR268" s="5"/>
      <c r="FS268" s="5" t="s">
        <v>206</v>
      </c>
      <c r="FT268" s="5"/>
      <c r="FU268" s="5" t="s">
        <v>206</v>
      </c>
      <c r="FV268" s="5"/>
      <c r="FW268" s="5" t="s">
        <v>206</v>
      </c>
      <c r="FX268" s="5"/>
      <c r="FY268" s="5" t="s">
        <v>206</v>
      </c>
      <c r="FZ268" s="5"/>
      <c r="GA268" s="5" t="s">
        <v>206</v>
      </c>
      <c r="GB268" s="5"/>
      <c r="GC268" s="5" t="s">
        <v>206</v>
      </c>
      <c r="GD268" s="5"/>
      <c r="GE268" s="5"/>
      <c r="GF268" s="5"/>
      <c r="GG268" s="5" t="s">
        <v>255</v>
      </c>
      <c r="GH268" s="5" t="s">
        <v>255</v>
      </c>
      <c r="GI268" s="5" t="s">
        <v>255</v>
      </c>
      <c r="GJ268" s="5" t="s">
        <v>255</v>
      </c>
      <c r="GK268" s="5" t="s">
        <v>233</v>
      </c>
      <c r="GL268" s="5" t="s">
        <v>266</v>
      </c>
      <c r="GM268" s="5" t="s">
        <v>255</v>
      </c>
      <c r="GN268" s="5" t="s">
        <v>256</v>
      </c>
      <c r="GO268" s="5" t="s">
        <v>256</v>
      </c>
      <c r="GP268" s="5" t="s">
        <v>243</v>
      </c>
      <c r="GQ268" s="5" t="s">
        <v>243</v>
      </c>
      <c r="GR268" s="5" t="s">
        <v>243</v>
      </c>
      <c r="GS268" s="5" t="s">
        <v>243</v>
      </c>
      <c r="GT268" s="5" t="s">
        <v>243</v>
      </c>
      <c r="GU268" s="5" t="s">
        <v>622</v>
      </c>
      <c r="GV268" s="5" t="str">
        <f>TEXT("6279549374456085643","0")</f>
        <v>6279549374456080000</v>
      </c>
    </row>
    <row r="269" spans="1:204" ht="15.75" customHeight="1" x14ac:dyDescent="0.15">
      <c r="A269" s="1">
        <f>ROW(A269)</f>
        <v>269</v>
      </c>
      <c r="B269" s="4">
        <v>45848.313067129631</v>
      </c>
      <c r="C269" s="5" t="s">
        <v>204</v>
      </c>
      <c r="D269" s="5" t="s">
        <v>206</v>
      </c>
      <c r="F269" s="5" t="s">
        <v>206</v>
      </c>
      <c r="G269" s="5" t="s">
        <v>204</v>
      </c>
      <c r="H269" s="5" t="s">
        <v>206</v>
      </c>
      <c r="K269" s="5" t="s">
        <v>237</v>
      </c>
      <c r="O269" s="5" t="s">
        <v>209</v>
      </c>
      <c r="S269" s="5" t="s">
        <v>208</v>
      </c>
      <c r="X269" s="5" t="s">
        <v>208</v>
      </c>
      <c r="AC269" s="5" t="s">
        <v>208</v>
      </c>
      <c r="AH269" s="5" t="s">
        <v>210</v>
      </c>
      <c r="AI269" s="5">
        <v>2023</v>
      </c>
      <c r="AJ269" s="5" t="s">
        <v>238</v>
      </c>
      <c r="AK269" s="5" t="str">
        <f>IF(OR(AJ269="Empleada del sector privado",AJ269="Empleada del sector público"),"Asalariada",
IF(AJ269="Trabajadora por cuenta propia","Trabajadora por cuenta propia",""))</f>
        <v>Trabajadora por cuenta propia</v>
      </c>
      <c r="AM269" s="5" t="s">
        <v>309</v>
      </c>
      <c r="AP269" s="5" t="s">
        <v>240</v>
      </c>
      <c r="AR269" s="5" t="s">
        <v>261</v>
      </c>
      <c r="AS269" s="5" t="s">
        <v>276</v>
      </c>
      <c r="AT269" s="5" t="s">
        <v>276</v>
      </c>
      <c r="AU269" s="5" t="s">
        <v>276</v>
      </c>
      <c r="AV269" s="5" t="s">
        <v>269</v>
      </c>
      <c r="AW269" s="5" t="s">
        <v>204</v>
      </c>
      <c r="AX269" s="5" t="s">
        <v>204</v>
      </c>
      <c r="AY269" s="5" t="s">
        <v>214</v>
      </c>
      <c r="AZ269" s="5" t="s">
        <v>204</v>
      </c>
      <c r="BA269" s="5" t="s">
        <v>263</v>
      </c>
      <c r="BF269" s="5" t="s">
        <v>204</v>
      </c>
      <c r="BG269" s="5" t="s">
        <v>271</v>
      </c>
      <c r="BH269" s="5" t="s">
        <v>271</v>
      </c>
      <c r="BI269" s="5" t="s">
        <v>271</v>
      </c>
      <c r="BJ269" s="5" t="s">
        <v>271</v>
      </c>
      <c r="BK269" s="5" t="s">
        <v>216</v>
      </c>
      <c r="BL269" s="5" t="s">
        <v>244</v>
      </c>
      <c r="BM269" s="5" t="s">
        <v>216</v>
      </c>
      <c r="BN269" s="5" t="s">
        <v>216</v>
      </c>
      <c r="BO269" s="5" t="s">
        <v>216</v>
      </c>
      <c r="BP269" s="5" t="s">
        <v>216</v>
      </c>
      <c r="BQ269" s="5" t="s">
        <v>244</v>
      </c>
      <c r="BR269" s="5" t="s">
        <v>244</v>
      </c>
      <c r="BS269" s="5" t="s">
        <v>247</v>
      </c>
      <c r="BT269" s="5" t="s">
        <v>248</v>
      </c>
      <c r="BU269" s="5" t="s">
        <v>247</v>
      </c>
      <c r="BV269" s="5" t="s">
        <v>248</v>
      </c>
      <c r="BW269" s="5" t="s">
        <v>248</v>
      </c>
      <c r="BX269" s="5" t="s">
        <v>248</v>
      </c>
      <c r="BY269" s="5" t="s">
        <v>247</v>
      </c>
      <c r="BZ269" s="5" t="s">
        <v>244</v>
      </c>
      <c r="CA269" s="5" t="s">
        <v>246</v>
      </c>
      <c r="CB269" s="5" t="s">
        <v>244</v>
      </c>
      <c r="CC269" s="5" t="s">
        <v>216</v>
      </c>
      <c r="CD269" s="5" t="s">
        <v>206</v>
      </c>
      <c r="CH269" s="5" t="s">
        <v>221</v>
      </c>
      <c r="CI269" s="5" t="s">
        <v>307</v>
      </c>
      <c r="CJ269" s="5">
        <v>4</v>
      </c>
      <c r="CK269" s="5" t="s">
        <v>223</v>
      </c>
      <c r="CU269" s="5" t="s">
        <v>206</v>
      </c>
      <c r="DA269" s="5" t="s">
        <v>252</v>
      </c>
      <c r="DB269" s="5">
        <f>IF(DA269="Mejor que lo habitual",1,
IF(DA269="Igual que lo habitual",2,
IF(DA269="Menos que lo habitual",3,
IF(DA269="Mucho menos que lo habitual",4,""))))</f>
        <v>3</v>
      </c>
      <c r="DC269" s="5" t="s">
        <v>250</v>
      </c>
      <c r="DD269" s="5">
        <f>IF(DC269="No, en absoluto",1,
IF(DC269="No más que lo habitual",2,
IF(DC269="Bastante más que lo habitual",3,
IF(DC269="Mucho más que lo habitual",4,""))))</f>
        <v>3</v>
      </c>
      <c r="DE269" s="5" t="s">
        <v>250</v>
      </c>
      <c r="DF269" s="5">
        <f>IF(DE269="No, en absoluto",1,
IF(DE269="No más que lo habitual",2,
IF(DE269="Bastante más que lo habitual",3,
IF(DE269="Mucho más que lo habitual",4,""))))</f>
        <v>3</v>
      </c>
      <c r="DG269" s="5" t="s">
        <v>230</v>
      </c>
      <c r="DH269" s="5">
        <f>IF(DG269="No, en absoluto",1,
IF(DG269="No más que lo habitual",2,
IF(DG269="Bastante más que lo habitual",3,
IF(DG269="Mucho más que lo habitual",4,""))))</f>
        <v>2</v>
      </c>
      <c r="DI269" s="5" t="s">
        <v>230</v>
      </c>
      <c r="DJ269" s="5">
        <f>IF(DI269="No, en absoluto",1,
IF(DI269="No más que lo habitual",2,
IF(DI269="Bastante más que lo habitual",3,
IF(DI269="Mucho más que lo habitual",4,""))))</f>
        <v>2</v>
      </c>
      <c r="DK269" s="5" t="s">
        <v>250</v>
      </c>
      <c r="DL269" s="5">
        <f>IF(DK269="No, en absoluto",1,
IF(DK269="No más que lo habitual",2,
IF(DK269="Bastante más que lo habitual",3,
IF(DK269="Mucho más que lo habitual",4,""))))</f>
        <v>3</v>
      </c>
      <c r="DM269" s="5" t="s">
        <v>251</v>
      </c>
      <c r="DN269" s="5">
        <f>IF(DM269="No, en absoluto",1,
IF(DM269="No más que lo habitual",2,
IF(DM269="Bastante más que lo habitual",3,
IF(DM269="Mucho más que lo habitual",4,""))))</f>
        <v>1</v>
      </c>
      <c r="DO269" s="5" t="s">
        <v>231</v>
      </c>
      <c r="DP269" s="5">
        <f>IF(DO269="Más que lo habitual",1,
IF(DO269="Igual que lo habitual",2,
IF(DO269="Menos que lo habitual",3,
IF(DO269="Mucho menos que lo habitual",4,""))))</f>
        <v>2</v>
      </c>
      <c r="DQ269" s="5" t="s">
        <v>231</v>
      </c>
      <c r="DR269" s="5">
        <f>IF(DQ269="Más que lo habitual",1,
IF(DQ269="Igual que lo habitual",2,
IF(DQ269="Menos que lo habitual",3,
IF(DQ269="Mucho menos que lo habitual",4,""))))</f>
        <v>2</v>
      </c>
      <c r="DS269" s="5" t="s">
        <v>252</v>
      </c>
      <c r="DT269" s="5">
        <f>IF(DS269="Más que lo habitual",1,
IF(DS269="Igual que lo habitual",2,
IF(DS269="Menos que lo habitual",3,
IF(DS269="Mucho menos que lo habitual",4,""))))</f>
        <v>3</v>
      </c>
      <c r="DU269" s="5" t="s">
        <v>231</v>
      </c>
      <c r="DV269" s="5">
        <f>IF(DU269="Más que lo habitual",1,
IF(DU269="Igual que lo habitual",2,
IF(DU269="Menos que lo habitual",3,
IF(DU269="Mucho menos que lo habitual",4,""))))</f>
        <v>2</v>
      </c>
      <c r="DW269" s="5" t="s">
        <v>231</v>
      </c>
      <c r="DX269" s="5">
        <f>IF(DW269="Más que lo habitual",1,
IF(DW269="Igual que lo habitual",2,
IF(DW269="Menos que lo habitual",3,
IF(DW269="Mucho menos que lo habitual",4,""))))</f>
        <v>2</v>
      </c>
      <c r="DY269" s="5">
        <f>SUM(DB269,DD269,DF269,DH269,DJ269,DL269,DN269,DP269,DR269,DT269,DV269,DX269)</f>
        <v>28</v>
      </c>
      <c r="DZ269" s="5" t="str">
        <f>IF(DY269&lt;=18,"Nivel de riesgo bajo",
IF(DY269&lt;=23,"Nivel de riesgo medio",
"Nivel de riesgo alto"))</f>
        <v>Nivel de riesgo alto</v>
      </c>
      <c r="EA269" s="5" t="s">
        <v>232</v>
      </c>
      <c r="EB269" s="5">
        <f>IF(EA269="Nunca/ casi nunca",0,
IF(EA269="Rara vez",1,
IF(EA269="A veces",2,
IF(EA269="A menudo",3,
IF(EA269="Siempre",4,"")))))</f>
        <v>3</v>
      </c>
      <c r="EC269" s="5" t="s">
        <v>247</v>
      </c>
      <c r="ED269" s="5">
        <f>IF(EC269="Nunca/ casi nunca",0,
IF(EC269="Rara vez",1,
IF(EC269="A veces",2,
IF(EC269="A menudo",3,
IF(EC269="Siempre",4,"")))))</f>
        <v>2</v>
      </c>
      <c r="EE269" s="5" t="s">
        <v>247</v>
      </c>
      <c r="EF269" s="5">
        <f>IF(EE269="Nunca/ casi nunca",0,
IF(EE269="Rara vez",1,
IF(EE269="A veces",2,
IF(EE269="A menudo",3,
IF(EE269="Siempre",4,"")))))</f>
        <v>2</v>
      </c>
      <c r="EG269" s="5">
        <f>SUM(EB269,ED269,EF269)</f>
        <v>7</v>
      </c>
      <c r="EH269" s="5" t="str">
        <f>IF(EG269&lt;=1,"Nivel de riesgo bajo",
IF(EG269&lt;=4,"Nivel de riesgo medio",
"Nivel de riesgo alto"))</f>
        <v>Nivel de riesgo alto</v>
      </c>
      <c r="EI269" s="5" t="s">
        <v>248</v>
      </c>
      <c r="EJ269" s="5">
        <f>IF(EI269="Nunca/ casi nunca",0,
IF(EI269="Rara vez",1,
IF(EI269="A veces",2,
IF(EI269="A menudo",3,
IF(EI269="Siempre",4,"")))))</f>
        <v>1</v>
      </c>
      <c r="EK269" s="5" t="s">
        <v>253</v>
      </c>
      <c r="EL269" s="5">
        <f>IF(EK269="Nunca/ casi nunca",0,
IF(EK269="Rara vez",1,
IF(EK269="A veces",2,
IF(EK269="A menudo",3,
IF(EK269="Siempre",4,"")))))</f>
        <v>0</v>
      </c>
      <c r="EM269" s="5" t="s">
        <v>253</v>
      </c>
      <c r="EN269" s="5">
        <f>IF(EM269="Nunca/ casi nunca",0,
IF(EM269="Rara vez",1,
IF(EM269="A veces",2,
IF(EM269="A menudo",3,
IF(EM269="Siempre",4,"")))))</f>
        <v>0</v>
      </c>
      <c r="EO269" s="5">
        <f>SUM(EJ269,EL269,EN269)</f>
        <v>1</v>
      </c>
      <c r="EP269" s="5" t="str">
        <f>IF(EO269&lt;=1,"Nivel de riesgo bajo",
IF(EO269&lt;=5,"Nivel de riesgo medio",
"Nivel de riesgo alto"))</f>
        <v>Nivel de riesgo bajo</v>
      </c>
      <c r="EQ269" s="5" t="s">
        <v>253</v>
      </c>
      <c r="ER269" s="5">
        <f>IF(EQ269="Nunca/ casi nunca",4,
IF(EQ269="Rara vez",3,
IF(EQ269="A veces",2,
IF(EQ269="A menudo",1,
IF(EQ269="Siempre",0,"")))))</f>
        <v>4</v>
      </c>
      <c r="ES269" s="5" t="s">
        <v>254</v>
      </c>
      <c r="ET269" s="5">
        <f>IF(ES269="Nunca/ casi nunca",4,
IF(ES269="Rara vez",3,
IF(ES269="A veces",2,
IF(ES269="A menudo",1,
IF(ES269="Siempre",0,"")))))</f>
        <v>0</v>
      </c>
      <c r="EU269" s="5" t="s">
        <v>254</v>
      </c>
      <c r="EV269" s="5">
        <f>IF(EU269="Nunca/ casi nunca",4,
IF(EU269="Rara vez",3,
IF(EU269="A veces",2,
IF(EU269="A menudo",1,
IF(EU269="Siempre",0,"")))))</f>
        <v>0</v>
      </c>
      <c r="EW269" s="5" t="s">
        <v>254</v>
      </c>
      <c r="EX269" s="5">
        <f>IF(EW269="Nunca/ casi nunca",4,
IF(EW269="Rara vez",3,
IF(EW269="A veces",2,
IF(EW269="A menudo",1,
IF(EW269="Siempre",0,"")))))</f>
        <v>0</v>
      </c>
      <c r="EY269" s="5">
        <f>SUM(ER269,ET269,EV269,EX269)</f>
        <v>4</v>
      </c>
      <c r="EZ269" s="5" t="str">
        <f>IF(EY269&lt;=0,"Nivel de riesgo bajo",
IF(EY269&lt;=4,"Nivel de riesgo medio",
"Nivel de riesgo alto"))</f>
        <v>Nivel de riesgo medio</v>
      </c>
      <c r="FA269" s="5" t="s">
        <v>232</v>
      </c>
      <c r="FB269" s="5">
        <f>IF(FA269="Nunca/ casi nunca",0,
IF(FA269="Rara vez",1,
IF(FA269="A veces",2,
IF(FA269="A menudo",3,
IF(FA269="Siempre",4,"")))))</f>
        <v>3</v>
      </c>
      <c r="FC269" s="5" t="s">
        <v>232</v>
      </c>
      <c r="FD269" s="5">
        <f>IF(FC269="Nunca/ casi nunca",0,
IF(FC269="Rara vez",1,
IF(FC269="A veces",2,
IF(FC269="A menudo",3,
IF(FC269="Siempre",4,"")))))</f>
        <v>3</v>
      </c>
      <c r="FE269" s="5" t="s">
        <v>232</v>
      </c>
      <c r="FF269" s="5">
        <f>IF(FE269="Nunca/ casi nunca",0,
IF(FE269="Rara vez",1,
IF(FE269="A veces",2,
IF(FE269="A menudo",3,
IF(FE269="Siempre",4,"")))))</f>
        <v>3</v>
      </c>
      <c r="FG269" s="5">
        <f>SUM(FB269,FD269,FF269)</f>
        <v>9</v>
      </c>
      <c r="FH269" s="5" t="str">
        <f>IF(FG269&lt;=2,"Nivel de riesgo bajo",
IF(FG269&lt;=5,"Nivel de riesgo medio",
"Nivel de riesgo alto"))</f>
        <v>Nivel de riesgo alto</v>
      </c>
      <c r="FI269" s="5" t="s">
        <v>232</v>
      </c>
      <c r="FJ269" s="5">
        <f>IF(FI269="Nunca/ casi nunca",0,
IF(FI269="Rara vez",1,
IF(FI269="A veces",2,
IF(FI269="A menudo",3,
IF(FI269="Siempre",4,"")))))</f>
        <v>3</v>
      </c>
      <c r="FK269" s="5" t="s">
        <v>232</v>
      </c>
      <c r="FL269" s="5">
        <f>IF(FK269="Nunca/ casi nunca",0,
IF(FK269="Rara vez",1,
IF(FK269="A veces",2,
IF(FK269="A menudo",3,
IF(FK269="Siempre",4,"")))))</f>
        <v>3</v>
      </c>
      <c r="FM269" s="5" t="s">
        <v>232</v>
      </c>
      <c r="FN269" s="5">
        <f>IF(FM269="Nunca/ casi nunca",0,
IF(FM269="Rara vez",1,
IF(FM269="A veces",2,
IF(FM269="A menudo",3,
IF(FM269="Siempre",4,"")))))</f>
        <v>3</v>
      </c>
      <c r="FO269" s="5">
        <f>SUM(FJ269,FL269,FN269)</f>
        <v>9</v>
      </c>
      <c r="FP269" s="5" t="str">
        <f>IF(FO269&lt;=2,"Nivel de riesgo bajo",
IF(FO269&lt;=5,"Nivel de riesgo medio",
"Nivel de riesgo alto"))</f>
        <v>Nivel de riesgo alto</v>
      </c>
      <c r="FQ269" s="5" t="s">
        <v>206</v>
      </c>
      <c r="FR269" s="5">
        <f>IF(FQ269="No",0,
IF(FQ269="Sí, unas pocas veces",1,
IF(FQ269="Sí, mensualmente",2,
IF(FQ269="Sí, semanalmente",3,
IF(FQ269="Sí, diariamente",4,"")))))</f>
        <v>0</v>
      </c>
      <c r="FS269" s="5" t="s">
        <v>206</v>
      </c>
      <c r="FT269" s="5">
        <f>IF(FS269="No",0,
IF(FS269="Sí, unas pocas veces",1,
IF(FS269="Sí, mensualmente",2,
IF(FS269="Sí, semanalmente",3,
IF(FS269="Sí, diariamente",4,"")))))</f>
        <v>0</v>
      </c>
      <c r="FU269" s="5" t="s">
        <v>206</v>
      </c>
      <c r="FV269" s="5">
        <f>IF(FU269="No",0,
IF(FU269="Sí, unas pocas veces",1,
IF(FU269="Sí, mensualmente",2,
IF(FU269="Sí, semanalmente",3,
IF(FU269="Sí, diariamente",4,"")))))</f>
        <v>0</v>
      </c>
      <c r="FW269" s="5" t="s">
        <v>206</v>
      </c>
      <c r="FX269" s="5">
        <f>IF(FW269="No",0,
IF(FW269="Sí, unas pocas veces",1,
IF(FW269="Sí, mensualmente",2,
IF(FW269="Sí, semanalmente",3,
IF(FW269="Sí, diariamente",4,"")))))</f>
        <v>0</v>
      </c>
      <c r="FY269" s="5" t="s">
        <v>206</v>
      </c>
      <c r="FZ269" s="5">
        <f>IF(FY269="No",0,
IF(FY269="Sí, unas pocas veces",1,
IF(FY269="Sí, mensualmente",2,
IF(FY269="Sí, semanalmente",3,
IF(FY269="Sí, diariamente",4,"")))))</f>
        <v>0</v>
      </c>
      <c r="GA269" s="5" t="s">
        <v>206</v>
      </c>
      <c r="GB269" s="5">
        <f>IF(GA269="No",0,
IF(GA269="Sí, unas pocas veces",1,
IF(GA269="Sí, mensualmente",2,
IF(GA269="Sí, semanalmente",3,
IF(GA269="Sí, diariamente",4,"")))))</f>
        <v>0</v>
      </c>
      <c r="GC269" s="5" t="s">
        <v>206</v>
      </c>
      <c r="GD269" s="5">
        <f>IF(GC269="No",0,
IF(GC269="Sí, unas pocas veces",1,
IF(GC269="Sí, mensualmente",2,
IF(GC269="Sí, semanalmente",3,
IF(GC269="Sí, diariamente",4,"")))))</f>
        <v>0</v>
      </c>
      <c r="GE269" s="5">
        <f>SUM(FR269,FT269,FV269,FX269,FZ269,GB269,GD269)</f>
        <v>0</v>
      </c>
      <c r="GF269" s="5" t="str">
        <f>IF(GE269&lt;=0,"Nivel de riesgo bajo",
IF(GE269&lt;=14,"Nivel de riesgo medio",
"Nivel de riesgo alto"))</f>
        <v>Nivel de riesgo bajo</v>
      </c>
      <c r="GG269" s="5" t="s">
        <v>273</v>
      </c>
      <c r="GH269" s="5" t="s">
        <v>273</v>
      </c>
      <c r="GI269" s="5" t="s">
        <v>273</v>
      </c>
      <c r="GJ269" s="5" t="s">
        <v>273</v>
      </c>
      <c r="GK269" s="5" t="s">
        <v>233</v>
      </c>
      <c r="GL269" s="5" t="s">
        <v>266</v>
      </c>
      <c r="GM269" s="5" t="s">
        <v>266</v>
      </c>
      <c r="GN269" s="5" t="s">
        <v>243</v>
      </c>
      <c r="GO269" s="5" t="s">
        <v>243</v>
      </c>
      <c r="GP269" s="5" t="s">
        <v>243</v>
      </c>
      <c r="GQ269" s="5" t="s">
        <v>243</v>
      </c>
      <c r="GR269" s="5" t="s">
        <v>243</v>
      </c>
      <c r="GS269" s="5" t="s">
        <v>243</v>
      </c>
      <c r="GT269" s="5" t="s">
        <v>243</v>
      </c>
      <c r="GU269" s="5" t="s">
        <v>623</v>
      </c>
      <c r="GV269" s="5" t="str">
        <f>TEXT("6279562493711233522","0")</f>
        <v>6279562493711230000</v>
      </c>
    </row>
    <row r="270" spans="1:204" ht="15.75" hidden="1" customHeight="1" x14ac:dyDescent="0.15">
      <c r="B270" s="4">
        <v>45848.337557870371</v>
      </c>
      <c r="C270" s="5" t="s">
        <v>204</v>
      </c>
      <c r="D270" s="5" t="s">
        <v>206</v>
      </c>
      <c r="F270" s="5" t="s">
        <v>206</v>
      </c>
      <c r="G270" s="5" t="s">
        <v>206</v>
      </c>
      <c r="H270" s="5" t="s">
        <v>206</v>
      </c>
      <c r="L270" s="5" t="s">
        <v>236</v>
      </c>
      <c r="O270" s="5" t="s">
        <v>209</v>
      </c>
      <c r="S270" s="5" t="s">
        <v>208</v>
      </c>
      <c r="X270" s="5" t="s">
        <v>208</v>
      </c>
      <c r="AD270" s="5" t="s">
        <v>209</v>
      </c>
      <c r="AH270" s="5" t="s">
        <v>210</v>
      </c>
      <c r="AI270" s="5">
        <v>2013</v>
      </c>
      <c r="AJ270" s="5" t="s">
        <v>211</v>
      </c>
      <c r="AK270" s="5"/>
      <c r="AQ270" s="5" t="s">
        <v>204</v>
      </c>
      <c r="AR270" s="5" t="s">
        <v>261</v>
      </c>
      <c r="AS270" s="5" t="s">
        <v>261</v>
      </c>
      <c r="AT270" s="5" t="s">
        <v>261</v>
      </c>
      <c r="AU270" s="5" t="s">
        <v>261</v>
      </c>
      <c r="AV270" s="5" t="s">
        <v>213</v>
      </c>
      <c r="AW270" s="5" t="s">
        <v>204</v>
      </c>
      <c r="AX270" s="5" t="s">
        <v>204</v>
      </c>
      <c r="AY270" s="5" t="s">
        <v>214</v>
      </c>
      <c r="AZ270" s="5" t="s">
        <v>204</v>
      </c>
      <c r="BA270" s="5" t="s">
        <v>289</v>
      </c>
      <c r="BB270" s="5" t="s">
        <v>206</v>
      </c>
      <c r="BC270" s="5" t="s">
        <v>206</v>
      </c>
      <c r="BD270" s="5" t="s">
        <v>290</v>
      </c>
      <c r="BE270" s="5" t="s">
        <v>204</v>
      </c>
      <c r="BF270" s="5" t="s">
        <v>204</v>
      </c>
      <c r="BG270" s="5" t="s">
        <v>207</v>
      </c>
      <c r="BH270" s="5" t="s">
        <v>215</v>
      </c>
      <c r="BI270" s="5" t="s">
        <v>215</v>
      </c>
      <c r="BJ270" s="5" t="s">
        <v>242</v>
      </c>
      <c r="BK270" s="5" t="s">
        <v>245</v>
      </c>
      <c r="BL270" s="5" t="s">
        <v>245</v>
      </c>
      <c r="BM270" s="5" t="s">
        <v>245</v>
      </c>
      <c r="BN270" s="5" t="s">
        <v>245</v>
      </c>
      <c r="BO270" s="5" t="s">
        <v>246</v>
      </c>
      <c r="BP270" s="5" t="s">
        <v>246</v>
      </c>
      <c r="BQ270" s="5" t="s">
        <v>246</v>
      </c>
      <c r="BR270" s="5" t="s">
        <v>243</v>
      </c>
      <c r="BS270" s="5" t="s">
        <v>247</v>
      </c>
      <c r="BT270" s="5" t="s">
        <v>248</v>
      </c>
      <c r="BU270" s="5" t="s">
        <v>248</v>
      </c>
      <c r="BV270" s="5" t="s">
        <v>248</v>
      </c>
      <c r="BW270" s="5" t="s">
        <v>248</v>
      </c>
      <c r="BX270" s="5" t="s">
        <v>217</v>
      </c>
      <c r="BY270" s="5" t="s">
        <v>217</v>
      </c>
      <c r="BZ270" s="5" t="s">
        <v>216</v>
      </c>
      <c r="CA270" s="5" t="s">
        <v>246</v>
      </c>
      <c r="CB270" s="5" t="s">
        <v>246</v>
      </c>
      <c r="CC270" s="5" t="s">
        <v>243</v>
      </c>
      <c r="CD270" s="5" t="s">
        <v>204</v>
      </c>
      <c r="CE270" s="5" t="s">
        <v>218</v>
      </c>
      <c r="CF270" s="5" t="s">
        <v>279</v>
      </c>
      <c r="CG270" s="5" t="s">
        <v>220</v>
      </c>
      <c r="CH270" s="5" t="s">
        <v>206</v>
      </c>
      <c r="CI270" s="5" t="s">
        <v>291</v>
      </c>
      <c r="CJ270" s="5">
        <v>2</v>
      </c>
      <c r="CK270" s="5" t="s">
        <v>223</v>
      </c>
      <c r="CU270" s="5" t="s">
        <v>206</v>
      </c>
      <c r="DA270" s="5" t="s">
        <v>272</v>
      </c>
      <c r="DB270" s="5"/>
      <c r="DC270" s="5" t="s">
        <v>251</v>
      </c>
      <c r="DD270" s="5"/>
      <c r="DE270" s="5" t="s">
        <v>230</v>
      </c>
      <c r="DF270" s="5"/>
      <c r="DG270" s="5" t="s">
        <v>251</v>
      </c>
      <c r="DH270" s="5"/>
      <c r="DI270" s="5" t="s">
        <v>251</v>
      </c>
      <c r="DJ270" s="5"/>
      <c r="DK270" s="5" t="s">
        <v>251</v>
      </c>
      <c r="DL270" s="5"/>
      <c r="DM270" s="5" t="s">
        <v>251</v>
      </c>
      <c r="DN270" s="5"/>
      <c r="DO270" s="5" t="s">
        <v>281</v>
      </c>
      <c r="DP270" s="5"/>
      <c r="DQ270" s="5" t="s">
        <v>281</v>
      </c>
      <c r="DR270" s="5"/>
      <c r="DS270" s="5" t="s">
        <v>231</v>
      </c>
      <c r="DT270" s="5"/>
      <c r="DU270" s="5" t="s">
        <v>281</v>
      </c>
      <c r="DV270" s="5"/>
      <c r="DW270" s="5" t="s">
        <v>281</v>
      </c>
      <c r="DX270" s="5"/>
      <c r="DY270" s="5"/>
      <c r="DZ270" s="5"/>
      <c r="EA270" s="5" t="s">
        <v>248</v>
      </c>
      <c r="EB270" s="5"/>
      <c r="EC270" s="5" t="s">
        <v>253</v>
      </c>
      <c r="ED270" s="5"/>
      <c r="EE270" s="5" t="s">
        <v>253</v>
      </c>
      <c r="EF270" s="5"/>
      <c r="EG270" s="5"/>
      <c r="EH270" s="5"/>
      <c r="EI270" s="5" t="s">
        <v>253</v>
      </c>
      <c r="EJ270" s="5"/>
      <c r="EK270" s="5" t="s">
        <v>253</v>
      </c>
      <c r="EL270" s="5"/>
      <c r="EM270" s="5" t="s">
        <v>253</v>
      </c>
      <c r="EN270" s="5"/>
      <c r="EO270" s="5"/>
      <c r="EP270" s="5"/>
      <c r="EQ270" s="5" t="s">
        <v>232</v>
      </c>
      <c r="ER270" s="5"/>
      <c r="ES270" s="5" t="s">
        <v>232</v>
      </c>
      <c r="ET270" s="5"/>
      <c r="EU270" s="5" t="s">
        <v>254</v>
      </c>
      <c r="EV270" s="5"/>
      <c r="EW270" s="5" t="s">
        <v>253</v>
      </c>
      <c r="EX270" s="5"/>
      <c r="EY270" s="5"/>
      <c r="EZ270" s="5"/>
      <c r="FA270" s="5" t="s">
        <v>253</v>
      </c>
      <c r="FB270" s="5"/>
      <c r="FC270" s="5" t="s">
        <v>253</v>
      </c>
      <c r="FD270" s="5"/>
      <c r="FE270" s="5" t="s">
        <v>253</v>
      </c>
      <c r="FF270" s="5"/>
      <c r="FG270" s="5"/>
      <c r="FH270" s="5"/>
      <c r="FI270" s="5" t="s">
        <v>247</v>
      </c>
      <c r="FJ270" s="5"/>
      <c r="FK270" s="5" t="s">
        <v>253</v>
      </c>
      <c r="FL270" s="5"/>
      <c r="FM270" s="5" t="s">
        <v>253</v>
      </c>
      <c r="FN270" s="5"/>
      <c r="FO270" s="5"/>
      <c r="FP270" s="5"/>
      <c r="FQ270" s="5" t="s">
        <v>206</v>
      </c>
      <c r="FR270" s="5"/>
      <c r="FS270" s="5" t="s">
        <v>206</v>
      </c>
      <c r="FT270" s="5"/>
      <c r="FU270" s="5" t="s">
        <v>206</v>
      </c>
      <c r="FV270" s="5"/>
      <c r="FW270" s="5" t="s">
        <v>206</v>
      </c>
      <c r="FX270" s="5"/>
      <c r="FY270" s="5" t="s">
        <v>206</v>
      </c>
      <c r="FZ270" s="5"/>
      <c r="GA270" s="5" t="s">
        <v>206</v>
      </c>
      <c r="GB270" s="5"/>
      <c r="GC270" s="5" t="s">
        <v>206</v>
      </c>
      <c r="GD270" s="5"/>
      <c r="GE270" s="5"/>
      <c r="GF270" s="5"/>
      <c r="GG270" s="5" t="s">
        <v>266</v>
      </c>
      <c r="GH270" s="5" t="s">
        <v>273</v>
      </c>
      <c r="GI270" s="5" t="s">
        <v>255</v>
      </c>
      <c r="GJ270" s="5" t="s">
        <v>298</v>
      </c>
      <c r="GK270" s="5" t="s">
        <v>233</v>
      </c>
      <c r="GL270" s="5" t="s">
        <v>266</v>
      </c>
      <c r="GM270" s="5" t="s">
        <v>266</v>
      </c>
      <c r="GN270" s="5" t="s">
        <v>256</v>
      </c>
      <c r="GO270" s="5" t="s">
        <v>256</v>
      </c>
      <c r="GP270" s="5" t="s">
        <v>256</v>
      </c>
      <c r="GQ270" s="5" t="s">
        <v>244</v>
      </c>
      <c r="GR270" s="5" t="s">
        <v>243</v>
      </c>
      <c r="GS270" s="5" t="s">
        <v>243</v>
      </c>
      <c r="GT270" s="5" t="s">
        <v>256</v>
      </c>
      <c r="GU270" s="5" t="s">
        <v>624</v>
      </c>
      <c r="GV270" s="5" t="str">
        <f>TEXT("6279583650324580804","0")</f>
        <v>6279583650324580000</v>
      </c>
    </row>
    <row r="271" spans="1:204" ht="15.75" customHeight="1" x14ac:dyDescent="0.15">
      <c r="A271" s="1">
        <f>ROW(A271)</f>
        <v>271</v>
      </c>
      <c r="B271" s="4">
        <v>45848.355706018519</v>
      </c>
      <c r="C271" s="5" t="s">
        <v>204</v>
      </c>
      <c r="D271" s="5" t="s">
        <v>206</v>
      </c>
      <c r="F271" s="5" t="s">
        <v>206</v>
      </c>
      <c r="G271" s="5" t="s">
        <v>206</v>
      </c>
      <c r="H271" s="5" t="s">
        <v>206</v>
      </c>
      <c r="L271" s="5" t="s">
        <v>236</v>
      </c>
      <c r="P271" s="5" t="s">
        <v>237</v>
      </c>
      <c r="U271" s="5" t="s">
        <v>237</v>
      </c>
      <c r="AA271" s="5" t="s">
        <v>236</v>
      </c>
      <c r="AE271" s="5" t="s">
        <v>237</v>
      </c>
      <c r="AH271" s="5" t="s">
        <v>259</v>
      </c>
      <c r="AI271" s="5">
        <v>2020</v>
      </c>
      <c r="AJ271" s="5" t="s">
        <v>238</v>
      </c>
      <c r="AK271" s="5" t="str">
        <f>IF(OR(AJ271="Empleada del sector privado",AJ271="Empleada del sector público"),"Asalariada",
IF(AJ271="Trabajadora por cuenta propia","Trabajadora por cuenta propia",""))</f>
        <v>Trabajadora por cuenta propia</v>
      </c>
      <c r="AL271" s="5" t="s">
        <v>239</v>
      </c>
      <c r="AO271" s="5" t="s">
        <v>390</v>
      </c>
      <c r="AP271" s="5" t="s">
        <v>625</v>
      </c>
      <c r="AR271" s="5" t="s">
        <v>294</v>
      </c>
      <c r="AS271" s="5" t="s">
        <v>241</v>
      </c>
      <c r="AT271" s="5" t="s">
        <v>261</v>
      </c>
      <c r="AU271" s="5" t="s">
        <v>261</v>
      </c>
      <c r="AV271" s="5" t="s">
        <v>285</v>
      </c>
      <c r="AW271" s="5" t="s">
        <v>204</v>
      </c>
      <c r="AX271" s="5" t="s">
        <v>204</v>
      </c>
      <c r="AY271" s="5" t="s">
        <v>270</v>
      </c>
      <c r="AZ271" s="5" t="s">
        <v>204</v>
      </c>
      <c r="BA271" s="5" t="s">
        <v>263</v>
      </c>
      <c r="BF271" s="5" t="s">
        <v>204</v>
      </c>
      <c r="BG271" s="5" t="s">
        <v>278</v>
      </c>
      <c r="BH271" s="5" t="s">
        <v>278</v>
      </c>
      <c r="BI271" s="5" t="s">
        <v>278</v>
      </c>
      <c r="BJ271" s="5" t="s">
        <v>278</v>
      </c>
      <c r="BK271" s="5" t="s">
        <v>245</v>
      </c>
      <c r="BL271" s="5" t="s">
        <v>245</v>
      </c>
      <c r="BM271" s="5" t="s">
        <v>245</v>
      </c>
      <c r="BN271" s="5" t="s">
        <v>245</v>
      </c>
      <c r="BO271" s="5" t="s">
        <v>245</v>
      </c>
      <c r="BP271" s="5" t="s">
        <v>245</v>
      </c>
      <c r="BQ271" s="5" t="s">
        <v>245</v>
      </c>
      <c r="BR271" s="5" t="s">
        <v>243</v>
      </c>
      <c r="BS271" s="5" t="s">
        <v>254</v>
      </c>
      <c r="BT271" s="5" t="s">
        <v>254</v>
      </c>
      <c r="BU271" s="5" t="s">
        <v>254</v>
      </c>
      <c r="BV271" s="5" t="s">
        <v>254</v>
      </c>
      <c r="BW271" s="5" t="s">
        <v>254</v>
      </c>
      <c r="BX271" s="5" t="s">
        <v>254</v>
      </c>
      <c r="BY271" s="5" t="s">
        <v>254</v>
      </c>
      <c r="BZ271" s="5" t="s">
        <v>245</v>
      </c>
      <c r="CA271" s="5" t="s">
        <v>245</v>
      </c>
      <c r="CB271" s="5" t="s">
        <v>243</v>
      </c>
      <c r="CC271" s="5" t="s">
        <v>245</v>
      </c>
      <c r="CD271" s="5" t="s">
        <v>206</v>
      </c>
      <c r="CH271" s="5" t="s">
        <v>331</v>
      </c>
      <c r="CI271" s="5" t="s">
        <v>291</v>
      </c>
      <c r="CJ271" s="5">
        <v>1</v>
      </c>
      <c r="CK271" s="5" t="s">
        <v>223</v>
      </c>
      <c r="CU271" s="5" t="s">
        <v>206</v>
      </c>
      <c r="DA271" s="5" t="s">
        <v>252</v>
      </c>
      <c r="DB271" s="5">
        <f>IF(DA271="Mejor que lo habitual",1,
IF(DA271="Igual que lo habitual",2,
IF(DA271="Menos que lo habitual",3,
IF(DA271="Mucho menos que lo habitual",4,""))))</f>
        <v>3</v>
      </c>
      <c r="DC271" s="5" t="s">
        <v>250</v>
      </c>
      <c r="DD271" s="5">
        <f>IF(DC271="No, en absoluto",1,
IF(DC271="No más que lo habitual",2,
IF(DC271="Bastante más que lo habitual",3,
IF(DC271="Mucho más que lo habitual",4,""))))</f>
        <v>3</v>
      </c>
      <c r="DE271" s="5" t="s">
        <v>250</v>
      </c>
      <c r="DF271" s="5">
        <f>IF(DE271="No, en absoluto",1,
IF(DE271="No más que lo habitual",2,
IF(DE271="Bastante más que lo habitual",3,
IF(DE271="Mucho más que lo habitual",4,""))))</f>
        <v>3</v>
      </c>
      <c r="DG271" s="5" t="s">
        <v>250</v>
      </c>
      <c r="DH271" s="5">
        <f>IF(DG271="No, en absoluto",1,
IF(DG271="No más que lo habitual",2,
IF(DG271="Bastante más que lo habitual",3,
IF(DG271="Mucho más que lo habitual",4,""))))</f>
        <v>3</v>
      </c>
      <c r="DI271" s="5" t="s">
        <v>230</v>
      </c>
      <c r="DJ271" s="5">
        <f>IF(DI271="No, en absoluto",1,
IF(DI271="No más que lo habitual",2,
IF(DI271="Bastante más que lo habitual",3,
IF(DI271="Mucho más que lo habitual",4,""))))</f>
        <v>2</v>
      </c>
      <c r="DK271" s="5" t="s">
        <v>230</v>
      </c>
      <c r="DL271" s="5">
        <f>IF(DK271="No, en absoluto",1,
IF(DK271="No más que lo habitual",2,
IF(DK271="Bastante más que lo habitual",3,
IF(DK271="Mucho más que lo habitual",4,""))))</f>
        <v>2</v>
      </c>
      <c r="DM271" s="5" t="s">
        <v>251</v>
      </c>
      <c r="DN271" s="5">
        <f>IF(DM271="No, en absoluto",1,
IF(DM271="No más que lo habitual",2,
IF(DM271="Bastante más que lo habitual",3,
IF(DM271="Mucho más que lo habitual",4,""))))</f>
        <v>1</v>
      </c>
      <c r="DO271" s="5" t="s">
        <v>229</v>
      </c>
      <c r="DP271" s="5">
        <f>IF(DO271="Más que lo habitual",1,
IF(DO271="Igual que lo habitual",2,
IF(DO271="Menos que lo habitual",3,
IF(DO271="Mucho menos que lo habitual",4,""))))</f>
        <v>4</v>
      </c>
      <c r="DQ271" s="5" t="s">
        <v>231</v>
      </c>
      <c r="DR271" s="5">
        <f>IF(DQ271="Más que lo habitual",1,
IF(DQ271="Igual que lo habitual",2,
IF(DQ271="Menos que lo habitual",3,
IF(DQ271="Mucho menos que lo habitual",4,""))))</f>
        <v>2</v>
      </c>
      <c r="DS271" s="5" t="s">
        <v>231</v>
      </c>
      <c r="DT271" s="5">
        <f>IF(DS271="Más que lo habitual",1,
IF(DS271="Igual que lo habitual",2,
IF(DS271="Menos que lo habitual",3,
IF(DS271="Mucho menos que lo habitual",4,""))))</f>
        <v>2</v>
      </c>
      <c r="DU271" s="5" t="s">
        <v>231</v>
      </c>
      <c r="DV271" s="5">
        <f>IF(DU271="Más que lo habitual",1,
IF(DU271="Igual que lo habitual",2,
IF(DU271="Menos que lo habitual",3,
IF(DU271="Mucho menos que lo habitual",4,""))))</f>
        <v>2</v>
      </c>
      <c r="DW271" s="5" t="s">
        <v>281</v>
      </c>
      <c r="DX271" s="5">
        <f>IF(DW271="Más que lo habitual",1,
IF(DW271="Igual que lo habitual",2,
IF(DW271="Menos que lo habitual",3,
IF(DW271="Mucho menos que lo habitual",4,""))))</f>
        <v>1</v>
      </c>
      <c r="DY271" s="5">
        <f>SUM(DB271,DD271,DF271,DH271,DJ271,DL271,DN271,DP271,DR271,DT271,DV271,DX271)</f>
        <v>28</v>
      </c>
      <c r="DZ271" s="5" t="str">
        <f>IF(DY271&lt;=18,"Nivel de riesgo bajo",
IF(DY271&lt;=23,"Nivel de riesgo medio",
"Nivel de riesgo alto"))</f>
        <v>Nivel de riesgo alto</v>
      </c>
      <c r="EA271" s="5" t="s">
        <v>232</v>
      </c>
      <c r="EB271" s="5">
        <f>IF(EA271="Nunca/ casi nunca",0,
IF(EA271="Rara vez",1,
IF(EA271="A veces",2,
IF(EA271="A menudo",3,
IF(EA271="Siempre",4,"")))))</f>
        <v>3</v>
      </c>
      <c r="EC271" s="5" t="s">
        <v>254</v>
      </c>
      <c r="ED271" s="5">
        <f>IF(EC271="Nunca/ casi nunca",0,
IF(EC271="Rara vez",1,
IF(EC271="A veces",2,
IF(EC271="A menudo",3,
IF(EC271="Siempre",4,"")))))</f>
        <v>4</v>
      </c>
      <c r="EE271" s="5" t="s">
        <v>247</v>
      </c>
      <c r="EF271" s="5">
        <f>IF(EE271="Nunca/ casi nunca",0,
IF(EE271="Rara vez",1,
IF(EE271="A veces",2,
IF(EE271="A menudo",3,
IF(EE271="Siempre",4,"")))))</f>
        <v>2</v>
      </c>
      <c r="EG271" s="5">
        <f>SUM(EB271,ED271,EF271)</f>
        <v>9</v>
      </c>
      <c r="EH271" s="5" t="str">
        <f>IF(EG271&lt;=1,"Nivel de riesgo bajo",
IF(EG271&lt;=4,"Nivel de riesgo medio",
"Nivel de riesgo alto"))</f>
        <v>Nivel de riesgo alto</v>
      </c>
      <c r="EI271" s="5" t="s">
        <v>248</v>
      </c>
      <c r="EJ271" s="5">
        <f>IF(EI271="Nunca/ casi nunca",0,
IF(EI271="Rara vez",1,
IF(EI271="A veces",2,
IF(EI271="A menudo",3,
IF(EI271="Siempre",4,"")))))</f>
        <v>1</v>
      </c>
      <c r="EK271" s="5" t="s">
        <v>248</v>
      </c>
      <c r="EL271" s="5">
        <f>IF(EK271="Nunca/ casi nunca",0,
IF(EK271="Rara vez",1,
IF(EK271="A veces",2,
IF(EK271="A menudo",3,
IF(EK271="Siempre",4,"")))))</f>
        <v>1</v>
      </c>
      <c r="EM271" s="5" t="s">
        <v>254</v>
      </c>
      <c r="EN271" s="5">
        <f>IF(EM271="Nunca/ casi nunca",0,
IF(EM271="Rara vez",1,
IF(EM271="A veces",2,
IF(EM271="A menudo",3,
IF(EM271="Siempre",4,"")))))</f>
        <v>4</v>
      </c>
      <c r="EO271" s="5">
        <f>SUM(EJ271,EL271,EN271)</f>
        <v>6</v>
      </c>
      <c r="EP271" s="5" t="str">
        <f>IF(EO271&lt;=1,"Nivel de riesgo bajo",
IF(EO271&lt;=5,"Nivel de riesgo medio",
"Nivel de riesgo alto"))</f>
        <v>Nivel de riesgo alto</v>
      </c>
      <c r="EQ271" s="5" t="s">
        <v>253</v>
      </c>
      <c r="ER271" s="5">
        <f>IF(EQ271="Nunca/ casi nunca",4,
IF(EQ271="Rara vez",3,
IF(EQ271="A veces",2,
IF(EQ271="A menudo",1,
IF(EQ271="Siempre",0,"")))))</f>
        <v>4</v>
      </c>
      <c r="ES271" s="5" t="s">
        <v>253</v>
      </c>
      <c r="ET271" s="5">
        <f>IF(ES271="Nunca/ casi nunca",4,
IF(ES271="Rara vez",3,
IF(ES271="A veces",2,
IF(ES271="A menudo",1,
IF(ES271="Siempre",0,"")))))</f>
        <v>4</v>
      </c>
      <c r="EU271" s="5" t="s">
        <v>253</v>
      </c>
      <c r="EV271" s="5">
        <f>IF(EU271="Nunca/ casi nunca",4,
IF(EU271="Rara vez",3,
IF(EU271="A veces",2,
IF(EU271="A menudo",1,
IF(EU271="Siempre",0,"")))))</f>
        <v>4</v>
      </c>
      <c r="EW271" s="5" t="s">
        <v>253</v>
      </c>
      <c r="EX271" s="5">
        <f>IF(EW271="Nunca/ casi nunca",4,
IF(EW271="Rara vez",3,
IF(EW271="A veces",2,
IF(EW271="A menudo",1,
IF(EW271="Siempre",0,"")))))</f>
        <v>4</v>
      </c>
      <c r="EY271" s="5">
        <f>SUM(ER271,ET271,EV271,EX271)</f>
        <v>16</v>
      </c>
      <c r="EZ271" s="5" t="str">
        <f>IF(EY271&lt;=0,"Nivel de riesgo bajo",
IF(EY271&lt;=4,"Nivel de riesgo medio",
"Nivel de riesgo alto"))</f>
        <v>Nivel de riesgo alto</v>
      </c>
      <c r="FA271" s="5" t="s">
        <v>253</v>
      </c>
      <c r="FB271" s="5">
        <f>IF(FA271="Nunca/ casi nunca",0,
IF(FA271="Rara vez",1,
IF(FA271="A veces",2,
IF(FA271="A menudo",3,
IF(FA271="Siempre",4,"")))))</f>
        <v>0</v>
      </c>
      <c r="FC271" s="5" t="s">
        <v>253</v>
      </c>
      <c r="FD271" s="5">
        <f>IF(FC271="Nunca/ casi nunca",0,
IF(FC271="Rara vez",1,
IF(FC271="A veces",2,
IF(FC271="A menudo",3,
IF(FC271="Siempre",4,"")))))</f>
        <v>0</v>
      </c>
      <c r="FE271" s="5" t="s">
        <v>253</v>
      </c>
      <c r="FF271" s="5">
        <f>IF(FE271="Nunca/ casi nunca",0,
IF(FE271="Rara vez",1,
IF(FE271="A veces",2,
IF(FE271="A menudo",3,
IF(FE271="Siempre",4,"")))))</f>
        <v>0</v>
      </c>
      <c r="FG271" s="5">
        <f>SUM(FB271,FD271,FF271)</f>
        <v>0</v>
      </c>
      <c r="FH271" s="5" t="str">
        <f>IF(FG271&lt;=2,"Nivel de riesgo bajo",
IF(FG271&lt;=5,"Nivel de riesgo medio",
"Nivel de riesgo alto"))</f>
        <v>Nivel de riesgo bajo</v>
      </c>
      <c r="FI271" s="5" t="s">
        <v>232</v>
      </c>
      <c r="FJ271" s="5">
        <f>IF(FI271="Nunca/ casi nunca",0,
IF(FI271="Rara vez",1,
IF(FI271="A veces",2,
IF(FI271="A menudo",3,
IF(FI271="Siempre",4,"")))))</f>
        <v>3</v>
      </c>
      <c r="FK271" s="5" t="s">
        <v>232</v>
      </c>
      <c r="FL271" s="5">
        <f>IF(FK271="Nunca/ casi nunca",0,
IF(FK271="Rara vez",1,
IF(FK271="A veces",2,
IF(FK271="A menudo",3,
IF(FK271="Siempre",4,"")))))</f>
        <v>3</v>
      </c>
      <c r="FM271" s="5" t="s">
        <v>232</v>
      </c>
      <c r="FN271" s="5">
        <f>IF(FM271="Nunca/ casi nunca",0,
IF(FM271="Rara vez",1,
IF(FM271="A veces",2,
IF(FM271="A menudo",3,
IF(FM271="Siempre",4,"")))))</f>
        <v>3</v>
      </c>
      <c r="FO271" s="5">
        <f>SUM(FJ271,FL271,FN271)</f>
        <v>9</v>
      </c>
      <c r="FP271" s="5" t="str">
        <f>IF(FO271&lt;=2,"Nivel de riesgo bajo",
IF(FO271&lt;=5,"Nivel de riesgo medio",
"Nivel de riesgo alto"))</f>
        <v>Nivel de riesgo alto</v>
      </c>
      <c r="FQ271" s="5" t="s">
        <v>206</v>
      </c>
      <c r="FR271" s="5">
        <f>IF(FQ271="No",0,
IF(FQ271="Sí, unas pocas veces",1,
IF(FQ271="Sí, mensualmente",2,
IF(FQ271="Sí, semanalmente",3,
IF(FQ271="Sí, diariamente",4,"")))))</f>
        <v>0</v>
      </c>
      <c r="FS271" s="5" t="s">
        <v>206</v>
      </c>
      <c r="FT271" s="5">
        <f>IF(FS271="No",0,
IF(FS271="Sí, unas pocas veces",1,
IF(FS271="Sí, mensualmente",2,
IF(FS271="Sí, semanalmente",3,
IF(FS271="Sí, diariamente",4,"")))))</f>
        <v>0</v>
      </c>
      <c r="FU271" s="5" t="s">
        <v>206</v>
      </c>
      <c r="FV271" s="5">
        <f>IF(FU271="No",0,
IF(FU271="Sí, unas pocas veces",1,
IF(FU271="Sí, mensualmente",2,
IF(FU271="Sí, semanalmente",3,
IF(FU271="Sí, diariamente",4,"")))))</f>
        <v>0</v>
      </c>
      <c r="FW271" s="5" t="s">
        <v>265</v>
      </c>
      <c r="FX271" s="5">
        <f>IF(FW271="No",0,
IF(FW271="Sí, unas pocas veces",1,
IF(FW271="Sí, mensualmente",2,
IF(FW271="Sí, semanalmente",3,
IF(FW271="Sí, diariamente",4,"")))))</f>
        <v>1</v>
      </c>
      <c r="FY271" s="5" t="s">
        <v>206</v>
      </c>
      <c r="FZ271" s="5">
        <f>IF(FY271="No",0,
IF(FY271="Sí, unas pocas veces",1,
IF(FY271="Sí, mensualmente",2,
IF(FY271="Sí, semanalmente",3,
IF(FY271="Sí, diariamente",4,"")))))</f>
        <v>0</v>
      </c>
      <c r="GA271" s="5" t="s">
        <v>206</v>
      </c>
      <c r="GB271" s="5">
        <f>IF(GA271="No",0,
IF(GA271="Sí, unas pocas veces",1,
IF(GA271="Sí, mensualmente",2,
IF(GA271="Sí, semanalmente",3,
IF(GA271="Sí, diariamente",4,"")))))</f>
        <v>0</v>
      </c>
      <c r="GC271" s="5" t="s">
        <v>206</v>
      </c>
      <c r="GD271" s="5">
        <f>IF(GC271="No",0,
IF(GC271="Sí, unas pocas veces",1,
IF(GC271="Sí, mensualmente",2,
IF(GC271="Sí, semanalmente",3,
IF(GC271="Sí, diariamente",4,"")))))</f>
        <v>0</v>
      </c>
      <c r="GE271" s="5">
        <f>SUM(FR271,FT271,FV271,FX271,FZ271,GB271,GD271)</f>
        <v>1</v>
      </c>
      <c r="GF271" s="5" t="str">
        <f>IF(GE271&lt;=0,"Nivel de riesgo bajo",
IF(GE271&lt;=14,"Nivel de riesgo medio",
"Nivel de riesgo alto"))</f>
        <v>Nivel de riesgo medio</v>
      </c>
      <c r="GG271" s="5" t="s">
        <v>255</v>
      </c>
      <c r="GH271" s="5" t="s">
        <v>273</v>
      </c>
      <c r="GI271" s="5" t="s">
        <v>273</v>
      </c>
      <c r="GJ271" s="5" t="s">
        <v>266</v>
      </c>
      <c r="GK271" s="5" t="s">
        <v>233</v>
      </c>
      <c r="GL271" s="5" t="s">
        <v>266</v>
      </c>
      <c r="GM271" s="5" t="s">
        <v>273</v>
      </c>
      <c r="GN271" s="5" t="s">
        <v>256</v>
      </c>
      <c r="GO271" s="5" t="s">
        <v>243</v>
      </c>
      <c r="GP271" s="5" t="s">
        <v>243</v>
      </c>
      <c r="GQ271" s="5" t="s">
        <v>257</v>
      </c>
      <c r="GR271" s="5" t="s">
        <v>257</v>
      </c>
      <c r="GS271" s="5" t="s">
        <v>244</v>
      </c>
      <c r="GT271" s="5" t="s">
        <v>243</v>
      </c>
      <c r="GU271" s="5" t="s">
        <v>626</v>
      </c>
      <c r="GV271" s="5" t="str">
        <f>TEXT("6279599337491766540","0")</f>
        <v>6279599337491760000</v>
      </c>
    </row>
    <row r="272" spans="1:204" ht="15.75" customHeight="1" x14ac:dyDescent="0.15">
      <c r="A272" s="1">
        <f>ROW(A272)</f>
        <v>272</v>
      </c>
      <c r="B272" s="4">
        <v>45848.362546296295</v>
      </c>
      <c r="C272" s="5" t="s">
        <v>204</v>
      </c>
      <c r="D272" s="5" t="s">
        <v>206</v>
      </c>
      <c r="F272" s="5" t="s">
        <v>206</v>
      </c>
      <c r="G272" s="5" t="s">
        <v>206</v>
      </c>
      <c r="H272" s="5" t="s">
        <v>206</v>
      </c>
      <c r="K272" s="5" t="s">
        <v>237</v>
      </c>
      <c r="O272" s="5" t="s">
        <v>209</v>
      </c>
      <c r="T272" s="5" t="s">
        <v>209</v>
      </c>
      <c r="X272" s="5" t="s">
        <v>208</v>
      </c>
      <c r="AD272" s="5" t="s">
        <v>209</v>
      </c>
      <c r="AH272" s="5" t="s">
        <v>275</v>
      </c>
      <c r="AI272" s="5">
        <v>2024</v>
      </c>
      <c r="AJ272" s="5" t="s">
        <v>330</v>
      </c>
      <c r="AK272" s="5" t="str">
        <f>IF(OR(AJ272="Empleada del sector privado",AJ272="Empleada del sector público"),"Asalariada",
IF(AJ272="Trabajadora por cuenta propia","Trabajadora por cuenta propia",""))</f>
        <v>Asalariada</v>
      </c>
      <c r="AQ272" s="5" t="s">
        <v>204</v>
      </c>
      <c r="AR272" s="5" t="s">
        <v>261</v>
      </c>
      <c r="AS272" s="5" t="s">
        <v>276</v>
      </c>
      <c r="AT272" s="5" t="s">
        <v>276</v>
      </c>
      <c r="AU272" s="5" t="s">
        <v>294</v>
      </c>
      <c r="AV272" s="5" t="s">
        <v>213</v>
      </c>
      <c r="AW272" s="5" t="s">
        <v>204</v>
      </c>
      <c r="AX272" s="5" t="s">
        <v>206</v>
      </c>
      <c r="BF272" s="5" t="s">
        <v>204</v>
      </c>
      <c r="BG272" s="5" t="s">
        <v>242</v>
      </c>
      <c r="BH272" s="5" t="s">
        <v>215</v>
      </c>
      <c r="BI272" s="5" t="s">
        <v>271</v>
      </c>
      <c r="BJ272" s="5" t="s">
        <v>242</v>
      </c>
      <c r="BK272" s="5" t="s">
        <v>243</v>
      </c>
      <c r="BL272" s="5" t="s">
        <v>246</v>
      </c>
      <c r="BM272" s="5" t="s">
        <v>243</v>
      </c>
      <c r="BN272" s="5" t="s">
        <v>243</v>
      </c>
      <c r="BO272" s="5" t="s">
        <v>246</v>
      </c>
      <c r="BP272" s="5" t="s">
        <v>243</v>
      </c>
      <c r="BQ272" s="5" t="s">
        <v>243</v>
      </c>
      <c r="BR272" s="5" t="s">
        <v>243</v>
      </c>
      <c r="BS272" s="5" t="s">
        <v>232</v>
      </c>
      <c r="BT272" s="5" t="s">
        <v>232</v>
      </c>
      <c r="BU272" s="5" t="s">
        <v>247</v>
      </c>
      <c r="BV272" s="5" t="s">
        <v>247</v>
      </c>
      <c r="BW272" s="5" t="s">
        <v>232</v>
      </c>
      <c r="BX272" s="5" t="s">
        <v>232</v>
      </c>
      <c r="BY272" s="5" t="s">
        <v>247</v>
      </c>
      <c r="BZ272" s="5" t="s">
        <v>244</v>
      </c>
      <c r="CA272" s="5" t="s">
        <v>246</v>
      </c>
      <c r="CB272" s="5" t="s">
        <v>246</v>
      </c>
      <c r="CC272" s="5" t="s">
        <v>243</v>
      </c>
      <c r="CD272" s="5" t="s">
        <v>206</v>
      </c>
      <c r="CH272" s="5" t="s">
        <v>206</v>
      </c>
      <c r="CI272" s="5" t="s">
        <v>206</v>
      </c>
      <c r="CJ272" s="5">
        <v>2</v>
      </c>
      <c r="CM272" s="5" t="s">
        <v>358</v>
      </c>
      <c r="CU272" s="5" t="s">
        <v>204</v>
      </c>
      <c r="CV272" s="5" t="s">
        <v>350</v>
      </c>
      <c r="CW272" s="5" t="s">
        <v>351</v>
      </c>
      <c r="CX272" s="5" t="s">
        <v>352</v>
      </c>
      <c r="CY272" s="5" t="s">
        <v>353</v>
      </c>
      <c r="CZ272" s="5" t="s">
        <v>228</v>
      </c>
      <c r="DA272" s="5" t="s">
        <v>231</v>
      </c>
      <c r="DB272" s="5">
        <f>IF(DA272="Mejor que lo habitual",1,
IF(DA272="Igual que lo habitual",2,
IF(DA272="Menos que lo habitual",3,
IF(DA272="Mucho menos que lo habitual",4,""))))</f>
        <v>2</v>
      </c>
      <c r="DC272" s="5" t="s">
        <v>230</v>
      </c>
      <c r="DD272" s="5">
        <f>IF(DC272="No, en absoluto",1,
IF(DC272="No más que lo habitual",2,
IF(DC272="Bastante más que lo habitual",3,
IF(DC272="Mucho más que lo habitual",4,""))))</f>
        <v>2</v>
      </c>
      <c r="DE272" s="5" t="s">
        <v>251</v>
      </c>
      <c r="DF272" s="5">
        <f>IF(DE272="No, en absoluto",1,
IF(DE272="No más que lo habitual",2,
IF(DE272="Bastante más que lo habitual",3,
IF(DE272="Mucho más que lo habitual",4,""))))</f>
        <v>1</v>
      </c>
      <c r="DG272" s="5" t="s">
        <v>230</v>
      </c>
      <c r="DH272" s="5">
        <f>IF(DG272="No, en absoluto",1,
IF(DG272="No más que lo habitual",2,
IF(DG272="Bastante más que lo habitual",3,
IF(DG272="Mucho más que lo habitual",4,""))))</f>
        <v>2</v>
      </c>
      <c r="DI272" s="5" t="s">
        <v>250</v>
      </c>
      <c r="DJ272" s="5">
        <f>IF(DI272="No, en absoluto",1,
IF(DI272="No más que lo habitual",2,
IF(DI272="Bastante más que lo habitual",3,
IF(DI272="Mucho más que lo habitual",4,""))))</f>
        <v>3</v>
      </c>
      <c r="DK272" s="5" t="s">
        <v>251</v>
      </c>
      <c r="DL272" s="5">
        <f>IF(DK272="No, en absoluto",1,
IF(DK272="No más que lo habitual",2,
IF(DK272="Bastante más que lo habitual",3,
IF(DK272="Mucho más que lo habitual",4,""))))</f>
        <v>1</v>
      </c>
      <c r="DM272" s="5" t="s">
        <v>251</v>
      </c>
      <c r="DN272" s="5">
        <f>IF(DM272="No, en absoluto",1,
IF(DM272="No más que lo habitual",2,
IF(DM272="Bastante más que lo habitual",3,
IF(DM272="Mucho más que lo habitual",4,""))))</f>
        <v>1</v>
      </c>
      <c r="DO272" s="5" t="s">
        <v>281</v>
      </c>
      <c r="DP272" s="5">
        <f>IF(DO272="Más que lo habitual",1,
IF(DO272="Igual que lo habitual",2,
IF(DO272="Menos que lo habitual",3,
IF(DO272="Mucho menos que lo habitual",4,""))))</f>
        <v>1</v>
      </c>
      <c r="DQ272" s="5" t="s">
        <v>281</v>
      </c>
      <c r="DR272" s="5">
        <f>IF(DQ272="Más que lo habitual",1,
IF(DQ272="Igual que lo habitual",2,
IF(DQ272="Menos que lo habitual",3,
IF(DQ272="Mucho menos que lo habitual",4,""))))</f>
        <v>1</v>
      </c>
      <c r="DS272" s="5" t="s">
        <v>252</v>
      </c>
      <c r="DT272" s="5">
        <f>IF(DS272="Más que lo habitual",1,
IF(DS272="Igual que lo habitual",2,
IF(DS272="Menos que lo habitual",3,
IF(DS272="Mucho menos que lo habitual",4,""))))</f>
        <v>3</v>
      </c>
      <c r="DU272" s="5" t="s">
        <v>252</v>
      </c>
      <c r="DV272" s="5">
        <f>IF(DU272="Más que lo habitual",1,
IF(DU272="Igual que lo habitual",2,
IF(DU272="Menos que lo habitual",3,
IF(DU272="Mucho menos que lo habitual",4,""))))</f>
        <v>3</v>
      </c>
      <c r="DW272" s="5" t="s">
        <v>252</v>
      </c>
      <c r="DX272" s="5">
        <f>IF(DW272="Más que lo habitual",1,
IF(DW272="Igual que lo habitual",2,
IF(DW272="Menos que lo habitual",3,
IF(DW272="Mucho menos que lo habitual",4,""))))</f>
        <v>3</v>
      </c>
      <c r="DY272" s="5">
        <f>SUM(DB272,DD272,DF272,DH272,DJ272,DL272,DN272,DP272,DR272,DT272,DV272,DX272)</f>
        <v>23</v>
      </c>
      <c r="DZ272" s="5" t="str">
        <f>IF(DY272&lt;=18,"Nivel de riesgo bajo",
IF(DY272&lt;=23,"Nivel de riesgo medio",
"Nivel de riesgo alto"))</f>
        <v>Nivel de riesgo medio</v>
      </c>
      <c r="EA272" s="5" t="s">
        <v>232</v>
      </c>
      <c r="EB272" s="5">
        <f>IF(EA272="Nunca/ casi nunca",0,
IF(EA272="Rara vez",1,
IF(EA272="A veces",2,
IF(EA272="A menudo",3,
IF(EA272="Siempre",4,"")))))</f>
        <v>3</v>
      </c>
      <c r="EC272" s="5" t="s">
        <v>247</v>
      </c>
      <c r="ED272" s="5">
        <f>IF(EC272="Nunca/ casi nunca",0,
IF(EC272="Rara vez",1,
IF(EC272="A veces",2,
IF(EC272="A menudo",3,
IF(EC272="Siempre",4,"")))))</f>
        <v>2</v>
      </c>
      <c r="EE272" s="5" t="s">
        <v>248</v>
      </c>
      <c r="EF272" s="5">
        <f>IF(EE272="Nunca/ casi nunca",0,
IF(EE272="Rara vez",1,
IF(EE272="A veces",2,
IF(EE272="A menudo",3,
IF(EE272="Siempre",4,"")))))</f>
        <v>1</v>
      </c>
      <c r="EG272" s="5">
        <f>SUM(EB272,ED272,EF272)</f>
        <v>6</v>
      </c>
      <c r="EH272" s="5" t="str">
        <f>IF(EG272&lt;=1,"Nivel de riesgo bajo",
IF(EG272&lt;=4,"Nivel de riesgo medio",
"Nivel de riesgo alto"))</f>
        <v>Nivel de riesgo alto</v>
      </c>
      <c r="EI272" s="5" t="s">
        <v>247</v>
      </c>
      <c r="EJ272" s="5">
        <f>IF(EI272="Nunca/ casi nunca",0,
IF(EI272="Rara vez",1,
IF(EI272="A veces",2,
IF(EI272="A menudo",3,
IF(EI272="Siempre",4,"")))))</f>
        <v>2</v>
      </c>
      <c r="EK272" s="5" t="s">
        <v>254</v>
      </c>
      <c r="EL272" s="5">
        <f>IF(EK272="Nunca/ casi nunca",0,
IF(EK272="Rara vez",1,
IF(EK272="A veces",2,
IF(EK272="A menudo",3,
IF(EK272="Siempre",4,"")))))</f>
        <v>4</v>
      </c>
      <c r="EM272" s="5" t="s">
        <v>247</v>
      </c>
      <c r="EN272" s="5">
        <f>IF(EM272="Nunca/ casi nunca",0,
IF(EM272="Rara vez",1,
IF(EM272="A veces",2,
IF(EM272="A menudo",3,
IF(EM272="Siempre",4,"")))))</f>
        <v>2</v>
      </c>
      <c r="EO272" s="5">
        <f>SUM(EJ272,EL272,EN272)</f>
        <v>8</v>
      </c>
      <c r="EP272" s="5" t="str">
        <f>IF(EO272&lt;=1,"Nivel de riesgo bajo",
IF(EO272&lt;=5,"Nivel de riesgo medio",
"Nivel de riesgo alto"))</f>
        <v>Nivel de riesgo alto</v>
      </c>
      <c r="EQ272" s="5" t="s">
        <v>248</v>
      </c>
      <c r="ER272" s="5">
        <f>IF(EQ272="Nunca/ casi nunca",4,
IF(EQ272="Rara vez",3,
IF(EQ272="A veces",2,
IF(EQ272="A menudo",1,
IF(EQ272="Siempre",0,"")))))</f>
        <v>3</v>
      </c>
      <c r="ES272" s="5" t="s">
        <v>248</v>
      </c>
      <c r="ET272" s="5">
        <f>IF(ES272="Nunca/ casi nunca",4,
IF(ES272="Rara vez",3,
IF(ES272="A veces",2,
IF(ES272="A menudo",1,
IF(ES272="Siempre",0,"")))))</f>
        <v>3</v>
      </c>
      <c r="EU272" s="5" t="s">
        <v>247</v>
      </c>
      <c r="EV272" s="5">
        <f>IF(EU272="Nunca/ casi nunca",4,
IF(EU272="Rara vez",3,
IF(EU272="A veces",2,
IF(EU272="A menudo",1,
IF(EU272="Siempre",0,"")))))</f>
        <v>2</v>
      </c>
      <c r="EW272" s="5" t="s">
        <v>247</v>
      </c>
      <c r="EX272" s="5">
        <f>IF(EW272="Nunca/ casi nunca",4,
IF(EW272="Rara vez",3,
IF(EW272="A veces",2,
IF(EW272="A menudo",1,
IF(EW272="Siempre",0,"")))))</f>
        <v>2</v>
      </c>
      <c r="EY272" s="5">
        <f>SUM(ER272,ET272,EV272,EX272)</f>
        <v>10</v>
      </c>
      <c r="EZ272" s="5" t="str">
        <f>IF(EY272&lt;=0,"Nivel de riesgo bajo",
IF(EY272&lt;=4,"Nivel de riesgo medio",
"Nivel de riesgo alto"))</f>
        <v>Nivel de riesgo alto</v>
      </c>
      <c r="FA272" s="5" t="s">
        <v>248</v>
      </c>
      <c r="FB272" s="5">
        <f>IF(FA272="Nunca/ casi nunca",0,
IF(FA272="Rara vez",1,
IF(FA272="A veces",2,
IF(FA272="A menudo",3,
IF(FA272="Siempre",4,"")))))</f>
        <v>1</v>
      </c>
      <c r="FC272" s="5" t="s">
        <v>248</v>
      </c>
      <c r="FD272" s="5">
        <f>IF(FC272="Nunca/ casi nunca",0,
IF(FC272="Rara vez",1,
IF(FC272="A veces",2,
IF(FC272="A menudo",3,
IF(FC272="Siempre",4,"")))))</f>
        <v>1</v>
      </c>
      <c r="FE272" s="5" t="s">
        <v>247</v>
      </c>
      <c r="FF272" s="5">
        <f>IF(FE272="Nunca/ casi nunca",0,
IF(FE272="Rara vez",1,
IF(FE272="A veces",2,
IF(FE272="A menudo",3,
IF(FE272="Siempre",4,"")))))</f>
        <v>2</v>
      </c>
      <c r="FG272" s="5">
        <f>SUM(FB272,FD272,FF272)</f>
        <v>4</v>
      </c>
      <c r="FH272" s="5" t="str">
        <f>IF(FG272&lt;=2,"Nivel de riesgo bajo",
IF(FG272&lt;=5,"Nivel de riesgo medio",
"Nivel de riesgo alto"))</f>
        <v>Nivel de riesgo medio</v>
      </c>
      <c r="FI272" s="5" t="s">
        <v>247</v>
      </c>
      <c r="FJ272" s="5">
        <f>IF(FI272="Nunca/ casi nunca",0,
IF(FI272="Rara vez",1,
IF(FI272="A veces",2,
IF(FI272="A menudo",3,
IF(FI272="Siempre",4,"")))))</f>
        <v>2</v>
      </c>
      <c r="FK272" s="5" t="s">
        <v>247</v>
      </c>
      <c r="FL272" s="5">
        <f>IF(FK272="Nunca/ casi nunca",0,
IF(FK272="Rara vez",1,
IF(FK272="A veces",2,
IF(FK272="A menudo",3,
IF(FK272="Siempre",4,"")))))</f>
        <v>2</v>
      </c>
      <c r="FM272" s="5" t="s">
        <v>248</v>
      </c>
      <c r="FN272" s="5">
        <f>IF(FM272="Nunca/ casi nunca",0,
IF(FM272="Rara vez",1,
IF(FM272="A veces",2,
IF(FM272="A menudo",3,
IF(FM272="Siempre",4,"")))))</f>
        <v>1</v>
      </c>
      <c r="FO272" s="5">
        <f>SUM(FJ272,FL272,FN272)</f>
        <v>5</v>
      </c>
      <c r="FP272" s="5" t="str">
        <f>IF(FO272&lt;=2,"Nivel de riesgo bajo",
IF(FO272&lt;=5,"Nivel de riesgo medio",
"Nivel de riesgo alto"))</f>
        <v>Nivel de riesgo medio</v>
      </c>
      <c r="FQ272" s="5" t="s">
        <v>206</v>
      </c>
      <c r="FR272" s="5">
        <f>IF(FQ272="No",0,
IF(FQ272="Sí, unas pocas veces",1,
IF(FQ272="Sí, mensualmente",2,
IF(FQ272="Sí, semanalmente",3,
IF(FQ272="Sí, diariamente",4,"")))))</f>
        <v>0</v>
      </c>
      <c r="FS272" s="5" t="s">
        <v>206</v>
      </c>
      <c r="FT272" s="5">
        <f>IF(FS272="No",0,
IF(FS272="Sí, unas pocas veces",1,
IF(FS272="Sí, mensualmente",2,
IF(FS272="Sí, semanalmente",3,
IF(FS272="Sí, diariamente",4,"")))))</f>
        <v>0</v>
      </c>
      <c r="FU272" s="5" t="s">
        <v>206</v>
      </c>
      <c r="FV272" s="5">
        <f>IF(FU272="No",0,
IF(FU272="Sí, unas pocas veces",1,
IF(FU272="Sí, mensualmente",2,
IF(FU272="Sí, semanalmente",3,
IF(FU272="Sí, diariamente",4,"")))))</f>
        <v>0</v>
      </c>
      <c r="FW272" s="5" t="s">
        <v>206</v>
      </c>
      <c r="FX272" s="5">
        <f>IF(FW272="No",0,
IF(FW272="Sí, unas pocas veces",1,
IF(FW272="Sí, mensualmente",2,
IF(FW272="Sí, semanalmente",3,
IF(FW272="Sí, diariamente",4,"")))))</f>
        <v>0</v>
      </c>
      <c r="FY272" s="5" t="s">
        <v>206</v>
      </c>
      <c r="FZ272" s="5">
        <f>IF(FY272="No",0,
IF(FY272="Sí, unas pocas veces",1,
IF(FY272="Sí, mensualmente",2,
IF(FY272="Sí, semanalmente",3,
IF(FY272="Sí, diariamente",4,"")))))</f>
        <v>0</v>
      </c>
      <c r="GA272" s="5" t="s">
        <v>265</v>
      </c>
      <c r="GB272" s="5">
        <f>IF(GA272="No",0,
IF(GA272="Sí, unas pocas veces",1,
IF(GA272="Sí, mensualmente",2,
IF(GA272="Sí, semanalmente",3,
IF(GA272="Sí, diariamente",4,"")))))</f>
        <v>1</v>
      </c>
      <c r="GC272" s="5" t="s">
        <v>265</v>
      </c>
      <c r="GD272" s="5">
        <f>IF(GC272="No",0,
IF(GC272="Sí, unas pocas veces",1,
IF(GC272="Sí, mensualmente",2,
IF(GC272="Sí, semanalmente",3,
IF(GC272="Sí, diariamente",4,"")))))</f>
        <v>1</v>
      </c>
      <c r="GE272" s="5">
        <f>SUM(FR272,FT272,FV272,FX272,FZ272,GB272,GD272)</f>
        <v>2</v>
      </c>
      <c r="GF272" s="5" t="str">
        <f>IF(GE272&lt;=0,"Nivel de riesgo bajo",
IF(GE272&lt;=14,"Nivel de riesgo medio",
"Nivel de riesgo alto"))</f>
        <v>Nivel de riesgo medio</v>
      </c>
      <c r="GG272" s="5" t="s">
        <v>255</v>
      </c>
      <c r="GH272" s="5" t="s">
        <v>255</v>
      </c>
      <c r="GI272" s="5" t="s">
        <v>273</v>
      </c>
      <c r="GJ272" s="5" t="s">
        <v>298</v>
      </c>
      <c r="GK272" s="5" t="s">
        <v>233</v>
      </c>
      <c r="GL272" s="5" t="s">
        <v>233</v>
      </c>
      <c r="GM272" s="5" t="s">
        <v>233</v>
      </c>
      <c r="GN272" s="5" t="s">
        <v>256</v>
      </c>
      <c r="GO272" s="5" t="s">
        <v>257</v>
      </c>
      <c r="GP272" s="5" t="s">
        <v>244</v>
      </c>
      <c r="GQ272" s="5" t="s">
        <v>257</v>
      </c>
      <c r="GR272" s="5" t="s">
        <v>257</v>
      </c>
      <c r="GS272" s="5" t="s">
        <v>244</v>
      </c>
      <c r="GT272" s="5" t="s">
        <v>243</v>
      </c>
      <c r="GU272" s="5" t="s">
        <v>627</v>
      </c>
      <c r="GV272" s="5" t="str">
        <f>TEXT("6279605241312259984","0")</f>
        <v>6279605241312250000</v>
      </c>
    </row>
    <row r="273" spans="1:204" ht="15.75" hidden="1" customHeight="1" x14ac:dyDescent="0.15">
      <c r="B273" s="4">
        <v>45848.364942129629</v>
      </c>
      <c r="C273" s="5" t="s">
        <v>206</v>
      </c>
      <c r="GV273" s="5" t="str">
        <f>TEXT("6279607314491926684","0")</f>
        <v>6279607314491920000</v>
      </c>
    </row>
    <row r="274" spans="1:204" ht="15.75" customHeight="1" x14ac:dyDescent="0.15">
      <c r="A274" s="1">
        <f>ROW(A274)</f>
        <v>274</v>
      </c>
      <c r="B274" s="4">
        <v>45848.367002314815</v>
      </c>
      <c r="C274" s="5" t="s">
        <v>204</v>
      </c>
      <c r="D274" s="5" t="s">
        <v>206</v>
      </c>
      <c r="F274" s="5" t="s">
        <v>206</v>
      </c>
      <c r="G274" s="5" t="s">
        <v>206</v>
      </c>
      <c r="H274" s="5" t="s">
        <v>206</v>
      </c>
      <c r="K274" s="5" t="s">
        <v>237</v>
      </c>
      <c r="N274" s="5" t="s">
        <v>208</v>
      </c>
      <c r="S274" s="5" t="s">
        <v>208</v>
      </c>
      <c r="X274" s="5" t="s">
        <v>208</v>
      </c>
      <c r="AC274" s="5" t="s">
        <v>208</v>
      </c>
      <c r="AH274" s="5" t="s">
        <v>268</v>
      </c>
      <c r="AI274" s="5">
        <v>2018</v>
      </c>
      <c r="AJ274" s="5" t="s">
        <v>238</v>
      </c>
      <c r="AK274" s="5" t="str">
        <f>IF(OR(AJ274="Empleada del sector privado",AJ274="Empleada del sector público"),"Asalariada",
IF(AJ274="Trabajadora por cuenta propia","Trabajadora por cuenta propia",""))</f>
        <v>Trabajadora por cuenta propia</v>
      </c>
      <c r="AL274" s="5" t="s">
        <v>239</v>
      </c>
      <c r="AP274" s="5" t="s">
        <v>284</v>
      </c>
      <c r="AR274" s="5" t="s">
        <v>241</v>
      </c>
      <c r="AS274" s="5" t="s">
        <v>241</v>
      </c>
      <c r="AT274" s="5" t="s">
        <v>241</v>
      </c>
      <c r="AU274" s="5" t="s">
        <v>241</v>
      </c>
      <c r="AV274" s="5" t="s">
        <v>213</v>
      </c>
      <c r="AW274" s="5" t="s">
        <v>206</v>
      </c>
      <c r="BF274" s="5" t="s">
        <v>204</v>
      </c>
      <c r="BG274" s="5" t="s">
        <v>207</v>
      </c>
      <c r="BH274" s="5" t="s">
        <v>215</v>
      </c>
      <c r="BI274" s="5" t="s">
        <v>207</v>
      </c>
      <c r="BJ274" s="5" t="s">
        <v>215</v>
      </c>
      <c r="BK274" s="5" t="s">
        <v>216</v>
      </c>
      <c r="BL274" s="5" t="s">
        <v>216</v>
      </c>
      <c r="BM274" s="5" t="s">
        <v>216</v>
      </c>
      <c r="BN274" s="5" t="s">
        <v>216</v>
      </c>
      <c r="BO274" s="5" t="s">
        <v>216</v>
      </c>
      <c r="BP274" s="5" t="s">
        <v>216</v>
      </c>
      <c r="BQ274" s="5" t="s">
        <v>216</v>
      </c>
      <c r="BR274" s="5" t="s">
        <v>216</v>
      </c>
      <c r="BS274" s="5" t="s">
        <v>217</v>
      </c>
      <c r="BT274" s="5" t="s">
        <v>248</v>
      </c>
      <c r="BU274" s="5" t="s">
        <v>248</v>
      </c>
      <c r="BV274" s="5" t="s">
        <v>217</v>
      </c>
      <c r="BW274" s="5" t="s">
        <v>217</v>
      </c>
      <c r="BX274" s="5" t="s">
        <v>217</v>
      </c>
      <c r="BY274" s="5" t="s">
        <v>217</v>
      </c>
      <c r="CD274" s="5" t="s">
        <v>206</v>
      </c>
      <c r="CH274" s="5" t="s">
        <v>206</v>
      </c>
      <c r="CI274" s="5" t="s">
        <v>206</v>
      </c>
      <c r="CJ274" s="5">
        <v>0</v>
      </c>
      <c r="CK274" s="5" t="s">
        <v>223</v>
      </c>
      <c r="CU274" s="5" t="s">
        <v>206</v>
      </c>
      <c r="DA274" s="5" t="s">
        <v>272</v>
      </c>
      <c r="DB274" s="5">
        <f>IF(DA274="Mejor que lo habitual",1,
IF(DA274="Igual que lo habitual",2,
IF(DA274="Menos que lo habitual",3,
IF(DA274="Mucho menos que lo habitual",4,""))))</f>
        <v>1</v>
      </c>
      <c r="DC274" s="5" t="s">
        <v>251</v>
      </c>
      <c r="DD274" s="5">
        <f>IF(DC274="No, en absoluto",1,
IF(DC274="No más que lo habitual",2,
IF(DC274="Bastante más que lo habitual",3,
IF(DC274="Mucho más que lo habitual",4,""))))</f>
        <v>1</v>
      </c>
      <c r="DE274" s="5" t="s">
        <v>251</v>
      </c>
      <c r="DF274" s="5">
        <f>IF(DE274="No, en absoluto",1,
IF(DE274="No más que lo habitual",2,
IF(DE274="Bastante más que lo habitual",3,
IF(DE274="Mucho más que lo habitual",4,""))))</f>
        <v>1</v>
      </c>
      <c r="DG274" s="5" t="s">
        <v>251</v>
      </c>
      <c r="DH274" s="5">
        <f>IF(DG274="No, en absoluto",1,
IF(DG274="No más que lo habitual",2,
IF(DG274="Bastante más que lo habitual",3,
IF(DG274="Mucho más que lo habitual",4,""))))</f>
        <v>1</v>
      </c>
      <c r="DI274" s="5" t="s">
        <v>251</v>
      </c>
      <c r="DJ274" s="5">
        <f>IF(DI274="No, en absoluto",1,
IF(DI274="No más que lo habitual",2,
IF(DI274="Bastante más que lo habitual",3,
IF(DI274="Mucho más que lo habitual",4,""))))</f>
        <v>1</v>
      </c>
      <c r="DK274" s="5" t="s">
        <v>251</v>
      </c>
      <c r="DL274" s="5">
        <f>IF(DK274="No, en absoluto",1,
IF(DK274="No más que lo habitual",2,
IF(DK274="Bastante más que lo habitual",3,
IF(DK274="Mucho más que lo habitual",4,""))))</f>
        <v>1</v>
      </c>
      <c r="DM274" s="5" t="s">
        <v>251</v>
      </c>
      <c r="DN274" s="5">
        <f>IF(DM274="No, en absoluto",1,
IF(DM274="No más que lo habitual",2,
IF(DM274="Bastante más que lo habitual",3,
IF(DM274="Mucho más que lo habitual",4,""))))</f>
        <v>1</v>
      </c>
      <c r="DO274" s="5" t="s">
        <v>281</v>
      </c>
      <c r="DP274" s="5">
        <f>IF(DO274="Más que lo habitual",1,
IF(DO274="Igual que lo habitual",2,
IF(DO274="Menos que lo habitual",3,
IF(DO274="Mucho menos que lo habitual",4,""))))</f>
        <v>1</v>
      </c>
      <c r="DQ274" s="5" t="s">
        <v>281</v>
      </c>
      <c r="DR274" s="5">
        <f>IF(DQ274="Más que lo habitual",1,
IF(DQ274="Igual que lo habitual",2,
IF(DQ274="Menos que lo habitual",3,
IF(DQ274="Mucho menos que lo habitual",4,""))))</f>
        <v>1</v>
      </c>
      <c r="DS274" s="5" t="s">
        <v>281</v>
      </c>
      <c r="DT274" s="5">
        <f>IF(DS274="Más que lo habitual",1,
IF(DS274="Igual que lo habitual",2,
IF(DS274="Menos que lo habitual",3,
IF(DS274="Mucho menos que lo habitual",4,""))))</f>
        <v>1</v>
      </c>
      <c r="DU274" s="5" t="s">
        <v>281</v>
      </c>
      <c r="DV274" s="5">
        <f>IF(DU274="Más que lo habitual",1,
IF(DU274="Igual que lo habitual",2,
IF(DU274="Menos que lo habitual",3,
IF(DU274="Mucho menos que lo habitual",4,""))))</f>
        <v>1</v>
      </c>
      <c r="DW274" s="5" t="s">
        <v>281</v>
      </c>
      <c r="DX274" s="5">
        <f>IF(DW274="Más que lo habitual",1,
IF(DW274="Igual que lo habitual",2,
IF(DW274="Menos que lo habitual",3,
IF(DW274="Mucho menos que lo habitual",4,""))))</f>
        <v>1</v>
      </c>
      <c r="DY274" s="5">
        <f>SUM(DB274,DD274,DF274,DH274,DJ274,DL274,DN274,DP274,DR274,DT274,DV274,DX274)</f>
        <v>12</v>
      </c>
      <c r="DZ274" s="5" t="str">
        <f>IF(DY274&lt;=18,"Nivel de riesgo bajo",
IF(DY274&lt;=23,"Nivel de riesgo medio",
"Nivel de riesgo alto"))</f>
        <v>Nivel de riesgo bajo</v>
      </c>
      <c r="EA274" s="5" t="s">
        <v>248</v>
      </c>
      <c r="EB274" s="5">
        <f>IF(EA274="Nunca/ casi nunca",0,
IF(EA274="Rara vez",1,
IF(EA274="A veces",2,
IF(EA274="A menudo",3,
IF(EA274="Siempre",4,"")))))</f>
        <v>1</v>
      </c>
      <c r="EC274" s="5" t="s">
        <v>253</v>
      </c>
      <c r="ED274" s="5">
        <f>IF(EC274="Nunca/ casi nunca",0,
IF(EC274="Rara vez",1,
IF(EC274="A veces",2,
IF(EC274="A menudo",3,
IF(EC274="Siempre",4,"")))))</f>
        <v>0</v>
      </c>
      <c r="EE274" s="5" t="s">
        <v>253</v>
      </c>
      <c r="EF274" s="5">
        <f>IF(EE274="Nunca/ casi nunca",0,
IF(EE274="Rara vez",1,
IF(EE274="A veces",2,
IF(EE274="A menudo",3,
IF(EE274="Siempre",4,"")))))</f>
        <v>0</v>
      </c>
      <c r="EG274" s="5">
        <f>SUM(EB274,ED274,EF274)</f>
        <v>1</v>
      </c>
      <c r="EH274" s="5" t="str">
        <f>IF(EG274&lt;=1,"Nivel de riesgo bajo",
IF(EG274&lt;=4,"Nivel de riesgo medio",
"Nivel de riesgo alto"))</f>
        <v>Nivel de riesgo bajo</v>
      </c>
      <c r="EI274" s="5" t="s">
        <v>253</v>
      </c>
      <c r="EJ274" s="5">
        <f>IF(EI274="Nunca/ casi nunca",0,
IF(EI274="Rara vez",1,
IF(EI274="A veces",2,
IF(EI274="A menudo",3,
IF(EI274="Siempre",4,"")))))</f>
        <v>0</v>
      </c>
      <c r="EK274" s="5" t="s">
        <v>248</v>
      </c>
      <c r="EL274" s="5">
        <f>IF(EK274="Nunca/ casi nunca",0,
IF(EK274="Rara vez",1,
IF(EK274="A veces",2,
IF(EK274="A menudo",3,
IF(EK274="Siempre",4,"")))))</f>
        <v>1</v>
      </c>
      <c r="EM274" s="5" t="s">
        <v>253</v>
      </c>
      <c r="EN274" s="5">
        <f>IF(EM274="Nunca/ casi nunca",0,
IF(EM274="Rara vez",1,
IF(EM274="A veces",2,
IF(EM274="A menudo",3,
IF(EM274="Siempre",4,"")))))</f>
        <v>0</v>
      </c>
      <c r="EO274" s="5">
        <f>SUM(EJ274,EL274,EN274)</f>
        <v>1</v>
      </c>
      <c r="EP274" s="5" t="str">
        <f>IF(EO274&lt;=1,"Nivel de riesgo bajo",
IF(EO274&lt;=5,"Nivel de riesgo medio",
"Nivel de riesgo alto"))</f>
        <v>Nivel de riesgo bajo</v>
      </c>
      <c r="EQ274" s="5" t="s">
        <v>248</v>
      </c>
      <c r="ER274" s="5">
        <f>IF(EQ274="Nunca/ casi nunca",4,
IF(EQ274="Rara vez",3,
IF(EQ274="A veces",2,
IF(EQ274="A menudo",1,
IF(EQ274="Siempre",0,"")))))</f>
        <v>3</v>
      </c>
      <c r="ES274" s="5" t="s">
        <v>254</v>
      </c>
      <c r="ET274" s="5">
        <f>IF(ES274="Nunca/ casi nunca",4,
IF(ES274="Rara vez",3,
IF(ES274="A veces",2,
IF(ES274="A menudo",1,
IF(ES274="Siempre",0,"")))))</f>
        <v>0</v>
      </c>
      <c r="EU274" s="5" t="s">
        <v>254</v>
      </c>
      <c r="EV274" s="5">
        <f>IF(EU274="Nunca/ casi nunca",4,
IF(EU274="Rara vez",3,
IF(EU274="A veces",2,
IF(EU274="A menudo",1,
IF(EU274="Siempre",0,"")))))</f>
        <v>0</v>
      </c>
      <c r="EW274" s="5" t="s">
        <v>254</v>
      </c>
      <c r="EX274" s="5">
        <f>IF(EW274="Nunca/ casi nunca",4,
IF(EW274="Rara vez",3,
IF(EW274="A veces",2,
IF(EW274="A menudo",1,
IF(EW274="Siempre",0,"")))))</f>
        <v>0</v>
      </c>
      <c r="EY274" s="5">
        <f>SUM(ER274,ET274,EV274,EX274)</f>
        <v>3</v>
      </c>
      <c r="EZ274" s="5" t="str">
        <f>IF(EY274&lt;=0,"Nivel de riesgo bajo",
IF(EY274&lt;=4,"Nivel de riesgo medio",
"Nivel de riesgo alto"))</f>
        <v>Nivel de riesgo medio</v>
      </c>
      <c r="FA274" s="5" t="s">
        <v>253</v>
      </c>
      <c r="FB274" s="5">
        <f>IF(FA274="Nunca/ casi nunca",0,
IF(FA274="Rara vez",1,
IF(FA274="A veces",2,
IF(FA274="A menudo",3,
IF(FA274="Siempre",4,"")))))</f>
        <v>0</v>
      </c>
      <c r="FC274" s="5" t="s">
        <v>253</v>
      </c>
      <c r="FD274" s="5">
        <f>IF(FC274="Nunca/ casi nunca",0,
IF(FC274="Rara vez",1,
IF(FC274="A veces",2,
IF(FC274="A menudo",3,
IF(FC274="Siempre",4,"")))))</f>
        <v>0</v>
      </c>
      <c r="FE274" s="5" t="s">
        <v>248</v>
      </c>
      <c r="FF274" s="5">
        <f>IF(FE274="Nunca/ casi nunca",0,
IF(FE274="Rara vez",1,
IF(FE274="A veces",2,
IF(FE274="A menudo",3,
IF(FE274="Siempre",4,"")))))</f>
        <v>1</v>
      </c>
      <c r="FG274" s="5">
        <f>SUM(FB274,FD274,FF274)</f>
        <v>1</v>
      </c>
      <c r="FH274" s="5" t="str">
        <f>IF(FG274&lt;=2,"Nivel de riesgo bajo",
IF(FG274&lt;=5,"Nivel de riesgo medio",
"Nivel de riesgo alto"))</f>
        <v>Nivel de riesgo bajo</v>
      </c>
      <c r="FI274" s="5" t="s">
        <v>253</v>
      </c>
      <c r="FJ274" s="5">
        <f>IF(FI274="Nunca/ casi nunca",0,
IF(FI274="Rara vez",1,
IF(FI274="A veces",2,
IF(FI274="A menudo",3,
IF(FI274="Siempre",4,"")))))</f>
        <v>0</v>
      </c>
      <c r="FK274" s="5" t="s">
        <v>253</v>
      </c>
      <c r="FL274" s="5">
        <f>IF(FK274="Nunca/ casi nunca",0,
IF(FK274="Rara vez",1,
IF(FK274="A veces",2,
IF(FK274="A menudo",3,
IF(FK274="Siempre",4,"")))))</f>
        <v>0</v>
      </c>
      <c r="FM274" s="5" t="s">
        <v>253</v>
      </c>
      <c r="FN274" s="5">
        <f>IF(FM274="Nunca/ casi nunca",0,
IF(FM274="Rara vez",1,
IF(FM274="A veces",2,
IF(FM274="A menudo",3,
IF(FM274="Siempre",4,"")))))</f>
        <v>0</v>
      </c>
      <c r="FO274" s="5">
        <f>SUM(FJ274,FL274,FN274)</f>
        <v>0</v>
      </c>
      <c r="FP274" s="5" t="str">
        <f>IF(FO274&lt;=2,"Nivel de riesgo bajo",
IF(FO274&lt;=5,"Nivel de riesgo medio",
"Nivel de riesgo alto"))</f>
        <v>Nivel de riesgo bajo</v>
      </c>
      <c r="FQ274" s="5" t="s">
        <v>206</v>
      </c>
      <c r="FR274" s="5">
        <f>IF(FQ274="No",0,
IF(FQ274="Sí, unas pocas veces",1,
IF(FQ274="Sí, mensualmente",2,
IF(FQ274="Sí, semanalmente",3,
IF(FQ274="Sí, diariamente",4,"")))))</f>
        <v>0</v>
      </c>
      <c r="FS274" s="5" t="s">
        <v>206</v>
      </c>
      <c r="FT274" s="5">
        <f>IF(FS274="No",0,
IF(FS274="Sí, unas pocas veces",1,
IF(FS274="Sí, mensualmente",2,
IF(FS274="Sí, semanalmente",3,
IF(FS274="Sí, diariamente",4,"")))))</f>
        <v>0</v>
      </c>
      <c r="FU274" s="5" t="s">
        <v>206</v>
      </c>
      <c r="FV274" s="5">
        <f>IF(FU274="No",0,
IF(FU274="Sí, unas pocas veces",1,
IF(FU274="Sí, mensualmente",2,
IF(FU274="Sí, semanalmente",3,
IF(FU274="Sí, diariamente",4,"")))))</f>
        <v>0</v>
      </c>
      <c r="FW274" s="5" t="s">
        <v>206</v>
      </c>
      <c r="FX274" s="5">
        <f>IF(FW274="No",0,
IF(FW274="Sí, unas pocas veces",1,
IF(FW274="Sí, mensualmente",2,
IF(FW274="Sí, semanalmente",3,
IF(FW274="Sí, diariamente",4,"")))))</f>
        <v>0</v>
      </c>
      <c r="FY274" s="5" t="s">
        <v>206</v>
      </c>
      <c r="FZ274" s="5">
        <f>IF(FY274="No",0,
IF(FY274="Sí, unas pocas veces",1,
IF(FY274="Sí, mensualmente",2,
IF(FY274="Sí, semanalmente",3,
IF(FY274="Sí, diariamente",4,"")))))</f>
        <v>0</v>
      </c>
      <c r="GA274" s="5" t="s">
        <v>206</v>
      </c>
      <c r="GB274" s="5">
        <f>IF(GA274="No",0,
IF(GA274="Sí, unas pocas veces",1,
IF(GA274="Sí, mensualmente",2,
IF(GA274="Sí, semanalmente",3,
IF(GA274="Sí, diariamente",4,"")))))</f>
        <v>0</v>
      </c>
      <c r="GC274" s="5" t="s">
        <v>206</v>
      </c>
      <c r="GD274" s="5">
        <f>IF(GC274="No",0,
IF(GC274="Sí, unas pocas veces",1,
IF(GC274="Sí, mensualmente",2,
IF(GC274="Sí, semanalmente",3,
IF(GC274="Sí, diariamente",4,"")))))</f>
        <v>0</v>
      </c>
      <c r="GE274" s="5">
        <f>SUM(FR274,FT274,FV274,FX274,FZ274,GB274,GD274)</f>
        <v>0</v>
      </c>
      <c r="GF274" s="5" t="str">
        <f>IF(GE274&lt;=0,"Nivel de riesgo bajo",
IF(GE274&lt;=14,"Nivel de riesgo medio",
"Nivel de riesgo alto"))</f>
        <v>Nivel de riesgo bajo</v>
      </c>
      <c r="GG274" s="5" t="s">
        <v>255</v>
      </c>
      <c r="GH274" s="5" t="s">
        <v>255</v>
      </c>
      <c r="GI274" s="5" t="s">
        <v>255</v>
      </c>
      <c r="GJ274" s="5" t="s">
        <v>255</v>
      </c>
      <c r="GK274" s="5" t="s">
        <v>233</v>
      </c>
      <c r="GL274" s="5" t="s">
        <v>233</v>
      </c>
      <c r="GM274" s="5" t="s">
        <v>255</v>
      </c>
      <c r="GN274" s="5" t="s">
        <v>243</v>
      </c>
      <c r="GO274" s="5" t="s">
        <v>256</v>
      </c>
      <c r="GP274" s="5" t="s">
        <v>256</v>
      </c>
      <c r="GQ274" s="5" t="s">
        <v>256</v>
      </c>
      <c r="GR274" s="5" t="s">
        <v>256</v>
      </c>
      <c r="GS274" s="5" t="s">
        <v>256</v>
      </c>
      <c r="GT274" s="5" t="s">
        <v>256</v>
      </c>
      <c r="GU274" s="5" t="s">
        <v>628</v>
      </c>
      <c r="GV274" s="5" t="str">
        <f>TEXT("6279609093612194439","0")</f>
        <v>6279609093612190000</v>
      </c>
    </row>
    <row r="275" spans="1:204" ht="15.75" hidden="1" customHeight="1" x14ac:dyDescent="0.15">
      <c r="B275" s="4">
        <v>45848.381215277775</v>
      </c>
      <c r="C275" s="5" t="s">
        <v>204</v>
      </c>
      <c r="D275" s="5" t="s">
        <v>204</v>
      </c>
      <c r="E275" s="5" t="s">
        <v>335</v>
      </c>
      <c r="F275" s="5" t="s">
        <v>206</v>
      </c>
      <c r="G275" s="5" t="s">
        <v>204</v>
      </c>
      <c r="H275" s="5" t="s">
        <v>206</v>
      </c>
      <c r="K275" s="5" t="s">
        <v>237</v>
      </c>
      <c r="O275" s="5" t="s">
        <v>209</v>
      </c>
      <c r="T275" s="5" t="s">
        <v>209</v>
      </c>
      <c r="X275" s="5" t="s">
        <v>208</v>
      </c>
      <c r="AD275" s="5" t="s">
        <v>209</v>
      </c>
      <c r="AH275" s="5" t="s">
        <v>275</v>
      </c>
      <c r="AI275" s="5">
        <v>2020</v>
      </c>
      <c r="AJ275" s="5" t="s">
        <v>293</v>
      </c>
      <c r="AK275" s="5"/>
      <c r="AR275" s="5" t="s">
        <v>241</v>
      </c>
      <c r="AS275" s="5" t="s">
        <v>301</v>
      </c>
      <c r="AT275" s="5" t="s">
        <v>261</v>
      </c>
      <c r="AU275" s="5" t="s">
        <v>261</v>
      </c>
      <c r="AV275" s="5" t="s">
        <v>269</v>
      </c>
      <c r="AW275" s="5" t="s">
        <v>204</v>
      </c>
      <c r="AX275" s="5" t="s">
        <v>206</v>
      </c>
      <c r="BF275" s="5" t="s">
        <v>204</v>
      </c>
      <c r="BG275" s="5" t="s">
        <v>278</v>
      </c>
      <c r="BH275" s="5" t="s">
        <v>271</v>
      </c>
      <c r="BI275" s="5" t="s">
        <v>278</v>
      </c>
      <c r="BJ275" s="5" t="s">
        <v>271</v>
      </c>
      <c r="BK275" s="5" t="s">
        <v>246</v>
      </c>
      <c r="BL275" s="5" t="s">
        <v>243</v>
      </c>
      <c r="BM275" s="5" t="s">
        <v>246</v>
      </c>
      <c r="BN275" s="5" t="s">
        <v>246</v>
      </c>
      <c r="BO275" s="5" t="s">
        <v>244</v>
      </c>
      <c r="BP275" s="5" t="s">
        <v>245</v>
      </c>
      <c r="BQ275" s="5" t="s">
        <v>246</v>
      </c>
      <c r="BR275" s="5" t="s">
        <v>244</v>
      </c>
      <c r="BS275" s="5" t="s">
        <v>254</v>
      </c>
      <c r="BT275" s="5" t="s">
        <v>254</v>
      </c>
      <c r="BU275" s="5" t="s">
        <v>247</v>
      </c>
      <c r="BV275" s="5" t="s">
        <v>217</v>
      </c>
      <c r="BW275" s="5" t="s">
        <v>247</v>
      </c>
      <c r="BX275" s="5" t="s">
        <v>248</v>
      </c>
      <c r="BY275" s="5" t="s">
        <v>232</v>
      </c>
      <c r="BZ275" s="5" t="s">
        <v>246</v>
      </c>
      <c r="CA275" s="5" t="s">
        <v>245</v>
      </c>
      <c r="CB275" s="5" t="s">
        <v>216</v>
      </c>
      <c r="CC275" s="5" t="s">
        <v>243</v>
      </c>
      <c r="CD275" s="5" t="s">
        <v>204</v>
      </c>
      <c r="CE275" s="5" t="s">
        <v>286</v>
      </c>
      <c r="CF275" s="5" t="s">
        <v>219</v>
      </c>
      <c r="CG275" s="5" t="s">
        <v>206</v>
      </c>
      <c r="CH275" s="5" t="s">
        <v>206</v>
      </c>
      <c r="CI275" s="5" t="s">
        <v>206</v>
      </c>
      <c r="CJ275" s="5">
        <v>0</v>
      </c>
      <c r="CK275" s="5" t="s">
        <v>223</v>
      </c>
      <c r="CU275" s="5" t="s">
        <v>206</v>
      </c>
      <c r="DA275" s="5" t="s">
        <v>231</v>
      </c>
      <c r="DB275" s="5"/>
      <c r="DC275" s="5" t="s">
        <v>251</v>
      </c>
      <c r="DD275" s="5"/>
      <c r="DE275" s="5" t="s">
        <v>230</v>
      </c>
      <c r="DF275" s="5"/>
      <c r="DG275" s="5" t="s">
        <v>251</v>
      </c>
      <c r="DH275" s="5"/>
      <c r="DI275" s="5" t="s">
        <v>251</v>
      </c>
      <c r="DJ275" s="5"/>
      <c r="DK275" s="5" t="s">
        <v>251</v>
      </c>
      <c r="DL275" s="5"/>
      <c r="DM275" s="5" t="s">
        <v>251</v>
      </c>
      <c r="DN275" s="5"/>
      <c r="DO275" s="5" t="s">
        <v>281</v>
      </c>
      <c r="DP275" s="5"/>
      <c r="DQ275" s="5" t="s">
        <v>281</v>
      </c>
      <c r="DR275" s="5"/>
      <c r="DS275" s="5" t="s">
        <v>281</v>
      </c>
      <c r="DT275" s="5"/>
      <c r="DU275" s="5" t="s">
        <v>281</v>
      </c>
      <c r="DV275" s="5"/>
      <c r="DW275" s="5" t="s">
        <v>281</v>
      </c>
      <c r="DX275" s="5"/>
      <c r="DY275" s="5"/>
      <c r="DZ275" s="5"/>
      <c r="EA275" s="5" t="s">
        <v>247</v>
      </c>
      <c r="EB275" s="5"/>
      <c r="EC275" s="5" t="s">
        <v>247</v>
      </c>
      <c r="ED275" s="5"/>
      <c r="EE275" s="5" t="s">
        <v>247</v>
      </c>
      <c r="EF275" s="5"/>
      <c r="EG275" s="5"/>
      <c r="EH275" s="5"/>
      <c r="EI275" s="5" t="s">
        <v>253</v>
      </c>
      <c r="EJ275" s="5"/>
      <c r="EK275" s="5" t="s">
        <v>254</v>
      </c>
      <c r="EL275" s="5"/>
      <c r="EM275" s="5" t="s">
        <v>247</v>
      </c>
      <c r="EN275" s="5"/>
      <c r="EO275" s="5"/>
      <c r="EP275" s="5"/>
      <c r="EQ275" s="5" t="s">
        <v>232</v>
      </c>
      <c r="ER275" s="5"/>
      <c r="ES275" s="5" t="s">
        <v>232</v>
      </c>
      <c r="ET275" s="5"/>
      <c r="EU275" s="5" t="s">
        <v>232</v>
      </c>
      <c r="EV275" s="5"/>
      <c r="EW275" s="5" t="s">
        <v>232</v>
      </c>
      <c r="EX275" s="5"/>
      <c r="EY275" s="5"/>
      <c r="EZ275" s="5"/>
      <c r="FA275" s="5" t="s">
        <v>248</v>
      </c>
      <c r="FB275" s="5"/>
      <c r="FC275" s="5" t="s">
        <v>253</v>
      </c>
      <c r="FD275" s="5"/>
      <c r="FE275" s="5" t="s">
        <v>253</v>
      </c>
      <c r="FF275" s="5"/>
      <c r="FG275" s="5"/>
      <c r="FH275" s="5"/>
      <c r="FI275" s="5" t="s">
        <v>253</v>
      </c>
      <c r="FJ275" s="5"/>
      <c r="FK275" s="5" t="s">
        <v>253</v>
      </c>
      <c r="FL275" s="5"/>
      <c r="FM275" s="5" t="s">
        <v>247</v>
      </c>
      <c r="FN275" s="5"/>
      <c r="FO275" s="5"/>
      <c r="FP275" s="5"/>
      <c r="FQ275" s="5" t="s">
        <v>206</v>
      </c>
      <c r="FR275" s="5"/>
      <c r="FS275" s="5" t="s">
        <v>206</v>
      </c>
      <c r="FT275" s="5"/>
      <c r="FU275" s="5" t="s">
        <v>206</v>
      </c>
      <c r="FV275" s="5"/>
      <c r="FW275" s="5" t="s">
        <v>206</v>
      </c>
      <c r="FX275" s="5"/>
      <c r="FY275" s="5" t="s">
        <v>206</v>
      </c>
      <c r="FZ275" s="5"/>
      <c r="GA275" s="5" t="s">
        <v>206</v>
      </c>
      <c r="GB275" s="5"/>
      <c r="GC275" s="5" t="s">
        <v>206</v>
      </c>
      <c r="GD275" s="5"/>
      <c r="GE275" s="5"/>
      <c r="GF275" s="5"/>
      <c r="GG275" s="5" t="s">
        <v>255</v>
      </c>
      <c r="GH275" s="5" t="s">
        <v>255</v>
      </c>
      <c r="GI275" s="5" t="s">
        <v>255</v>
      </c>
      <c r="GJ275" s="5" t="s">
        <v>255</v>
      </c>
      <c r="GK275" s="5" t="s">
        <v>233</v>
      </c>
      <c r="GL275" s="5" t="s">
        <v>255</v>
      </c>
      <c r="GM275" s="5" t="s">
        <v>255</v>
      </c>
      <c r="GN275" s="5" t="s">
        <v>256</v>
      </c>
      <c r="GO275" s="5" t="s">
        <v>256</v>
      </c>
      <c r="GP275" s="5" t="s">
        <v>256</v>
      </c>
      <c r="GQ275" s="5" t="s">
        <v>256</v>
      </c>
      <c r="GR275" s="5" t="s">
        <v>256</v>
      </c>
      <c r="GS275" s="5" t="s">
        <v>256</v>
      </c>
      <c r="GT275" s="5" t="s">
        <v>256</v>
      </c>
      <c r="GU275" s="5" t="s">
        <v>629</v>
      </c>
      <c r="GV275" s="5" t="str">
        <f>TEXT("6279621372418821272","0")</f>
        <v>6279621372418820000</v>
      </c>
    </row>
    <row r="276" spans="1:204" ht="15.75" customHeight="1" x14ac:dyDescent="0.15">
      <c r="A276" s="1">
        <f t="shared" ref="A276:A293" si="816">ROW(A276)</f>
        <v>276</v>
      </c>
      <c r="B276" s="4">
        <v>45848.400775462964</v>
      </c>
      <c r="C276" s="5" t="s">
        <v>204</v>
      </c>
      <c r="D276" s="5" t="s">
        <v>206</v>
      </c>
      <c r="F276" s="5" t="s">
        <v>206</v>
      </c>
      <c r="G276" s="5" t="s">
        <v>206</v>
      </c>
      <c r="H276" s="5" t="s">
        <v>206</v>
      </c>
      <c r="K276" s="5" t="s">
        <v>237</v>
      </c>
      <c r="O276" s="5" t="s">
        <v>209</v>
      </c>
      <c r="S276" s="5" t="s">
        <v>208</v>
      </c>
      <c r="AB276" s="5" t="s">
        <v>207</v>
      </c>
      <c r="AC276" s="5" t="s">
        <v>208</v>
      </c>
      <c r="AH276" s="5" t="s">
        <v>210</v>
      </c>
      <c r="AI276" s="5">
        <v>2023</v>
      </c>
      <c r="AJ276" s="5" t="s">
        <v>330</v>
      </c>
      <c r="AK276" s="5" t="str">
        <f t="shared" ref="AK276:AK293" si="817">IF(OR(AJ276="Empleada del sector privado",AJ276="Empleada del sector público"),"Asalariada",
IF(AJ276="Trabajadora por cuenta propia","Trabajadora por cuenta propia",""))</f>
        <v>Asalariada</v>
      </c>
      <c r="AQ276" s="5" t="s">
        <v>204</v>
      </c>
      <c r="AR276" s="5" t="s">
        <v>241</v>
      </c>
      <c r="AS276" s="5" t="s">
        <v>241</v>
      </c>
      <c r="AT276" s="5" t="s">
        <v>241</v>
      </c>
      <c r="AU276" s="5" t="s">
        <v>241</v>
      </c>
      <c r="AV276" s="5" t="s">
        <v>213</v>
      </c>
      <c r="AW276" s="5" t="s">
        <v>206</v>
      </c>
      <c r="BF276" s="5" t="s">
        <v>204</v>
      </c>
      <c r="BG276" s="5" t="s">
        <v>242</v>
      </c>
      <c r="BH276" s="5" t="s">
        <v>215</v>
      </c>
      <c r="BI276" s="5" t="s">
        <v>278</v>
      </c>
      <c r="BJ276" s="5" t="s">
        <v>215</v>
      </c>
      <c r="BK276" s="5" t="s">
        <v>243</v>
      </c>
      <c r="BL276" s="5" t="s">
        <v>216</v>
      </c>
      <c r="BM276" s="5" t="s">
        <v>244</v>
      </c>
      <c r="BN276" s="5" t="s">
        <v>216</v>
      </c>
      <c r="BO276" s="5" t="s">
        <v>216</v>
      </c>
      <c r="BP276" s="5" t="s">
        <v>243</v>
      </c>
      <c r="BQ276" s="5" t="s">
        <v>244</v>
      </c>
      <c r="BR276" s="5" t="s">
        <v>244</v>
      </c>
      <c r="BS276" s="5" t="s">
        <v>248</v>
      </c>
      <c r="BT276" s="5" t="s">
        <v>247</v>
      </c>
      <c r="BU276" s="5" t="s">
        <v>248</v>
      </c>
      <c r="BV276" s="5" t="s">
        <v>247</v>
      </c>
      <c r="BW276" s="5" t="s">
        <v>232</v>
      </c>
      <c r="BX276" s="5" t="s">
        <v>247</v>
      </c>
      <c r="BY276" s="5" t="s">
        <v>247</v>
      </c>
      <c r="CD276" s="5" t="s">
        <v>206</v>
      </c>
      <c r="CH276" s="5" t="s">
        <v>331</v>
      </c>
      <c r="CI276" s="5" t="s">
        <v>291</v>
      </c>
      <c r="CJ276" s="5">
        <v>1</v>
      </c>
      <c r="CK276" s="5" t="s">
        <v>223</v>
      </c>
      <c r="CU276" s="5" t="s">
        <v>206</v>
      </c>
      <c r="DA276" s="5" t="s">
        <v>272</v>
      </c>
      <c r="DB276" s="5">
        <f t="shared" ref="DB276:DB293" si="818">IF(DA276="Mejor que lo habitual",1,
IF(DA276="Igual que lo habitual",2,
IF(DA276="Menos que lo habitual",3,
IF(DA276="Mucho menos que lo habitual",4,""))))</f>
        <v>1</v>
      </c>
      <c r="DC276" s="5" t="s">
        <v>230</v>
      </c>
      <c r="DD276" s="5">
        <f t="shared" ref="DD276:DD293" si="819">IF(DC276="No, en absoluto",1,
IF(DC276="No más que lo habitual",2,
IF(DC276="Bastante más que lo habitual",3,
IF(DC276="Mucho más que lo habitual",4,""))))</f>
        <v>2</v>
      </c>
      <c r="DE276" s="5" t="s">
        <v>230</v>
      </c>
      <c r="DF276" s="5">
        <f t="shared" ref="DF276:DF293" si="820">IF(DE276="No, en absoluto",1,
IF(DE276="No más que lo habitual",2,
IF(DE276="Bastante más que lo habitual",3,
IF(DE276="Mucho más que lo habitual",4,""))))</f>
        <v>2</v>
      </c>
      <c r="DG276" s="5" t="s">
        <v>251</v>
      </c>
      <c r="DH276" s="5">
        <f t="shared" ref="DH276:DH293" si="821">IF(DG276="No, en absoluto",1,
IF(DG276="No más que lo habitual",2,
IF(DG276="Bastante más que lo habitual",3,
IF(DG276="Mucho más que lo habitual",4,""))))</f>
        <v>1</v>
      </c>
      <c r="DI276" s="5" t="s">
        <v>251</v>
      </c>
      <c r="DJ276" s="5">
        <f t="shared" ref="DJ276:DJ293" si="822">IF(DI276="No, en absoluto",1,
IF(DI276="No más que lo habitual",2,
IF(DI276="Bastante más que lo habitual",3,
IF(DI276="Mucho más que lo habitual",4,""))))</f>
        <v>1</v>
      </c>
      <c r="DK276" s="5" t="s">
        <v>230</v>
      </c>
      <c r="DL276" s="5">
        <f t="shared" ref="DL276:DL293" si="823">IF(DK276="No, en absoluto",1,
IF(DK276="No más que lo habitual",2,
IF(DK276="Bastante más que lo habitual",3,
IF(DK276="Mucho más que lo habitual",4,""))))</f>
        <v>2</v>
      </c>
      <c r="DM276" s="5" t="s">
        <v>251</v>
      </c>
      <c r="DN276" s="5">
        <f t="shared" ref="DN276:DN293" si="824">IF(DM276="No, en absoluto",1,
IF(DM276="No más que lo habitual",2,
IF(DM276="Bastante más que lo habitual",3,
IF(DM276="Mucho más que lo habitual",4,""))))</f>
        <v>1</v>
      </c>
      <c r="DO276" s="5" t="s">
        <v>229</v>
      </c>
      <c r="DP276" s="5">
        <f t="shared" ref="DP276:DP293" si="825">IF(DO276="Más que lo habitual",1,
IF(DO276="Igual que lo habitual",2,
IF(DO276="Menos que lo habitual",3,
IF(DO276="Mucho menos que lo habitual",4,""))))</f>
        <v>4</v>
      </c>
      <c r="DQ276" s="5" t="s">
        <v>229</v>
      </c>
      <c r="DR276" s="5">
        <f t="shared" ref="DR276:DR293" si="826">IF(DQ276="Más que lo habitual",1,
IF(DQ276="Igual que lo habitual",2,
IF(DQ276="Menos que lo habitual",3,
IF(DQ276="Mucho menos que lo habitual",4,""))))</f>
        <v>4</v>
      </c>
      <c r="DS276" s="5" t="s">
        <v>231</v>
      </c>
      <c r="DT276" s="5">
        <f t="shared" ref="DT276:DT293" si="827">IF(DS276="Más que lo habitual",1,
IF(DS276="Igual que lo habitual",2,
IF(DS276="Menos que lo habitual",3,
IF(DS276="Mucho menos que lo habitual",4,""))))</f>
        <v>2</v>
      </c>
      <c r="DU276" s="5" t="s">
        <v>281</v>
      </c>
      <c r="DV276" s="5">
        <f t="shared" ref="DV276:DV293" si="828">IF(DU276="Más que lo habitual",1,
IF(DU276="Igual que lo habitual",2,
IF(DU276="Menos que lo habitual",3,
IF(DU276="Mucho menos que lo habitual",4,""))))</f>
        <v>1</v>
      </c>
      <c r="DW276" s="5" t="s">
        <v>281</v>
      </c>
      <c r="DX276" s="5">
        <f t="shared" ref="DX276:DX293" si="829">IF(DW276="Más que lo habitual",1,
IF(DW276="Igual que lo habitual",2,
IF(DW276="Menos que lo habitual",3,
IF(DW276="Mucho menos que lo habitual",4,""))))</f>
        <v>1</v>
      </c>
      <c r="DY276" s="5">
        <f t="shared" ref="DY276:DY293" si="830">SUM(DB276,DD276,DF276,DH276,DJ276,DL276,DN276,DP276,DR276,DT276,DV276,DX276)</f>
        <v>22</v>
      </c>
      <c r="DZ276" s="5" t="str">
        <f t="shared" ref="DZ276:DZ293" si="831">IF(DY276&lt;=18,"Nivel de riesgo bajo",
IF(DY276&lt;=23,"Nivel de riesgo medio",
"Nivel de riesgo alto"))</f>
        <v>Nivel de riesgo medio</v>
      </c>
      <c r="EA276" s="5" t="s">
        <v>247</v>
      </c>
      <c r="EB276" s="5">
        <f t="shared" ref="EB276:EB293" si="832">IF(EA276="Nunca/ casi nunca",0,
IF(EA276="Rara vez",1,
IF(EA276="A veces",2,
IF(EA276="A menudo",3,
IF(EA276="Siempre",4,"")))))</f>
        <v>2</v>
      </c>
      <c r="EC276" s="5" t="s">
        <v>247</v>
      </c>
      <c r="ED276" s="5">
        <f t="shared" ref="ED276:ED293" si="833">IF(EC276="Nunca/ casi nunca",0,
IF(EC276="Rara vez",1,
IF(EC276="A veces",2,
IF(EC276="A menudo",3,
IF(EC276="Siempre",4,"")))))</f>
        <v>2</v>
      </c>
      <c r="EE276" s="5" t="s">
        <v>248</v>
      </c>
      <c r="EF276" s="5">
        <f t="shared" ref="EF276:EF293" si="834">IF(EE276="Nunca/ casi nunca",0,
IF(EE276="Rara vez",1,
IF(EE276="A veces",2,
IF(EE276="A menudo",3,
IF(EE276="Siempre",4,"")))))</f>
        <v>1</v>
      </c>
      <c r="EG276" s="5">
        <f t="shared" ref="EG276:EG293" si="835">SUM(EB276,ED276,EF276)</f>
        <v>5</v>
      </c>
      <c r="EH276" s="5" t="str">
        <f t="shared" ref="EH276:EH293" si="836">IF(EG276&lt;=1,"Nivel de riesgo bajo",
IF(EG276&lt;=4,"Nivel de riesgo medio",
"Nivel de riesgo alto"))</f>
        <v>Nivel de riesgo alto</v>
      </c>
      <c r="EI276" s="5" t="s">
        <v>248</v>
      </c>
      <c r="EJ276" s="5">
        <f t="shared" ref="EJ276:EJ293" si="837">IF(EI276="Nunca/ casi nunca",0,
IF(EI276="Rara vez",1,
IF(EI276="A veces",2,
IF(EI276="A menudo",3,
IF(EI276="Siempre",4,"")))))</f>
        <v>1</v>
      </c>
      <c r="EK276" s="5" t="s">
        <v>248</v>
      </c>
      <c r="EL276" s="5">
        <f t="shared" ref="EL276:EL293" si="838">IF(EK276="Nunca/ casi nunca",0,
IF(EK276="Rara vez",1,
IF(EK276="A veces",2,
IF(EK276="A menudo",3,
IF(EK276="Siempre",4,"")))))</f>
        <v>1</v>
      </c>
      <c r="EM276" s="5" t="s">
        <v>253</v>
      </c>
      <c r="EN276" s="5">
        <f t="shared" ref="EN276:EN293" si="839">IF(EM276="Nunca/ casi nunca",0,
IF(EM276="Rara vez",1,
IF(EM276="A veces",2,
IF(EM276="A menudo",3,
IF(EM276="Siempre",4,"")))))</f>
        <v>0</v>
      </c>
      <c r="EO276" s="5">
        <f t="shared" ref="EO276:EO293" si="840">SUM(EJ276,EL276,EN276)</f>
        <v>2</v>
      </c>
      <c r="EP276" s="5" t="str">
        <f t="shared" ref="EP276:EP293" si="841">IF(EO276&lt;=1,"Nivel de riesgo bajo",
IF(EO276&lt;=5,"Nivel de riesgo medio",
"Nivel de riesgo alto"))</f>
        <v>Nivel de riesgo medio</v>
      </c>
      <c r="EQ276" s="5" t="s">
        <v>253</v>
      </c>
      <c r="ER276" s="5">
        <f t="shared" ref="ER276:ER293" si="842">IF(EQ276="Nunca/ casi nunca",4,
IF(EQ276="Rara vez",3,
IF(EQ276="A veces",2,
IF(EQ276="A menudo",1,
IF(EQ276="Siempre",0,"")))))</f>
        <v>4</v>
      </c>
      <c r="ES276" s="5" t="s">
        <v>253</v>
      </c>
      <c r="ET276" s="5">
        <f t="shared" ref="ET276:ET293" si="843">IF(ES276="Nunca/ casi nunca",4,
IF(ES276="Rara vez",3,
IF(ES276="A veces",2,
IF(ES276="A menudo",1,
IF(ES276="Siempre",0,"")))))</f>
        <v>4</v>
      </c>
      <c r="EU276" s="5" t="s">
        <v>254</v>
      </c>
      <c r="EV276" s="5">
        <f t="shared" ref="EV276:EV293" si="844">IF(EU276="Nunca/ casi nunca",4,
IF(EU276="Rara vez",3,
IF(EU276="A veces",2,
IF(EU276="A menudo",1,
IF(EU276="Siempre",0,"")))))</f>
        <v>0</v>
      </c>
      <c r="EW276" s="5" t="s">
        <v>254</v>
      </c>
      <c r="EX276" s="5">
        <f t="shared" ref="EX276:EX293" si="845">IF(EW276="Nunca/ casi nunca",4,
IF(EW276="Rara vez",3,
IF(EW276="A veces",2,
IF(EW276="A menudo",1,
IF(EW276="Siempre",0,"")))))</f>
        <v>0</v>
      </c>
      <c r="EY276" s="5">
        <f t="shared" ref="EY276:EY293" si="846">SUM(ER276,ET276,EV276,EX276)</f>
        <v>8</v>
      </c>
      <c r="EZ276" s="5" t="str">
        <f t="shared" ref="EZ276:EZ293" si="847">IF(EY276&lt;=0,"Nivel de riesgo bajo",
IF(EY276&lt;=4,"Nivel de riesgo medio",
"Nivel de riesgo alto"))</f>
        <v>Nivel de riesgo alto</v>
      </c>
      <c r="FA276" s="5" t="s">
        <v>253</v>
      </c>
      <c r="FB276" s="5">
        <f t="shared" ref="FB276:FB293" si="848">IF(FA276="Nunca/ casi nunca",0,
IF(FA276="Rara vez",1,
IF(FA276="A veces",2,
IF(FA276="A menudo",3,
IF(FA276="Siempre",4,"")))))</f>
        <v>0</v>
      </c>
      <c r="FC276" s="5" t="s">
        <v>253</v>
      </c>
      <c r="FD276" s="5">
        <f t="shared" ref="FD276:FD293" si="849">IF(FC276="Nunca/ casi nunca",0,
IF(FC276="Rara vez",1,
IF(FC276="A veces",2,
IF(FC276="A menudo",3,
IF(FC276="Siempre",4,"")))))</f>
        <v>0</v>
      </c>
      <c r="FE276" s="5" t="s">
        <v>253</v>
      </c>
      <c r="FF276" s="5">
        <f t="shared" ref="FF276:FF293" si="850">IF(FE276="Nunca/ casi nunca",0,
IF(FE276="Rara vez",1,
IF(FE276="A veces",2,
IF(FE276="A menudo",3,
IF(FE276="Siempre",4,"")))))</f>
        <v>0</v>
      </c>
      <c r="FG276" s="5">
        <f t="shared" ref="FG276:FG293" si="851">SUM(FB276,FD276,FF276)</f>
        <v>0</v>
      </c>
      <c r="FH276" s="5" t="str">
        <f t="shared" ref="FH276:FH293" si="852">IF(FG276&lt;=2,"Nivel de riesgo bajo",
IF(FG276&lt;=5,"Nivel de riesgo medio",
"Nivel de riesgo alto"))</f>
        <v>Nivel de riesgo bajo</v>
      </c>
      <c r="FI276" s="5" t="s">
        <v>253</v>
      </c>
      <c r="FJ276" s="5">
        <f t="shared" ref="FJ276:FJ293" si="853">IF(FI276="Nunca/ casi nunca",0,
IF(FI276="Rara vez",1,
IF(FI276="A veces",2,
IF(FI276="A menudo",3,
IF(FI276="Siempre",4,"")))))</f>
        <v>0</v>
      </c>
      <c r="FK276" s="5" t="s">
        <v>247</v>
      </c>
      <c r="FL276" s="5">
        <f t="shared" ref="FL276:FL293" si="854">IF(FK276="Nunca/ casi nunca",0,
IF(FK276="Rara vez",1,
IF(FK276="A veces",2,
IF(FK276="A menudo",3,
IF(FK276="Siempre",4,"")))))</f>
        <v>2</v>
      </c>
      <c r="FM276" s="5" t="s">
        <v>247</v>
      </c>
      <c r="FN276" s="5">
        <f t="shared" ref="FN276:FN293" si="855">IF(FM276="Nunca/ casi nunca",0,
IF(FM276="Rara vez",1,
IF(FM276="A veces",2,
IF(FM276="A menudo",3,
IF(FM276="Siempre",4,"")))))</f>
        <v>2</v>
      </c>
      <c r="FO276" s="5">
        <f t="shared" ref="FO276:FO293" si="856">SUM(FJ276,FL276,FN276)</f>
        <v>4</v>
      </c>
      <c r="FP276" s="5" t="str">
        <f t="shared" ref="FP276:FP293" si="857">IF(FO276&lt;=2,"Nivel de riesgo bajo",
IF(FO276&lt;=5,"Nivel de riesgo medio",
"Nivel de riesgo alto"))</f>
        <v>Nivel de riesgo medio</v>
      </c>
      <c r="FQ276" s="5" t="s">
        <v>206</v>
      </c>
      <c r="FR276" s="5">
        <f t="shared" ref="FR276:FR293" si="858">IF(FQ276="No",0,
IF(FQ276="Sí, unas pocas veces",1,
IF(FQ276="Sí, mensualmente",2,
IF(FQ276="Sí, semanalmente",3,
IF(FQ276="Sí, diariamente",4,"")))))</f>
        <v>0</v>
      </c>
      <c r="FS276" s="5" t="s">
        <v>206</v>
      </c>
      <c r="FT276" s="5">
        <f t="shared" ref="FT276:FT293" si="859">IF(FS276="No",0,
IF(FS276="Sí, unas pocas veces",1,
IF(FS276="Sí, mensualmente",2,
IF(FS276="Sí, semanalmente",3,
IF(FS276="Sí, diariamente",4,"")))))</f>
        <v>0</v>
      </c>
      <c r="FU276" s="5" t="s">
        <v>206</v>
      </c>
      <c r="FV276" s="5">
        <f t="shared" ref="FV276:FV293" si="860">IF(FU276="No",0,
IF(FU276="Sí, unas pocas veces",1,
IF(FU276="Sí, mensualmente",2,
IF(FU276="Sí, semanalmente",3,
IF(FU276="Sí, diariamente",4,"")))))</f>
        <v>0</v>
      </c>
      <c r="FW276" s="5" t="s">
        <v>206</v>
      </c>
      <c r="FX276" s="5">
        <f t="shared" ref="FX276:FX293" si="861">IF(FW276="No",0,
IF(FW276="Sí, unas pocas veces",1,
IF(FW276="Sí, mensualmente",2,
IF(FW276="Sí, semanalmente",3,
IF(FW276="Sí, diariamente",4,"")))))</f>
        <v>0</v>
      </c>
      <c r="FY276" s="5" t="s">
        <v>206</v>
      </c>
      <c r="FZ276" s="5">
        <f t="shared" ref="FZ276:FZ293" si="862">IF(FY276="No",0,
IF(FY276="Sí, unas pocas veces",1,
IF(FY276="Sí, mensualmente",2,
IF(FY276="Sí, semanalmente",3,
IF(FY276="Sí, diariamente",4,"")))))</f>
        <v>0</v>
      </c>
      <c r="GA276" s="5" t="s">
        <v>206</v>
      </c>
      <c r="GB276" s="5">
        <f t="shared" ref="GB276:GB293" si="863">IF(GA276="No",0,
IF(GA276="Sí, unas pocas veces",1,
IF(GA276="Sí, mensualmente",2,
IF(GA276="Sí, semanalmente",3,
IF(GA276="Sí, diariamente",4,"")))))</f>
        <v>0</v>
      </c>
      <c r="GC276" s="5" t="s">
        <v>206</v>
      </c>
      <c r="GD276" s="5">
        <f t="shared" ref="GD276:GD293" si="864">IF(GC276="No",0,
IF(GC276="Sí, unas pocas veces",1,
IF(GC276="Sí, mensualmente",2,
IF(GC276="Sí, semanalmente",3,
IF(GC276="Sí, diariamente",4,"")))))</f>
        <v>0</v>
      </c>
      <c r="GE276" s="5">
        <f t="shared" ref="GE276:GE293" si="865">SUM(FR276,FT276,FV276,FX276,FZ276,GB276,GD276)</f>
        <v>0</v>
      </c>
      <c r="GF276" s="5" t="str">
        <f t="shared" ref="GF276:GF293" si="866">IF(GE276&lt;=0,"Nivel de riesgo bajo",
IF(GE276&lt;=14,"Nivel de riesgo medio",
"Nivel de riesgo alto"))</f>
        <v>Nivel de riesgo bajo</v>
      </c>
      <c r="GG276" s="5" t="s">
        <v>255</v>
      </c>
      <c r="GH276" s="5" t="s">
        <v>255</v>
      </c>
      <c r="GI276" s="5" t="s">
        <v>255</v>
      </c>
      <c r="GJ276" s="5" t="s">
        <v>255</v>
      </c>
      <c r="GK276" s="5" t="s">
        <v>233</v>
      </c>
      <c r="GL276" s="5" t="s">
        <v>233</v>
      </c>
      <c r="GM276" s="5" t="s">
        <v>233</v>
      </c>
      <c r="GN276" s="5" t="s">
        <v>234</v>
      </c>
      <c r="GO276" s="5" t="s">
        <v>234</v>
      </c>
      <c r="GP276" s="5" t="s">
        <v>234</v>
      </c>
      <c r="GQ276" s="5" t="s">
        <v>244</v>
      </c>
      <c r="GR276" s="5" t="s">
        <v>244</v>
      </c>
      <c r="GS276" s="5" t="s">
        <v>244</v>
      </c>
      <c r="GT276" s="5" t="s">
        <v>244</v>
      </c>
      <c r="GU276" s="5" t="s">
        <v>630</v>
      </c>
      <c r="GV276" s="5" t="str">
        <f>TEXT("6279638270419240134","0")</f>
        <v>6279638270419240000</v>
      </c>
    </row>
    <row r="277" spans="1:204" ht="15.75" customHeight="1" x14ac:dyDescent="0.15">
      <c r="A277" s="1">
        <f t="shared" si="816"/>
        <v>277</v>
      </c>
      <c r="B277" s="4">
        <v>45848.410983796297</v>
      </c>
      <c r="C277" s="5" t="s">
        <v>204</v>
      </c>
      <c r="D277" s="5" t="s">
        <v>204</v>
      </c>
      <c r="E277" s="5" t="s">
        <v>335</v>
      </c>
      <c r="F277" s="5" t="s">
        <v>206</v>
      </c>
      <c r="G277" s="5" t="s">
        <v>206</v>
      </c>
      <c r="H277" s="5" t="s">
        <v>204</v>
      </c>
      <c r="K277" s="5" t="s">
        <v>237</v>
      </c>
      <c r="P277" s="5" t="s">
        <v>237</v>
      </c>
      <c r="T277" s="5" t="s">
        <v>209</v>
      </c>
      <c r="X277" s="5" t="s">
        <v>208</v>
      </c>
      <c r="AC277" s="5" t="s">
        <v>208</v>
      </c>
      <c r="AH277" s="5" t="s">
        <v>275</v>
      </c>
      <c r="AI277" s="5">
        <v>2004</v>
      </c>
      <c r="AJ277" s="5" t="s">
        <v>238</v>
      </c>
      <c r="AK277" s="5" t="str">
        <f t="shared" si="817"/>
        <v>Trabajadora por cuenta propia</v>
      </c>
      <c r="AL277" s="5" t="s">
        <v>239</v>
      </c>
      <c r="AP277" s="5" t="s">
        <v>297</v>
      </c>
      <c r="AR277" s="5" t="s">
        <v>261</v>
      </c>
      <c r="AS277" s="5" t="s">
        <v>261</v>
      </c>
      <c r="AT277" s="5" t="s">
        <v>261</v>
      </c>
      <c r="AU277" s="5" t="s">
        <v>261</v>
      </c>
      <c r="AV277" s="5" t="s">
        <v>213</v>
      </c>
      <c r="AW277" s="5" t="s">
        <v>204</v>
      </c>
      <c r="AX277" s="5" t="s">
        <v>204</v>
      </c>
      <c r="AY277" s="5" t="s">
        <v>214</v>
      </c>
      <c r="AZ277" s="5" t="s">
        <v>204</v>
      </c>
      <c r="BA277" s="5" t="s">
        <v>295</v>
      </c>
      <c r="BB277" s="5" t="s">
        <v>206</v>
      </c>
      <c r="BC277" s="5" t="s">
        <v>206</v>
      </c>
      <c r="BD277" s="5" t="s">
        <v>206</v>
      </c>
      <c r="BE277" s="5" t="s">
        <v>204</v>
      </c>
      <c r="BF277" s="5" t="s">
        <v>204</v>
      </c>
      <c r="BG277" s="5" t="s">
        <v>207</v>
      </c>
      <c r="BH277" s="5" t="s">
        <v>215</v>
      </c>
      <c r="BI277" s="5" t="s">
        <v>207</v>
      </c>
      <c r="BJ277" s="5" t="s">
        <v>215</v>
      </c>
      <c r="BK277" s="5" t="s">
        <v>246</v>
      </c>
      <c r="BL277" s="5" t="s">
        <v>246</v>
      </c>
      <c r="BM277" s="5" t="s">
        <v>246</v>
      </c>
      <c r="BN277" s="5" t="s">
        <v>246</v>
      </c>
      <c r="BO277" s="5" t="s">
        <v>246</v>
      </c>
      <c r="BP277" s="5" t="s">
        <v>246</v>
      </c>
      <c r="BQ277" s="5" t="s">
        <v>245</v>
      </c>
      <c r="BR277" s="5" t="s">
        <v>246</v>
      </c>
      <c r="BS277" s="5" t="s">
        <v>254</v>
      </c>
      <c r="BT277" s="5" t="s">
        <v>247</v>
      </c>
      <c r="BU277" s="5" t="s">
        <v>254</v>
      </c>
      <c r="BV277" s="5" t="s">
        <v>254</v>
      </c>
      <c r="BW277" s="5" t="s">
        <v>254</v>
      </c>
      <c r="BX277" s="5" t="s">
        <v>254</v>
      </c>
      <c r="BY277" s="5" t="s">
        <v>247</v>
      </c>
      <c r="BZ277" s="5" t="s">
        <v>244</v>
      </c>
      <c r="CA277" s="5" t="s">
        <v>243</v>
      </c>
      <c r="CB277" s="5" t="s">
        <v>244</v>
      </c>
      <c r="CC277" s="5" t="s">
        <v>245</v>
      </c>
      <c r="CD277" s="5" t="s">
        <v>206</v>
      </c>
      <c r="CH277" s="5" t="s">
        <v>206</v>
      </c>
      <c r="CI277" s="5" t="s">
        <v>206</v>
      </c>
      <c r="CJ277" s="5">
        <v>1</v>
      </c>
      <c r="CK277" s="5" t="s">
        <v>223</v>
      </c>
      <c r="CU277" s="5" t="s">
        <v>206</v>
      </c>
      <c r="DA277" s="5" t="s">
        <v>252</v>
      </c>
      <c r="DB277" s="5">
        <f t="shared" si="818"/>
        <v>3</v>
      </c>
      <c r="DC277" s="5" t="s">
        <v>250</v>
      </c>
      <c r="DD277" s="5">
        <f t="shared" si="819"/>
        <v>3</v>
      </c>
      <c r="DE277" s="5" t="s">
        <v>250</v>
      </c>
      <c r="DF277" s="5">
        <f t="shared" si="820"/>
        <v>3</v>
      </c>
      <c r="DG277" s="5" t="s">
        <v>250</v>
      </c>
      <c r="DH277" s="5">
        <f t="shared" si="821"/>
        <v>3</v>
      </c>
      <c r="DI277" s="5" t="s">
        <v>250</v>
      </c>
      <c r="DJ277" s="5">
        <f t="shared" si="822"/>
        <v>3</v>
      </c>
      <c r="DK277" s="5" t="s">
        <v>250</v>
      </c>
      <c r="DL277" s="5">
        <f t="shared" si="823"/>
        <v>3</v>
      </c>
      <c r="DM277" s="5" t="s">
        <v>251</v>
      </c>
      <c r="DN277" s="5">
        <f t="shared" si="824"/>
        <v>1</v>
      </c>
      <c r="DO277" s="5" t="s">
        <v>281</v>
      </c>
      <c r="DP277" s="5">
        <f t="shared" si="825"/>
        <v>1</v>
      </c>
      <c r="DQ277" s="5" t="s">
        <v>231</v>
      </c>
      <c r="DR277" s="5">
        <f t="shared" si="826"/>
        <v>2</v>
      </c>
      <c r="DS277" s="5" t="s">
        <v>231</v>
      </c>
      <c r="DT277" s="5">
        <f t="shared" si="827"/>
        <v>2</v>
      </c>
      <c r="DU277" s="5" t="s">
        <v>231</v>
      </c>
      <c r="DV277" s="5">
        <f t="shared" si="828"/>
        <v>2</v>
      </c>
      <c r="DW277" s="5" t="s">
        <v>252</v>
      </c>
      <c r="DX277" s="5">
        <f t="shared" si="829"/>
        <v>3</v>
      </c>
      <c r="DY277" s="5">
        <f t="shared" si="830"/>
        <v>29</v>
      </c>
      <c r="DZ277" s="5" t="str">
        <f t="shared" si="831"/>
        <v>Nivel de riesgo alto</v>
      </c>
      <c r="EA277" s="5" t="s">
        <v>247</v>
      </c>
      <c r="EB277" s="5">
        <f t="shared" si="832"/>
        <v>2</v>
      </c>
      <c r="EC277" s="5" t="s">
        <v>247</v>
      </c>
      <c r="ED277" s="5">
        <f t="shared" si="833"/>
        <v>2</v>
      </c>
      <c r="EE277" s="5" t="s">
        <v>247</v>
      </c>
      <c r="EF277" s="5">
        <f t="shared" si="834"/>
        <v>2</v>
      </c>
      <c r="EG277" s="5">
        <f t="shared" si="835"/>
        <v>6</v>
      </c>
      <c r="EH277" s="5" t="str">
        <f t="shared" si="836"/>
        <v>Nivel de riesgo alto</v>
      </c>
      <c r="EI277" s="5" t="s">
        <v>247</v>
      </c>
      <c r="EJ277" s="5">
        <f t="shared" si="837"/>
        <v>2</v>
      </c>
      <c r="EK277" s="5" t="s">
        <v>247</v>
      </c>
      <c r="EL277" s="5">
        <f t="shared" si="838"/>
        <v>2</v>
      </c>
      <c r="EM277" s="5" t="s">
        <v>232</v>
      </c>
      <c r="EN277" s="5">
        <f t="shared" si="839"/>
        <v>3</v>
      </c>
      <c r="EO277" s="5">
        <f t="shared" si="840"/>
        <v>7</v>
      </c>
      <c r="EP277" s="5" t="str">
        <f t="shared" si="841"/>
        <v>Nivel de riesgo alto</v>
      </c>
      <c r="EQ277" s="5" t="s">
        <v>247</v>
      </c>
      <c r="ER277" s="5">
        <f t="shared" si="842"/>
        <v>2</v>
      </c>
      <c r="ES277" s="5" t="s">
        <v>247</v>
      </c>
      <c r="ET277" s="5">
        <f t="shared" si="843"/>
        <v>2</v>
      </c>
      <c r="EU277" s="5" t="s">
        <v>247</v>
      </c>
      <c r="EV277" s="5">
        <f t="shared" si="844"/>
        <v>2</v>
      </c>
      <c r="EW277" s="5" t="s">
        <v>248</v>
      </c>
      <c r="EX277" s="5">
        <f t="shared" si="845"/>
        <v>3</v>
      </c>
      <c r="EY277" s="5">
        <f t="shared" si="846"/>
        <v>9</v>
      </c>
      <c r="EZ277" s="5" t="str">
        <f t="shared" si="847"/>
        <v>Nivel de riesgo alto</v>
      </c>
      <c r="FA277" s="5" t="s">
        <v>248</v>
      </c>
      <c r="FB277" s="5">
        <f t="shared" si="848"/>
        <v>1</v>
      </c>
      <c r="FC277" s="5" t="s">
        <v>247</v>
      </c>
      <c r="FD277" s="5">
        <f t="shared" si="849"/>
        <v>2</v>
      </c>
      <c r="FE277" s="5" t="s">
        <v>247</v>
      </c>
      <c r="FF277" s="5">
        <f t="shared" si="850"/>
        <v>2</v>
      </c>
      <c r="FG277" s="5">
        <f t="shared" si="851"/>
        <v>5</v>
      </c>
      <c r="FH277" s="5" t="str">
        <f t="shared" si="852"/>
        <v>Nivel de riesgo medio</v>
      </c>
      <c r="FI277" s="5" t="s">
        <v>247</v>
      </c>
      <c r="FJ277" s="5">
        <f t="shared" si="853"/>
        <v>2</v>
      </c>
      <c r="FK277" s="5" t="s">
        <v>247</v>
      </c>
      <c r="FL277" s="5">
        <f t="shared" si="854"/>
        <v>2</v>
      </c>
      <c r="FM277" s="5" t="s">
        <v>247</v>
      </c>
      <c r="FN277" s="5">
        <f t="shared" si="855"/>
        <v>2</v>
      </c>
      <c r="FO277" s="5">
        <f t="shared" si="856"/>
        <v>6</v>
      </c>
      <c r="FP277" s="5" t="str">
        <f t="shared" si="857"/>
        <v>Nivel de riesgo alto</v>
      </c>
      <c r="FQ277" s="5" t="s">
        <v>206</v>
      </c>
      <c r="FR277" s="5">
        <f t="shared" si="858"/>
        <v>0</v>
      </c>
      <c r="FS277" s="5" t="s">
        <v>265</v>
      </c>
      <c r="FT277" s="5">
        <f t="shared" si="859"/>
        <v>1</v>
      </c>
      <c r="FU277" s="5" t="s">
        <v>206</v>
      </c>
      <c r="FV277" s="5">
        <f t="shared" si="860"/>
        <v>0</v>
      </c>
      <c r="FW277" s="5" t="s">
        <v>206</v>
      </c>
      <c r="FX277" s="5">
        <f t="shared" si="861"/>
        <v>0</v>
      </c>
      <c r="FY277" s="5" t="s">
        <v>206</v>
      </c>
      <c r="FZ277" s="5">
        <f t="shared" si="862"/>
        <v>0</v>
      </c>
      <c r="GA277" s="5" t="s">
        <v>206</v>
      </c>
      <c r="GB277" s="5">
        <f t="shared" si="863"/>
        <v>0</v>
      </c>
      <c r="GC277" s="5" t="s">
        <v>206</v>
      </c>
      <c r="GD277" s="5">
        <f t="shared" si="864"/>
        <v>0</v>
      </c>
      <c r="GE277" s="5">
        <f t="shared" si="865"/>
        <v>1</v>
      </c>
      <c r="GF277" s="5" t="str">
        <f t="shared" si="866"/>
        <v>Nivel de riesgo medio</v>
      </c>
      <c r="GG277" s="5" t="s">
        <v>255</v>
      </c>
      <c r="GH277" s="5" t="s">
        <v>233</v>
      </c>
      <c r="GI277" s="5" t="s">
        <v>273</v>
      </c>
      <c r="GJ277" s="5" t="s">
        <v>233</v>
      </c>
      <c r="GK277" s="5" t="s">
        <v>233</v>
      </c>
      <c r="GL277" s="5" t="s">
        <v>255</v>
      </c>
      <c r="GM277" s="5" t="s">
        <v>255</v>
      </c>
      <c r="GN277" s="5" t="s">
        <v>243</v>
      </c>
      <c r="GO277" s="5" t="s">
        <v>244</v>
      </c>
      <c r="GP277" s="5" t="s">
        <v>244</v>
      </c>
      <c r="GQ277" s="5" t="s">
        <v>234</v>
      </c>
      <c r="GR277" s="5" t="s">
        <v>234</v>
      </c>
      <c r="GS277" s="5" t="s">
        <v>244</v>
      </c>
      <c r="GT277" s="5" t="s">
        <v>256</v>
      </c>
      <c r="GU277" s="5" t="s">
        <v>631</v>
      </c>
      <c r="GV277" s="5" t="str">
        <f>TEXT("6279647096221052136","0")</f>
        <v>6279647096221050000</v>
      </c>
    </row>
    <row r="278" spans="1:204" ht="15.75" customHeight="1" x14ac:dyDescent="0.15">
      <c r="A278" s="1">
        <f t="shared" si="816"/>
        <v>278</v>
      </c>
      <c r="B278" s="4">
        <v>45848.413263888891</v>
      </c>
      <c r="C278" s="5" t="s">
        <v>204</v>
      </c>
      <c r="D278" s="5" t="s">
        <v>206</v>
      </c>
      <c r="F278" s="5" t="s">
        <v>204</v>
      </c>
      <c r="G278" s="5" t="s">
        <v>204</v>
      </c>
      <c r="H278" s="5" t="s">
        <v>204</v>
      </c>
      <c r="J278" s="5" t="s">
        <v>209</v>
      </c>
      <c r="N278" s="5" t="s">
        <v>208</v>
      </c>
      <c r="S278" s="5" t="s">
        <v>208</v>
      </c>
      <c r="X278" s="5" t="s">
        <v>208</v>
      </c>
      <c r="AC278" s="5" t="s">
        <v>208</v>
      </c>
      <c r="AH278" s="5" t="s">
        <v>268</v>
      </c>
      <c r="AI278" s="5">
        <v>2019</v>
      </c>
      <c r="AJ278" s="5" t="s">
        <v>337</v>
      </c>
      <c r="AK278" s="5" t="str">
        <f t="shared" si="817"/>
        <v>Asalariada</v>
      </c>
      <c r="AQ278" s="5" t="s">
        <v>204</v>
      </c>
      <c r="AR278" s="5" t="s">
        <v>301</v>
      </c>
      <c r="AS278" s="5" t="s">
        <v>301</v>
      </c>
      <c r="AT278" s="5" t="s">
        <v>301</v>
      </c>
      <c r="AU278" s="5" t="s">
        <v>301</v>
      </c>
      <c r="AV278" s="5" t="s">
        <v>285</v>
      </c>
      <c r="AW278" s="5" t="s">
        <v>204</v>
      </c>
      <c r="AX278" s="5" t="s">
        <v>204</v>
      </c>
      <c r="AY278" s="5" t="s">
        <v>214</v>
      </c>
      <c r="AZ278" s="5" t="s">
        <v>204</v>
      </c>
      <c r="BA278" s="5" t="s">
        <v>295</v>
      </c>
      <c r="BB278" s="5" t="s">
        <v>204</v>
      </c>
      <c r="BC278" s="5" t="s">
        <v>206</v>
      </c>
      <c r="BD278" s="5" t="s">
        <v>290</v>
      </c>
      <c r="BE278" s="5" t="s">
        <v>204</v>
      </c>
      <c r="BF278" s="5" t="s">
        <v>204</v>
      </c>
      <c r="BG278" s="5" t="s">
        <v>242</v>
      </c>
      <c r="BH278" s="5" t="s">
        <v>264</v>
      </c>
      <c r="BI278" s="5" t="s">
        <v>242</v>
      </c>
      <c r="BJ278" s="5" t="s">
        <v>242</v>
      </c>
      <c r="BK278" s="5" t="s">
        <v>243</v>
      </c>
      <c r="BL278" s="5" t="s">
        <v>243</v>
      </c>
      <c r="BM278" s="5" t="s">
        <v>243</v>
      </c>
      <c r="BN278" s="5" t="s">
        <v>243</v>
      </c>
      <c r="BO278" s="5" t="s">
        <v>243</v>
      </c>
      <c r="BP278" s="5" t="s">
        <v>243</v>
      </c>
      <c r="BQ278" s="5" t="s">
        <v>243</v>
      </c>
      <c r="BR278" s="5" t="s">
        <v>243</v>
      </c>
      <c r="BS278" s="5" t="s">
        <v>254</v>
      </c>
      <c r="BT278" s="5" t="s">
        <v>254</v>
      </c>
      <c r="BU278" s="5" t="s">
        <v>254</v>
      </c>
      <c r="BV278" s="5" t="s">
        <v>254</v>
      </c>
      <c r="BW278" s="5" t="s">
        <v>254</v>
      </c>
      <c r="BX278" s="5" t="s">
        <v>254</v>
      </c>
      <c r="BY278" s="5" t="s">
        <v>254</v>
      </c>
      <c r="BZ278" s="5" t="s">
        <v>245</v>
      </c>
      <c r="CA278" s="5" t="s">
        <v>245</v>
      </c>
      <c r="CB278" s="5" t="s">
        <v>245</v>
      </c>
      <c r="CC278" s="5" t="s">
        <v>245</v>
      </c>
      <c r="CD278" s="5" t="s">
        <v>204</v>
      </c>
      <c r="CE278" s="5" t="s">
        <v>286</v>
      </c>
      <c r="CF278" s="5" t="s">
        <v>279</v>
      </c>
      <c r="CG278" s="5" t="s">
        <v>220</v>
      </c>
      <c r="CH278" s="5" t="s">
        <v>632</v>
      </c>
      <c r="CI278" s="5" t="s">
        <v>633</v>
      </c>
      <c r="CJ278" s="5">
        <v>5</v>
      </c>
      <c r="CK278" s="5" t="s">
        <v>223</v>
      </c>
      <c r="CU278" s="5" t="s">
        <v>206</v>
      </c>
      <c r="DA278" s="5" t="s">
        <v>252</v>
      </c>
      <c r="DB278" s="5">
        <f t="shared" si="818"/>
        <v>3</v>
      </c>
      <c r="DC278" s="5" t="s">
        <v>230</v>
      </c>
      <c r="DD278" s="5">
        <f t="shared" si="819"/>
        <v>2</v>
      </c>
      <c r="DE278" s="5" t="s">
        <v>251</v>
      </c>
      <c r="DF278" s="5">
        <f t="shared" si="820"/>
        <v>1</v>
      </c>
      <c r="DG278" s="5" t="s">
        <v>230</v>
      </c>
      <c r="DH278" s="5">
        <f t="shared" si="821"/>
        <v>2</v>
      </c>
      <c r="DI278" s="5" t="s">
        <v>280</v>
      </c>
      <c r="DJ278" s="5">
        <f t="shared" si="822"/>
        <v>4</v>
      </c>
      <c r="DK278" s="5" t="s">
        <v>250</v>
      </c>
      <c r="DL278" s="5">
        <f t="shared" si="823"/>
        <v>3</v>
      </c>
      <c r="DM278" s="5" t="s">
        <v>250</v>
      </c>
      <c r="DN278" s="5">
        <f t="shared" si="824"/>
        <v>3</v>
      </c>
      <c r="DO278" s="5" t="s">
        <v>231</v>
      </c>
      <c r="DP278" s="5">
        <f t="shared" si="825"/>
        <v>2</v>
      </c>
      <c r="DQ278" s="5" t="s">
        <v>281</v>
      </c>
      <c r="DR278" s="5">
        <f t="shared" si="826"/>
        <v>1</v>
      </c>
      <c r="DS278" s="5" t="s">
        <v>281</v>
      </c>
      <c r="DT278" s="5">
        <f t="shared" si="827"/>
        <v>1</v>
      </c>
      <c r="DU278" s="5" t="s">
        <v>231</v>
      </c>
      <c r="DV278" s="5">
        <f t="shared" si="828"/>
        <v>2</v>
      </c>
      <c r="DW278" s="5" t="s">
        <v>231</v>
      </c>
      <c r="DX278" s="5">
        <f t="shared" si="829"/>
        <v>2</v>
      </c>
      <c r="DY278" s="5">
        <f t="shared" si="830"/>
        <v>26</v>
      </c>
      <c r="DZ278" s="5" t="str">
        <f t="shared" si="831"/>
        <v>Nivel de riesgo alto</v>
      </c>
      <c r="EA278" s="5" t="s">
        <v>232</v>
      </c>
      <c r="EB278" s="5">
        <f t="shared" si="832"/>
        <v>3</v>
      </c>
      <c r="EC278" s="5" t="s">
        <v>247</v>
      </c>
      <c r="ED278" s="5">
        <f t="shared" si="833"/>
        <v>2</v>
      </c>
      <c r="EE278" s="5" t="s">
        <v>253</v>
      </c>
      <c r="EF278" s="5">
        <f t="shared" si="834"/>
        <v>0</v>
      </c>
      <c r="EG278" s="5">
        <f t="shared" si="835"/>
        <v>5</v>
      </c>
      <c r="EH278" s="5" t="str">
        <f t="shared" si="836"/>
        <v>Nivel de riesgo alto</v>
      </c>
      <c r="EI278" s="5" t="s">
        <v>253</v>
      </c>
      <c r="EJ278" s="5">
        <f t="shared" si="837"/>
        <v>0</v>
      </c>
      <c r="EK278" s="5" t="s">
        <v>253</v>
      </c>
      <c r="EL278" s="5">
        <f t="shared" si="838"/>
        <v>0</v>
      </c>
      <c r="EM278" s="5" t="s">
        <v>253</v>
      </c>
      <c r="EN278" s="5">
        <f t="shared" si="839"/>
        <v>0</v>
      </c>
      <c r="EO278" s="5">
        <f t="shared" si="840"/>
        <v>0</v>
      </c>
      <c r="EP278" s="5" t="str">
        <f t="shared" si="841"/>
        <v>Nivel de riesgo bajo</v>
      </c>
      <c r="EQ278" s="5" t="s">
        <v>253</v>
      </c>
      <c r="ER278" s="5">
        <f t="shared" si="842"/>
        <v>4</v>
      </c>
      <c r="ES278" s="5" t="s">
        <v>253</v>
      </c>
      <c r="ET278" s="5">
        <f t="shared" si="843"/>
        <v>4</v>
      </c>
      <c r="EU278" s="5" t="s">
        <v>253</v>
      </c>
      <c r="EV278" s="5">
        <f t="shared" si="844"/>
        <v>4</v>
      </c>
      <c r="EW278" s="5" t="s">
        <v>253</v>
      </c>
      <c r="EX278" s="5">
        <f t="shared" si="845"/>
        <v>4</v>
      </c>
      <c r="EY278" s="5">
        <f t="shared" si="846"/>
        <v>16</v>
      </c>
      <c r="EZ278" s="5" t="str">
        <f t="shared" si="847"/>
        <v>Nivel de riesgo alto</v>
      </c>
      <c r="FA278" s="5" t="s">
        <v>253</v>
      </c>
      <c r="FB278" s="5">
        <f t="shared" si="848"/>
        <v>0</v>
      </c>
      <c r="FC278" s="5" t="s">
        <v>253</v>
      </c>
      <c r="FD278" s="5">
        <f t="shared" si="849"/>
        <v>0</v>
      </c>
      <c r="FE278" s="5" t="s">
        <v>253</v>
      </c>
      <c r="FF278" s="5">
        <f t="shared" si="850"/>
        <v>0</v>
      </c>
      <c r="FG278" s="5">
        <f t="shared" si="851"/>
        <v>0</v>
      </c>
      <c r="FH278" s="5" t="str">
        <f t="shared" si="852"/>
        <v>Nivel de riesgo bajo</v>
      </c>
      <c r="FI278" s="5" t="s">
        <v>253</v>
      </c>
      <c r="FJ278" s="5">
        <f t="shared" si="853"/>
        <v>0</v>
      </c>
      <c r="FK278" s="5" t="s">
        <v>253</v>
      </c>
      <c r="FL278" s="5">
        <f t="shared" si="854"/>
        <v>0</v>
      </c>
      <c r="FM278" s="5" t="s">
        <v>253</v>
      </c>
      <c r="FN278" s="5">
        <f t="shared" si="855"/>
        <v>0</v>
      </c>
      <c r="FO278" s="5">
        <f t="shared" si="856"/>
        <v>0</v>
      </c>
      <c r="FP278" s="5" t="str">
        <f t="shared" si="857"/>
        <v>Nivel de riesgo bajo</v>
      </c>
      <c r="FQ278" s="5" t="s">
        <v>206</v>
      </c>
      <c r="FR278" s="5">
        <f t="shared" si="858"/>
        <v>0</v>
      </c>
      <c r="FS278" s="5" t="s">
        <v>206</v>
      </c>
      <c r="FT278" s="5">
        <f t="shared" si="859"/>
        <v>0</v>
      </c>
      <c r="FU278" s="5" t="s">
        <v>265</v>
      </c>
      <c r="FV278" s="5">
        <f t="shared" si="860"/>
        <v>1</v>
      </c>
      <c r="FW278" s="5" t="s">
        <v>265</v>
      </c>
      <c r="FX278" s="5">
        <f t="shared" si="861"/>
        <v>1</v>
      </c>
      <c r="FY278" s="5" t="s">
        <v>265</v>
      </c>
      <c r="FZ278" s="5">
        <f t="shared" si="862"/>
        <v>1</v>
      </c>
      <c r="GA278" s="5" t="s">
        <v>206</v>
      </c>
      <c r="GB278" s="5">
        <f t="shared" si="863"/>
        <v>0</v>
      </c>
      <c r="GC278" s="5" t="s">
        <v>206</v>
      </c>
      <c r="GD278" s="5">
        <f t="shared" si="864"/>
        <v>0</v>
      </c>
      <c r="GE278" s="5">
        <f t="shared" si="865"/>
        <v>3</v>
      </c>
      <c r="GF278" s="5" t="str">
        <f t="shared" si="866"/>
        <v>Nivel de riesgo medio</v>
      </c>
      <c r="GG278" s="5" t="s">
        <v>233</v>
      </c>
      <c r="GH278" s="5" t="s">
        <v>298</v>
      </c>
      <c r="GI278" s="5" t="s">
        <v>298</v>
      </c>
      <c r="GJ278" s="5" t="s">
        <v>298</v>
      </c>
      <c r="GK278" s="5" t="s">
        <v>298</v>
      </c>
      <c r="GL278" s="5" t="s">
        <v>298</v>
      </c>
      <c r="GM278" s="5" t="s">
        <v>298</v>
      </c>
      <c r="GN278" s="5" t="s">
        <v>256</v>
      </c>
      <c r="GO278" s="5" t="s">
        <v>256</v>
      </c>
      <c r="GP278" s="5" t="s">
        <v>256</v>
      </c>
      <c r="GQ278" s="5" t="s">
        <v>256</v>
      </c>
      <c r="GR278" s="5" t="s">
        <v>256</v>
      </c>
      <c r="GS278" s="5" t="s">
        <v>256</v>
      </c>
      <c r="GT278" s="5" t="s">
        <v>256</v>
      </c>
      <c r="GU278" s="5" t="s">
        <v>634</v>
      </c>
      <c r="GV278" s="5" t="str">
        <f>TEXT("6279649064329920203","0")</f>
        <v>6279649064329920000</v>
      </c>
    </row>
    <row r="279" spans="1:204" ht="15.75" customHeight="1" x14ac:dyDescent="0.15">
      <c r="A279" s="1">
        <f t="shared" si="816"/>
        <v>279</v>
      </c>
      <c r="B279" s="4">
        <v>45848.424826388888</v>
      </c>
      <c r="C279" s="5" t="s">
        <v>204</v>
      </c>
      <c r="D279" s="5" t="s">
        <v>206</v>
      </c>
      <c r="F279" s="5" t="s">
        <v>206</v>
      </c>
      <c r="G279" s="5" t="s">
        <v>204</v>
      </c>
      <c r="H279" s="5" t="s">
        <v>206</v>
      </c>
      <c r="K279" s="5" t="s">
        <v>237</v>
      </c>
      <c r="O279" s="5" t="s">
        <v>209</v>
      </c>
      <c r="U279" s="5" t="s">
        <v>237</v>
      </c>
      <c r="Y279" s="5" t="s">
        <v>209</v>
      </c>
      <c r="AE279" s="5" t="s">
        <v>237</v>
      </c>
      <c r="AH279" s="5" t="s">
        <v>210</v>
      </c>
      <c r="AI279" s="5">
        <v>2009</v>
      </c>
      <c r="AJ279" s="5" t="s">
        <v>238</v>
      </c>
      <c r="AK279" s="5" t="str">
        <f t="shared" si="817"/>
        <v>Trabajadora por cuenta propia</v>
      </c>
      <c r="AN279" s="5" t="s">
        <v>288</v>
      </c>
      <c r="AP279" s="5" t="s">
        <v>297</v>
      </c>
      <c r="AR279" s="5" t="s">
        <v>241</v>
      </c>
      <c r="AS279" s="5" t="s">
        <v>241</v>
      </c>
      <c r="AT279" s="5" t="s">
        <v>261</v>
      </c>
      <c r="AU279" s="5" t="s">
        <v>261</v>
      </c>
      <c r="AV279" s="5" t="s">
        <v>269</v>
      </c>
      <c r="AW279" s="5" t="s">
        <v>204</v>
      </c>
      <c r="AX279" s="5" t="s">
        <v>204</v>
      </c>
      <c r="AY279" s="5" t="s">
        <v>214</v>
      </c>
      <c r="AZ279" s="5" t="s">
        <v>204</v>
      </c>
      <c r="BA279" s="5" t="s">
        <v>344</v>
      </c>
      <c r="BF279" s="5" t="s">
        <v>204</v>
      </c>
      <c r="BG279" s="5" t="s">
        <v>215</v>
      </c>
      <c r="BH279" s="5" t="s">
        <v>215</v>
      </c>
      <c r="BI279" s="5" t="s">
        <v>215</v>
      </c>
      <c r="BJ279" s="5" t="s">
        <v>215</v>
      </c>
      <c r="BK279" s="5" t="s">
        <v>246</v>
      </c>
      <c r="BL279" s="5" t="s">
        <v>246</v>
      </c>
      <c r="BM279" s="5" t="s">
        <v>246</v>
      </c>
      <c r="BN279" s="5" t="s">
        <v>216</v>
      </c>
      <c r="BO279" s="5" t="s">
        <v>216</v>
      </c>
      <c r="BP279" s="5" t="s">
        <v>246</v>
      </c>
      <c r="BQ279" s="5" t="s">
        <v>246</v>
      </c>
      <c r="BR279" s="5" t="s">
        <v>246</v>
      </c>
      <c r="BS279" s="5" t="s">
        <v>247</v>
      </c>
      <c r="BT279" s="5" t="s">
        <v>232</v>
      </c>
      <c r="BU279" s="5" t="s">
        <v>247</v>
      </c>
      <c r="BV279" s="5" t="s">
        <v>232</v>
      </c>
      <c r="BW279" s="5" t="s">
        <v>247</v>
      </c>
      <c r="BX279" s="5" t="s">
        <v>232</v>
      </c>
      <c r="BY279" s="5" t="s">
        <v>247</v>
      </c>
      <c r="BZ279" s="5" t="s">
        <v>246</v>
      </c>
      <c r="CA279" s="5" t="s">
        <v>246</v>
      </c>
      <c r="CB279" s="5" t="s">
        <v>246</v>
      </c>
      <c r="CC279" s="5" t="s">
        <v>244</v>
      </c>
      <c r="CD279" s="5" t="s">
        <v>204</v>
      </c>
      <c r="CE279" s="5" t="s">
        <v>218</v>
      </c>
      <c r="CF279" s="5" t="s">
        <v>279</v>
      </c>
      <c r="CG279" s="5" t="s">
        <v>206</v>
      </c>
      <c r="CH279" s="5" t="s">
        <v>206</v>
      </c>
      <c r="CI279" s="5" t="s">
        <v>206</v>
      </c>
      <c r="CJ279" s="5">
        <v>1</v>
      </c>
      <c r="CK279" s="5" t="s">
        <v>223</v>
      </c>
      <c r="CU279" s="5" t="s">
        <v>206</v>
      </c>
      <c r="DA279" s="5" t="s">
        <v>231</v>
      </c>
      <c r="DB279" s="5">
        <f t="shared" si="818"/>
        <v>2</v>
      </c>
      <c r="DC279" s="5" t="s">
        <v>230</v>
      </c>
      <c r="DD279" s="5">
        <f t="shared" si="819"/>
        <v>2</v>
      </c>
      <c r="DE279" s="5" t="s">
        <v>230</v>
      </c>
      <c r="DF279" s="5">
        <f t="shared" si="820"/>
        <v>2</v>
      </c>
      <c r="DG279" s="5" t="s">
        <v>250</v>
      </c>
      <c r="DH279" s="5">
        <f t="shared" si="821"/>
        <v>3</v>
      </c>
      <c r="DI279" s="5" t="s">
        <v>230</v>
      </c>
      <c r="DJ279" s="5">
        <f t="shared" si="822"/>
        <v>2</v>
      </c>
      <c r="DK279" s="5" t="s">
        <v>230</v>
      </c>
      <c r="DL279" s="5">
        <f t="shared" si="823"/>
        <v>2</v>
      </c>
      <c r="DM279" s="5" t="s">
        <v>251</v>
      </c>
      <c r="DN279" s="5">
        <f t="shared" si="824"/>
        <v>1</v>
      </c>
      <c r="DO279" s="5" t="s">
        <v>231</v>
      </c>
      <c r="DP279" s="5">
        <f t="shared" si="825"/>
        <v>2</v>
      </c>
      <c r="DQ279" s="5" t="s">
        <v>231</v>
      </c>
      <c r="DR279" s="5">
        <f t="shared" si="826"/>
        <v>2</v>
      </c>
      <c r="DS279" s="5" t="s">
        <v>252</v>
      </c>
      <c r="DT279" s="5">
        <f t="shared" si="827"/>
        <v>3</v>
      </c>
      <c r="DU279" s="5" t="s">
        <v>231</v>
      </c>
      <c r="DV279" s="5">
        <f t="shared" si="828"/>
        <v>2</v>
      </c>
      <c r="DW279" s="5" t="s">
        <v>252</v>
      </c>
      <c r="DX279" s="5">
        <f t="shared" si="829"/>
        <v>3</v>
      </c>
      <c r="DY279" s="5">
        <f t="shared" si="830"/>
        <v>26</v>
      </c>
      <c r="DZ279" s="5" t="str">
        <f t="shared" si="831"/>
        <v>Nivel de riesgo alto</v>
      </c>
      <c r="EA279" s="5" t="s">
        <v>248</v>
      </c>
      <c r="EB279" s="5">
        <f t="shared" si="832"/>
        <v>1</v>
      </c>
      <c r="EC279" s="5" t="s">
        <v>247</v>
      </c>
      <c r="ED279" s="5">
        <f t="shared" si="833"/>
        <v>2</v>
      </c>
      <c r="EE279" s="5" t="s">
        <v>248</v>
      </c>
      <c r="EF279" s="5">
        <f t="shared" si="834"/>
        <v>1</v>
      </c>
      <c r="EG279" s="5">
        <f t="shared" si="835"/>
        <v>4</v>
      </c>
      <c r="EH279" s="5" t="str">
        <f t="shared" si="836"/>
        <v>Nivel de riesgo medio</v>
      </c>
      <c r="EI279" s="5" t="s">
        <v>248</v>
      </c>
      <c r="EJ279" s="5">
        <f t="shared" si="837"/>
        <v>1</v>
      </c>
      <c r="EK279" s="5" t="s">
        <v>247</v>
      </c>
      <c r="EL279" s="5">
        <f t="shared" si="838"/>
        <v>2</v>
      </c>
      <c r="EM279" s="5" t="s">
        <v>247</v>
      </c>
      <c r="EN279" s="5">
        <f t="shared" si="839"/>
        <v>2</v>
      </c>
      <c r="EO279" s="5">
        <f t="shared" si="840"/>
        <v>5</v>
      </c>
      <c r="EP279" s="5" t="str">
        <f t="shared" si="841"/>
        <v>Nivel de riesgo medio</v>
      </c>
      <c r="EQ279" s="5" t="s">
        <v>248</v>
      </c>
      <c r="ER279" s="5">
        <f t="shared" si="842"/>
        <v>3</v>
      </c>
      <c r="ES279" s="5" t="s">
        <v>248</v>
      </c>
      <c r="ET279" s="5">
        <f t="shared" si="843"/>
        <v>3</v>
      </c>
      <c r="EU279" s="5" t="s">
        <v>248</v>
      </c>
      <c r="EV279" s="5">
        <f t="shared" si="844"/>
        <v>3</v>
      </c>
      <c r="EW279" s="5" t="s">
        <v>248</v>
      </c>
      <c r="EX279" s="5">
        <f t="shared" si="845"/>
        <v>3</v>
      </c>
      <c r="EY279" s="5">
        <f t="shared" si="846"/>
        <v>12</v>
      </c>
      <c r="EZ279" s="5" t="str">
        <f t="shared" si="847"/>
        <v>Nivel de riesgo alto</v>
      </c>
      <c r="FA279" s="5" t="s">
        <v>248</v>
      </c>
      <c r="FB279" s="5">
        <f t="shared" si="848"/>
        <v>1</v>
      </c>
      <c r="FC279" s="5" t="s">
        <v>248</v>
      </c>
      <c r="FD279" s="5">
        <f t="shared" si="849"/>
        <v>1</v>
      </c>
      <c r="FE279" s="5" t="s">
        <v>248</v>
      </c>
      <c r="FF279" s="5">
        <f t="shared" si="850"/>
        <v>1</v>
      </c>
      <c r="FG279" s="5">
        <f t="shared" si="851"/>
        <v>3</v>
      </c>
      <c r="FH279" s="5" t="str">
        <f t="shared" si="852"/>
        <v>Nivel de riesgo medio</v>
      </c>
      <c r="FI279" s="5" t="s">
        <v>247</v>
      </c>
      <c r="FJ279" s="5">
        <f t="shared" si="853"/>
        <v>2</v>
      </c>
      <c r="FK279" s="5" t="s">
        <v>247</v>
      </c>
      <c r="FL279" s="5">
        <f t="shared" si="854"/>
        <v>2</v>
      </c>
      <c r="FM279" s="5" t="s">
        <v>247</v>
      </c>
      <c r="FN279" s="5">
        <f t="shared" si="855"/>
        <v>2</v>
      </c>
      <c r="FO279" s="5">
        <f t="shared" si="856"/>
        <v>6</v>
      </c>
      <c r="FP279" s="5" t="str">
        <f t="shared" si="857"/>
        <v>Nivel de riesgo alto</v>
      </c>
      <c r="FQ279" s="5" t="s">
        <v>206</v>
      </c>
      <c r="FR279" s="5">
        <f t="shared" si="858"/>
        <v>0</v>
      </c>
      <c r="FS279" s="5" t="s">
        <v>206</v>
      </c>
      <c r="FT279" s="5">
        <f t="shared" si="859"/>
        <v>0</v>
      </c>
      <c r="FU279" s="5" t="s">
        <v>206</v>
      </c>
      <c r="FV279" s="5">
        <f t="shared" si="860"/>
        <v>0</v>
      </c>
      <c r="FW279" s="5" t="s">
        <v>206</v>
      </c>
      <c r="FX279" s="5">
        <f t="shared" si="861"/>
        <v>0</v>
      </c>
      <c r="FY279" s="5" t="s">
        <v>206</v>
      </c>
      <c r="FZ279" s="5">
        <f t="shared" si="862"/>
        <v>0</v>
      </c>
      <c r="GA279" s="5" t="s">
        <v>206</v>
      </c>
      <c r="GB279" s="5">
        <f t="shared" si="863"/>
        <v>0</v>
      </c>
      <c r="GC279" s="5" t="s">
        <v>206</v>
      </c>
      <c r="GD279" s="5">
        <f t="shared" si="864"/>
        <v>0</v>
      </c>
      <c r="GE279" s="5">
        <f t="shared" si="865"/>
        <v>0</v>
      </c>
      <c r="GF279" s="5" t="str">
        <f t="shared" si="866"/>
        <v>Nivel de riesgo bajo</v>
      </c>
      <c r="GG279" s="5" t="s">
        <v>273</v>
      </c>
      <c r="GH279" s="5" t="s">
        <v>273</v>
      </c>
      <c r="GI279" s="5" t="s">
        <v>255</v>
      </c>
      <c r="GJ279" s="5" t="s">
        <v>298</v>
      </c>
      <c r="GK279" s="5" t="s">
        <v>233</v>
      </c>
      <c r="GL279" s="5" t="s">
        <v>273</v>
      </c>
      <c r="GM279" s="5" t="s">
        <v>273</v>
      </c>
      <c r="GN279" s="5" t="s">
        <v>243</v>
      </c>
      <c r="GO279" s="5" t="s">
        <v>257</v>
      </c>
      <c r="GP279" s="5" t="s">
        <v>257</v>
      </c>
      <c r="GQ279" s="5" t="s">
        <v>257</v>
      </c>
      <c r="GR279" s="5" t="s">
        <v>257</v>
      </c>
      <c r="GS279" s="5" t="s">
        <v>257</v>
      </c>
      <c r="GT279" s="5" t="s">
        <v>257</v>
      </c>
      <c r="GU279" s="5" t="s">
        <v>635</v>
      </c>
      <c r="GV279" s="5" t="str">
        <f>TEXT("6279659050263850576","0")</f>
        <v>6279659050263850000</v>
      </c>
    </row>
    <row r="280" spans="1:204" ht="15.75" customHeight="1" x14ac:dyDescent="0.15">
      <c r="A280" s="1">
        <f t="shared" si="816"/>
        <v>280</v>
      </c>
      <c r="B280" s="4">
        <v>45848.442025462966</v>
      </c>
      <c r="C280" s="5" t="s">
        <v>204</v>
      </c>
      <c r="D280" s="5" t="s">
        <v>206</v>
      </c>
      <c r="F280" s="5" t="s">
        <v>206</v>
      </c>
      <c r="G280" s="5" t="s">
        <v>206</v>
      </c>
      <c r="H280" s="5" t="s">
        <v>206</v>
      </c>
      <c r="K280" s="5" t="s">
        <v>237</v>
      </c>
      <c r="O280" s="5" t="s">
        <v>209</v>
      </c>
      <c r="W280" s="5" t="s">
        <v>207</v>
      </c>
      <c r="Y280" s="5" t="s">
        <v>209</v>
      </c>
      <c r="AC280" s="5" t="s">
        <v>208</v>
      </c>
      <c r="AH280" s="5" t="s">
        <v>210</v>
      </c>
      <c r="AI280" s="5">
        <v>2013</v>
      </c>
      <c r="AJ280" s="5" t="s">
        <v>238</v>
      </c>
      <c r="AK280" s="5" t="str">
        <f t="shared" si="817"/>
        <v>Trabajadora por cuenta propia</v>
      </c>
      <c r="AO280" s="5" t="s">
        <v>390</v>
      </c>
      <c r="AP280" s="5" t="s">
        <v>240</v>
      </c>
      <c r="AR280" s="5" t="s">
        <v>241</v>
      </c>
      <c r="AS280" s="5" t="s">
        <v>241</v>
      </c>
      <c r="AT280" s="5" t="s">
        <v>241</v>
      </c>
      <c r="AU280" s="5" t="s">
        <v>301</v>
      </c>
      <c r="AV280" s="5" t="s">
        <v>277</v>
      </c>
      <c r="AW280" s="5" t="s">
        <v>206</v>
      </c>
      <c r="BF280" s="5" t="s">
        <v>204</v>
      </c>
      <c r="BG280" s="5" t="s">
        <v>242</v>
      </c>
      <c r="BH280" s="5" t="s">
        <v>215</v>
      </c>
      <c r="BI280" s="5" t="s">
        <v>215</v>
      </c>
      <c r="BJ280" s="5" t="s">
        <v>215</v>
      </c>
      <c r="BK280" s="5" t="s">
        <v>243</v>
      </c>
      <c r="BL280" s="5" t="s">
        <v>243</v>
      </c>
      <c r="BM280" s="5" t="s">
        <v>243</v>
      </c>
      <c r="BN280" s="5" t="s">
        <v>243</v>
      </c>
      <c r="BO280" s="5" t="s">
        <v>243</v>
      </c>
      <c r="BP280" s="5" t="s">
        <v>245</v>
      </c>
      <c r="BQ280" s="5" t="s">
        <v>245</v>
      </c>
      <c r="BR280" s="5" t="s">
        <v>243</v>
      </c>
      <c r="BS280" s="5" t="s">
        <v>254</v>
      </c>
      <c r="BT280" s="5" t="s">
        <v>254</v>
      </c>
      <c r="BU280" s="5" t="s">
        <v>232</v>
      </c>
      <c r="BV280" s="5" t="s">
        <v>254</v>
      </c>
      <c r="BW280" s="5" t="s">
        <v>232</v>
      </c>
      <c r="BX280" s="5" t="s">
        <v>247</v>
      </c>
      <c r="BY280" s="5" t="s">
        <v>247</v>
      </c>
      <c r="CD280" s="5" t="s">
        <v>206</v>
      </c>
      <c r="CH280" s="5" t="s">
        <v>206</v>
      </c>
      <c r="CI280" s="5" t="s">
        <v>206</v>
      </c>
      <c r="CJ280" s="5">
        <v>0</v>
      </c>
      <c r="CK280" s="5" t="s">
        <v>223</v>
      </c>
      <c r="CU280" s="5" t="s">
        <v>206</v>
      </c>
      <c r="DA280" s="5" t="s">
        <v>229</v>
      </c>
      <c r="DB280" s="5">
        <f t="shared" si="818"/>
        <v>4</v>
      </c>
      <c r="DC280" s="5" t="s">
        <v>250</v>
      </c>
      <c r="DD280" s="5">
        <f t="shared" si="819"/>
        <v>3</v>
      </c>
      <c r="DE280" s="5" t="s">
        <v>250</v>
      </c>
      <c r="DF280" s="5">
        <f t="shared" si="820"/>
        <v>3</v>
      </c>
      <c r="DG280" s="5" t="s">
        <v>250</v>
      </c>
      <c r="DH280" s="5">
        <f t="shared" si="821"/>
        <v>3</v>
      </c>
      <c r="DI280" s="5" t="s">
        <v>280</v>
      </c>
      <c r="DJ280" s="5">
        <f t="shared" si="822"/>
        <v>4</v>
      </c>
      <c r="DK280" s="5" t="s">
        <v>250</v>
      </c>
      <c r="DL280" s="5">
        <f t="shared" si="823"/>
        <v>3</v>
      </c>
      <c r="DM280" s="5" t="s">
        <v>250</v>
      </c>
      <c r="DN280" s="5">
        <f t="shared" si="824"/>
        <v>3</v>
      </c>
      <c r="DO280" s="5" t="s">
        <v>231</v>
      </c>
      <c r="DP280" s="5">
        <f t="shared" si="825"/>
        <v>2</v>
      </c>
      <c r="DQ280" s="5" t="s">
        <v>231</v>
      </c>
      <c r="DR280" s="5">
        <f t="shared" si="826"/>
        <v>2</v>
      </c>
      <c r="DS280" s="5" t="s">
        <v>231</v>
      </c>
      <c r="DT280" s="5">
        <f t="shared" si="827"/>
        <v>2</v>
      </c>
      <c r="DU280" s="5" t="s">
        <v>281</v>
      </c>
      <c r="DV280" s="5">
        <f t="shared" si="828"/>
        <v>1</v>
      </c>
      <c r="DW280" s="5" t="s">
        <v>281</v>
      </c>
      <c r="DX280" s="5">
        <f t="shared" si="829"/>
        <v>1</v>
      </c>
      <c r="DY280" s="5">
        <f t="shared" si="830"/>
        <v>31</v>
      </c>
      <c r="DZ280" s="5" t="str">
        <f t="shared" si="831"/>
        <v>Nivel de riesgo alto</v>
      </c>
      <c r="EA280" s="5" t="s">
        <v>248</v>
      </c>
      <c r="EB280" s="5">
        <f t="shared" si="832"/>
        <v>1</v>
      </c>
      <c r="EC280" s="5" t="s">
        <v>232</v>
      </c>
      <c r="ED280" s="5">
        <f t="shared" si="833"/>
        <v>3</v>
      </c>
      <c r="EE280" s="5" t="s">
        <v>248</v>
      </c>
      <c r="EF280" s="5">
        <f t="shared" si="834"/>
        <v>1</v>
      </c>
      <c r="EG280" s="5">
        <f t="shared" si="835"/>
        <v>5</v>
      </c>
      <c r="EH280" s="5" t="str">
        <f t="shared" si="836"/>
        <v>Nivel de riesgo alto</v>
      </c>
      <c r="EI280" s="5" t="s">
        <v>247</v>
      </c>
      <c r="EJ280" s="5">
        <f t="shared" si="837"/>
        <v>2</v>
      </c>
      <c r="EK280" s="5" t="s">
        <v>247</v>
      </c>
      <c r="EL280" s="5">
        <f t="shared" si="838"/>
        <v>2</v>
      </c>
      <c r="EM280" s="5" t="s">
        <v>254</v>
      </c>
      <c r="EN280" s="5">
        <f t="shared" si="839"/>
        <v>4</v>
      </c>
      <c r="EO280" s="5">
        <f t="shared" si="840"/>
        <v>8</v>
      </c>
      <c r="EP280" s="5" t="str">
        <f t="shared" si="841"/>
        <v>Nivel de riesgo alto</v>
      </c>
      <c r="EQ280" s="5" t="s">
        <v>253</v>
      </c>
      <c r="ER280" s="5">
        <f t="shared" si="842"/>
        <v>4</v>
      </c>
      <c r="ES280" s="5" t="s">
        <v>253</v>
      </c>
      <c r="ET280" s="5">
        <f t="shared" si="843"/>
        <v>4</v>
      </c>
      <c r="EU280" s="5" t="s">
        <v>247</v>
      </c>
      <c r="EV280" s="5">
        <f t="shared" si="844"/>
        <v>2</v>
      </c>
      <c r="EW280" s="5" t="s">
        <v>253</v>
      </c>
      <c r="EX280" s="5">
        <f t="shared" si="845"/>
        <v>4</v>
      </c>
      <c r="EY280" s="5">
        <f t="shared" si="846"/>
        <v>14</v>
      </c>
      <c r="EZ280" s="5" t="str">
        <f t="shared" si="847"/>
        <v>Nivel de riesgo alto</v>
      </c>
      <c r="FA280" s="5" t="s">
        <v>253</v>
      </c>
      <c r="FB280" s="5">
        <f t="shared" si="848"/>
        <v>0</v>
      </c>
      <c r="FC280" s="5" t="s">
        <v>253</v>
      </c>
      <c r="FD280" s="5">
        <f t="shared" si="849"/>
        <v>0</v>
      </c>
      <c r="FE280" s="5" t="s">
        <v>253</v>
      </c>
      <c r="FF280" s="5">
        <f t="shared" si="850"/>
        <v>0</v>
      </c>
      <c r="FG280" s="5">
        <f t="shared" si="851"/>
        <v>0</v>
      </c>
      <c r="FH280" s="5" t="str">
        <f t="shared" si="852"/>
        <v>Nivel de riesgo bajo</v>
      </c>
      <c r="FI280" s="5" t="s">
        <v>254</v>
      </c>
      <c r="FJ280" s="5">
        <f t="shared" si="853"/>
        <v>4</v>
      </c>
      <c r="FK280" s="5" t="s">
        <v>232</v>
      </c>
      <c r="FL280" s="5">
        <f t="shared" si="854"/>
        <v>3</v>
      </c>
      <c r="FM280" s="5" t="s">
        <v>232</v>
      </c>
      <c r="FN280" s="5">
        <f t="shared" si="855"/>
        <v>3</v>
      </c>
      <c r="FO280" s="5">
        <f t="shared" si="856"/>
        <v>10</v>
      </c>
      <c r="FP280" s="5" t="str">
        <f t="shared" si="857"/>
        <v>Nivel de riesgo alto</v>
      </c>
      <c r="FQ280" s="5" t="s">
        <v>206</v>
      </c>
      <c r="FR280" s="5">
        <f t="shared" si="858"/>
        <v>0</v>
      </c>
      <c r="FS280" s="5" t="s">
        <v>206</v>
      </c>
      <c r="FT280" s="5">
        <f t="shared" si="859"/>
        <v>0</v>
      </c>
      <c r="FU280" s="5" t="s">
        <v>265</v>
      </c>
      <c r="FV280" s="5">
        <f t="shared" si="860"/>
        <v>1</v>
      </c>
      <c r="FW280" s="5" t="s">
        <v>265</v>
      </c>
      <c r="FX280" s="5">
        <f t="shared" si="861"/>
        <v>1</v>
      </c>
      <c r="FY280" s="5" t="s">
        <v>206</v>
      </c>
      <c r="FZ280" s="5">
        <f t="shared" si="862"/>
        <v>0</v>
      </c>
      <c r="GA280" s="5" t="s">
        <v>206</v>
      </c>
      <c r="GB280" s="5">
        <f t="shared" si="863"/>
        <v>0</v>
      </c>
      <c r="GC280" s="5" t="s">
        <v>206</v>
      </c>
      <c r="GD280" s="5">
        <f t="shared" si="864"/>
        <v>0</v>
      </c>
      <c r="GE280" s="5">
        <f t="shared" si="865"/>
        <v>2</v>
      </c>
      <c r="GF280" s="5" t="str">
        <f t="shared" si="866"/>
        <v>Nivel de riesgo medio</v>
      </c>
      <c r="GG280" s="5" t="s">
        <v>255</v>
      </c>
      <c r="GH280" s="5" t="s">
        <v>255</v>
      </c>
      <c r="GI280" s="5" t="s">
        <v>255</v>
      </c>
      <c r="GJ280" s="5" t="s">
        <v>255</v>
      </c>
      <c r="GK280" s="5" t="s">
        <v>233</v>
      </c>
      <c r="GL280" s="5" t="s">
        <v>233</v>
      </c>
      <c r="GM280" s="5" t="s">
        <v>298</v>
      </c>
      <c r="GN280" s="5" t="s">
        <v>243</v>
      </c>
      <c r="GO280" s="5" t="s">
        <v>257</v>
      </c>
      <c r="GP280" s="5" t="s">
        <v>257</v>
      </c>
      <c r="GQ280" s="5" t="s">
        <v>257</v>
      </c>
      <c r="GR280" s="5" t="s">
        <v>257</v>
      </c>
      <c r="GS280" s="5" t="s">
        <v>257</v>
      </c>
      <c r="GT280" s="5" t="s">
        <v>257</v>
      </c>
      <c r="GU280" s="5" t="s">
        <v>636</v>
      </c>
      <c r="GV280" s="5" t="str">
        <f>TEXT("6279673913316414968","0")</f>
        <v>6279673913316410000</v>
      </c>
    </row>
    <row r="281" spans="1:204" ht="15.75" customHeight="1" x14ac:dyDescent="0.15">
      <c r="A281" s="1">
        <f t="shared" si="816"/>
        <v>281</v>
      </c>
      <c r="B281" s="4">
        <v>45848.45517361111</v>
      </c>
      <c r="C281" s="5" t="s">
        <v>204</v>
      </c>
      <c r="D281" s="5" t="s">
        <v>206</v>
      </c>
      <c r="F281" s="5" t="s">
        <v>206</v>
      </c>
      <c r="G281" s="5" t="s">
        <v>206</v>
      </c>
      <c r="H281" s="5" t="s">
        <v>206</v>
      </c>
      <c r="K281" s="5" t="s">
        <v>237</v>
      </c>
      <c r="O281" s="5" t="s">
        <v>209</v>
      </c>
      <c r="T281" s="5" t="s">
        <v>209</v>
      </c>
      <c r="Z281" s="5" t="s">
        <v>237</v>
      </c>
      <c r="AC281" s="5" t="s">
        <v>208</v>
      </c>
      <c r="AH281" s="5" t="s">
        <v>210</v>
      </c>
      <c r="AI281" s="5">
        <v>2023</v>
      </c>
      <c r="AJ281" s="5" t="s">
        <v>238</v>
      </c>
      <c r="AK281" s="5" t="str">
        <f t="shared" si="817"/>
        <v>Trabajadora por cuenta propia</v>
      </c>
      <c r="AO281" s="5" t="s">
        <v>323</v>
      </c>
      <c r="AP281" s="5" t="s">
        <v>284</v>
      </c>
      <c r="AR281" s="5" t="s">
        <v>261</v>
      </c>
      <c r="AS281" s="5" t="s">
        <v>261</v>
      </c>
      <c r="AT281" s="5" t="s">
        <v>261</v>
      </c>
      <c r="AU281" s="5" t="s">
        <v>261</v>
      </c>
      <c r="AV281" s="5" t="s">
        <v>285</v>
      </c>
      <c r="AW281" s="5" t="s">
        <v>204</v>
      </c>
      <c r="AX281" s="5" t="s">
        <v>204</v>
      </c>
      <c r="AY281" s="5" t="s">
        <v>214</v>
      </c>
      <c r="AZ281" s="5" t="s">
        <v>204</v>
      </c>
      <c r="BA281" s="5" t="s">
        <v>295</v>
      </c>
      <c r="BB281" s="5" t="s">
        <v>204</v>
      </c>
      <c r="BC281" s="5" t="s">
        <v>204</v>
      </c>
      <c r="BD281" s="5" t="s">
        <v>306</v>
      </c>
      <c r="BE281" s="5" t="s">
        <v>206</v>
      </c>
      <c r="BF281" s="5" t="s">
        <v>204</v>
      </c>
      <c r="BG281" s="5" t="s">
        <v>207</v>
      </c>
      <c r="BH281" s="5" t="s">
        <v>264</v>
      </c>
      <c r="BI281" s="5" t="s">
        <v>271</v>
      </c>
      <c r="BJ281" s="5" t="s">
        <v>207</v>
      </c>
      <c r="BK281" s="5" t="s">
        <v>246</v>
      </c>
      <c r="BL281" s="5" t="s">
        <v>246</v>
      </c>
      <c r="BM281" s="5" t="s">
        <v>246</v>
      </c>
      <c r="BN281" s="5" t="s">
        <v>246</v>
      </c>
      <c r="BO281" s="5" t="s">
        <v>246</v>
      </c>
      <c r="BP281" s="5" t="s">
        <v>246</v>
      </c>
      <c r="BQ281" s="5" t="s">
        <v>246</v>
      </c>
      <c r="BR281" s="5" t="s">
        <v>246</v>
      </c>
      <c r="BS281" s="5" t="s">
        <v>248</v>
      </c>
      <c r="BT281" s="5" t="s">
        <v>248</v>
      </c>
      <c r="BU281" s="5" t="s">
        <v>248</v>
      </c>
      <c r="BV281" s="5" t="s">
        <v>248</v>
      </c>
      <c r="BW281" s="5" t="s">
        <v>248</v>
      </c>
      <c r="BX281" s="5" t="s">
        <v>248</v>
      </c>
      <c r="BY281" s="5" t="s">
        <v>248</v>
      </c>
      <c r="BZ281" s="5" t="s">
        <v>246</v>
      </c>
      <c r="CA281" s="5" t="s">
        <v>246</v>
      </c>
      <c r="CB281" s="5" t="s">
        <v>246</v>
      </c>
      <c r="CC281" s="5" t="s">
        <v>246</v>
      </c>
      <c r="CD281" s="5" t="s">
        <v>206</v>
      </c>
      <c r="CH281" s="5" t="s">
        <v>206</v>
      </c>
      <c r="CI281" s="5" t="s">
        <v>307</v>
      </c>
      <c r="CJ281" s="5">
        <v>5</v>
      </c>
      <c r="CK281" s="5" t="s">
        <v>223</v>
      </c>
      <c r="CU281" s="5" t="s">
        <v>206</v>
      </c>
      <c r="DA281" s="5" t="s">
        <v>231</v>
      </c>
      <c r="DB281" s="5">
        <f t="shared" si="818"/>
        <v>2</v>
      </c>
      <c r="DC281" s="5" t="s">
        <v>230</v>
      </c>
      <c r="DD281" s="5">
        <f t="shared" si="819"/>
        <v>2</v>
      </c>
      <c r="DE281" s="5" t="s">
        <v>230</v>
      </c>
      <c r="DF281" s="5">
        <f t="shared" si="820"/>
        <v>2</v>
      </c>
      <c r="DG281" s="5" t="s">
        <v>230</v>
      </c>
      <c r="DH281" s="5">
        <f t="shared" si="821"/>
        <v>2</v>
      </c>
      <c r="DI281" s="5" t="s">
        <v>230</v>
      </c>
      <c r="DJ281" s="5">
        <f t="shared" si="822"/>
        <v>2</v>
      </c>
      <c r="DK281" s="5" t="s">
        <v>230</v>
      </c>
      <c r="DL281" s="5">
        <f t="shared" si="823"/>
        <v>2</v>
      </c>
      <c r="DM281" s="5" t="s">
        <v>230</v>
      </c>
      <c r="DN281" s="5">
        <f t="shared" si="824"/>
        <v>2</v>
      </c>
      <c r="DO281" s="5" t="s">
        <v>231</v>
      </c>
      <c r="DP281" s="5">
        <f t="shared" si="825"/>
        <v>2</v>
      </c>
      <c r="DQ281" s="5" t="s">
        <v>231</v>
      </c>
      <c r="DR281" s="5">
        <f t="shared" si="826"/>
        <v>2</v>
      </c>
      <c r="DS281" s="5" t="s">
        <v>231</v>
      </c>
      <c r="DT281" s="5">
        <f t="shared" si="827"/>
        <v>2</v>
      </c>
      <c r="DU281" s="5" t="s">
        <v>231</v>
      </c>
      <c r="DV281" s="5">
        <f t="shared" si="828"/>
        <v>2</v>
      </c>
      <c r="DW281" s="5" t="s">
        <v>231</v>
      </c>
      <c r="DX281" s="5">
        <f t="shared" si="829"/>
        <v>2</v>
      </c>
      <c r="DY281" s="5">
        <f t="shared" si="830"/>
        <v>24</v>
      </c>
      <c r="DZ281" s="5" t="str">
        <f t="shared" si="831"/>
        <v>Nivel de riesgo alto</v>
      </c>
      <c r="EA281" s="5" t="s">
        <v>232</v>
      </c>
      <c r="EB281" s="5">
        <f t="shared" si="832"/>
        <v>3</v>
      </c>
      <c r="EC281" s="5" t="s">
        <v>232</v>
      </c>
      <c r="ED281" s="5">
        <f t="shared" si="833"/>
        <v>3</v>
      </c>
      <c r="EE281" s="5" t="s">
        <v>232</v>
      </c>
      <c r="EF281" s="5">
        <f t="shared" si="834"/>
        <v>3</v>
      </c>
      <c r="EG281" s="5">
        <f t="shared" si="835"/>
        <v>9</v>
      </c>
      <c r="EH281" s="5" t="str">
        <f t="shared" si="836"/>
        <v>Nivel de riesgo alto</v>
      </c>
      <c r="EI281" s="5" t="s">
        <v>232</v>
      </c>
      <c r="EJ281" s="5">
        <f t="shared" si="837"/>
        <v>3</v>
      </c>
      <c r="EK281" s="5" t="s">
        <v>232</v>
      </c>
      <c r="EL281" s="5">
        <f t="shared" si="838"/>
        <v>3</v>
      </c>
      <c r="EM281" s="5" t="s">
        <v>232</v>
      </c>
      <c r="EN281" s="5">
        <f t="shared" si="839"/>
        <v>3</v>
      </c>
      <c r="EO281" s="5">
        <f t="shared" si="840"/>
        <v>9</v>
      </c>
      <c r="EP281" s="5" t="str">
        <f t="shared" si="841"/>
        <v>Nivel de riesgo alto</v>
      </c>
      <c r="EQ281" s="5" t="s">
        <v>232</v>
      </c>
      <c r="ER281" s="5">
        <f t="shared" si="842"/>
        <v>1</v>
      </c>
      <c r="ES281" s="5" t="s">
        <v>232</v>
      </c>
      <c r="ET281" s="5">
        <f t="shared" si="843"/>
        <v>1</v>
      </c>
      <c r="EU281" s="5" t="s">
        <v>232</v>
      </c>
      <c r="EV281" s="5">
        <f t="shared" si="844"/>
        <v>1</v>
      </c>
      <c r="EW281" s="5" t="s">
        <v>232</v>
      </c>
      <c r="EX281" s="5">
        <f t="shared" si="845"/>
        <v>1</v>
      </c>
      <c r="EY281" s="5">
        <f t="shared" si="846"/>
        <v>4</v>
      </c>
      <c r="EZ281" s="5" t="str">
        <f t="shared" si="847"/>
        <v>Nivel de riesgo medio</v>
      </c>
      <c r="FA281" s="5" t="s">
        <v>232</v>
      </c>
      <c r="FB281" s="5">
        <f t="shared" si="848"/>
        <v>3</v>
      </c>
      <c r="FC281" s="5" t="s">
        <v>232</v>
      </c>
      <c r="FD281" s="5">
        <f t="shared" si="849"/>
        <v>3</v>
      </c>
      <c r="FE281" s="5" t="s">
        <v>232</v>
      </c>
      <c r="FF281" s="5">
        <f t="shared" si="850"/>
        <v>3</v>
      </c>
      <c r="FG281" s="5">
        <f t="shared" si="851"/>
        <v>9</v>
      </c>
      <c r="FH281" s="5" t="str">
        <f t="shared" si="852"/>
        <v>Nivel de riesgo alto</v>
      </c>
      <c r="FI281" s="5" t="s">
        <v>232</v>
      </c>
      <c r="FJ281" s="5">
        <f t="shared" si="853"/>
        <v>3</v>
      </c>
      <c r="FK281" s="5" t="s">
        <v>232</v>
      </c>
      <c r="FL281" s="5">
        <f t="shared" si="854"/>
        <v>3</v>
      </c>
      <c r="FM281" s="5" t="s">
        <v>232</v>
      </c>
      <c r="FN281" s="5">
        <f t="shared" si="855"/>
        <v>3</v>
      </c>
      <c r="FO281" s="5">
        <f t="shared" si="856"/>
        <v>9</v>
      </c>
      <c r="FP281" s="5" t="str">
        <f t="shared" si="857"/>
        <v>Nivel de riesgo alto</v>
      </c>
      <c r="FQ281" s="5" t="s">
        <v>206</v>
      </c>
      <c r="FR281" s="5">
        <f t="shared" si="858"/>
        <v>0</v>
      </c>
      <c r="FS281" s="5" t="s">
        <v>206</v>
      </c>
      <c r="FT281" s="5">
        <f t="shared" si="859"/>
        <v>0</v>
      </c>
      <c r="FU281" s="5" t="s">
        <v>206</v>
      </c>
      <c r="FV281" s="5">
        <f t="shared" si="860"/>
        <v>0</v>
      </c>
      <c r="FW281" s="5" t="s">
        <v>206</v>
      </c>
      <c r="FX281" s="5">
        <f t="shared" si="861"/>
        <v>0</v>
      </c>
      <c r="FY281" s="5" t="s">
        <v>206</v>
      </c>
      <c r="FZ281" s="5">
        <f t="shared" si="862"/>
        <v>0</v>
      </c>
      <c r="GA281" s="5" t="s">
        <v>206</v>
      </c>
      <c r="GB281" s="5">
        <f t="shared" si="863"/>
        <v>0</v>
      </c>
      <c r="GC281" s="5" t="s">
        <v>206</v>
      </c>
      <c r="GD281" s="5">
        <f t="shared" si="864"/>
        <v>0</v>
      </c>
      <c r="GE281" s="5">
        <f t="shared" si="865"/>
        <v>0</v>
      </c>
      <c r="GF281" s="5" t="str">
        <f t="shared" si="866"/>
        <v>Nivel de riesgo bajo</v>
      </c>
      <c r="GG281" s="5" t="s">
        <v>255</v>
      </c>
      <c r="GH281" s="5" t="s">
        <v>255</v>
      </c>
      <c r="GI281" s="5" t="s">
        <v>255</v>
      </c>
      <c r="GJ281" s="5" t="s">
        <v>255</v>
      </c>
      <c r="GK281" s="5" t="s">
        <v>255</v>
      </c>
      <c r="GL281" s="5" t="s">
        <v>255</v>
      </c>
      <c r="GM281" s="5" t="s">
        <v>255</v>
      </c>
      <c r="GN281" s="5" t="s">
        <v>256</v>
      </c>
      <c r="GO281" s="5" t="s">
        <v>256</v>
      </c>
      <c r="GP281" s="5" t="s">
        <v>256</v>
      </c>
      <c r="GQ281" s="5" t="s">
        <v>256</v>
      </c>
      <c r="GR281" s="5" t="s">
        <v>256</v>
      </c>
      <c r="GS281" s="5" t="s">
        <v>256</v>
      </c>
      <c r="GT281" s="5" t="s">
        <v>256</v>
      </c>
      <c r="GU281" s="5" t="s">
        <v>637</v>
      </c>
      <c r="GV281" s="5" t="str">
        <f>TEXT("6279685273128917555","0")</f>
        <v>6279685273128910000</v>
      </c>
    </row>
    <row r="282" spans="1:204" ht="15.75" customHeight="1" x14ac:dyDescent="0.15">
      <c r="A282" s="1">
        <f t="shared" si="816"/>
        <v>282</v>
      </c>
      <c r="B282" s="4">
        <v>45848.466157407405</v>
      </c>
      <c r="C282" s="5" t="s">
        <v>204</v>
      </c>
      <c r="D282" s="5" t="s">
        <v>204</v>
      </c>
      <c r="E282" s="5" t="s">
        <v>335</v>
      </c>
      <c r="F282" s="5" t="s">
        <v>206</v>
      </c>
      <c r="G282" s="5" t="s">
        <v>206</v>
      </c>
      <c r="H282" s="5" t="s">
        <v>206</v>
      </c>
      <c r="K282" s="5" t="s">
        <v>237</v>
      </c>
      <c r="P282" s="5" t="s">
        <v>237</v>
      </c>
      <c r="T282" s="5" t="s">
        <v>209</v>
      </c>
      <c r="Y282" s="5" t="s">
        <v>209</v>
      </c>
      <c r="AG282" s="5" t="s">
        <v>207</v>
      </c>
      <c r="AH282" s="5" t="s">
        <v>210</v>
      </c>
      <c r="AI282" s="5">
        <v>2019</v>
      </c>
      <c r="AJ282" s="5" t="s">
        <v>238</v>
      </c>
      <c r="AK282" s="5" t="str">
        <f t="shared" si="817"/>
        <v>Trabajadora por cuenta propia</v>
      </c>
      <c r="AL282" s="5" t="s">
        <v>239</v>
      </c>
      <c r="AP282" s="5" t="s">
        <v>297</v>
      </c>
      <c r="AR282" s="5" t="s">
        <v>241</v>
      </c>
      <c r="AS282" s="5" t="s">
        <v>276</v>
      </c>
      <c r="AT282" s="5" t="s">
        <v>276</v>
      </c>
      <c r="AU282" s="5" t="s">
        <v>276</v>
      </c>
      <c r="AV282" s="5" t="s">
        <v>269</v>
      </c>
      <c r="AW282" s="5" t="s">
        <v>204</v>
      </c>
      <c r="AX282" s="5" t="s">
        <v>204</v>
      </c>
      <c r="AY282" s="5" t="s">
        <v>214</v>
      </c>
      <c r="AZ282" s="5" t="s">
        <v>204</v>
      </c>
      <c r="BA282" s="5" t="s">
        <v>295</v>
      </c>
      <c r="BB282" s="5" t="s">
        <v>206</v>
      </c>
      <c r="BC282" s="5" t="s">
        <v>206</v>
      </c>
      <c r="BD282" s="5" t="s">
        <v>206</v>
      </c>
      <c r="BE282" s="5" t="s">
        <v>206</v>
      </c>
      <c r="BF282" s="5" t="s">
        <v>204</v>
      </c>
      <c r="BG282" s="5" t="s">
        <v>207</v>
      </c>
      <c r="BH282" s="5" t="s">
        <v>215</v>
      </c>
      <c r="BI282" s="5" t="s">
        <v>207</v>
      </c>
      <c r="BJ282" s="5" t="s">
        <v>264</v>
      </c>
      <c r="BK282" s="5" t="s">
        <v>216</v>
      </c>
      <c r="BL282" s="5" t="s">
        <v>216</v>
      </c>
      <c r="BM282" s="5" t="s">
        <v>243</v>
      </c>
      <c r="BN282" s="5" t="s">
        <v>244</v>
      </c>
      <c r="BO282" s="5" t="s">
        <v>216</v>
      </c>
      <c r="BP282" s="5" t="s">
        <v>244</v>
      </c>
      <c r="BQ282" s="5" t="s">
        <v>244</v>
      </c>
      <c r="BR282" s="5" t="s">
        <v>216</v>
      </c>
      <c r="BS282" s="5" t="s">
        <v>247</v>
      </c>
      <c r="BT282" s="5" t="s">
        <v>247</v>
      </c>
      <c r="BU282" s="5" t="s">
        <v>232</v>
      </c>
      <c r="BV282" s="5" t="s">
        <v>248</v>
      </c>
      <c r="BW282" s="5" t="s">
        <v>232</v>
      </c>
      <c r="BX282" s="5" t="s">
        <v>247</v>
      </c>
      <c r="BY282" s="5" t="s">
        <v>247</v>
      </c>
      <c r="BZ282" s="5" t="s">
        <v>246</v>
      </c>
      <c r="CA282" s="5" t="s">
        <v>246</v>
      </c>
      <c r="CB282" s="5" t="s">
        <v>216</v>
      </c>
      <c r="CC282" s="5" t="s">
        <v>244</v>
      </c>
      <c r="CD282" s="5" t="s">
        <v>206</v>
      </c>
      <c r="CH282" s="5" t="s">
        <v>206</v>
      </c>
      <c r="CI282" s="5" t="s">
        <v>206</v>
      </c>
      <c r="CJ282" s="5">
        <v>0</v>
      </c>
      <c r="CK282" s="5" t="s">
        <v>223</v>
      </c>
      <c r="CU282" s="5" t="s">
        <v>206</v>
      </c>
      <c r="DA282" s="5" t="s">
        <v>231</v>
      </c>
      <c r="DB282" s="5">
        <f t="shared" si="818"/>
        <v>2</v>
      </c>
      <c r="DC282" s="5" t="s">
        <v>230</v>
      </c>
      <c r="DD282" s="5">
        <f t="shared" si="819"/>
        <v>2</v>
      </c>
      <c r="DE282" s="5" t="s">
        <v>230</v>
      </c>
      <c r="DF282" s="5">
        <f t="shared" si="820"/>
        <v>2</v>
      </c>
      <c r="DG282" s="5" t="s">
        <v>230</v>
      </c>
      <c r="DH282" s="5">
        <f t="shared" si="821"/>
        <v>2</v>
      </c>
      <c r="DI282" s="5" t="s">
        <v>230</v>
      </c>
      <c r="DJ282" s="5">
        <f t="shared" si="822"/>
        <v>2</v>
      </c>
      <c r="DK282" s="5" t="s">
        <v>251</v>
      </c>
      <c r="DL282" s="5">
        <f t="shared" si="823"/>
        <v>1</v>
      </c>
      <c r="DM282" s="5" t="s">
        <v>251</v>
      </c>
      <c r="DN282" s="5">
        <f t="shared" si="824"/>
        <v>1</v>
      </c>
      <c r="DO282" s="5" t="s">
        <v>231</v>
      </c>
      <c r="DP282" s="5">
        <f t="shared" si="825"/>
        <v>2</v>
      </c>
      <c r="DQ282" s="5" t="s">
        <v>281</v>
      </c>
      <c r="DR282" s="5">
        <f t="shared" si="826"/>
        <v>1</v>
      </c>
      <c r="DS282" s="5" t="s">
        <v>252</v>
      </c>
      <c r="DT282" s="5">
        <f t="shared" si="827"/>
        <v>3</v>
      </c>
      <c r="DU282" s="5" t="s">
        <v>281</v>
      </c>
      <c r="DV282" s="5">
        <f t="shared" si="828"/>
        <v>1</v>
      </c>
      <c r="DW282" s="5" t="s">
        <v>281</v>
      </c>
      <c r="DX282" s="5">
        <f t="shared" si="829"/>
        <v>1</v>
      </c>
      <c r="DY282" s="5">
        <f t="shared" si="830"/>
        <v>20</v>
      </c>
      <c r="DZ282" s="5" t="str">
        <f t="shared" si="831"/>
        <v>Nivel de riesgo medio</v>
      </c>
      <c r="EA282" s="5" t="s">
        <v>247</v>
      </c>
      <c r="EB282" s="5">
        <f t="shared" si="832"/>
        <v>2</v>
      </c>
      <c r="EC282" s="5" t="s">
        <v>247</v>
      </c>
      <c r="ED282" s="5">
        <f t="shared" si="833"/>
        <v>2</v>
      </c>
      <c r="EE282" s="5" t="s">
        <v>247</v>
      </c>
      <c r="EF282" s="5">
        <f t="shared" si="834"/>
        <v>2</v>
      </c>
      <c r="EG282" s="5">
        <f t="shared" si="835"/>
        <v>6</v>
      </c>
      <c r="EH282" s="5" t="str">
        <f t="shared" si="836"/>
        <v>Nivel de riesgo alto</v>
      </c>
      <c r="EI282" s="5" t="s">
        <v>247</v>
      </c>
      <c r="EJ282" s="5">
        <f t="shared" si="837"/>
        <v>2</v>
      </c>
      <c r="EK282" s="5" t="s">
        <v>247</v>
      </c>
      <c r="EL282" s="5">
        <f t="shared" si="838"/>
        <v>2</v>
      </c>
      <c r="EM282" s="5" t="s">
        <v>247</v>
      </c>
      <c r="EN282" s="5">
        <f t="shared" si="839"/>
        <v>2</v>
      </c>
      <c r="EO282" s="5">
        <f t="shared" si="840"/>
        <v>6</v>
      </c>
      <c r="EP282" s="5" t="str">
        <f t="shared" si="841"/>
        <v>Nivel de riesgo alto</v>
      </c>
      <c r="EQ282" s="5" t="s">
        <v>247</v>
      </c>
      <c r="ER282" s="5">
        <f t="shared" si="842"/>
        <v>2</v>
      </c>
      <c r="ES282" s="5" t="s">
        <v>247</v>
      </c>
      <c r="ET282" s="5">
        <f t="shared" si="843"/>
        <v>2</v>
      </c>
      <c r="EU282" s="5" t="s">
        <v>232</v>
      </c>
      <c r="EV282" s="5">
        <f t="shared" si="844"/>
        <v>1</v>
      </c>
      <c r="EW282" s="5" t="s">
        <v>232</v>
      </c>
      <c r="EX282" s="5">
        <f t="shared" si="845"/>
        <v>1</v>
      </c>
      <c r="EY282" s="5">
        <f t="shared" si="846"/>
        <v>6</v>
      </c>
      <c r="EZ282" s="5" t="str">
        <f t="shared" si="847"/>
        <v>Nivel de riesgo alto</v>
      </c>
      <c r="FA282" s="5" t="s">
        <v>232</v>
      </c>
      <c r="FB282" s="5">
        <f t="shared" si="848"/>
        <v>3</v>
      </c>
      <c r="FC282" s="5" t="s">
        <v>232</v>
      </c>
      <c r="FD282" s="5">
        <f t="shared" si="849"/>
        <v>3</v>
      </c>
      <c r="FE282" s="5" t="s">
        <v>232</v>
      </c>
      <c r="FF282" s="5">
        <f t="shared" si="850"/>
        <v>3</v>
      </c>
      <c r="FG282" s="5">
        <f t="shared" si="851"/>
        <v>9</v>
      </c>
      <c r="FH282" s="5" t="str">
        <f t="shared" si="852"/>
        <v>Nivel de riesgo alto</v>
      </c>
      <c r="FI282" s="5" t="s">
        <v>232</v>
      </c>
      <c r="FJ282" s="5">
        <f t="shared" si="853"/>
        <v>3</v>
      </c>
      <c r="FK282" s="5" t="s">
        <v>232</v>
      </c>
      <c r="FL282" s="5">
        <f t="shared" si="854"/>
        <v>3</v>
      </c>
      <c r="FM282" s="5" t="s">
        <v>247</v>
      </c>
      <c r="FN282" s="5">
        <f t="shared" si="855"/>
        <v>2</v>
      </c>
      <c r="FO282" s="5">
        <f t="shared" si="856"/>
        <v>8</v>
      </c>
      <c r="FP282" s="5" t="str">
        <f t="shared" si="857"/>
        <v>Nivel de riesgo alto</v>
      </c>
      <c r="FQ282" s="5" t="s">
        <v>206</v>
      </c>
      <c r="FR282" s="5">
        <f t="shared" si="858"/>
        <v>0</v>
      </c>
      <c r="FS282" s="5" t="s">
        <v>206</v>
      </c>
      <c r="FT282" s="5">
        <f t="shared" si="859"/>
        <v>0</v>
      </c>
      <c r="FU282" s="5" t="s">
        <v>206</v>
      </c>
      <c r="FV282" s="5">
        <f t="shared" si="860"/>
        <v>0</v>
      </c>
      <c r="FW282" s="5" t="s">
        <v>206</v>
      </c>
      <c r="FX282" s="5">
        <f t="shared" si="861"/>
        <v>0</v>
      </c>
      <c r="FY282" s="5" t="s">
        <v>206</v>
      </c>
      <c r="FZ282" s="5">
        <f t="shared" si="862"/>
        <v>0</v>
      </c>
      <c r="GA282" s="5" t="s">
        <v>206</v>
      </c>
      <c r="GB282" s="5">
        <f t="shared" si="863"/>
        <v>0</v>
      </c>
      <c r="GC282" s="5" t="s">
        <v>206</v>
      </c>
      <c r="GD282" s="5">
        <f t="shared" si="864"/>
        <v>0</v>
      </c>
      <c r="GE282" s="5">
        <f t="shared" si="865"/>
        <v>0</v>
      </c>
      <c r="GF282" s="5" t="str">
        <f t="shared" si="866"/>
        <v>Nivel de riesgo bajo</v>
      </c>
      <c r="GG282" s="5" t="s">
        <v>255</v>
      </c>
      <c r="GH282" s="5" t="s">
        <v>255</v>
      </c>
      <c r="GI282" s="5" t="s">
        <v>255</v>
      </c>
      <c r="GJ282" s="5" t="s">
        <v>255</v>
      </c>
      <c r="GK282" s="5" t="s">
        <v>233</v>
      </c>
      <c r="GL282" s="5" t="s">
        <v>298</v>
      </c>
      <c r="GM282" s="5" t="s">
        <v>273</v>
      </c>
      <c r="GN282" s="5" t="s">
        <v>243</v>
      </c>
      <c r="GO282" s="5" t="s">
        <v>243</v>
      </c>
      <c r="GP282" s="5" t="s">
        <v>243</v>
      </c>
      <c r="GQ282" s="5" t="s">
        <v>257</v>
      </c>
      <c r="GR282" s="5" t="s">
        <v>257</v>
      </c>
      <c r="GS282" s="5" t="s">
        <v>244</v>
      </c>
      <c r="GT282" s="5" t="s">
        <v>244</v>
      </c>
      <c r="GU282" s="5" t="s">
        <v>638</v>
      </c>
      <c r="GV282" s="5" t="str">
        <f>TEXT("6279694764316669003","0")</f>
        <v>6279694764316660000</v>
      </c>
    </row>
    <row r="283" spans="1:204" ht="15.75" customHeight="1" x14ac:dyDescent="0.15">
      <c r="A283" s="1">
        <f t="shared" si="816"/>
        <v>283</v>
      </c>
      <c r="B283" s="4">
        <v>45848.467083333337</v>
      </c>
      <c r="C283" s="5" t="s">
        <v>204</v>
      </c>
      <c r="D283" s="5" t="s">
        <v>206</v>
      </c>
      <c r="F283" s="5" t="s">
        <v>204</v>
      </c>
      <c r="G283" s="5" t="s">
        <v>206</v>
      </c>
      <c r="H283" s="5" t="s">
        <v>206</v>
      </c>
      <c r="L283" s="5" t="s">
        <v>236</v>
      </c>
      <c r="P283" s="5" t="s">
        <v>237</v>
      </c>
      <c r="T283" s="5" t="s">
        <v>209</v>
      </c>
      <c r="Y283" s="5" t="s">
        <v>209</v>
      </c>
      <c r="AF283" s="5" t="s">
        <v>236</v>
      </c>
      <c r="AH283" s="5" t="s">
        <v>210</v>
      </c>
      <c r="AI283" s="5">
        <v>2020</v>
      </c>
      <c r="AJ283" s="5" t="s">
        <v>238</v>
      </c>
      <c r="AK283" s="5" t="str">
        <f t="shared" si="817"/>
        <v>Trabajadora por cuenta propia</v>
      </c>
      <c r="AO283" s="5" t="s">
        <v>390</v>
      </c>
      <c r="AP283" s="5" t="s">
        <v>284</v>
      </c>
      <c r="AR283" s="5" t="s">
        <v>301</v>
      </c>
      <c r="AS283" s="5" t="s">
        <v>301</v>
      </c>
      <c r="AT283" s="5" t="s">
        <v>301</v>
      </c>
      <c r="AU283" s="5" t="s">
        <v>301</v>
      </c>
      <c r="AV283" s="5" t="s">
        <v>213</v>
      </c>
      <c r="AW283" s="5" t="s">
        <v>204</v>
      </c>
      <c r="AX283" s="5" t="s">
        <v>204</v>
      </c>
      <c r="AY283" s="5" t="s">
        <v>214</v>
      </c>
      <c r="AZ283" s="5" t="s">
        <v>204</v>
      </c>
      <c r="BA283" s="5" t="s">
        <v>348</v>
      </c>
      <c r="BF283" s="5" t="s">
        <v>204</v>
      </c>
      <c r="BG283" s="5" t="s">
        <v>207</v>
      </c>
      <c r="BH283" s="5" t="s">
        <v>264</v>
      </c>
      <c r="BI283" s="5" t="s">
        <v>207</v>
      </c>
      <c r="BJ283" s="5" t="s">
        <v>264</v>
      </c>
      <c r="BK283" s="5" t="s">
        <v>216</v>
      </c>
      <c r="BL283" s="5" t="s">
        <v>216</v>
      </c>
      <c r="BM283" s="5" t="s">
        <v>216</v>
      </c>
      <c r="BN283" s="5" t="s">
        <v>216</v>
      </c>
      <c r="BO283" s="5" t="s">
        <v>216</v>
      </c>
      <c r="BP283" s="5" t="s">
        <v>216</v>
      </c>
      <c r="BQ283" s="5" t="s">
        <v>216</v>
      </c>
      <c r="BR283" s="5" t="s">
        <v>216</v>
      </c>
      <c r="BS283" s="5" t="s">
        <v>217</v>
      </c>
      <c r="BT283" s="5" t="s">
        <v>217</v>
      </c>
      <c r="BU283" s="5" t="s">
        <v>217</v>
      </c>
      <c r="BV283" s="5" t="s">
        <v>217</v>
      </c>
      <c r="BW283" s="5" t="s">
        <v>217</v>
      </c>
      <c r="BX283" s="5" t="s">
        <v>217</v>
      </c>
      <c r="BY283" s="5" t="s">
        <v>217</v>
      </c>
      <c r="BZ283" s="5" t="s">
        <v>216</v>
      </c>
      <c r="CA283" s="5" t="s">
        <v>216</v>
      </c>
      <c r="CB283" s="5" t="s">
        <v>216</v>
      </c>
      <c r="CC283" s="5" t="s">
        <v>216</v>
      </c>
      <c r="CD283" s="5" t="s">
        <v>206</v>
      </c>
      <c r="CH283" s="5" t="s">
        <v>206</v>
      </c>
      <c r="CI283" s="5" t="s">
        <v>249</v>
      </c>
      <c r="CJ283" s="5">
        <v>1</v>
      </c>
      <c r="CK283" s="5" t="s">
        <v>223</v>
      </c>
      <c r="CU283" s="5" t="s">
        <v>206</v>
      </c>
      <c r="DA283" s="5" t="s">
        <v>231</v>
      </c>
      <c r="DB283" s="5">
        <f t="shared" si="818"/>
        <v>2</v>
      </c>
      <c r="DC283" s="5" t="s">
        <v>230</v>
      </c>
      <c r="DD283" s="5">
        <f t="shared" si="819"/>
        <v>2</v>
      </c>
      <c r="DE283" s="5" t="s">
        <v>230</v>
      </c>
      <c r="DF283" s="5">
        <f t="shared" si="820"/>
        <v>2</v>
      </c>
      <c r="DG283" s="5" t="s">
        <v>230</v>
      </c>
      <c r="DH283" s="5">
        <f t="shared" si="821"/>
        <v>2</v>
      </c>
      <c r="DI283" s="5" t="s">
        <v>230</v>
      </c>
      <c r="DJ283" s="5">
        <f t="shared" si="822"/>
        <v>2</v>
      </c>
      <c r="DK283" s="5" t="s">
        <v>251</v>
      </c>
      <c r="DL283" s="5">
        <f t="shared" si="823"/>
        <v>1</v>
      </c>
      <c r="DM283" s="5" t="s">
        <v>251</v>
      </c>
      <c r="DN283" s="5">
        <f t="shared" si="824"/>
        <v>1</v>
      </c>
      <c r="DO283" s="5" t="s">
        <v>231</v>
      </c>
      <c r="DP283" s="5">
        <f t="shared" si="825"/>
        <v>2</v>
      </c>
      <c r="DQ283" s="5" t="s">
        <v>231</v>
      </c>
      <c r="DR283" s="5">
        <f t="shared" si="826"/>
        <v>2</v>
      </c>
      <c r="DS283" s="5" t="s">
        <v>231</v>
      </c>
      <c r="DT283" s="5">
        <f t="shared" si="827"/>
        <v>2</v>
      </c>
      <c r="DU283" s="5" t="s">
        <v>231</v>
      </c>
      <c r="DV283" s="5">
        <f t="shared" si="828"/>
        <v>2</v>
      </c>
      <c r="DW283" s="5" t="s">
        <v>231</v>
      </c>
      <c r="DX283" s="5">
        <f t="shared" si="829"/>
        <v>2</v>
      </c>
      <c r="DY283" s="5">
        <f t="shared" si="830"/>
        <v>22</v>
      </c>
      <c r="DZ283" s="5" t="str">
        <f t="shared" si="831"/>
        <v>Nivel de riesgo medio</v>
      </c>
      <c r="EA283" s="5" t="s">
        <v>253</v>
      </c>
      <c r="EB283" s="5">
        <f t="shared" si="832"/>
        <v>0</v>
      </c>
      <c r="EC283" s="5" t="s">
        <v>253</v>
      </c>
      <c r="ED283" s="5">
        <f t="shared" si="833"/>
        <v>0</v>
      </c>
      <c r="EE283" s="5" t="s">
        <v>253</v>
      </c>
      <c r="EF283" s="5">
        <f t="shared" si="834"/>
        <v>0</v>
      </c>
      <c r="EG283" s="5">
        <f t="shared" si="835"/>
        <v>0</v>
      </c>
      <c r="EH283" s="5" t="str">
        <f t="shared" si="836"/>
        <v>Nivel de riesgo bajo</v>
      </c>
      <c r="EI283" s="5" t="s">
        <v>253</v>
      </c>
      <c r="EJ283" s="5">
        <f t="shared" si="837"/>
        <v>0</v>
      </c>
      <c r="EK283" s="5" t="s">
        <v>253</v>
      </c>
      <c r="EL283" s="5">
        <f t="shared" si="838"/>
        <v>0</v>
      </c>
      <c r="EM283" s="5" t="s">
        <v>253</v>
      </c>
      <c r="EN283" s="5">
        <f t="shared" si="839"/>
        <v>0</v>
      </c>
      <c r="EO283" s="5">
        <f t="shared" si="840"/>
        <v>0</v>
      </c>
      <c r="EP283" s="5" t="str">
        <f t="shared" si="841"/>
        <v>Nivel de riesgo bajo</v>
      </c>
      <c r="EQ283" s="5" t="s">
        <v>253</v>
      </c>
      <c r="ER283" s="5">
        <f t="shared" si="842"/>
        <v>4</v>
      </c>
      <c r="ES283" s="5" t="s">
        <v>253</v>
      </c>
      <c r="ET283" s="5">
        <f t="shared" si="843"/>
        <v>4</v>
      </c>
      <c r="EU283" s="5" t="s">
        <v>253</v>
      </c>
      <c r="EV283" s="5">
        <f t="shared" si="844"/>
        <v>4</v>
      </c>
      <c r="EW283" s="5" t="s">
        <v>253</v>
      </c>
      <c r="EX283" s="5">
        <f t="shared" si="845"/>
        <v>4</v>
      </c>
      <c r="EY283" s="5">
        <f t="shared" si="846"/>
        <v>16</v>
      </c>
      <c r="EZ283" s="5" t="str">
        <f t="shared" si="847"/>
        <v>Nivel de riesgo alto</v>
      </c>
      <c r="FA283" s="5" t="s">
        <v>253</v>
      </c>
      <c r="FB283" s="5">
        <f t="shared" si="848"/>
        <v>0</v>
      </c>
      <c r="FC283" s="5" t="s">
        <v>253</v>
      </c>
      <c r="FD283" s="5">
        <f t="shared" si="849"/>
        <v>0</v>
      </c>
      <c r="FE283" s="5" t="s">
        <v>253</v>
      </c>
      <c r="FF283" s="5">
        <f t="shared" si="850"/>
        <v>0</v>
      </c>
      <c r="FG283" s="5">
        <f t="shared" si="851"/>
        <v>0</v>
      </c>
      <c r="FH283" s="5" t="str">
        <f t="shared" si="852"/>
        <v>Nivel de riesgo bajo</v>
      </c>
      <c r="FI283" s="5" t="s">
        <v>253</v>
      </c>
      <c r="FJ283" s="5">
        <f t="shared" si="853"/>
        <v>0</v>
      </c>
      <c r="FK283" s="5" t="s">
        <v>253</v>
      </c>
      <c r="FL283" s="5">
        <f t="shared" si="854"/>
        <v>0</v>
      </c>
      <c r="FM283" s="5" t="s">
        <v>253</v>
      </c>
      <c r="FN283" s="5">
        <f t="shared" si="855"/>
        <v>0</v>
      </c>
      <c r="FO283" s="5">
        <f t="shared" si="856"/>
        <v>0</v>
      </c>
      <c r="FP283" s="5" t="str">
        <f t="shared" si="857"/>
        <v>Nivel de riesgo bajo</v>
      </c>
      <c r="FQ283" s="5" t="s">
        <v>206</v>
      </c>
      <c r="FR283" s="5">
        <f t="shared" si="858"/>
        <v>0</v>
      </c>
      <c r="FS283" s="5" t="s">
        <v>206</v>
      </c>
      <c r="FT283" s="5">
        <f t="shared" si="859"/>
        <v>0</v>
      </c>
      <c r="FU283" s="5" t="s">
        <v>206</v>
      </c>
      <c r="FV283" s="5">
        <f t="shared" si="860"/>
        <v>0</v>
      </c>
      <c r="FW283" s="5" t="s">
        <v>206</v>
      </c>
      <c r="FX283" s="5">
        <f t="shared" si="861"/>
        <v>0</v>
      </c>
      <c r="FY283" s="5" t="s">
        <v>206</v>
      </c>
      <c r="FZ283" s="5">
        <f t="shared" si="862"/>
        <v>0</v>
      </c>
      <c r="GA283" s="5" t="s">
        <v>206</v>
      </c>
      <c r="GB283" s="5">
        <f t="shared" si="863"/>
        <v>0</v>
      </c>
      <c r="GC283" s="5" t="s">
        <v>206</v>
      </c>
      <c r="GD283" s="5">
        <f t="shared" si="864"/>
        <v>0</v>
      </c>
      <c r="GE283" s="5">
        <f t="shared" si="865"/>
        <v>0</v>
      </c>
      <c r="GF283" s="5" t="str">
        <f t="shared" si="866"/>
        <v>Nivel de riesgo bajo</v>
      </c>
      <c r="GG283" s="5" t="s">
        <v>255</v>
      </c>
      <c r="GH283" s="5" t="s">
        <v>273</v>
      </c>
      <c r="GI283" s="5" t="s">
        <v>255</v>
      </c>
      <c r="GJ283" s="5" t="s">
        <v>266</v>
      </c>
      <c r="GK283" s="5" t="s">
        <v>233</v>
      </c>
      <c r="GL283" s="5" t="s">
        <v>233</v>
      </c>
      <c r="GM283" s="5" t="s">
        <v>266</v>
      </c>
      <c r="GN283" s="5" t="s">
        <v>243</v>
      </c>
      <c r="GO283" s="5" t="s">
        <v>243</v>
      </c>
      <c r="GP283" s="5" t="s">
        <v>243</v>
      </c>
      <c r="GQ283" s="5" t="s">
        <v>256</v>
      </c>
      <c r="GR283" s="5" t="s">
        <v>243</v>
      </c>
      <c r="GS283" s="5" t="s">
        <v>243</v>
      </c>
      <c r="GT283" s="5" t="s">
        <v>256</v>
      </c>
      <c r="GU283" s="5" t="s">
        <v>639</v>
      </c>
      <c r="GV283" s="5" t="str">
        <f>TEXT("6279695565813262309","0")</f>
        <v>6279695565813260000</v>
      </c>
    </row>
    <row r="284" spans="1:204" ht="15.75" customHeight="1" x14ac:dyDescent="0.15">
      <c r="A284" s="1">
        <f t="shared" si="816"/>
        <v>284</v>
      </c>
      <c r="B284" s="4">
        <v>45848.468993055554</v>
      </c>
      <c r="C284" s="5" t="s">
        <v>204</v>
      </c>
      <c r="D284" s="5" t="s">
        <v>204</v>
      </c>
      <c r="E284" s="5" t="s">
        <v>335</v>
      </c>
      <c r="F284" s="5" t="s">
        <v>206</v>
      </c>
      <c r="G284" s="5" t="s">
        <v>206</v>
      </c>
      <c r="H284" s="5" t="s">
        <v>206</v>
      </c>
      <c r="L284" s="5" t="s">
        <v>236</v>
      </c>
      <c r="O284" s="5" t="s">
        <v>209</v>
      </c>
      <c r="T284" s="5" t="s">
        <v>209</v>
      </c>
      <c r="X284" s="5" t="s">
        <v>208</v>
      </c>
      <c r="AF284" s="5" t="s">
        <v>236</v>
      </c>
      <c r="AH284" s="5" t="s">
        <v>640</v>
      </c>
      <c r="AI284" s="5">
        <v>2008</v>
      </c>
      <c r="AJ284" s="5" t="s">
        <v>337</v>
      </c>
      <c r="AK284" s="5" t="str">
        <f t="shared" si="817"/>
        <v>Asalariada</v>
      </c>
      <c r="AQ284" s="5" t="s">
        <v>204</v>
      </c>
      <c r="AR284" s="5" t="s">
        <v>276</v>
      </c>
      <c r="AS284" s="5" t="s">
        <v>276</v>
      </c>
      <c r="AT284" s="5" t="s">
        <v>276</v>
      </c>
      <c r="AU284" s="5" t="s">
        <v>276</v>
      </c>
      <c r="AV284" s="5" t="s">
        <v>269</v>
      </c>
      <c r="AW284" s="5" t="s">
        <v>204</v>
      </c>
      <c r="AX284" s="5" t="s">
        <v>204</v>
      </c>
      <c r="AY284" s="5" t="s">
        <v>270</v>
      </c>
      <c r="AZ284" s="5" t="s">
        <v>204</v>
      </c>
      <c r="BA284" s="5" t="s">
        <v>263</v>
      </c>
      <c r="BF284" s="5" t="s">
        <v>204</v>
      </c>
      <c r="BG284" s="5" t="s">
        <v>278</v>
      </c>
      <c r="BH284" s="5" t="s">
        <v>271</v>
      </c>
      <c r="BI284" s="5" t="s">
        <v>278</v>
      </c>
      <c r="BJ284" s="5" t="s">
        <v>278</v>
      </c>
      <c r="BK284" s="5" t="s">
        <v>245</v>
      </c>
      <c r="BL284" s="5" t="s">
        <v>245</v>
      </c>
      <c r="BM284" s="5" t="s">
        <v>245</v>
      </c>
      <c r="BN284" s="5" t="s">
        <v>245</v>
      </c>
      <c r="BO284" s="5" t="s">
        <v>245</v>
      </c>
      <c r="BP284" s="5" t="s">
        <v>245</v>
      </c>
      <c r="BQ284" s="5" t="s">
        <v>245</v>
      </c>
      <c r="BR284" s="5" t="s">
        <v>243</v>
      </c>
      <c r="BS284" s="5" t="s">
        <v>254</v>
      </c>
      <c r="BT284" s="5" t="s">
        <v>254</v>
      </c>
      <c r="BU284" s="5" t="s">
        <v>247</v>
      </c>
      <c r="BV284" s="5" t="s">
        <v>247</v>
      </c>
      <c r="BW284" s="5" t="s">
        <v>247</v>
      </c>
      <c r="BX284" s="5" t="s">
        <v>247</v>
      </c>
      <c r="BY284" s="5" t="s">
        <v>247</v>
      </c>
      <c r="BZ284" s="5" t="s">
        <v>243</v>
      </c>
      <c r="CA284" s="5" t="s">
        <v>243</v>
      </c>
      <c r="CB284" s="5" t="s">
        <v>243</v>
      </c>
      <c r="CC284" s="5" t="s">
        <v>243</v>
      </c>
      <c r="CD284" s="5" t="s">
        <v>206</v>
      </c>
      <c r="CH284" s="5" t="s">
        <v>206</v>
      </c>
      <c r="CI284" s="5" t="s">
        <v>291</v>
      </c>
      <c r="CJ284" s="5">
        <v>2</v>
      </c>
      <c r="CK284" s="5" t="s">
        <v>223</v>
      </c>
      <c r="CU284" s="5" t="s">
        <v>206</v>
      </c>
      <c r="DA284" s="5" t="s">
        <v>231</v>
      </c>
      <c r="DB284" s="5">
        <f t="shared" si="818"/>
        <v>2</v>
      </c>
      <c r="DC284" s="5" t="s">
        <v>251</v>
      </c>
      <c r="DD284" s="5">
        <f t="shared" si="819"/>
        <v>1</v>
      </c>
      <c r="DE284" s="5" t="s">
        <v>251</v>
      </c>
      <c r="DF284" s="5">
        <f t="shared" si="820"/>
        <v>1</v>
      </c>
      <c r="DG284" s="5" t="s">
        <v>251</v>
      </c>
      <c r="DH284" s="5">
        <f t="shared" si="821"/>
        <v>1</v>
      </c>
      <c r="DI284" s="5" t="s">
        <v>251</v>
      </c>
      <c r="DJ284" s="5">
        <f t="shared" si="822"/>
        <v>1</v>
      </c>
      <c r="DK284" s="5" t="s">
        <v>251</v>
      </c>
      <c r="DL284" s="5">
        <f t="shared" si="823"/>
        <v>1</v>
      </c>
      <c r="DM284" s="5" t="s">
        <v>251</v>
      </c>
      <c r="DN284" s="5">
        <f t="shared" si="824"/>
        <v>1</v>
      </c>
      <c r="DO284" s="5" t="s">
        <v>281</v>
      </c>
      <c r="DP284" s="5">
        <f t="shared" si="825"/>
        <v>1</v>
      </c>
      <c r="DQ284" s="5" t="s">
        <v>281</v>
      </c>
      <c r="DR284" s="5">
        <f t="shared" si="826"/>
        <v>1</v>
      </c>
      <c r="DS284" s="5" t="s">
        <v>281</v>
      </c>
      <c r="DT284" s="5">
        <f t="shared" si="827"/>
        <v>1</v>
      </c>
      <c r="DU284" s="5" t="s">
        <v>281</v>
      </c>
      <c r="DV284" s="5">
        <f t="shared" si="828"/>
        <v>1</v>
      </c>
      <c r="DW284" s="5" t="s">
        <v>281</v>
      </c>
      <c r="DX284" s="5">
        <f t="shared" si="829"/>
        <v>1</v>
      </c>
      <c r="DY284" s="5">
        <f t="shared" si="830"/>
        <v>13</v>
      </c>
      <c r="DZ284" s="5" t="str">
        <f t="shared" si="831"/>
        <v>Nivel de riesgo bajo</v>
      </c>
      <c r="EA284" s="5" t="s">
        <v>247</v>
      </c>
      <c r="EB284" s="5">
        <f t="shared" si="832"/>
        <v>2</v>
      </c>
      <c r="EC284" s="5" t="s">
        <v>247</v>
      </c>
      <c r="ED284" s="5">
        <f t="shared" si="833"/>
        <v>2</v>
      </c>
      <c r="EE284" s="5" t="s">
        <v>253</v>
      </c>
      <c r="EF284" s="5">
        <f t="shared" si="834"/>
        <v>0</v>
      </c>
      <c r="EG284" s="5">
        <f t="shared" si="835"/>
        <v>4</v>
      </c>
      <c r="EH284" s="5" t="str">
        <f t="shared" si="836"/>
        <v>Nivel de riesgo medio</v>
      </c>
      <c r="EI284" s="5" t="s">
        <v>254</v>
      </c>
      <c r="EJ284" s="5">
        <f t="shared" si="837"/>
        <v>4</v>
      </c>
      <c r="EK284" s="5" t="s">
        <v>254</v>
      </c>
      <c r="EL284" s="5">
        <f t="shared" si="838"/>
        <v>4</v>
      </c>
      <c r="EM284" s="5" t="s">
        <v>232</v>
      </c>
      <c r="EN284" s="5">
        <f t="shared" si="839"/>
        <v>3</v>
      </c>
      <c r="EO284" s="5">
        <f t="shared" si="840"/>
        <v>11</v>
      </c>
      <c r="EP284" s="5" t="str">
        <f t="shared" si="841"/>
        <v>Nivel de riesgo alto</v>
      </c>
      <c r="EQ284" s="5" t="s">
        <v>247</v>
      </c>
      <c r="ER284" s="5">
        <f t="shared" si="842"/>
        <v>2</v>
      </c>
      <c r="ES284" s="5" t="s">
        <v>247</v>
      </c>
      <c r="ET284" s="5">
        <f t="shared" si="843"/>
        <v>2</v>
      </c>
      <c r="EU284" s="5" t="s">
        <v>254</v>
      </c>
      <c r="EV284" s="5">
        <f t="shared" si="844"/>
        <v>0</v>
      </c>
      <c r="EW284" s="5" t="s">
        <v>254</v>
      </c>
      <c r="EX284" s="5">
        <f t="shared" si="845"/>
        <v>0</v>
      </c>
      <c r="EY284" s="5">
        <f t="shared" si="846"/>
        <v>4</v>
      </c>
      <c r="EZ284" s="5" t="str">
        <f t="shared" si="847"/>
        <v>Nivel de riesgo medio</v>
      </c>
      <c r="FA284" s="5" t="s">
        <v>247</v>
      </c>
      <c r="FB284" s="5">
        <f t="shared" si="848"/>
        <v>2</v>
      </c>
      <c r="FC284" s="5" t="s">
        <v>247</v>
      </c>
      <c r="FD284" s="5">
        <f t="shared" si="849"/>
        <v>2</v>
      </c>
      <c r="FE284" s="5" t="s">
        <v>247</v>
      </c>
      <c r="FF284" s="5">
        <f t="shared" si="850"/>
        <v>2</v>
      </c>
      <c r="FG284" s="5">
        <f t="shared" si="851"/>
        <v>6</v>
      </c>
      <c r="FH284" s="5" t="str">
        <f t="shared" si="852"/>
        <v>Nivel de riesgo alto</v>
      </c>
      <c r="FI284" s="5" t="s">
        <v>247</v>
      </c>
      <c r="FJ284" s="5">
        <f t="shared" si="853"/>
        <v>2</v>
      </c>
      <c r="FK284" s="5" t="s">
        <v>247</v>
      </c>
      <c r="FL284" s="5">
        <f t="shared" si="854"/>
        <v>2</v>
      </c>
      <c r="FM284" s="5" t="s">
        <v>247</v>
      </c>
      <c r="FN284" s="5">
        <f t="shared" si="855"/>
        <v>2</v>
      </c>
      <c r="FO284" s="5">
        <f t="shared" si="856"/>
        <v>6</v>
      </c>
      <c r="FP284" s="5" t="str">
        <f t="shared" si="857"/>
        <v>Nivel de riesgo alto</v>
      </c>
      <c r="FQ284" s="5" t="s">
        <v>206</v>
      </c>
      <c r="FR284" s="5">
        <f t="shared" si="858"/>
        <v>0</v>
      </c>
      <c r="FS284" s="5" t="s">
        <v>206</v>
      </c>
      <c r="FT284" s="5">
        <f t="shared" si="859"/>
        <v>0</v>
      </c>
      <c r="FU284" s="5" t="s">
        <v>206</v>
      </c>
      <c r="FV284" s="5">
        <f t="shared" si="860"/>
        <v>0</v>
      </c>
      <c r="FW284" s="5" t="s">
        <v>206</v>
      </c>
      <c r="FX284" s="5">
        <f t="shared" si="861"/>
        <v>0</v>
      </c>
      <c r="FY284" s="5" t="s">
        <v>206</v>
      </c>
      <c r="FZ284" s="5">
        <f t="shared" si="862"/>
        <v>0</v>
      </c>
      <c r="GA284" s="5" t="s">
        <v>206</v>
      </c>
      <c r="GB284" s="5">
        <f t="shared" si="863"/>
        <v>0</v>
      </c>
      <c r="GC284" s="5" t="s">
        <v>206</v>
      </c>
      <c r="GD284" s="5">
        <f t="shared" si="864"/>
        <v>0</v>
      </c>
      <c r="GE284" s="5">
        <f t="shared" si="865"/>
        <v>0</v>
      </c>
      <c r="GF284" s="5" t="str">
        <f t="shared" si="866"/>
        <v>Nivel de riesgo bajo</v>
      </c>
      <c r="GG284" s="5" t="s">
        <v>255</v>
      </c>
      <c r="GH284" s="5" t="s">
        <v>255</v>
      </c>
      <c r="GI284" s="5" t="s">
        <v>255</v>
      </c>
      <c r="GJ284" s="5" t="s">
        <v>255</v>
      </c>
      <c r="GK284" s="5" t="s">
        <v>266</v>
      </c>
      <c r="GL284" s="5" t="s">
        <v>298</v>
      </c>
      <c r="GM284" s="5" t="s">
        <v>266</v>
      </c>
      <c r="GN284" s="5" t="s">
        <v>256</v>
      </c>
      <c r="GO284" s="5" t="s">
        <v>256</v>
      </c>
      <c r="GP284" s="5" t="s">
        <v>256</v>
      </c>
      <c r="GQ284" s="5" t="s">
        <v>256</v>
      </c>
      <c r="GR284" s="5" t="s">
        <v>256</v>
      </c>
      <c r="GS284" s="5" t="s">
        <v>256</v>
      </c>
      <c r="GT284" s="5" t="s">
        <v>256</v>
      </c>
      <c r="GU284" s="5" t="s">
        <v>641</v>
      </c>
      <c r="GV284" s="5" t="str">
        <f>TEXT("6279697215638980314","0")</f>
        <v>6279697215638980000</v>
      </c>
    </row>
    <row r="285" spans="1:204" ht="15.75" customHeight="1" x14ac:dyDescent="0.15">
      <c r="A285" s="1">
        <f t="shared" si="816"/>
        <v>285</v>
      </c>
      <c r="B285" s="4">
        <v>45848.482789351852</v>
      </c>
      <c r="C285" s="5" t="s">
        <v>204</v>
      </c>
      <c r="D285" s="5" t="s">
        <v>206</v>
      </c>
      <c r="F285" s="5" t="s">
        <v>206</v>
      </c>
      <c r="G285" s="5" t="s">
        <v>204</v>
      </c>
      <c r="H285" s="5" t="s">
        <v>206</v>
      </c>
      <c r="K285" s="5" t="s">
        <v>237</v>
      </c>
      <c r="P285" s="5" t="s">
        <v>237</v>
      </c>
      <c r="T285" s="5" t="s">
        <v>209</v>
      </c>
      <c r="AB285" s="5" t="s">
        <v>207</v>
      </c>
      <c r="AG285" s="5" t="s">
        <v>207</v>
      </c>
      <c r="AH285" s="5" t="s">
        <v>275</v>
      </c>
      <c r="AI285" s="5">
        <v>2021</v>
      </c>
      <c r="AJ285" s="5" t="s">
        <v>238</v>
      </c>
      <c r="AK285" s="5" t="str">
        <f t="shared" si="817"/>
        <v>Trabajadora por cuenta propia</v>
      </c>
      <c r="AN285" s="5" t="s">
        <v>288</v>
      </c>
      <c r="AP285" s="5" t="s">
        <v>297</v>
      </c>
      <c r="AR285" s="5" t="s">
        <v>261</v>
      </c>
      <c r="AS285" s="5" t="s">
        <v>241</v>
      </c>
      <c r="AT285" s="5" t="s">
        <v>241</v>
      </c>
      <c r="AU285" s="5" t="s">
        <v>261</v>
      </c>
      <c r="AV285" s="5" t="s">
        <v>213</v>
      </c>
      <c r="AW285" s="5" t="s">
        <v>206</v>
      </c>
      <c r="BF285" s="5" t="s">
        <v>204</v>
      </c>
      <c r="BG285" s="5" t="s">
        <v>242</v>
      </c>
      <c r="BH285" s="5" t="s">
        <v>271</v>
      </c>
      <c r="BI285" s="5" t="s">
        <v>278</v>
      </c>
      <c r="BJ285" s="5" t="s">
        <v>242</v>
      </c>
      <c r="BK285" s="5" t="s">
        <v>246</v>
      </c>
      <c r="BL285" s="5" t="s">
        <v>245</v>
      </c>
      <c r="BM285" s="5" t="s">
        <v>246</v>
      </c>
      <c r="BN285" s="5" t="s">
        <v>216</v>
      </c>
      <c r="BO285" s="5" t="s">
        <v>246</v>
      </c>
      <c r="BP285" s="5" t="s">
        <v>245</v>
      </c>
      <c r="BQ285" s="5" t="s">
        <v>245</v>
      </c>
      <c r="BR285" s="5" t="s">
        <v>245</v>
      </c>
      <c r="BS285" s="5" t="s">
        <v>232</v>
      </c>
      <c r="BT285" s="5" t="s">
        <v>232</v>
      </c>
      <c r="BU285" s="5" t="s">
        <v>232</v>
      </c>
      <c r="BV285" s="5" t="s">
        <v>248</v>
      </c>
      <c r="BW285" s="5" t="s">
        <v>232</v>
      </c>
      <c r="BX285" s="5" t="s">
        <v>254</v>
      </c>
      <c r="BY285" s="5" t="s">
        <v>247</v>
      </c>
      <c r="CD285" s="5" t="s">
        <v>206</v>
      </c>
      <c r="CH285" s="5" t="s">
        <v>206</v>
      </c>
      <c r="CI285" s="5" t="s">
        <v>291</v>
      </c>
      <c r="CJ285" s="5">
        <v>2</v>
      </c>
      <c r="CK285" s="5" t="s">
        <v>223</v>
      </c>
      <c r="CU285" s="5" t="s">
        <v>206</v>
      </c>
      <c r="DA285" s="5" t="s">
        <v>231</v>
      </c>
      <c r="DB285" s="5">
        <f t="shared" si="818"/>
        <v>2</v>
      </c>
      <c r="DC285" s="5" t="s">
        <v>230</v>
      </c>
      <c r="DD285" s="5">
        <f t="shared" si="819"/>
        <v>2</v>
      </c>
      <c r="DE285" s="5" t="s">
        <v>250</v>
      </c>
      <c r="DF285" s="5">
        <f t="shared" si="820"/>
        <v>3</v>
      </c>
      <c r="DG285" s="5" t="s">
        <v>251</v>
      </c>
      <c r="DH285" s="5">
        <f t="shared" si="821"/>
        <v>1</v>
      </c>
      <c r="DI285" s="5" t="s">
        <v>251</v>
      </c>
      <c r="DJ285" s="5">
        <f t="shared" si="822"/>
        <v>1</v>
      </c>
      <c r="DK285" s="5" t="s">
        <v>251</v>
      </c>
      <c r="DL285" s="5">
        <f t="shared" si="823"/>
        <v>1</v>
      </c>
      <c r="DM285" s="5" t="s">
        <v>251</v>
      </c>
      <c r="DN285" s="5">
        <f t="shared" si="824"/>
        <v>1</v>
      </c>
      <c r="DO285" s="5" t="s">
        <v>281</v>
      </c>
      <c r="DP285" s="5">
        <f t="shared" si="825"/>
        <v>1</v>
      </c>
      <c r="DQ285" s="5" t="s">
        <v>281</v>
      </c>
      <c r="DR285" s="5">
        <f t="shared" si="826"/>
        <v>1</v>
      </c>
      <c r="DS285" s="5" t="s">
        <v>231</v>
      </c>
      <c r="DT285" s="5">
        <f t="shared" si="827"/>
        <v>2</v>
      </c>
      <c r="DU285" s="5" t="s">
        <v>281</v>
      </c>
      <c r="DV285" s="5">
        <f t="shared" si="828"/>
        <v>1</v>
      </c>
      <c r="DW285" s="5" t="s">
        <v>281</v>
      </c>
      <c r="DX285" s="5">
        <f t="shared" si="829"/>
        <v>1</v>
      </c>
      <c r="DY285" s="5">
        <f t="shared" si="830"/>
        <v>17</v>
      </c>
      <c r="DZ285" s="5" t="str">
        <f t="shared" si="831"/>
        <v>Nivel de riesgo bajo</v>
      </c>
      <c r="EA285" s="5" t="s">
        <v>253</v>
      </c>
      <c r="EB285" s="5">
        <f t="shared" si="832"/>
        <v>0</v>
      </c>
      <c r="EC285" s="5" t="s">
        <v>248</v>
      </c>
      <c r="ED285" s="5">
        <f t="shared" si="833"/>
        <v>1</v>
      </c>
      <c r="EE285" s="5" t="s">
        <v>253</v>
      </c>
      <c r="EF285" s="5">
        <f t="shared" si="834"/>
        <v>0</v>
      </c>
      <c r="EG285" s="5">
        <f t="shared" si="835"/>
        <v>1</v>
      </c>
      <c r="EH285" s="5" t="str">
        <f t="shared" si="836"/>
        <v>Nivel de riesgo bajo</v>
      </c>
      <c r="EI285" s="5" t="s">
        <v>253</v>
      </c>
      <c r="EJ285" s="5">
        <f t="shared" si="837"/>
        <v>0</v>
      </c>
      <c r="EK285" s="5" t="s">
        <v>253</v>
      </c>
      <c r="EL285" s="5">
        <f t="shared" si="838"/>
        <v>0</v>
      </c>
      <c r="EM285" s="5" t="s">
        <v>247</v>
      </c>
      <c r="EN285" s="5">
        <f t="shared" si="839"/>
        <v>2</v>
      </c>
      <c r="EO285" s="5">
        <f t="shared" si="840"/>
        <v>2</v>
      </c>
      <c r="EP285" s="5" t="str">
        <f t="shared" si="841"/>
        <v>Nivel de riesgo medio</v>
      </c>
      <c r="EQ285" s="5" t="s">
        <v>254</v>
      </c>
      <c r="ER285" s="5">
        <f t="shared" si="842"/>
        <v>0</v>
      </c>
      <c r="ES285" s="5" t="s">
        <v>254</v>
      </c>
      <c r="ET285" s="5">
        <f t="shared" si="843"/>
        <v>0</v>
      </c>
      <c r="EU285" s="5" t="s">
        <v>254</v>
      </c>
      <c r="EV285" s="5">
        <f t="shared" si="844"/>
        <v>0</v>
      </c>
      <c r="EW285" s="5" t="s">
        <v>254</v>
      </c>
      <c r="EX285" s="5">
        <f t="shared" si="845"/>
        <v>0</v>
      </c>
      <c r="EY285" s="5">
        <f t="shared" si="846"/>
        <v>0</v>
      </c>
      <c r="EZ285" s="5" t="str">
        <f t="shared" si="847"/>
        <v>Nivel de riesgo bajo</v>
      </c>
      <c r="FA285" s="5" t="s">
        <v>248</v>
      </c>
      <c r="FB285" s="5">
        <f t="shared" si="848"/>
        <v>1</v>
      </c>
      <c r="FC285" s="5" t="s">
        <v>253</v>
      </c>
      <c r="FD285" s="5">
        <f t="shared" si="849"/>
        <v>0</v>
      </c>
      <c r="FE285" s="5" t="s">
        <v>253</v>
      </c>
      <c r="FF285" s="5">
        <f t="shared" si="850"/>
        <v>0</v>
      </c>
      <c r="FG285" s="5">
        <f t="shared" si="851"/>
        <v>1</v>
      </c>
      <c r="FH285" s="5" t="str">
        <f t="shared" si="852"/>
        <v>Nivel de riesgo bajo</v>
      </c>
      <c r="FI285" s="5" t="s">
        <v>248</v>
      </c>
      <c r="FJ285" s="5">
        <f t="shared" si="853"/>
        <v>1</v>
      </c>
      <c r="FK285" s="5" t="s">
        <v>247</v>
      </c>
      <c r="FL285" s="5">
        <f t="shared" si="854"/>
        <v>2</v>
      </c>
      <c r="FM285" s="5" t="s">
        <v>253</v>
      </c>
      <c r="FN285" s="5">
        <f t="shared" si="855"/>
        <v>0</v>
      </c>
      <c r="FO285" s="5">
        <f t="shared" si="856"/>
        <v>3</v>
      </c>
      <c r="FP285" s="5" t="str">
        <f t="shared" si="857"/>
        <v>Nivel de riesgo medio</v>
      </c>
      <c r="FQ285" s="5" t="s">
        <v>206</v>
      </c>
      <c r="FR285" s="5">
        <f t="shared" si="858"/>
        <v>0</v>
      </c>
      <c r="FS285" s="5" t="s">
        <v>206</v>
      </c>
      <c r="FT285" s="5">
        <f t="shared" si="859"/>
        <v>0</v>
      </c>
      <c r="FU285" s="5" t="s">
        <v>206</v>
      </c>
      <c r="FV285" s="5">
        <f t="shared" si="860"/>
        <v>0</v>
      </c>
      <c r="FW285" s="5" t="s">
        <v>206</v>
      </c>
      <c r="FX285" s="5">
        <f t="shared" si="861"/>
        <v>0</v>
      </c>
      <c r="FY285" s="5" t="s">
        <v>206</v>
      </c>
      <c r="FZ285" s="5">
        <f t="shared" si="862"/>
        <v>0</v>
      </c>
      <c r="GA285" s="5" t="s">
        <v>206</v>
      </c>
      <c r="GB285" s="5">
        <f t="shared" si="863"/>
        <v>0</v>
      </c>
      <c r="GC285" s="5" t="s">
        <v>206</v>
      </c>
      <c r="GD285" s="5">
        <f t="shared" si="864"/>
        <v>0</v>
      </c>
      <c r="GE285" s="5">
        <f t="shared" si="865"/>
        <v>0</v>
      </c>
      <c r="GF285" s="5" t="str">
        <f t="shared" si="866"/>
        <v>Nivel de riesgo bajo</v>
      </c>
      <c r="GG285" s="5" t="s">
        <v>255</v>
      </c>
      <c r="GH285" s="5" t="s">
        <v>255</v>
      </c>
      <c r="GI285" s="5" t="s">
        <v>255</v>
      </c>
      <c r="GJ285" s="5" t="s">
        <v>255</v>
      </c>
      <c r="GK285" s="5" t="s">
        <v>233</v>
      </c>
      <c r="GL285" s="5" t="s">
        <v>255</v>
      </c>
      <c r="GM285" s="5" t="s">
        <v>255</v>
      </c>
      <c r="GN285" s="5" t="s">
        <v>256</v>
      </c>
      <c r="GO285" s="5" t="s">
        <v>256</v>
      </c>
      <c r="GP285" s="5" t="s">
        <v>257</v>
      </c>
      <c r="GQ285" s="5" t="s">
        <v>243</v>
      </c>
      <c r="GR285" s="5" t="s">
        <v>243</v>
      </c>
      <c r="GS285" s="5" t="s">
        <v>256</v>
      </c>
      <c r="GT285" s="5" t="s">
        <v>243</v>
      </c>
      <c r="GU285" s="5" t="s">
        <v>642</v>
      </c>
      <c r="GV285" s="5" t="str">
        <f>TEXT("6279709131797892675","0")</f>
        <v>6279709131797890000</v>
      </c>
    </row>
    <row r="286" spans="1:204" ht="15.75" customHeight="1" x14ac:dyDescent="0.15">
      <c r="A286" s="1">
        <f t="shared" si="816"/>
        <v>286</v>
      </c>
      <c r="B286" s="4">
        <v>45848.491898148146</v>
      </c>
      <c r="C286" s="5" t="s">
        <v>204</v>
      </c>
      <c r="D286" s="5" t="s">
        <v>204</v>
      </c>
      <c r="E286" s="5" t="s">
        <v>335</v>
      </c>
      <c r="F286" s="5" t="s">
        <v>206</v>
      </c>
      <c r="G286" s="5" t="s">
        <v>204</v>
      </c>
      <c r="H286" s="5" t="s">
        <v>206</v>
      </c>
      <c r="J286" s="5" t="s">
        <v>209</v>
      </c>
      <c r="N286" s="5" t="s">
        <v>208</v>
      </c>
      <c r="S286" s="5" t="s">
        <v>208</v>
      </c>
      <c r="X286" s="5" t="s">
        <v>208</v>
      </c>
      <c r="AC286" s="5" t="s">
        <v>208</v>
      </c>
      <c r="AH286" s="5" t="s">
        <v>268</v>
      </c>
      <c r="AI286" s="5">
        <v>2022</v>
      </c>
      <c r="AJ286" s="5" t="s">
        <v>238</v>
      </c>
      <c r="AK286" s="5" t="str">
        <f t="shared" si="817"/>
        <v>Trabajadora por cuenta propia</v>
      </c>
      <c r="AM286" s="5" t="s">
        <v>309</v>
      </c>
      <c r="AP286" s="5" t="s">
        <v>284</v>
      </c>
      <c r="AR286" s="5" t="s">
        <v>276</v>
      </c>
      <c r="AS286" s="5" t="s">
        <v>276</v>
      </c>
      <c r="AT286" s="5" t="s">
        <v>276</v>
      </c>
      <c r="AU286" s="5" t="s">
        <v>276</v>
      </c>
      <c r="AV286" s="5" t="s">
        <v>285</v>
      </c>
      <c r="AW286" s="5" t="s">
        <v>204</v>
      </c>
      <c r="AX286" s="5" t="s">
        <v>204</v>
      </c>
      <c r="AY286" s="5" t="s">
        <v>339</v>
      </c>
      <c r="AZ286" s="5" t="s">
        <v>204</v>
      </c>
      <c r="BA286" s="5" t="s">
        <v>348</v>
      </c>
      <c r="BF286" s="5" t="s">
        <v>204</v>
      </c>
      <c r="BG286" s="5" t="s">
        <v>242</v>
      </c>
      <c r="BH286" s="5" t="s">
        <v>242</v>
      </c>
      <c r="BI286" s="5" t="s">
        <v>207</v>
      </c>
      <c r="BJ286" s="5" t="s">
        <v>207</v>
      </c>
      <c r="BK286" s="5" t="s">
        <v>216</v>
      </c>
      <c r="BL286" s="5" t="s">
        <v>216</v>
      </c>
      <c r="BM286" s="5" t="s">
        <v>216</v>
      </c>
      <c r="BN286" s="5" t="s">
        <v>244</v>
      </c>
      <c r="BO286" s="5" t="s">
        <v>244</v>
      </c>
      <c r="BP286" s="5" t="s">
        <v>244</v>
      </c>
      <c r="BQ286" s="5" t="s">
        <v>216</v>
      </c>
      <c r="BR286" s="5" t="s">
        <v>244</v>
      </c>
      <c r="BS286" s="5" t="s">
        <v>217</v>
      </c>
      <c r="BT286" s="5" t="s">
        <v>217</v>
      </c>
      <c r="BU286" s="5" t="s">
        <v>217</v>
      </c>
      <c r="BV286" s="5" t="s">
        <v>217</v>
      </c>
      <c r="BW286" s="5" t="s">
        <v>217</v>
      </c>
      <c r="BX286" s="5" t="s">
        <v>217</v>
      </c>
      <c r="BY286" s="5" t="s">
        <v>217</v>
      </c>
      <c r="BZ286" s="5" t="s">
        <v>244</v>
      </c>
      <c r="CA286" s="5" t="s">
        <v>244</v>
      </c>
      <c r="CB286" s="5" t="s">
        <v>244</v>
      </c>
      <c r="CC286" s="5" t="s">
        <v>244</v>
      </c>
      <c r="CD286" s="5" t="s">
        <v>206</v>
      </c>
      <c r="CH286" s="5" t="s">
        <v>221</v>
      </c>
      <c r="CI286" s="5" t="s">
        <v>206</v>
      </c>
      <c r="CJ286" s="5">
        <v>5</v>
      </c>
      <c r="CK286" s="5" t="s">
        <v>223</v>
      </c>
      <c r="CU286" s="5" t="s">
        <v>206</v>
      </c>
      <c r="DA286" s="5" t="s">
        <v>272</v>
      </c>
      <c r="DB286" s="5">
        <f t="shared" si="818"/>
        <v>1</v>
      </c>
      <c r="DC286" s="5" t="s">
        <v>251</v>
      </c>
      <c r="DD286" s="5">
        <f t="shared" si="819"/>
        <v>1</v>
      </c>
      <c r="DE286" s="5" t="s">
        <v>251</v>
      </c>
      <c r="DF286" s="5">
        <f t="shared" si="820"/>
        <v>1</v>
      </c>
      <c r="DG286" s="5" t="s">
        <v>251</v>
      </c>
      <c r="DH286" s="5">
        <f t="shared" si="821"/>
        <v>1</v>
      </c>
      <c r="DI286" s="5" t="s">
        <v>251</v>
      </c>
      <c r="DJ286" s="5">
        <f t="shared" si="822"/>
        <v>1</v>
      </c>
      <c r="DK286" s="5" t="s">
        <v>251</v>
      </c>
      <c r="DL286" s="5">
        <f t="shared" si="823"/>
        <v>1</v>
      </c>
      <c r="DM286" s="5" t="s">
        <v>251</v>
      </c>
      <c r="DN286" s="5">
        <f t="shared" si="824"/>
        <v>1</v>
      </c>
      <c r="DO286" s="5" t="s">
        <v>281</v>
      </c>
      <c r="DP286" s="5">
        <f t="shared" si="825"/>
        <v>1</v>
      </c>
      <c r="DQ286" s="5" t="s">
        <v>231</v>
      </c>
      <c r="DR286" s="5">
        <f t="shared" si="826"/>
        <v>2</v>
      </c>
      <c r="DS286" s="5" t="s">
        <v>231</v>
      </c>
      <c r="DT286" s="5">
        <f t="shared" si="827"/>
        <v>2</v>
      </c>
      <c r="DU286" s="5" t="s">
        <v>231</v>
      </c>
      <c r="DV286" s="5">
        <f t="shared" si="828"/>
        <v>2</v>
      </c>
      <c r="DW286" s="5" t="s">
        <v>231</v>
      </c>
      <c r="DX286" s="5">
        <f t="shared" si="829"/>
        <v>2</v>
      </c>
      <c r="DY286" s="5">
        <f t="shared" si="830"/>
        <v>16</v>
      </c>
      <c r="DZ286" s="5" t="str">
        <f t="shared" si="831"/>
        <v>Nivel de riesgo bajo</v>
      </c>
      <c r="EA286" s="5" t="s">
        <v>232</v>
      </c>
      <c r="EB286" s="5">
        <f t="shared" si="832"/>
        <v>3</v>
      </c>
      <c r="EC286" s="5" t="s">
        <v>232</v>
      </c>
      <c r="ED286" s="5">
        <f t="shared" si="833"/>
        <v>3</v>
      </c>
      <c r="EE286" s="5" t="s">
        <v>232</v>
      </c>
      <c r="EF286" s="5">
        <f t="shared" si="834"/>
        <v>3</v>
      </c>
      <c r="EG286" s="5">
        <f t="shared" si="835"/>
        <v>9</v>
      </c>
      <c r="EH286" s="5" t="str">
        <f t="shared" si="836"/>
        <v>Nivel de riesgo alto</v>
      </c>
      <c r="EI286" s="5" t="s">
        <v>232</v>
      </c>
      <c r="EJ286" s="5">
        <f t="shared" si="837"/>
        <v>3</v>
      </c>
      <c r="EK286" s="5" t="s">
        <v>232</v>
      </c>
      <c r="EL286" s="5">
        <f t="shared" si="838"/>
        <v>3</v>
      </c>
      <c r="EM286" s="5" t="s">
        <v>232</v>
      </c>
      <c r="EN286" s="5">
        <f t="shared" si="839"/>
        <v>3</v>
      </c>
      <c r="EO286" s="5">
        <f t="shared" si="840"/>
        <v>9</v>
      </c>
      <c r="EP286" s="5" t="str">
        <f t="shared" si="841"/>
        <v>Nivel de riesgo alto</v>
      </c>
      <c r="EQ286" s="5" t="s">
        <v>232</v>
      </c>
      <c r="ER286" s="5">
        <f t="shared" si="842"/>
        <v>1</v>
      </c>
      <c r="ES286" s="5" t="s">
        <v>232</v>
      </c>
      <c r="ET286" s="5">
        <f t="shared" si="843"/>
        <v>1</v>
      </c>
      <c r="EU286" s="5" t="s">
        <v>232</v>
      </c>
      <c r="EV286" s="5">
        <f t="shared" si="844"/>
        <v>1</v>
      </c>
      <c r="EW286" s="5" t="s">
        <v>232</v>
      </c>
      <c r="EX286" s="5">
        <f t="shared" si="845"/>
        <v>1</v>
      </c>
      <c r="EY286" s="5">
        <f t="shared" si="846"/>
        <v>4</v>
      </c>
      <c r="EZ286" s="5" t="str">
        <f t="shared" si="847"/>
        <v>Nivel de riesgo medio</v>
      </c>
      <c r="FA286" s="5" t="s">
        <v>232</v>
      </c>
      <c r="FB286" s="5">
        <f t="shared" si="848"/>
        <v>3</v>
      </c>
      <c r="FC286" s="5" t="s">
        <v>232</v>
      </c>
      <c r="FD286" s="5">
        <f t="shared" si="849"/>
        <v>3</v>
      </c>
      <c r="FE286" s="5" t="s">
        <v>232</v>
      </c>
      <c r="FF286" s="5">
        <f t="shared" si="850"/>
        <v>3</v>
      </c>
      <c r="FG286" s="5">
        <f t="shared" si="851"/>
        <v>9</v>
      </c>
      <c r="FH286" s="5" t="str">
        <f t="shared" si="852"/>
        <v>Nivel de riesgo alto</v>
      </c>
      <c r="FI286" s="5" t="s">
        <v>232</v>
      </c>
      <c r="FJ286" s="5">
        <f t="shared" si="853"/>
        <v>3</v>
      </c>
      <c r="FK286" s="5" t="s">
        <v>232</v>
      </c>
      <c r="FL286" s="5">
        <f t="shared" si="854"/>
        <v>3</v>
      </c>
      <c r="FM286" s="5" t="s">
        <v>232</v>
      </c>
      <c r="FN286" s="5">
        <f t="shared" si="855"/>
        <v>3</v>
      </c>
      <c r="FO286" s="5">
        <f t="shared" si="856"/>
        <v>9</v>
      </c>
      <c r="FP286" s="5" t="str">
        <f t="shared" si="857"/>
        <v>Nivel de riesgo alto</v>
      </c>
      <c r="FQ286" s="5" t="s">
        <v>206</v>
      </c>
      <c r="FR286" s="5">
        <f t="shared" si="858"/>
        <v>0</v>
      </c>
      <c r="FS286" s="5" t="s">
        <v>206</v>
      </c>
      <c r="FT286" s="5">
        <f t="shared" si="859"/>
        <v>0</v>
      </c>
      <c r="FU286" s="5" t="s">
        <v>206</v>
      </c>
      <c r="FV286" s="5">
        <f t="shared" si="860"/>
        <v>0</v>
      </c>
      <c r="FW286" s="5" t="s">
        <v>206</v>
      </c>
      <c r="FX286" s="5">
        <f t="shared" si="861"/>
        <v>0</v>
      </c>
      <c r="FY286" s="5" t="s">
        <v>206</v>
      </c>
      <c r="FZ286" s="5">
        <f t="shared" si="862"/>
        <v>0</v>
      </c>
      <c r="GA286" s="5" t="s">
        <v>206</v>
      </c>
      <c r="GB286" s="5">
        <f t="shared" si="863"/>
        <v>0</v>
      </c>
      <c r="GC286" s="5" t="s">
        <v>206</v>
      </c>
      <c r="GD286" s="5">
        <f t="shared" si="864"/>
        <v>0</v>
      </c>
      <c r="GE286" s="5">
        <f t="shared" si="865"/>
        <v>0</v>
      </c>
      <c r="GF286" s="5" t="str">
        <f t="shared" si="866"/>
        <v>Nivel de riesgo bajo</v>
      </c>
      <c r="GG286" s="5" t="s">
        <v>255</v>
      </c>
      <c r="GH286" s="5" t="s">
        <v>255</v>
      </c>
      <c r="GI286" s="5" t="s">
        <v>255</v>
      </c>
      <c r="GJ286" s="5" t="s">
        <v>233</v>
      </c>
      <c r="GK286" s="5" t="s">
        <v>255</v>
      </c>
      <c r="GL286" s="5" t="s">
        <v>255</v>
      </c>
      <c r="GM286" s="5" t="s">
        <v>255</v>
      </c>
      <c r="GN286" s="5" t="s">
        <v>256</v>
      </c>
      <c r="GO286" s="5" t="s">
        <v>234</v>
      </c>
      <c r="GP286" s="5" t="s">
        <v>234</v>
      </c>
      <c r="GQ286" s="5" t="s">
        <v>243</v>
      </c>
      <c r="GR286" s="5" t="s">
        <v>243</v>
      </c>
      <c r="GS286" s="5" t="s">
        <v>243</v>
      </c>
      <c r="GT286" s="5" t="s">
        <v>243</v>
      </c>
      <c r="GU286" s="5" t="s">
        <v>643</v>
      </c>
      <c r="GV286" s="5" t="str">
        <f>TEXT("6279717008427598167","0")</f>
        <v>6279717008427590000</v>
      </c>
    </row>
    <row r="287" spans="1:204" ht="15.75" customHeight="1" x14ac:dyDescent="0.15">
      <c r="A287" s="1">
        <f t="shared" si="816"/>
        <v>287</v>
      </c>
      <c r="B287" s="4">
        <v>45848.492384259262</v>
      </c>
      <c r="C287" s="5" t="s">
        <v>204</v>
      </c>
      <c r="D287" s="5" t="s">
        <v>206</v>
      </c>
      <c r="F287" s="5" t="s">
        <v>206</v>
      </c>
      <c r="G287" s="5" t="s">
        <v>206</v>
      </c>
      <c r="H287" s="5" t="s">
        <v>206</v>
      </c>
      <c r="K287" s="5" t="s">
        <v>237</v>
      </c>
      <c r="P287" s="5" t="s">
        <v>237</v>
      </c>
      <c r="U287" s="5" t="s">
        <v>237</v>
      </c>
      <c r="X287" s="5" t="s">
        <v>208</v>
      </c>
      <c r="AD287" s="5" t="s">
        <v>209</v>
      </c>
      <c r="AH287" s="5" t="s">
        <v>210</v>
      </c>
      <c r="AI287" s="5">
        <v>2021</v>
      </c>
      <c r="AJ287" s="5" t="s">
        <v>330</v>
      </c>
      <c r="AK287" s="5" t="str">
        <f t="shared" si="817"/>
        <v>Asalariada</v>
      </c>
      <c r="AQ287" s="5" t="s">
        <v>204</v>
      </c>
      <c r="AR287" s="5" t="s">
        <v>241</v>
      </c>
      <c r="AS287" s="5" t="s">
        <v>241</v>
      </c>
      <c r="AT287" s="5" t="s">
        <v>241</v>
      </c>
      <c r="AU287" s="5" t="s">
        <v>276</v>
      </c>
      <c r="AV287" s="5" t="s">
        <v>302</v>
      </c>
      <c r="AW287" s="5" t="s">
        <v>204</v>
      </c>
      <c r="AX287" s="5" t="s">
        <v>204</v>
      </c>
      <c r="AY287" s="5" t="s">
        <v>214</v>
      </c>
      <c r="AZ287" s="5" t="s">
        <v>206</v>
      </c>
      <c r="BA287" s="5" t="s">
        <v>263</v>
      </c>
      <c r="BF287" s="5" t="s">
        <v>204</v>
      </c>
      <c r="BG287" s="5" t="s">
        <v>207</v>
      </c>
      <c r="BH287" s="5" t="s">
        <v>242</v>
      </c>
      <c r="BI287" s="5" t="s">
        <v>207</v>
      </c>
      <c r="BJ287" s="5" t="s">
        <v>278</v>
      </c>
      <c r="BK287" s="5" t="s">
        <v>243</v>
      </c>
      <c r="BL287" s="5" t="s">
        <v>243</v>
      </c>
      <c r="BM287" s="5" t="s">
        <v>243</v>
      </c>
      <c r="BN287" s="5" t="s">
        <v>243</v>
      </c>
      <c r="BO287" s="5" t="s">
        <v>246</v>
      </c>
      <c r="BP287" s="5" t="s">
        <v>243</v>
      </c>
      <c r="BQ287" s="5" t="s">
        <v>244</v>
      </c>
      <c r="BR287" s="5" t="s">
        <v>246</v>
      </c>
      <c r="BS287" s="5" t="s">
        <v>232</v>
      </c>
      <c r="BT287" s="5" t="s">
        <v>232</v>
      </c>
      <c r="BU287" s="5" t="s">
        <v>232</v>
      </c>
      <c r="BV287" s="5" t="s">
        <v>232</v>
      </c>
      <c r="BW287" s="5" t="s">
        <v>254</v>
      </c>
      <c r="BX287" s="5" t="s">
        <v>254</v>
      </c>
      <c r="BY287" s="5" t="s">
        <v>232</v>
      </c>
      <c r="BZ287" s="5" t="s">
        <v>244</v>
      </c>
      <c r="CA287" s="5" t="s">
        <v>244</v>
      </c>
      <c r="CB287" s="5" t="s">
        <v>243</v>
      </c>
      <c r="CC287" s="5" t="s">
        <v>243</v>
      </c>
      <c r="CD287" s="5" t="s">
        <v>204</v>
      </c>
      <c r="CE287" s="5" t="s">
        <v>218</v>
      </c>
      <c r="CF287" s="5" t="s">
        <v>219</v>
      </c>
      <c r="CG287" s="5" t="s">
        <v>206</v>
      </c>
      <c r="CH287" s="5" t="s">
        <v>331</v>
      </c>
      <c r="CI287" s="5" t="s">
        <v>206</v>
      </c>
      <c r="CJ287" s="5">
        <v>1</v>
      </c>
      <c r="CK287" s="5" t="s">
        <v>223</v>
      </c>
      <c r="CU287" s="5" t="s">
        <v>206</v>
      </c>
      <c r="DA287" s="5" t="s">
        <v>252</v>
      </c>
      <c r="DB287" s="5">
        <f t="shared" si="818"/>
        <v>3</v>
      </c>
      <c r="DC287" s="5" t="s">
        <v>230</v>
      </c>
      <c r="DD287" s="5">
        <f t="shared" si="819"/>
        <v>2</v>
      </c>
      <c r="DE287" s="5" t="s">
        <v>230</v>
      </c>
      <c r="DF287" s="5">
        <f t="shared" si="820"/>
        <v>2</v>
      </c>
      <c r="DG287" s="5" t="s">
        <v>230</v>
      </c>
      <c r="DH287" s="5">
        <f t="shared" si="821"/>
        <v>2</v>
      </c>
      <c r="DI287" s="5" t="s">
        <v>230</v>
      </c>
      <c r="DJ287" s="5">
        <f t="shared" si="822"/>
        <v>2</v>
      </c>
      <c r="DK287" s="5" t="s">
        <v>251</v>
      </c>
      <c r="DL287" s="5">
        <f t="shared" si="823"/>
        <v>1</v>
      </c>
      <c r="DM287" s="5" t="s">
        <v>251</v>
      </c>
      <c r="DN287" s="5">
        <f t="shared" si="824"/>
        <v>1</v>
      </c>
      <c r="DO287" s="5" t="s">
        <v>231</v>
      </c>
      <c r="DP287" s="5">
        <f t="shared" si="825"/>
        <v>2</v>
      </c>
      <c r="DQ287" s="5" t="s">
        <v>231</v>
      </c>
      <c r="DR287" s="5">
        <f t="shared" si="826"/>
        <v>2</v>
      </c>
      <c r="DS287" s="5" t="s">
        <v>231</v>
      </c>
      <c r="DT287" s="5">
        <f t="shared" si="827"/>
        <v>2</v>
      </c>
      <c r="DU287" s="5" t="s">
        <v>231</v>
      </c>
      <c r="DV287" s="5">
        <f t="shared" si="828"/>
        <v>2</v>
      </c>
      <c r="DW287" s="5" t="s">
        <v>231</v>
      </c>
      <c r="DX287" s="5">
        <f t="shared" si="829"/>
        <v>2</v>
      </c>
      <c r="DY287" s="5">
        <f t="shared" si="830"/>
        <v>23</v>
      </c>
      <c r="DZ287" s="5" t="str">
        <f t="shared" si="831"/>
        <v>Nivel de riesgo medio</v>
      </c>
      <c r="EA287" s="5" t="s">
        <v>247</v>
      </c>
      <c r="EB287" s="5">
        <f t="shared" si="832"/>
        <v>2</v>
      </c>
      <c r="EC287" s="5" t="s">
        <v>248</v>
      </c>
      <c r="ED287" s="5">
        <f t="shared" si="833"/>
        <v>1</v>
      </c>
      <c r="EE287" s="5" t="s">
        <v>248</v>
      </c>
      <c r="EF287" s="5">
        <f t="shared" si="834"/>
        <v>1</v>
      </c>
      <c r="EG287" s="5">
        <f t="shared" si="835"/>
        <v>4</v>
      </c>
      <c r="EH287" s="5" t="str">
        <f t="shared" si="836"/>
        <v>Nivel de riesgo medio</v>
      </c>
      <c r="EI287" s="5" t="s">
        <v>253</v>
      </c>
      <c r="EJ287" s="5">
        <f t="shared" si="837"/>
        <v>0</v>
      </c>
      <c r="EK287" s="5" t="s">
        <v>248</v>
      </c>
      <c r="EL287" s="5">
        <f t="shared" si="838"/>
        <v>1</v>
      </c>
      <c r="EM287" s="5" t="s">
        <v>248</v>
      </c>
      <c r="EN287" s="5">
        <f t="shared" si="839"/>
        <v>1</v>
      </c>
      <c r="EO287" s="5">
        <f t="shared" si="840"/>
        <v>2</v>
      </c>
      <c r="EP287" s="5" t="str">
        <f t="shared" si="841"/>
        <v>Nivel de riesgo medio</v>
      </c>
      <c r="EQ287" s="5" t="s">
        <v>247</v>
      </c>
      <c r="ER287" s="5">
        <f t="shared" si="842"/>
        <v>2</v>
      </c>
      <c r="ES287" s="5" t="s">
        <v>232</v>
      </c>
      <c r="ET287" s="5">
        <f t="shared" si="843"/>
        <v>1</v>
      </c>
      <c r="EU287" s="5" t="s">
        <v>247</v>
      </c>
      <c r="EV287" s="5">
        <f t="shared" si="844"/>
        <v>2</v>
      </c>
      <c r="EW287" s="5" t="s">
        <v>248</v>
      </c>
      <c r="EX287" s="5">
        <f t="shared" si="845"/>
        <v>3</v>
      </c>
      <c r="EY287" s="5">
        <f t="shared" si="846"/>
        <v>8</v>
      </c>
      <c r="EZ287" s="5" t="str">
        <f t="shared" si="847"/>
        <v>Nivel de riesgo alto</v>
      </c>
      <c r="FA287" s="5" t="s">
        <v>248</v>
      </c>
      <c r="FB287" s="5">
        <f t="shared" si="848"/>
        <v>1</v>
      </c>
      <c r="FC287" s="5" t="s">
        <v>248</v>
      </c>
      <c r="FD287" s="5">
        <f t="shared" si="849"/>
        <v>1</v>
      </c>
      <c r="FE287" s="5" t="s">
        <v>253</v>
      </c>
      <c r="FF287" s="5">
        <f t="shared" si="850"/>
        <v>0</v>
      </c>
      <c r="FG287" s="5">
        <f t="shared" si="851"/>
        <v>2</v>
      </c>
      <c r="FH287" s="5" t="str">
        <f t="shared" si="852"/>
        <v>Nivel de riesgo bajo</v>
      </c>
      <c r="FI287" s="5" t="s">
        <v>248</v>
      </c>
      <c r="FJ287" s="5">
        <f t="shared" si="853"/>
        <v>1</v>
      </c>
      <c r="FK287" s="5" t="s">
        <v>248</v>
      </c>
      <c r="FL287" s="5">
        <f t="shared" si="854"/>
        <v>1</v>
      </c>
      <c r="FM287" s="5" t="s">
        <v>248</v>
      </c>
      <c r="FN287" s="5">
        <f t="shared" si="855"/>
        <v>1</v>
      </c>
      <c r="FO287" s="5">
        <f t="shared" si="856"/>
        <v>3</v>
      </c>
      <c r="FP287" s="5" t="str">
        <f t="shared" si="857"/>
        <v>Nivel de riesgo medio</v>
      </c>
      <c r="FQ287" s="5" t="s">
        <v>265</v>
      </c>
      <c r="FR287" s="5">
        <f t="shared" si="858"/>
        <v>1</v>
      </c>
      <c r="FS287" s="5" t="s">
        <v>206</v>
      </c>
      <c r="FT287" s="5">
        <f t="shared" si="859"/>
        <v>0</v>
      </c>
      <c r="FU287" s="5" t="s">
        <v>265</v>
      </c>
      <c r="FV287" s="5">
        <f t="shared" si="860"/>
        <v>1</v>
      </c>
      <c r="FW287" s="5" t="s">
        <v>206</v>
      </c>
      <c r="FX287" s="5">
        <f t="shared" si="861"/>
        <v>0</v>
      </c>
      <c r="FY287" s="5" t="s">
        <v>206</v>
      </c>
      <c r="FZ287" s="5">
        <f t="shared" si="862"/>
        <v>0</v>
      </c>
      <c r="GA287" s="5" t="s">
        <v>206</v>
      </c>
      <c r="GB287" s="5">
        <f t="shared" si="863"/>
        <v>0</v>
      </c>
      <c r="GC287" s="5" t="s">
        <v>265</v>
      </c>
      <c r="GD287" s="5">
        <f t="shared" si="864"/>
        <v>1</v>
      </c>
      <c r="GE287" s="5">
        <f t="shared" si="865"/>
        <v>3</v>
      </c>
      <c r="GF287" s="5" t="str">
        <f t="shared" si="866"/>
        <v>Nivel de riesgo medio</v>
      </c>
      <c r="GG287" s="5" t="s">
        <v>255</v>
      </c>
      <c r="GH287" s="5" t="s">
        <v>255</v>
      </c>
      <c r="GI287" s="5" t="s">
        <v>266</v>
      </c>
      <c r="GJ287" s="5" t="s">
        <v>255</v>
      </c>
      <c r="GK287" s="5" t="s">
        <v>233</v>
      </c>
      <c r="GL287" s="5" t="s">
        <v>255</v>
      </c>
      <c r="GM287" s="5" t="s">
        <v>273</v>
      </c>
      <c r="GN287" s="5" t="s">
        <v>257</v>
      </c>
      <c r="GO287" s="5" t="s">
        <v>257</v>
      </c>
      <c r="GP287" s="5" t="s">
        <v>257</v>
      </c>
      <c r="GQ287" s="5" t="s">
        <v>257</v>
      </c>
      <c r="GR287" s="5" t="s">
        <v>257</v>
      </c>
      <c r="GS287" s="5" t="s">
        <v>257</v>
      </c>
      <c r="GT287" s="5" t="s">
        <v>257</v>
      </c>
      <c r="GU287" s="5" t="s">
        <v>644</v>
      </c>
      <c r="GV287" s="5" t="str">
        <f>TEXT("6279717423816233460","0")</f>
        <v>6279717423816230000</v>
      </c>
    </row>
    <row r="288" spans="1:204" ht="15.75" customHeight="1" x14ac:dyDescent="0.15">
      <c r="A288" s="1">
        <f t="shared" si="816"/>
        <v>288</v>
      </c>
      <c r="B288" s="4">
        <v>45848.513958333337</v>
      </c>
      <c r="C288" s="5" t="s">
        <v>204</v>
      </c>
      <c r="D288" s="5" t="s">
        <v>204</v>
      </c>
      <c r="E288" s="5" t="s">
        <v>645</v>
      </c>
      <c r="F288" s="5" t="s">
        <v>206</v>
      </c>
      <c r="G288" s="5" t="s">
        <v>206</v>
      </c>
      <c r="H288" s="5" t="s">
        <v>204</v>
      </c>
      <c r="K288" s="5" t="s">
        <v>237</v>
      </c>
      <c r="O288" s="5" t="s">
        <v>209</v>
      </c>
      <c r="S288" s="5" t="s">
        <v>208</v>
      </c>
      <c r="X288" s="5" t="s">
        <v>208</v>
      </c>
      <c r="AD288" s="5" t="s">
        <v>209</v>
      </c>
      <c r="AH288" s="5" t="s">
        <v>646</v>
      </c>
      <c r="AI288" s="5">
        <v>2019</v>
      </c>
      <c r="AJ288" s="5" t="s">
        <v>238</v>
      </c>
      <c r="AK288" s="5" t="str">
        <f t="shared" si="817"/>
        <v>Trabajadora por cuenta propia</v>
      </c>
      <c r="AM288" s="5" t="s">
        <v>309</v>
      </c>
      <c r="AP288" s="5" t="s">
        <v>240</v>
      </c>
      <c r="AR288" s="5" t="s">
        <v>241</v>
      </c>
      <c r="AS288" s="5" t="s">
        <v>241</v>
      </c>
      <c r="AT288" s="5" t="s">
        <v>261</v>
      </c>
      <c r="AU288" s="5" t="s">
        <v>301</v>
      </c>
      <c r="AV288" s="5" t="s">
        <v>277</v>
      </c>
      <c r="AW288" s="5" t="s">
        <v>204</v>
      </c>
      <c r="AX288" s="5" t="s">
        <v>204</v>
      </c>
      <c r="AY288" s="5" t="s">
        <v>366</v>
      </c>
      <c r="AZ288" s="5" t="s">
        <v>204</v>
      </c>
      <c r="BA288" s="5" t="s">
        <v>344</v>
      </c>
      <c r="BF288" s="5" t="s">
        <v>204</v>
      </c>
      <c r="BG288" s="5" t="s">
        <v>242</v>
      </c>
      <c r="BH288" s="5" t="s">
        <v>278</v>
      </c>
      <c r="BI288" s="5" t="s">
        <v>271</v>
      </c>
      <c r="BJ288" s="5" t="s">
        <v>278</v>
      </c>
      <c r="BK288" s="5" t="s">
        <v>243</v>
      </c>
      <c r="BL288" s="5" t="s">
        <v>243</v>
      </c>
      <c r="BM288" s="5" t="s">
        <v>216</v>
      </c>
      <c r="BN288" s="5" t="s">
        <v>244</v>
      </c>
      <c r="BO288" s="5" t="s">
        <v>216</v>
      </c>
      <c r="BP288" s="5" t="s">
        <v>216</v>
      </c>
      <c r="BQ288" s="5" t="s">
        <v>216</v>
      </c>
      <c r="BR288" s="5" t="s">
        <v>246</v>
      </c>
      <c r="BS288" s="5" t="s">
        <v>232</v>
      </c>
      <c r="BT288" s="5" t="s">
        <v>232</v>
      </c>
      <c r="BU288" s="5" t="s">
        <v>232</v>
      </c>
      <c r="BV288" s="5" t="s">
        <v>217</v>
      </c>
      <c r="BW288" s="5" t="s">
        <v>217</v>
      </c>
      <c r="BX288" s="5" t="s">
        <v>217</v>
      </c>
      <c r="BY288" s="5" t="s">
        <v>217</v>
      </c>
      <c r="BZ288" s="5" t="s">
        <v>244</v>
      </c>
      <c r="CA288" s="5" t="s">
        <v>244</v>
      </c>
      <c r="CB288" s="5" t="s">
        <v>244</v>
      </c>
      <c r="CC288" s="5" t="s">
        <v>216</v>
      </c>
      <c r="CD288" s="5" t="s">
        <v>206</v>
      </c>
      <c r="CH288" s="5" t="s">
        <v>310</v>
      </c>
      <c r="CI288" s="5" t="s">
        <v>307</v>
      </c>
      <c r="CJ288" s="5">
        <v>3</v>
      </c>
      <c r="CK288" s="5" t="s">
        <v>223</v>
      </c>
      <c r="CU288" s="5" t="s">
        <v>206</v>
      </c>
      <c r="DA288" s="5" t="s">
        <v>231</v>
      </c>
      <c r="DB288" s="5">
        <f t="shared" si="818"/>
        <v>2</v>
      </c>
      <c r="DC288" s="5" t="s">
        <v>251</v>
      </c>
      <c r="DD288" s="5">
        <f t="shared" si="819"/>
        <v>1</v>
      </c>
      <c r="DE288" s="5" t="s">
        <v>230</v>
      </c>
      <c r="DF288" s="5">
        <f t="shared" si="820"/>
        <v>2</v>
      </c>
      <c r="DG288" s="5" t="s">
        <v>251</v>
      </c>
      <c r="DH288" s="5">
        <f t="shared" si="821"/>
        <v>1</v>
      </c>
      <c r="DI288" s="5" t="s">
        <v>251</v>
      </c>
      <c r="DJ288" s="5">
        <f t="shared" si="822"/>
        <v>1</v>
      </c>
      <c r="DK288" s="5" t="s">
        <v>251</v>
      </c>
      <c r="DL288" s="5">
        <f t="shared" si="823"/>
        <v>1</v>
      </c>
      <c r="DM288" s="5" t="s">
        <v>251</v>
      </c>
      <c r="DN288" s="5">
        <f t="shared" si="824"/>
        <v>1</v>
      </c>
      <c r="DO288" s="5" t="s">
        <v>281</v>
      </c>
      <c r="DP288" s="5">
        <f t="shared" si="825"/>
        <v>1</v>
      </c>
      <c r="DQ288" s="5" t="s">
        <v>281</v>
      </c>
      <c r="DR288" s="5">
        <f t="shared" si="826"/>
        <v>1</v>
      </c>
      <c r="DS288" s="5" t="s">
        <v>281</v>
      </c>
      <c r="DT288" s="5">
        <f t="shared" si="827"/>
        <v>1</v>
      </c>
      <c r="DU288" s="5" t="s">
        <v>281</v>
      </c>
      <c r="DV288" s="5">
        <f t="shared" si="828"/>
        <v>1</v>
      </c>
      <c r="DW288" s="5" t="s">
        <v>281</v>
      </c>
      <c r="DX288" s="5">
        <f t="shared" si="829"/>
        <v>1</v>
      </c>
      <c r="DY288" s="5">
        <f t="shared" si="830"/>
        <v>14</v>
      </c>
      <c r="DZ288" s="5" t="str">
        <f t="shared" si="831"/>
        <v>Nivel de riesgo bajo</v>
      </c>
      <c r="EA288" s="5" t="s">
        <v>247</v>
      </c>
      <c r="EB288" s="5">
        <f t="shared" si="832"/>
        <v>2</v>
      </c>
      <c r="EC288" s="5" t="s">
        <v>247</v>
      </c>
      <c r="ED288" s="5">
        <f t="shared" si="833"/>
        <v>2</v>
      </c>
      <c r="EE288" s="5" t="s">
        <v>247</v>
      </c>
      <c r="EF288" s="5">
        <f t="shared" si="834"/>
        <v>2</v>
      </c>
      <c r="EG288" s="5">
        <f t="shared" si="835"/>
        <v>6</v>
      </c>
      <c r="EH288" s="5" t="str">
        <f t="shared" si="836"/>
        <v>Nivel de riesgo alto</v>
      </c>
      <c r="EI288" s="5" t="s">
        <v>247</v>
      </c>
      <c r="EJ288" s="5">
        <f t="shared" si="837"/>
        <v>2</v>
      </c>
      <c r="EK288" s="5" t="s">
        <v>247</v>
      </c>
      <c r="EL288" s="5">
        <f t="shared" si="838"/>
        <v>2</v>
      </c>
      <c r="EM288" s="5" t="s">
        <v>247</v>
      </c>
      <c r="EN288" s="5">
        <f t="shared" si="839"/>
        <v>2</v>
      </c>
      <c r="EO288" s="5">
        <f t="shared" si="840"/>
        <v>6</v>
      </c>
      <c r="EP288" s="5" t="str">
        <f t="shared" si="841"/>
        <v>Nivel de riesgo alto</v>
      </c>
      <c r="EQ288" s="5" t="s">
        <v>232</v>
      </c>
      <c r="ER288" s="5">
        <f t="shared" si="842"/>
        <v>1</v>
      </c>
      <c r="ES288" s="5" t="s">
        <v>247</v>
      </c>
      <c r="ET288" s="5">
        <f t="shared" si="843"/>
        <v>2</v>
      </c>
      <c r="EU288" s="5" t="s">
        <v>247</v>
      </c>
      <c r="EV288" s="5">
        <f t="shared" si="844"/>
        <v>2</v>
      </c>
      <c r="EW288" s="5" t="s">
        <v>254</v>
      </c>
      <c r="EX288" s="5">
        <f t="shared" si="845"/>
        <v>0</v>
      </c>
      <c r="EY288" s="5">
        <f t="shared" si="846"/>
        <v>5</v>
      </c>
      <c r="EZ288" s="5" t="str">
        <f t="shared" si="847"/>
        <v>Nivel de riesgo alto</v>
      </c>
      <c r="FA288" s="5" t="s">
        <v>247</v>
      </c>
      <c r="FB288" s="5">
        <f t="shared" si="848"/>
        <v>2</v>
      </c>
      <c r="FC288" s="5" t="s">
        <v>247</v>
      </c>
      <c r="FD288" s="5">
        <f t="shared" si="849"/>
        <v>2</v>
      </c>
      <c r="FE288" s="5" t="s">
        <v>247</v>
      </c>
      <c r="FF288" s="5">
        <f t="shared" si="850"/>
        <v>2</v>
      </c>
      <c r="FG288" s="5">
        <f t="shared" si="851"/>
        <v>6</v>
      </c>
      <c r="FH288" s="5" t="str">
        <f t="shared" si="852"/>
        <v>Nivel de riesgo alto</v>
      </c>
      <c r="FI288" s="5" t="s">
        <v>253</v>
      </c>
      <c r="FJ288" s="5">
        <f t="shared" si="853"/>
        <v>0</v>
      </c>
      <c r="FK288" s="5" t="s">
        <v>247</v>
      </c>
      <c r="FL288" s="5">
        <f t="shared" si="854"/>
        <v>2</v>
      </c>
      <c r="FM288" s="5" t="s">
        <v>247</v>
      </c>
      <c r="FN288" s="5">
        <f t="shared" si="855"/>
        <v>2</v>
      </c>
      <c r="FO288" s="5">
        <f t="shared" si="856"/>
        <v>4</v>
      </c>
      <c r="FP288" s="5" t="str">
        <f t="shared" si="857"/>
        <v>Nivel de riesgo medio</v>
      </c>
      <c r="FQ288" s="5" t="s">
        <v>206</v>
      </c>
      <c r="FR288" s="5">
        <f t="shared" si="858"/>
        <v>0</v>
      </c>
      <c r="FS288" s="5" t="s">
        <v>206</v>
      </c>
      <c r="FT288" s="5">
        <f t="shared" si="859"/>
        <v>0</v>
      </c>
      <c r="FU288" s="5" t="s">
        <v>206</v>
      </c>
      <c r="FV288" s="5">
        <f t="shared" si="860"/>
        <v>0</v>
      </c>
      <c r="FW288" s="5" t="s">
        <v>206</v>
      </c>
      <c r="FX288" s="5">
        <f t="shared" si="861"/>
        <v>0</v>
      </c>
      <c r="FY288" s="5" t="s">
        <v>206</v>
      </c>
      <c r="FZ288" s="5">
        <f t="shared" si="862"/>
        <v>0</v>
      </c>
      <c r="GA288" s="5" t="s">
        <v>206</v>
      </c>
      <c r="GB288" s="5">
        <f t="shared" si="863"/>
        <v>0</v>
      </c>
      <c r="GC288" s="5" t="s">
        <v>206</v>
      </c>
      <c r="GD288" s="5">
        <f t="shared" si="864"/>
        <v>0</v>
      </c>
      <c r="GE288" s="5">
        <f t="shared" si="865"/>
        <v>0</v>
      </c>
      <c r="GF288" s="5" t="str">
        <f t="shared" si="866"/>
        <v>Nivel de riesgo bajo</v>
      </c>
      <c r="GG288" s="5" t="s">
        <v>266</v>
      </c>
      <c r="GH288" s="5" t="s">
        <v>266</v>
      </c>
      <c r="GI288" s="5" t="s">
        <v>266</v>
      </c>
      <c r="GJ288" s="5" t="s">
        <v>233</v>
      </c>
      <c r="GK288" s="5" t="s">
        <v>233</v>
      </c>
      <c r="GL288" s="5" t="s">
        <v>298</v>
      </c>
      <c r="GM288" s="5" t="s">
        <v>266</v>
      </c>
      <c r="GN288" s="5" t="s">
        <v>243</v>
      </c>
      <c r="GO288" s="5" t="s">
        <v>243</v>
      </c>
      <c r="GP288" s="5" t="s">
        <v>243</v>
      </c>
      <c r="GQ288" s="5" t="s">
        <v>256</v>
      </c>
      <c r="GR288" s="5" t="s">
        <v>243</v>
      </c>
      <c r="GS288" s="5" t="s">
        <v>243</v>
      </c>
      <c r="GT288" s="5" t="s">
        <v>256</v>
      </c>
      <c r="GU288" s="5" t="s">
        <v>647</v>
      </c>
      <c r="GV288" s="5" t="str">
        <f>TEXT("6279736062412505562","0")</f>
        <v>6279736062412500000</v>
      </c>
    </row>
    <row r="289" spans="1:204" ht="15.75" customHeight="1" x14ac:dyDescent="0.15">
      <c r="A289" s="1">
        <f t="shared" si="816"/>
        <v>289</v>
      </c>
      <c r="B289" s="4">
        <v>45848.561423611114</v>
      </c>
      <c r="C289" s="5" t="s">
        <v>204</v>
      </c>
      <c r="D289" s="5" t="s">
        <v>206</v>
      </c>
      <c r="F289" s="5" t="s">
        <v>206</v>
      </c>
      <c r="G289" s="5" t="s">
        <v>206</v>
      </c>
      <c r="H289" s="5" t="s">
        <v>206</v>
      </c>
      <c r="K289" s="5" t="s">
        <v>237</v>
      </c>
      <c r="O289" s="5" t="s">
        <v>209</v>
      </c>
      <c r="T289" s="5" t="s">
        <v>209</v>
      </c>
      <c r="Y289" s="5" t="s">
        <v>209</v>
      </c>
      <c r="AC289" s="5" t="s">
        <v>208</v>
      </c>
      <c r="AH289" s="5" t="s">
        <v>268</v>
      </c>
      <c r="AI289" s="5">
        <v>2024</v>
      </c>
      <c r="AJ289" s="5" t="s">
        <v>330</v>
      </c>
      <c r="AK289" s="5" t="str">
        <f t="shared" si="817"/>
        <v>Asalariada</v>
      </c>
      <c r="AQ289" s="5" t="s">
        <v>204</v>
      </c>
      <c r="AR289" s="5" t="s">
        <v>241</v>
      </c>
      <c r="AS289" s="5" t="s">
        <v>241</v>
      </c>
      <c r="AT289" s="5" t="s">
        <v>241</v>
      </c>
      <c r="AU289" s="5" t="s">
        <v>241</v>
      </c>
      <c r="AV289" s="5" t="s">
        <v>213</v>
      </c>
      <c r="AW289" s="5" t="s">
        <v>206</v>
      </c>
      <c r="BF289" s="5" t="s">
        <v>204</v>
      </c>
      <c r="BG289" s="5" t="s">
        <v>207</v>
      </c>
      <c r="BH289" s="5" t="s">
        <v>242</v>
      </c>
      <c r="BI289" s="5" t="s">
        <v>207</v>
      </c>
      <c r="BJ289" s="5" t="s">
        <v>242</v>
      </c>
      <c r="BK289" s="5" t="s">
        <v>244</v>
      </c>
      <c r="BL289" s="5" t="s">
        <v>244</v>
      </c>
      <c r="BM289" s="5" t="s">
        <v>244</v>
      </c>
      <c r="BN289" s="5" t="s">
        <v>244</v>
      </c>
      <c r="BO289" s="5" t="s">
        <v>244</v>
      </c>
      <c r="BP289" s="5" t="s">
        <v>244</v>
      </c>
      <c r="BQ289" s="5" t="s">
        <v>244</v>
      </c>
      <c r="BR289" s="5" t="s">
        <v>244</v>
      </c>
      <c r="BS289" s="5" t="s">
        <v>248</v>
      </c>
      <c r="BT289" s="5" t="s">
        <v>248</v>
      </c>
      <c r="BU289" s="5" t="s">
        <v>248</v>
      </c>
      <c r="BV289" s="5" t="s">
        <v>248</v>
      </c>
      <c r="BW289" s="5" t="s">
        <v>247</v>
      </c>
      <c r="BX289" s="5" t="s">
        <v>247</v>
      </c>
      <c r="BY289" s="5" t="s">
        <v>247</v>
      </c>
      <c r="CD289" s="5" t="s">
        <v>206</v>
      </c>
      <c r="CH289" s="5" t="s">
        <v>206</v>
      </c>
      <c r="CI289" s="5" t="s">
        <v>307</v>
      </c>
      <c r="CJ289" s="5">
        <v>5</v>
      </c>
      <c r="CL289" s="5" t="s">
        <v>648</v>
      </c>
      <c r="CU289" s="5" t="s">
        <v>204</v>
      </c>
      <c r="CV289" s="5" t="s">
        <v>224</v>
      </c>
      <c r="CW289" s="5" t="s">
        <v>351</v>
      </c>
      <c r="CX289" s="5" t="s">
        <v>226</v>
      </c>
      <c r="CY289" s="5" t="s">
        <v>353</v>
      </c>
      <c r="CZ289" s="5" t="s">
        <v>206</v>
      </c>
      <c r="DA289" s="5" t="s">
        <v>231</v>
      </c>
      <c r="DB289" s="5">
        <f t="shared" si="818"/>
        <v>2</v>
      </c>
      <c r="DC289" s="5" t="s">
        <v>251</v>
      </c>
      <c r="DD289" s="5">
        <f t="shared" si="819"/>
        <v>1</v>
      </c>
      <c r="DE289" s="5" t="s">
        <v>230</v>
      </c>
      <c r="DF289" s="5">
        <f t="shared" si="820"/>
        <v>2</v>
      </c>
      <c r="DG289" s="5" t="s">
        <v>230</v>
      </c>
      <c r="DH289" s="5">
        <f t="shared" si="821"/>
        <v>2</v>
      </c>
      <c r="DI289" s="5" t="s">
        <v>230</v>
      </c>
      <c r="DJ289" s="5">
        <f t="shared" si="822"/>
        <v>2</v>
      </c>
      <c r="DK289" s="5" t="s">
        <v>230</v>
      </c>
      <c r="DL289" s="5">
        <f t="shared" si="823"/>
        <v>2</v>
      </c>
      <c r="DM289" s="5" t="s">
        <v>230</v>
      </c>
      <c r="DN289" s="5">
        <f t="shared" si="824"/>
        <v>2</v>
      </c>
      <c r="DO289" s="5" t="s">
        <v>231</v>
      </c>
      <c r="DP289" s="5">
        <f t="shared" si="825"/>
        <v>2</v>
      </c>
      <c r="DQ289" s="5" t="s">
        <v>231</v>
      </c>
      <c r="DR289" s="5">
        <f t="shared" si="826"/>
        <v>2</v>
      </c>
      <c r="DS289" s="5" t="s">
        <v>231</v>
      </c>
      <c r="DT289" s="5">
        <f t="shared" si="827"/>
        <v>2</v>
      </c>
      <c r="DU289" s="5" t="s">
        <v>231</v>
      </c>
      <c r="DV289" s="5">
        <f t="shared" si="828"/>
        <v>2</v>
      </c>
      <c r="DW289" s="5" t="s">
        <v>231</v>
      </c>
      <c r="DX289" s="5">
        <f t="shared" si="829"/>
        <v>2</v>
      </c>
      <c r="DY289" s="5">
        <f t="shared" si="830"/>
        <v>23</v>
      </c>
      <c r="DZ289" s="5" t="str">
        <f t="shared" si="831"/>
        <v>Nivel de riesgo medio</v>
      </c>
      <c r="EA289" s="5" t="s">
        <v>253</v>
      </c>
      <c r="EB289" s="5">
        <f t="shared" si="832"/>
        <v>0</v>
      </c>
      <c r="EC289" s="5" t="s">
        <v>253</v>
      </c>
      <c r="ED289" s="5">
        <f t="shared" si="833"/>
        <v>0</v>
      </c>
      <c r="EE289" s="5" t="s">
        <v>253</v>
      </c>
      <c r="EF289" s="5">
        <f t="shared" si="834"/>
        <v>0</v>
      </c>
      <c r="EG289" s="5">
        <f t="shared" si="835"/>
        <v>0</v>
      </c>
      <c r="EH289" s="5" t="str">
        <f t="shared" si="836"/>
        <v>Nivel de riesgo bajo</v>
      </c>
      <c r="EI289" s="5" t="s">
        <v>248</v>
      </c>
      <c r="EJ289" s="5">
        <f t="shared" si="837"/>
        <v>1</v>
      </c>
      <c r="EK289" s="5" t="s">
        <v>253</v>
      </c>
      <c r="EL289" s="5">
        <f t="shared" si="838"/>
        <v>0</v>
      </c>
      <c r="EM289" s="5" t="s">
        <v>247</v>
      </c>
      <c r="EN289" s="5">
        <f t="shared" si="839"/>
        <v>2</v>
      </c>
      <c r="EO289" s="5">
        <f t="shared" si="840"/>
        <v>3</v>
      </c>
      <c r="EP289" s="5" t="str">
        <f t="shared" si="841"/>
        <v>Nivel de riesgo medio</v>
      </c>
      <c r="EQ289" s="5" t="s">
        <v>247</v>
      </c>
      <c r="ER289" s="5">
        <f t="shared" si="842"/>
        <v>2</v>
      </c>
      <c r="ES289" s="5" t="s">
        <v>253</v>
      </c>
      <c r="ET289" s="5">
        <f t="shared" si="843"/>
        <v>4</v>
      </c>
      <c r="EU289" s="5" t="s">
        <v>232</v>
      </c>
      <c r="EV289" s="5">
        <f t="shared" si="844"/>
        <v>1</v>
      </c>
      <c r="EW289" s="5" t="s">
        <v>247</v>
      </c>
      <c r="EX289" s="5">
        <f t="shared" si="845"/>
        <v>2</v>
      </c>
      <c r="EY289" s="5">
        <f t="shared" si="846"/>
        <v>9</v>
      </c>
      <c r="EZ289" s="5" t="str">
        <f t="shared" si="847"/>
        <v>Nivel de riesgo alto</v>
      </c>
      <c r="FA289" s="5" t="s">
        <v>253</v>
      </c>
      <c r="FB289" s="5">
        <f t="shared" si="848"/>
        <v>0</v>
      </c>
      <c r="FC289" s="5" t="s">
        <v>253</v>
      </c>
      <c r="FD289" s="5">
        <f t="shared" si="849"/>
        <v>0</v>
      </c>
      <c r="FE289" s="5" t="s">
        <v>253</v>
      </c>
      <c r="FF289" s="5">
        <f t="shared" si="850"/>
        <v>0</v>
      </c>
      <c r="FG289" s="5">
        <f t="shared" si="851"/>
        <v>0</v>
      </c>
      <c r="FH289" s="5" t="str">
        <f t="shared" si="852"/>
        <v>Nivel de riesgo bajo</v>
      </c>
      <c r="FI289" s="5" t="s">
        <v>253</v>
      </c>
      <c r="FJ289" s="5">
        <f t="shared" si="853"/>
        <v>0</v>
      </c>
      <c r="FK289" s="5" t="s">
        <v>253</v>
      </c>
      <c r="FL289" s="5">
        <f t="shared" si="854"/>
        <v>0</v>
      </c>
      <c r="FM289" s="5" t="s">
        <v>253</v>
      </c>
      <c r="FN289" s="5">
        <f t="shared" si="855"/>
        <v>0</v>
      </c>
      <c r="FO289" s="5">
        <f t="shared" si="856"/>
        <v>0</v>
      </c>
      <c r="FP289" s="5" t="str">
        <f t="shared" si="857"/>
        <v>Nivel de riesgo bajo</v>
      </c>
      <c r="FQ289" s="5" t="s">
        <v>206</v>
      </c>
      <c r="FR289" s="5">
        <f t="shared" si="858"/>
        <v>0</v>
      </c>
      <c r="FS289" s="5" t="s">
        <v>206</v>
      </c>
      <c r="FT289" s="5">
        <f t="shared" si="859"/>
        <v>0</v>
      </c>
      <c r="FU289" s="5" t="s">
        <v>206</v>
      </c>
      <c r="FV289" s="5">
        <f t="shared" si="860"/>
        <v>0</v>
      </c>
      <c r="FW289" s="5" t="s">
        <v>206</v>
      </c>
      <c r="FX289" s="5">
        <f t="shared" si="861"/>
        <v>0</v>
      </c>
      <c r="FY289" s="5" t="s">
        <v>206</v>
      </c>
      <c r="FZ289" s="5">
        <f t="shared" si="862"/>
        <v>0</v>
      </c>
      <c r="GA289" s="5" t="s">
        <v>206</v>
      </c>
      <c r="GB289" s="5">
        <f t="shared" si="863"/>
        <v>0</v>
      </c>
      <c r="GC289" s="5" t="s">
        <v>206</v>
      </c>
      <c r="GD289" s="5">
        <f t="shared" si="864"/>
        <v>0</v>
      </c>
      <c r="GE289" s="5">
        <f t="shared" si="865"/>
        <v>0</v>
      </c>
      <c r="GF289" s="5" t="str">
        <f t="shared" si="866"/>
        <v>Nivel de riesgo bajo</v>
      </c>
      <c r="GG289" s="5" t="s">
        <v>255</v>
      </c>
      <c r="GH289" s="5" t="s">
        <v>255</v>
      </c>
      <c r="GI289" s="5" t="s">
        <v>255</v>
      </c>
      <c r="GJ289" s="5" t="s">
        <v>273</v>
      </c>
      <c r="GK289" s="5" t="s">
        <v>233</v>
      </c>
      <c r="GL289" s="5" t="s">
        <v>255</v>
      </c>
      <c r="GM289" s="5" t="s">
        <v>255</v>
      </c>
      <c r="GN289" s="5" t="s">
        <v>243</v>
      </c>
      <c r="GO289" s="5" t="s">
        <v>243</v>
      </c>
      <c r="GP289" s="5" t="s">
        <v>243</v>
      </c>
      <c r="GQ289" s="5" t="s">
        <v>243</v>
      </c>
      <c r="GR289" s="5" t="s">
        <v>243</v>
      </c>
      <c r="GS289" s="5" t="s">
        <v>257</v>
      </c>
      <c r="GT289" s="5" t="s">
        <v>256</v>
      </c>
      <c r="GU289" s="5" t="s">
        <v>649</v>
      </c>
      <c r="GV289" s="5" t="str">
        <f>TEXT("6279777078718388988","0")</f>
        <v>6279777078718380000</v>
      </c>
    </row>
    <row r="290" spans="1:204" ht="15.75" customHeight="1" x14ac:dyDescent="0.15">
      <c r="A290" s="1">
        <f t="shared" si="816"/>
        <v>290</v>
      </c>
      <c r="B290" s="4">
        <v>45848.588587962964</v>
      </c>
      <c r="C290" s="5" t="s">
        <v>204</v>
      </c>
      <c r="D290" s="5" t="s">
        <v>206</v>
      </c>
      <c r="F290" s="5" t="s">
        <v>206</v>
      </c>
      <c r="G290" s="5" t="s">
        <v>204</v>
      </c>
      <c r="H290" s="5" t="s">
        <v>206</v>
      </c>
      <c r="J290" s="5" t="s">
        <v>209</v>
      </c>
      <c r="N290" s="5" t="s">
        <v>208</v>
      </c>
      <c r="S290" s="5" t="s">
        <v>208</v>
      </c>
      <c r="X290" s="5" t="s">
        <v>208</v>
      </c>
      <c r="AC290" s="5" t="s">
        <v>208</v>
      </c>
      <c r="AH290" s="5" t="s">
        <v>210</v>
      </c>
      <c r="AI290" s="5">
        <v>2010</v>
      </c>
      <c r="AJ290" s="5" t="s">
        <v>238</v>
      </c>
      <c r="AK290" s="5" t="str">
        <f t="shared" si="817"/>
        <v>Trabajadora por cuenta propia</v>
      </c>
      <c r="AL290" s="5" t="s">
        <v>239</v>
      </c>
      <c r="AP290" s="5" t="s">
        <v>297</v>
      </c>
      <c r="AR290" s="5" t="s">
        <v>301</v>
      </c>
      <c r="AS290" s="5" t="s">
        <v>301</v>
      </c>
      <c r="AT290" s="5" t="s">
        <v>301</v>
      </c>
      <c r="AU290" s="5" t="s">
        <v>301</v>
      </c>
      <c r="AV290" s="5" t="s">
        <v>213</v>
      </c>
      <c r="AW290" s="5" t="s">
        <v>204</v>
      </c>
      <c r="AX290" s="5" t="s">
        <v>204</v>
      </c>
      <c r="AY290" s="5" t="s">
        <v>270</v>
      </c>
      <c r="AZ290" s="5" t="s">
        <v>204</v>
      </c>
      <c r="BA290" s="5" t="s">
        <v>348</v>
      </c>
      <c r="BF290" s="5" t="s">
        <v>204</v>
      </c>
      <c r="BG290" s="5" t="s">
        <v>278</v>
      </c>
      <c r="BH290" s="5" t="s">
        <v>278</v>
      </c>
      <c r="BI290" s="5" t="s">
        <v>278</v>
      </c>
      <c r="BJ290" s="5" t="s">
        <v>278</v>
      </c>
      <c r="BK290" s="5" t="s">
        <v>216</v>
      </c>
      <c r="BL290" s="5" t="s">
        <v>216</v>
      </c>
      <c r="BM290" s="5" t="s">
        <v>216</v>
      </c>
      <c r="BN290" s="5" t="s">
        <v>216</v>
      </c>
      <c r="BO290" s="5" t="s">
        <v>216</v>
      </c>
      <c r="BP290" s="5" t="s">
        <v>216</v>
      </c>
      <c r="BQ290" s="5" t="s">
        <v>216</v>
      </c>
      <c r="BR290" s="5" t="s">
        <v>216</v>
      </c>
      <c r="BS290" s="5" t="s">
        <v>217</v>
      </c>
      <c r="BT290" s="5" t="s">
        <v>217</v>
      </c>
      <c r="BU290" s="5" t="s">
        <v>217</v>
      </c>
      <c r="BV290" s="5" t="s">
        <v>217</v>
      </c>
      <c r="BW290" s="5" t="s">
        <v>217</v>
      </c>
      <c r="BX290" s="5" t="s">
        <v>217</v>
      </c>
      <c r="BY290" s="5" t="s">
        <v>217</v>
      </c>
      <c r="BZ290" s="5" t="s">
        <v>216</v>
      </c>
      <c r="CA290" s="5" t="s">
        <v>216</v>
      </c>
      <c r="CB290" s="5" t="s">
        <v>216</v>
      </c>
      <c r="CC290" s="5" t="s">
        <v>216</v>
      </c>
      <c r="CD290" s="5" t="s">
        <v>206</v>
      </c>
      <c r="CH290" s="5" t="s">
        <v>206</v>
      </c>
      <c r="CI290" s="5" t="s">
        <v>206</v>
      </c>
      <c r="CJ290" s="5">
        <v>0</v>
      </c>
      <c r="CK290" s="5" t="s">
        <v>223</v>
      </c>
      <c r="CU290" s="5" t="s">
        <v>206</v>
      </c>
      <c r="DA290" s="5" t="s">
        <v>272</v>
      </c>
      <c r="DB290" s="5">
        <f t="shared" si="818"/>
        <v>1</v>
      </c>
      <c r="DC290" s="5" t="s">
        <v>251</v>
      </c>
      <c r="DD290" s="5">
        <f t="shared" si="819"/>
        <v>1</v>
      </c>
      <c r="DE290" s="5" t="s">
        <v>251</v>
      </c>
      <c r="DF290" s="5">
        <f t="shared" si="820"/>
        <v>1</v>
      </c>
      <c r="DG290" s="5" t="s">
        <v>251</v>
      </c>
      <c r="DH290" s="5">
        <f t="shared" si="821"/>
        <v>1</v>
      </c>
      <c r="DI290" s="5" t="s">
        <v>251</v>
      </c>
      <c r="DJ290" s="5">
        <f t="shared" si="822"/>
        <v>1</v>
      </c>
      <c r="DK290" s="5" t="s">
        <v>251</v>
      </c>
      <c r="DL290" s="5">
        <f t="shared" si="823"/>
        <v>1</v>
      </c>
      <c r="DM290" s="5" t="s">
        <v>251</v>
      </c>
      <c r="DN290" s="5">
        <f t="shared" si="824"/>
        <v>1</v>
      </c>
      <c r="DO290" s="5" t="s">
        <v>231</v>
      </c>
      <c r="DP290" s="5">
        <f t="shared" si="825"/>
        <v>2</v>
      </c>
      <c r="DQ290" s="5" t="s">
        <v>231</v>
      </c>
      <c r="DR290" s="5">
        <f t="shared" si="826"/>
        <v>2</v>
      </c>
      <c r="DS290" s="5" t="s">
        <v>231</v>
      </c>
      <c r="DT290" s="5">
        <f t="shared" si="827"/>
        <v>2</v>
      </c>
      <c r="DU290" s="5" t="s">
        <v>231</v>
      </c>
      <c r="DV290" s="5">
        <f t="shared" si="828"/>
        <v>2</v>
      </c>
      <c r="DW290" s="5" t="s">
        <v>281</v>
      </c>
      <c r="DX290" s="5">
        <f t="shared" si="829"/>
        <v>1</v>
      </c>
      <c r="DY290" s="5">
        <f t="shared" si="830"/>
        <v>16</v>
      </c>
      <c r="DZ290" s="5" t="str">
        <f t="shared" si="831"/>
        <v>Nivel de riesgo bajo</v>
      </c>
      <c r="EA290" s="5" t="s">
        <v>253</v>
      </c>
      <c r="EB290" s="5">
        <f t="shared" si="832"/>
        <v>0</v>
      </c>
      <c r="EC290" s="5" t="s">
        <v>253</v>
      </c>
      <c r="ED290" s="5">
        <f t="shared" si="833"/>
        <v>0</v>
      </c>
      <c r="EE290" s="5" t="s">
        <v>253</v>
      </c>
      <c r="EF290" s="5">
        <f t="shared" si="834"/>
        <v>0</v>
      </c>
      <c r="EG290" s="5">
        <f t="shared" si="835"/>
        <v>0</v>
      </c>
      <c r="EH290" s="5" t="str">
        <f t="shared" si="836"/>
        <v>Nivel de riesgo bajo</v>
      </c>
      <c r="EI290" s="5" t="s">
        <v>253</v>
      </c>
      <c r="EJ290" s="5">
        <f t="shared" si="837"/>
        <v>0</v>
      </c>
      <c r="EK290" s="5" t="s">
        <v>253</v>
      </c>
      <c r="EL290" s="5">
        <f t="shared" si="838"/>
        <v>0</v>
      </c>
      <c r="EM290" s="5" t="s">
        <v>253</v>
      </c>
      <c r="EN290" s="5">
        <f t="shared" si="839"/>
        <v>0</v>
      </c>
      <c r="EO290" s="5">
        <f t="shared" si="840"/>
        <v>0</v>
      </c>
      <c r="EP290" s="5" t="str">
        <f t="shared" si="841"/>
        <v>Nivel de riesgo bajo</v>
      </c>
      <c r="EQ290" s="5" t="s">
        <v>254</v>
      </c>
      <c r="ER290" s="5">
        <f t="shared" si="842"/>
        <v>0</v>
      </c>
      <c r="ES290" s="5" t="s">
        <v>254</v>
      </c>
      <c r="ET290" s="5">
        <f t="shared" si="843"/>
        <v>0</v>
      </c>
      <c r="EU290" s="5" t="s">
        <v>254</v>
      </c>
      <c r="EV290" s="5">
        <f t="shared" si="844"/>
        <v>0</v>
      </c>
      <c r="EW290" s="5" t="s">
        <v>254</v>
      </c>
      <c r="EX290" s="5">
        <f t="shared" si="845"/>
        <v>0</v>
      </c>
      <c r="EY290" s="5">
        <f t="shared" si="846"/>
        <v>0</v>
      </c>
      <c r="EZ290" s="5" t="str">
        <f t="shared" si="847"/>
        <v>Nivel de riesgo bajo</v>
      </c>
      <c r="FA290" s="5" t="s">
        <v>253</v>
      </c>
      <c r="FB290" s="5">
        <f t="shared" si="848"/>
        <v>0</v>
      </c>
      <c r="FC290" s="5" t="s">
        <v>253</v>
      </c>
      <c r="FD290" s="5">
        <f t="shared" si="849"/>
        <v>0</v>
      </c>
      <c r="FE290" s="5" t="s">
        <v>248</v>
      </c>
      <c r="FF290" s="5">
        <f t="shared" si="850"/>
        <v>1</v>
      </c>
      <c r="FG290" s="5">
        <f t="shared" si="851"/>
        <v>1</v>
      </c>
      <c r="FH290" s="5" t="str">
        <f t="shared" si="852"/>
        <v>Nivel de riesgo bajo</v>
      </c>
      <c r="FI290" s="5" t="s">
        <v>253</v>
      </c>
      <c r="FJ290" s="5">
        <f t="shared" si="853"/>
        <v>0</v>
      </c>
      <c r="FK290" s="5" t="s">
        <v>253</v>
      </c>
      <c r="FL290" s="5">
        <f t="shared" si="854"/>
        <v>0</v>
      </c>
      <c r="FM290" s="5" t="s">
        <v>253</v>
      </c>
      <c r="FN290" s="5">
        <f t="shared" si="855"/>
        <v>0</v>
      </c>
      <c r="FO290" s="5">
        <f t="shared" si="856"/>
        <v>0</v>
      </c>
      <c r="FP290" s="5" t="str">
        <f t="shared" si="857"/>
        <v>Nivel de riesgo bajo</v>
      </c>
      <c r="FQ290" s="5" t="s">
        <v>206</v>
      </c>
      <c r="FR290" s="5">
        <f t="shared" si="858"/>
        <v>0</v>
      </c>
      <c r="FS290" s="5" t="s">
        <v>206</v>
      </c>
      <c r="FT290" s="5">
        <f t="shared" si="859"/>
        <v>0</v>
      </c>
      <c r="FU290" s="5" t="s">
        <v>206</v>
      </c>
      <c r="FV290" s="5">
        <f t="shared" si="860"/>
        <v>0</v>
      </c>
      <c r="FW290" s="5" t="s">
        <v>206</v>
      </c>
      <c r="FX290" s="5">
        <f t="shared" si="861"/>
        <v>0</v>
      </c>
      <c r="FY290" s="5" t="s">
        <v>206</v>
      </c>
      <c r="FZ290" s="5">
        <f t="shared" si="862"/>
        <v>0</v>
      </c>
      <c r="GA290" s="5" t="s">
        <v>206</v>
      </c>
      <c r="GB290" s="5">
        <f t="shared" si="863"/>
        <v>0</v>
      </c>
      <c r="GC290" s="5" t="s">
        <v>206</v>
      </c>
      <c r="GD290" s="5">
        <f t="shared" si="864"/>
        <v>0</v>
      </c>
      <c r="GE290" s="5">
        <f t="shared" si="865"/>
        <v>0</v>
      </c>
      <c r="GF290" s="5" t="str">
        <f t="shared" si="866"/>
        <v>Nivel de riesgo bajo</v>
      </c>
      <c r="GG290" s="5" t="s">
        <v>255</v>
      </c>
      <c r="GH290" s="5" t="s">
        <v>255</v>
      </c>
      <c r="GI290" s="5" t="s">
        <v>255</v>
      </c>
      <c r="GJ290" s="5" t="s">
        <v>273</v>
      </c>
      <c r="GK290" s="5" t="s">
        <v>233</v>
      </c>
      <c r="GL290" s="5" t="s">
        <v>255</v>
      </c>
      <c r="GM290" s="5" t="s">
        <v>255</v>
      </c>
      <c r="GN290" s="5" t="s">
        <v>256</v>
      </c>
      <c r="GO290" s="5" t="s">
        <v>243</v>
      </c>
      <c r="GP290" s="5" t="s">
        <v>243</v>
      </c>
      <c r="GQ290" s="5" t="s">
        <v>243</v>
      </c>
      <c r="GR290" s="5" t="s">
        <v>256</v>
      </c>
      <c r="GS290" s="5" t="s">
        <v>256</v>
      </c>
      <c r="GT290" s="5" t="s">
        <v>256</v>
      </c>
      <c r="GU290" s="5" t="s">
        <v>650</v>
      </c>
      <c r="GV290" s="5" t="str">
        <f>TEXT("6279800546228968621","0")</f>
        <v>6279800546228960000</v>
      </c>
    </row>
    <row r="291" spans="1:204" ht="15.75" customHeight="1" x14ac:dyDescent="0.15">
      <c r="A291" s="1">
        <f t="shared" si="816"/>
        <v>291</v>
      </c>
      <c r="B291" s="4">
        <v>45848.596250000002</v>
      </c>
      <c r="C291" s="5" t="s">
        <v>204</v>
      </c>
      <c r="D291" s="5" t="s">
        <v>206</v>
      </c>
      <c r="F291" s="5" t="s">
        <v>206</v>
      </c>
      <c r="G291" s="5" t="s">
        <v>204</v>
      </c>
      <c r="H291" s="5" t="s">
        <v>206</v>
      </c>
      <c r="L291" s="5" t="s">
        <v>236</v>
      </c>
      <c r="O291" s="5" t="s">
        <v>209</v>
      </c>
      <c r="S291" s="5" t="s">
        <v>208</v>
      </c>
      <c r="Y291" s="5" t="s">
        <v>209</v>
      </c>
      <c r="AG291" s="5" t="s">
        <v>207</v>
      </c>
      <c r="AH291" s="5" t="s">
        <v>210</v>
      </c>
      <c r="AI291" s="5">
        <v>1993</v>
      </c>
      <c r="AJ291" s="5" t="s">
        <v>238</v>
      </c>
      <c r="AK291" s="5" t="str">
        <f t="shared" si="817"/>
        <v>Trabajadora por cuenta propia</v>
      </c>
      <c r="AM291" s="5" t="s">
        <v>309</v>
      </c>
      <c r="AP291" s="5" t="s">
        <v>240</v>
      </c>
      <c r="AR291" s="5" t="s">
        <v>241</v>
      </c>
      <c r="AS291" s="5" t="s">
        <v>241</v>
      </c>
      <c r="AT291" s="5" t="s">
        <v>241</v>
      </c>
      <c r="AU291" s="5" t="s">
        <v>241</v>
      </c>
      <c r="AV291" s="5" t="s">
        <v>285</v>
      </c>
      <c r="AW291" s="5" t="s">
        <v>204</v>
      </c>
      <c r="AX291" s="5" t="s">
        <v>204</v>
      </c>
      <c r="AY291" s="5" t="s">
        <v>214</v>
      </c>
      <c r="AZ291" s="5" t="s">
        <v>204</v>
      </c>
      <c r="BA291" s="5" t="s">
        <v>348</v>
      </c>
      <c r="BF291" s="5" t="s">
        <v>204</v>
      </c>
      <c r="BG291" s="5" t="s">
        <v>278</v>
      </c>
      <c r="BH291" s="5" t="s">
        <v>242</v>
      </c>
      <c r="BI291" s="5" t="s">
        <v>278</v>
      </c>
      <c r="BJ291" s="5" t="s">
        <v>242</v>
      </c>
      <c r="BK291" s="5" t="s">
        <v>243</v>
      </c>
      <c r="BL291" s="5" t="s">
        <v>246</v>
      </c>
      <c r="BM291" s="5" t="s">
        <v>243</v>
      </c>
      <c r="BN291" s="5" t="s">
        <v>246</v>
      </c>
      <c r="BO291" s="5" t="s">
        <v>246</v>
      </c>
      <c r="BP291" s="5" t="s">
        <v>246</v>
      </c>
      <c r="BQ291" s="5" t="s">
        <v>246</v>
      </c>
      <c r="BR291" s="5" t="s">
        <v>246</v>
      </c>
      <c r="BS291" s="5" t="s">
        <v>232</v>
      </c>
      <c r="BT291" s="5" t="s">
        <v>232</v>
      </c>
      <c r="BU291" s="5" t="s">
        <v>232</v>
      </c>
      <c r="BV291" s="5" t="s">
        <v>232</v>
      </c>
      <c r="BW291" s="5" t="s">
        <v>247</v>
      </c>
      <c r="BX291" s="5" t="s">
        <v>247</v>
      </c>
      <c r="BY291" s="5" t="s">
        <v>247</v>
      </c>
      <c r="BZ291" s="5" t="s">
        <v>244</v>
      </c>
      <c r="CA291" s="5" t="s">
        <v>246</v>
      </c>
      <c r="CB291" s="5" t="s">
        <v>216</v>
      </c>
      <c r="CC291" s="5" t="s">
        <v>246</v>
      </c>
      <c r="CD291" s="5" t="s">
        <v>206</v>
      </c>
      <c r="CH291" s="5" t="s">
        <v>331</v>
      </c>
      <c r="CI291" s="5" t="s">
        <v>291</v>
      </c>
      <c r="CJ291" s="5">
        <v>1</v>
      </c>
      <c r="CK291" s="5" t="s">
        <v>223</v>
      </c>
      <c r="CU291" s="5" t="s">
        <v>206</v>
      </c>
      <c r="DA291" s="5" t="s">
        <v>231</v>
      </c>
      <c r="DB291" s="5">
        <f t="shared" si="818"/>
        <v>2</v>
      </c>
      <c r="DC291" s="5" t="s">
        <v>230</v>
      </c>
      <c r="DD291" s="5">
        <f t="shared" si="819"/>
        <v>2</v>
      </c>
      <c r="DE291" s="5" t="s">
        <v>230</v>
      </c>
      <c r="DF291" s="5">
        <f t="shared" si="820"/>
        <v>2</v>
      </c>
      <c r="DG291" s="5" t="s">
        <v>230</v>
      </c>
      <c r="DH291" s="5">
        <f t="shared" si="821"/>
        <v>2</v>
      </c>
      <c r="DI291" s="5" t="s">
        <v>230</v>
      </c>
      <c r="DJ291" s="5">
        <f t="shared" si="822"/>
        <v>2</v>
      </c>
      <c r="DK291" s="5" t="s">
        <v>251</v>
      </c>
      <c r="DL291" s="5">
        <f t="shared" si="823"/>
        <v>1</v>
      </c>
      <c r="DM291" s="5" t="s">
        <v>251</v>
      </c>
      <c r="DN291" s="5">
        <f t="shared" si="824"/>
        <v>1</v>
      </c>
      <c r="DO291" s="5" t="s">
        <v>281</v>
      </c>
      <c r="DP291" s="5">
        <f t="shared" si="825"/>
        <v>1</v>
      </c>
      <c r="DQ291" s="5" t="s">
        <v>281</v>
      </c>
      <c r="DR291" s="5">
        <f t="shared" si="826"/>
        <v>1</v>
      </c>
      <c r="DS291" s="5" t="s">
        <v>231</v>
      </c>
      <c r="DT291" s="5">
        <f t="shared" si="827"/>
        <v>2</v>
      </c>
      <c r="DU291" s="5" t="s">
        <v>281</v>
      </c>
      <c r="DV291" s="5">
        <f t="shared" si="828"/>
        <v>1</v>
      </c>
      <c r="DW291" s="5" t="s">
        <v>281</v>
      </c>
      <c r="DX291" s="5">
        <f t="shared" si="829"/>
        <v>1</v>
      </c>
      <c r="DY291" s="5">
        <f t="shared" si="830"/>
        <v>18</v>
      </c>
      <c r="DZ291" s="5" t="str">
        <f t="shared" si="831"/>
        <v>Nivel de riesgo bajo</v>
      </c>
      <c r="EA291" s="5" t="s">
        <v>247</v>
      </c>
      <c r="EB291" s="5">
        <f t="shared" si="832"/>
        <v>2</v>
      </c>
      <c r="EC291" s="5" t="s">
        <v>247</v>
      </c>
      <c r="ED291" s="5">
        <f t="shared" si="833"/>
        <v>2</v>
      </c>
      <c r="EE291" s="5" t="s">
        <v>247</v>
      </c>
      <c r="EF291" s="5">
        <f t="shared" si="834"/>
        <v>2</v>
      </c>
      <c r="EG291" s="5">
        <f t="shared" si="835"/>
        <v>6</v>
      </c>
      <c r="EH291" s="5" t="str">
        <f t="shared" si="836"/>
        <v>Nivel de riesgo alto</v>
      </c>
      <c r="EI291" s="5" t="s">
        <v>247</v>
      </c>
      <c r="EJ291" s="5">
        <f t="shared" si="837"/>
        <v>2</v>
      </c>
      <c r="EK291" s="5" t="s">
        <v>253</v>
      </c>
      <c r="EL291" s="5">
        <f t="shared" si="838"/>
        <v>0</v>
      </c>
      <c r="EM291" s="5" t="s">
        <v>253</v>
      </c>
      <c r="EN291" s="5">
        <f t="shared" si="839"/>
        <v>0</v>
      </c>
      <c r="EO291" s="5">
        <f t="shared" si="840"/>
        <v>2</v>
      </c>
      <c r="EP291" s="5" t="str">
        <f t="shared" si="841"/>
        <v>Nivel de riesgo medio</v>
      </c>
      <c r="EQ291" s="5" t="s">
        <v>253</v>
      </c>
      <c r="ER291" s="5">
        <f t="shared" si="842"/>
        <v>4</v>
      </c>
      <c r="ES291" s="5" t="s">
        <v>253</v>
      </c>
      <c r="ET291" s="5">
        <f t="shared" si="843"/>
        <v>4</v>
      </c>
      <c r="EU291" s="5" t="s">
        <v>253</v>
      </c>
      <c r="EV291" s="5">
        <f t="shared" si="844"/>
        <v>4</v>
      </c>
      <c r="EW291" s="5" t="s">
        <v>253</v>
      </c>
      <c r="EX291" s="5">
        <f t="shared" si="845"/>
        <v>4</v>
      </c>
      <c r="EY291" s="5">
        <f t="shared" si="846"/>
        <v>16</v>
      </c>
      <c r="EZ291" s="5" t="str">
        <f t="shared" si="847"/>
        <v>Nivel de riesgo alto</v>
      </c>
      <c r="FA291" s="5" t="s">
        <v>253</v>
      </c>
      <c r="FB291" s="5">
        <f t="shared" si="848"/>
        <v>0</v>
      </c>
      <c r="FC291" s="5" t="s">
        <v>253</v>
      </c>
      <c r="FD291" s="5">
        <f t="shared" si="849"/>
        <v>0</v>
      </c>
      <c r="FE291" s="5" t="s">
        <v>253</v>
      </c>
      <c r="FF291" s="5">
        <f t="shared" si="850"/>
        <v>0</v>
      </c>
      <c r="FG291" s="5">
        <f t="shared" si="851"/>
        <v>0</v>
      </c>
      <c r="FH291" s="5" t="str">
        <f t="shared" si="852"/>
        <v>Nivel de riesgo bajo</v>
      </c>
      <c r="FI291" s="5" t="s">
        <v>247</v>
      </c>
      <c r="FJ291" s="5">
        <f t="shared" si="853"/>
        <v>2</v>
      </c>
      <c r="FK291" s="5" t="s">
        <v>248</v>
      </c>
      <c r="FL291" s="5">
        <f t="shared" si="854"/>
        <v>1</v>
      </c>
      <c r="FM291" s="5" t="s">
        <v>248</v>
      </c>
      <c r="FN291" s="5">
        <f t="shared" si="855"/>
        <v>1</v>
      </c>
      <c r="FO291" s="5">
        <f t="shared" si="856"/>
        <v>4</v>
      </c>
      <c r="FP291" s="5" t="str">
        <f t="shared" si="857"/>
        <v>Nivel de riesgo medio</v>
      </c>
      <c r="FQ291" s="5" t="s">
        <v>206</v>
      </c>
      <c r="FR291" s="5">
        <f t="shared" si="858"/>
        <v>0</v>
      </c>
      <c r="FS291" s="5" t="s">
        <v>206</v>
      </c>
      <c r="FT291" s="5">
        <f t="shared" si="859"/>
        <v>0</v>
      </c>
      <c r="FU291" s="5" t="s">
        <v>206</v>
      </c>
      <c r="FV291" s="5">
        <f t="shared" si="860"/>
        <v>0</v>
      </c>
      <c r="FW291" s="5" t="s">
        <v>206</v>
      </c>
      <c r="FX291" s="5">
        <f t="shared" si="861"/>
        <v>0</v>
      </c>
      <c r="FY291" s="5" t="s">
        <v>206</v>
      </c>
      <c r="FZ291" s="5">
        <f t="shared" si="862"/>
        <v>0</v>
      </c>
      <c r="GA291" s="5" t="s">
        <v>206</v>
      </c>
      <c r="GB291" s="5">
        <f t="shared" si="863"/>
        <v>0</v>
      </c>
      <c r="GC291" s="5" t="s">
        <v>206</v>
      </c>
      <c r="GD291" s="5">
        <f t="shared" si="864"/>
        <v>0</v>
      </c>
      <c r="GE291" s="5">
        <f t="shared" si="865"/>
        <v>0</v>
      </c>
      <c r="GF291" s="5" t="str">
        <f t="shared" si="866"/>
        <v>Nivel de riesgo bajo</v>
      </c>
      <c r="GG291" s="5" t="s">
        <v>255</v>
      </c>
      <c r="GH291" s="5" t="s">
        <v>255</v>
      </c>
      <c r="GI291" s="5" t="s">
        <v>255</v>
      </c>
      <c r="GJ291" s="5" t="s">
        <v>266</v>
      </c>
      <c r="GK291" s="5" t="s">
        <v>233</v>
      </c>
      <c r="GL291" s="5" t="s">
        <v>233</v>
      </c>
      <c r="GM291" s="5" t="s">
        <v>255</v>
      </c>
      <c r="GN291" s="5" t="s">
        <v>256</v>
      </c>
      <c r="GO291" s="5" t="s">
        <v>257</v>
      </c>
      <c r="GP291" s="5" t="s">
        <v>243</v>
      </c>
      <c r="GQ291" s="5" t="s">
        <v>257</v>
      </c>
      <c r="GR291" s="5" t="s">
        <v>257</v>
      </c>
      <c r="GS291" s="5" t="s">
        <v>257</v>
      </c>
      <c r="GT291" s="5" t="s">
        <v>256</v>
      </c>
      <c r="GU291" s="5" t="s">
        <v>651</v>
      </c>
      <c r="GV291" s="5" t="str">
        <f>TEXT("6279807167354060293","0")</f>
        <v>6279807167354060000</v>
      </c>
    </row>
    <row r="292" spans="1:204" ht="15.75" customHeight="1" x14ac:dyDescent="0.15">
      <c r="A292" s="1">
        <f t="shared" si="816"/>
        <v>292</v>
      </c>
      <c r="B292" s="4">
        <v>45848.625925925924</v>
      </c>
      <c r="C292" s="5" t="s">
        <v>204</v>
      </c>
      <c r="D292" s="5" t="s">
        <v>206</v>
      </c>
      <c r="F292" s="5" t="s">
        <v>204</v>
      </c>
      <c r="G292" s="5" t="s">
        <v>206</v>
      </c>
      <c r="H292" s="5" t="s">
        <v>206</v>
      </c>
      <c r="J292" s="5" t="s">
        <v>209</v>
      </c>
      <c r="O292" s="5" t="s">
        <v>209</v>
      </c>
      <c r="S292" s="5" t="s">
        <v>208</v>
      </c>
      <c r="X292" s="5" t="s">
        <v>208</v>
      </c>
      <c r="AD292" s="5" t="s">
        <v>209</v>
      </c>
      <c r="AH292" s="5" t="s">
        <v>652</v>
      </c>
      <c r="AI292" s="5">
        <v>2024</v>
      </c>
      <c r="AJ292" s="5" t="s">
        <v>330</v>
      </c>
      <c r="AK292" s="5" t="str">
        <f t="shared" si="817"/>
        <v>Asalariada</v>
      </c>
      <c r="AQ292" s="5" t="s">
        <v>204</v>
      </c>
      <c r="AR292" s="5" t="s">
        <v>241</v>
      </c>
      <c r="AS292" s="5" t="s">
        <v>301</v>
      </c>
      <c r="AT292" s="5" t="s">
        <v>241</v>
      </c>
      <c r="AU292" s="5" t="s">
        <v>241</v>
      </c>
      <c r="AV292" s="5" t="s">
        <v>213</v>
      </c>
      <c r="AW292" s="5" t="s">
        <v>206</v>
      </c>
      <c r="BF292" s="5" t="s">
        <v>204</v>
      </c>
      <c r="BG292" s="5" t="s">
        <v>242</v>
      </c>
      <c r="BH292" s="5" t="s">
        <v>242</v>
      </c>
      <c r="BI292" s="5" t="s">
        <v>242</v>
      </c>
      <c r="BJ292" s="5" t="s">
        <v>242</v>
      </c>
      <c r="BK292" s="5" t="s">
        <v>243</v>
      </c>
      <c r="BL292" s="5" t="s">
        <v>246</v>
      </c>
      <c r="BM292" s="5" t="s">
        <v>244</v>
      </c>
      <c r="BN292" s="5" t="s">
        <v>243</v>
      </c>
      <c r="BO292" s="5" t="s">
        <v>243</v>
      </c>
      <c r="BP292" s="5" t="s">
        <v>245</v>
      </c>
      <c r="BQ292" s="5" t="s">
        <v>246</v>
      </c>
      <c r="BR292" s="5" t="s">
        <v>243</v>
      </c>
      <c r="BS292" s="5" t="s">
        <v>247</v>
      </c>
      <c r="BT292" s="5" t="s">
        <v>248</v>
      </c>
      <c r="BU292" s="5" t="s">
        <v>247</v>
      </c>
      <c r="BV292" s="5" t="s">
        <v>248</v>
      </c>
      <c r="BW292" s="5" t="s">
        <v>254</v>
      </c>
      <c r="BX292" s="5" t="s">
        <v>247</v>
      </c>
      <c r="BY292" s="5" t="s">
        <v>248</v>
      </c>
      <c r="CD292" s="5" t="s">
        <v>206</v>
      </c>
      <c r="CH292" s="5" t="s">
        <v>331</v>
      </c>
      <c r="CI292" s="5" t="s">
        <v>291</v>
      </c>
      <c r="CJ292" s="5">
        <v>1</v>
      </c>
      <c r="CK292" s="5" t="s">
        <v>223</v>
      </c>
      <c r="CU292" s="5" t="s">
        <v>206</v>
      </c>
      <c r="DA292" s="5" t="s">
        <v>252</v>
      </c>
      <c r="DB292" s="5">
        <f t="shared" si="818"/>
        <v>3</v>
      </c>
      <c r="DC292" s="5" t="s">
        <v>230</v>
      </c>
      <c r="DD292" s="5">
        <f t="shared" si="819"/>
        <v>2</v>
      </c>
      <c r="DE292" s="5" t="s">
        <v>250</v>
      </c>
      <c r="DF292" s="5">
        <f t="shared" si="820"/>
        <v>3</v>
      </c>
      <c r="DG292" s="5" t="s">
        <v>250</v>
      </c>
      <c r="DH292" s="5">
        <f t="shared" si="821"/>
        <v>3</v>
      </c>
      <c r="DI292" s="5" t="s">
        <v>230</v>
      </c>
      <c r="DJ292" s="5">
        <f t="shared" si="822"/>
        <v>2</v>
      </c>
      <c r="DK292" s="5" t="s">
        <v>251</v>
      </c>
      <c r="DL292" s="5">
        <f t="shared" si="823"/>
        <v>1</v>
      </c>
      <c r="DM292" s="5" t="s">
        <v>251</v>
      </c>
      <c r="DN292" s="5">
        <f t="shared" si="824"/>
        <v>1</v>
      </c>
      <c r="DO292" s="5" t="s">
        <v>231</v>
      </c>
      <c r="DP292" s="5">
        <f t="shared" si="825"/>
        <v>2</v>
      </c>
      <c r="DQ292" s="5" t="s">
        <v>231</v>
      </c>
      <c r="DR292" s="5">
        <f t="shared" si="826"/>
        <v>2</v>
      </c>
      <c r="DS292" s="5" t="s">
        <v>252</v>
      </c>
      <c r="DT292" s="5">
        <f t="shared" si="827"/>
        <v>3</v>
      </c>
      <c r="DU292" s="5" t="s">
        <v>281</v>
      </c>
      <c r="DV292" s="5">
        <f t="shared" si="828"/>
        <v>1</v>
      </c>
      <c r="DW292" s="5" t="s">
        <v>281</v>
      </c>
      <c r="DX292" s="5">
        <f t="shared" si="829"/>
        <v>1</v>
      </c>
      <c r="DY292" s="5">
        <f t="shared" si="830"/>
        <v>24</v>
      </c>
      <c r="DZ292" s="5" t="str">
        <f t="shared" si="831"/>
        <v>Nivel de riesgo alto</v>
      </c>
      <c r="EA292" s="5" t="s">
        <v>253</v>
      </c>
      <c r="EB292" s="5">
        <f t="shared" si="832"/>
        <v>0</v>
      </c>
      <c r="EC292" s="5" t="s">
        <v>248</v>
      </c>
      <c r="ED292" s="5">
        <f t="shared" si="833"/>
        <v>1</v>
      </c>
      <c r="EE292" s="5" t="s">
        <v>253</v>
      </c>
      <c r="EF292" s="5">
        <f t="shared" si="834"/>
        <v>0</v>
      </c>
      <c r="EG292" s="5">
        <f t="shared" si="835"/>
        <v>1</v>
      </c>
      <c r="EH292" s="5" t="str">
        <f t="shared" si="836"/>
        <v>Nivel de riesgo bajo</v>
      </c>
      <c r="EI292" s="5" t="s">
        <v>248</v>
      </c>
      <c r="EJ292" s="5">
        <f t="shared" si="837"/>
        <v>1</v>
      </c>
      <c r="EK292" s="5" t="s">
        <v>253</v>
      </c>
      <c r="EL292" s="5">
        <f t="shared" si="838"/>
        <v>0</v>
      </c>
      <c r="EM292" s="5" t="s">
        <v>247</v>
      </c>
      <c r="EN292" s="5">
        <f t="shared" si="839"/>
        <v>2</v>
      </c>
      <c r="EO292" s="5">
        <f t="shared" si="840"/>
        <v>3</v>
      </c>
      <c r="EP292" s="5" t="str">
        <f t="shared" si="841"/>
        <v>Nivel de riesgo medio</v>
      </c>
      <c r="EQ292" s="5" t="s">
        <v>232</v>
      </c>
      <c r="ER292" s="5">
        <f t="shared" si="842"/>
        <v>1</v>
      </c>
      <c r="ES292" s="5" t="s">
        <v>232</v>
      </c>
      <c r="ET292" s="5">
        <f t="shared" si="843"/>
        <v>1</v>
      </c>
      <c r="EU292" s="5" t="s">
        <v>254</v>
      </c>
      <c r="EV292" s="5">
        <f t="shared" si="844"/>
        <v>0</v>
      </c>
      <c r="EW292" s="5" t="s">
        <v>232</v>
      </c>
      <c r="EX292" s="5">
        <f t="shared" si="845"/>
        <v>1</v>
      </c>
      <c r="EY292" s="5">
        <f t="shared" si="846"/>
        <v>3</v>
      </c>
      <c r="EZ292" s="5" t="str">
        <f t="shared" si="847"/>
        <v>Nivel de riesgo medio</v>
      </c>
      <c r="FA292" s="5" t="s">
        <v>253</v>
      </c>
      <c r="FB292" s="5">
        <f t="shared" si="848"/>
        <v>0</v>
      </c>
      <c r="FC292" s="5" t="s">
        <v>253</v>
      </c>
      <c r="FD292" s="5">
        <f t="shared" si="849"/>
        <v>0</v>
      </c>
      <c r="FE292" s="5" t="s">
        <v>253</v>
      </c>
      <c r="FF292" s="5">
        <f t="shared" si="850"/>
        <v>0</v>
      </c>
      <c r="FG292" s="5">
        <f t="shared" si="851"/>
        <v>0</v>
      </c>
      <c r="FH292" s="5" t="str">
        <f t="shared" si="852"/>
        <v>Nivel de riesgo bajo</v>
      </c>
      <c r="FI292" s="5" t="s">
        <v>253</v>
      </c>
      <c r="FJ292" s="5">
        <f t="shared" si="853"/>
        <v>0</v>
      </c>
      <c r="FK292" s="5" t="s">
        <v>253</v>
      </c>
      <c r="FL292" s="5">
        <f t="shared" si="854"/>
        <v>0</v>
      </c>
      <c r="FM292" s="5" t="s">
        <v>253</v>
      </c>
      <c r="FN292" s="5">
        <f t="shared" si="855"/>
        <v>0</v>
      </c>
      <c r="FO292" s="5">
        <f t="shared" si="856"/>
        <v>0</v>
      </c>
      <c r="FP292" s="5" t="str">
        <f t="shared" si="857"/>
        <v>Nivel de riesgo bajo</v>
      </c>
      <c r="FQ292" s="5" t="s">
        <v>265</v>
      </c>
      <c r="FR292" s="5">
        <f t="shared" si="858"/>
        <v>1</v>
      </c>
      <c r="FS292" s="5" t="s">
        <v>265</v>
      </c>
      <c r="FT292" s="5">
        <f t="shared" si="859"/>
        <v>1</v>
      </c>
      <c r="FU292" s="5" t="s">
        <v>265</v>
      </c>
      <c r="FV292" s="5">
        <f t="shared" si="860"/>
        <v>1</v>
      </c>
      <c r="FW292" s="5" t="s">
        <v>206</v>
      </c>
      <c r="FX292" s="5">
        <f t="shared" si="861"/>
        <v>0</v>
      </c>
      <c r="FY292" s="5" t="s">
        <v>265</v>
      </c>
      <c r="FZ292" s="5">
        <f t="shared" si="862"/>
        <v>1</v>
      </c>
      <c r="GA292" s="5" t="s">
        <v>265</v>
      </c>
      <c r="GB292" s="5">
        <f t="shared" si="863"/>
        <v>1</v>
      </c>
      <c r="GC292" s="5" t="s">
        <v>206</v>
      </c>
      <c r="GD292" s="5">
        <f t="shared" si="864"/>
        <v>0</v>
      </c>
      <c r="GE292" s="5">
        <f t="shared" si="865"/>
        <v>5</v>
      </c>
      <c r="GF292" s="5" t="str">
        <f t="shared" si="866"/>
        <v>Nivel de riesgo medio</v>
      </c>
      <c r="GG292" s="5" t="s">
        <v>266</v>
      </c>
      <c r="GH292" s="5" t="s">
        <v>266</v>
      </c>
      <c r="GI292" s="5" t="s">
        <v>273</v>
      </c>
      <c r="GJ292" s="5" t="s">
        <v>255</v>
      </c>
      <c r="GK292" s="5" t="s">
        <v>233</v>
      </c>
      <c r="GL292" s="5" t="s">
        <v>266</v>
      </c>
      <c r="GM292" s="5" t="s">
        <v>255</v>
      </c>
      <c r="GN292" s="5" t="s">
        <v>256</v>
      </c>
      <c r="GO292" s="5" t="s">
        <v>243</v>
      </c>
      <c r="GP292" s="5" t="s">
        <v>244</v>
      </c>
      <c r="GQ292" s="5" t="s">
        <v>244</v>
      </c>
      <c r="GR292" s="5" t="s">
        <v>244</v>
      </c>
      <c r="GS292" s="5" t="s">
        <v>244</v>
      </c>
      <c r="GT292" s="5" t="s">
        <v>244</v>
      </c>
      <c r="GU292" s="5" t="s">
        <v>653</v>
      </c>
      <c r="GV292" s="5" t="str">
        <f>TEXT("6279832806114668318","0")</f>
        <v>6279832806114660000</v>
      </c>
    </row>
    <row r="293" spans="1:204" ht="15.75" customHeight="1" x14ac:dyDescent="0.15">
      <c r="A293" s="1">
        <f t="shared" si="816"/>
        <v>293</v>
      </c>
      <c r="B293" s="4">
        <v>45848.651377314818</v>
      </c>
      <c r="C293" s="5" t="s">
        <v>204</v>
      </c>
      <c r="D293" s="5" t="s">
        <v>206</v>
      </c>
      <c r="F293" s="5" t="s">
        <v>204</v>
      </c>
      <c r="G293" s="5" t="s">
        <v>206</v>
      </c>
      <c r="H293" s="5" t="s">
        <v>206</v>
      </c>
      <c r="K293" s="5" t="s">
        <v>237</v>
      </c>
      <c r="P293" s="5" t="s">
        <v>237</v>
      </c>
      <c r="S293" s="5" t="s">
        <v>208</v>
      </c>
      <c r="X293" s="5" t="s">
        <v>208</v>
      </c>
      <c r="AC293" s="5" t="s">
        <v>208</v>
      </c>
      <c r="AH293" s="5" t="s">
        <v>210</v>
      </c>
      <c r="AI293" s="5">
        <v>2018</v>
      </c>
      <c r="AJ293" s="5" t="s">
        <v>238</v>
      </c>
      <c r="AK293" s="5" t="str">
        <f t="shared" si="817"/>
        <v>Trabajadora por cuenta propia</v>
      </c>
      <c r="AM293" s="5" t="s">
        <v>309</v>
      </c>
      <c r="AP293" s="5" t="s">
        <v>297</v>
      </c>
      <c r="AR293" s="5" t="s">
        <v>241</v>
      </c>
      <c r="AS293" s="5" t="s">
        <v>261</v>
      </c>
      <c r="AT293" s="5" t="s">
        <v>294</v>
      </c>
      <c r="AU293" s="5" t="s">
        <v>276</v>
      </c>
      <c r="AV293" s="5" t="s">
        <v>285</v>
      </c>
      <c r="AW293" s="5" t="s">
        <v>204</v>
      </c>
      <c r="AX293" s="5" t="s">
        <v>204</v>
      </c>
      <c r="AY293" s="5" t="s">
        <v>406</v>
      </c>
      <c r="AZ293" s="5" t="s">
        <v>204</v>
      </c>
      <c r="BA293" s="5" t="s">
        <v>263</v>
      </c>
      <c r="BF293" s="5" t="s">
        <v>204</v>
      </c>
      <c r="BG293" s="5" t="s">
        <v>242</v>
      </c>
      <c r="BH293" s="5" t="s">
        <v>215</v>
      </c>
      <c r="BI293" s="5" t="s">
        <v>242</v>
      </c>
      <c r="BJ293" s="5" t="s">
        <v>242</v>
      </c>
      <c r="BK293" s="5" t="s">
        <v>245</v>
      </c>
      <c r="BL293" s="5" t="s">
        <v>246</v>
      </c>
      <c r="BM293" s="5" t="s">
        <v>245</v>
      </c>
      <c r="BN293" s="5" t="s">
        <v>245</v>
      </c>
      <c r="BO293" s="5" t="s">
        <v>245</v>
      </c>
      <c r="BP293" s="5" t="s">
        <v>245</v>
      </c>
      <c r="BQ293" s="5" t="s">
        <v>245</v>
      </c>
      <c r="BR293" s="5" t="s">
        <v>245</v>
      </c>
      <c r="BS293" s="5" t="s">
        <v>254</v>
      </c>
      <c r="BT293" s="5" t="s">
        <v>254</v>
      </c>
      <c r="BU293" s="5" t="s">
        <v>254</v>
      </c>
      <c r="BV293" s="5" t="s">
        <v>254</v>
      </c>
      <c r="BW293" s="5" t="s">
        <v>254</v>
      </c>
      <c r="BX293" s="5" t="s">
        <v>254</v>
      </c>
      <c r="BY293" s="5" t="s">
        <v>254</v>
      </c>
      <c r="BZ293" s="5" t="s">
        <v>245</v>
      </c>
      <c r="CA293" s="5" t="s">
        <v>245</v>
      </c>
      <c r="CB293" s="5" t="s">
        <v>245</v>
      </c>
      <c r="CC293" s="5" t="s">
        <v>245</v>
      </c>
      <c r="CD293" s="5" t="s">
        <v>206</v>
      </c>
      <c r="CH293" s="5" t="s">
        <v>367</v>
      </c>
      <c r="CI293" s="5" t="s">
        <v>383</v>
      </c>
      <c r="CJ293" s="5">
        <v>2</v>
      </c>
      <c r="CK293" s="5" t="s">
        <v>223</v>
      </c>
      <c r="CU293" s="5" t="s">
        <v>206</v>
      </c>
      <c r="DA293" s="5" t="s">
        <v>231</v>
      </c>
      <c r="DB293" s="5">
        <f t="shared" si="818"/>
        <v>2</v>
      </c>
      <c r="DC293" s="5" t="s">
        <v>250</v>
      </c>
      <c r="DD293" s="5">
        <f t="shared" si="819"/>
        <v>3</v>
      </c>
      <c r="DE293" s="5" t="s">
        <v>250</v>
      </c>
      <c r="DF293" s="5">
        <f t="shared" si="820"/>
        <v>3</v>
      </c>
      <c r="DG293" s="5" t="s">
        <v>250</v>
      </c>
      <c r="DH293" s="5">
        <f t="shared" si="821"/>
        <v>3</v>
      </c>
      <c r="DI293" s="5" t="s">
        <v>250</v>
      </c>
      <c r="DJ293" s="5">
        <f t="shared" si="822"/>
        <v>3</v>
      </c>
      <c r="DK293" s="5" t="s">
        <v>250</v>
      </c>
      <c r="DL293" s="5">
        <f t="shared" si="823"/>
        <v>3</v>
      </c>
      <c r="DM293" s="5" t="s">
        <v>250</v>
      </c>
      <c r="DN293" s="5">
        <f t="shared" si="824"/>
        <v>3</v>
      </c>
      <c r="DO293" s="5" t="s">
        <v>231</v>
      </c>
      <c r="DP293" s="5">
        <f t="shared" si="825"/>
        <v>2</v>
      </c>
      <c r="DQ293" s="5" t="s">
        <v>231</v>
      </c>
      <c r="DR293" s="5">
        <f t="shared" si="826"/>
        <v>2</v>
      </c>
      <c r="DS293" s="5" t="s">
        <v>231</v>
      </c>
      <c r="DT293" s="5">
        <f t="shared" si="827"/>
        <v>2</v>
      </c>
      <c r="DU293" s="5" t="s">
        <v>231</v>
      </c>
      <c r="DV293" s="5">
        <f t="shared" si="828"/>
        <v>2</v>
      </c>
      <c r="DW293" s="5" t="s">
        <v>231</v>
      </c>
      <c r="DX293" s="5">
        <f t="shared" si="829"/>
        <v>2</v>
      </c>
      <c r="DY293" s="5">
        <f t="shared" si="830"/>
        <v>30</v>
      </c>
      <c r="DZ293" s="5" t="str">
        <f t="shared" si="831"/>
        <v>Nivel de riesgo alto</v>
      </c>
      <c r="EA293" s="5" t="s">
        <v>254</v>
      </c>
      <c r="EB293" s="5">
        <f t="shared" si="832"/>
        <v>4</v>
      </c>
      <c r="EC293" s="5" t="s">
        <v>254</v>
      </c>
      <c r="ED293" s="5">
        <f t="shared" si="833"/>
        <v>4</v>
      </c>
      <c r="EE293" s="5" t="s">
        <v>254</v>
      </c>
      <c r="EF293" s="5">
        <f t="shared" si="834"/>
        <v>4</v>
      </c>
      <c r="EG293" s="5">
        <f t="shared" si="835"/>
        <v>12</v>
      </c>
      <c r="EH293" s="5" t="str">
        <f t="shared" si="836"/>
        <v>Nivel de riesgo alto</v>
      </c>
      <c r="EI293" s="5" t="s">
        <v>254</v>
      </c>
      <c r="EJ293" s="5">
        <f t="shared" si="837"/>
        <v>4</v>
      </c>
      <c r="EK293" s="5" t="s">
        <v>254</v>
      </c>
      <c r="EL293" s="5">
        <f t="shared" si="838"/>
        <v>4</v>
      </c>
      <c r="EM293" s="5" t="s">
        <v>254</v>
      </c>
      <c r="EN293" s="5">
        <f t="shared" si="839"/>
        <v>4</v>
      </c>
      <c r="EO293" s="5">
        <f t="shared" si="840"/>
        <v>12</v>
      </c>
      <c r="EP293" s="5" t="str">
        <f t="shared" si="841"/>
        <v>Nivel de riesgo alto</v>
      </c>
      <c r="EQ293" s="5" t="s">
        <v>254</v>
      </c>
      <c r="ER293" s="5">
        <f t="shared" si="842"/>
        <v>0</v>
      </c>
      <c r="ES293" s="5" t="s">
        <v>254</v>
      </c>
      <c r="ET293" s="5">
        <f t="shared" si="843"/>
        <v>0</v>
      </c>
      <c r="EU293" s="5" t="s">
        <v>254</v>
      </c>
      <c r="EV293" s="5">
        <f t="shared" si="844"/>
        <v>0</v>
      </c>
      <c r="EW293" s="5" t="s">
        <v>254</v>
      </c>
      <c r="EX293" s="5">
        <f t="shared" si="845"/>
        <v>0</v>
      </c>
      <c r="EY293" s="5">
        <f t="shared" si="846"/>
        <v>0</v>
      </c>
      <c r="EZ293" s="5" t="str">
        <f t="shared" si="847"/>
        <v>Nivel de riesgo bajo</v>
      </c>
      <c r="FA293" s="5" t="s">
        <v>254</v>
      </c>
      <c r="FB293" s="5">
        <f t="shared" si="848"/>
        <v>4</v>
      </c>
      <c r="FC293" s="5" t="s">
        <v>254</v>
      </c>
      <c r="FD293" s="5">
        <f t="shared" si="849"/>
        <v>4</v>
      </c>
      <c r="FE293" s="5" t="s">
        <v>254</v>
      </c>
      <c r="FF293" s="5">
        <f t="shared" si="850"/>
        <v>4</v>
      </c>
      <c r="FG293" s="5">
        <f t="shared" si="851"/>
        <v>12</v>
      </c>
      <c r="FH293" s="5" t="str">
        <f t="shared" si="852"/>
        <v>Nivel de riesgo alto</v>
      </c>
      <c r="FI293" s="5" t="s">
        <v>254</v>
      </c>
      <c r="FJ293" s="5">
        <f t="shared" si="853"/>
        <v>4</v>
      </c>
      <c r="FK293" s="5" t="s">
        <v>254</v>
      </c>
      <c r="FL293" s="5">
        <f t="shared" si="854"/>
        <v>4</v>
      </c>
      <c r="FM293" s="5" t="s">
        <v>254</v>
      </c>
      <c r="FN293" s="5">
        <f t="shared" si="855"/>
        <v>4</v>
      </c>
      <c r="FO293" s="5">
        <f t="shared" si="856"/>
        <v>12</v>
      </c>
      <c r="FP293" s="5" t="str">
        <f t="shared" si="857"/>
        <v>Nivel de riesgo alto</v>
      </c>
      <c r="FQ293" s="5" t="s">
        <v>206</v>
      </c>
      <c r="FR293" s="5">
        <f t="shared" si="858"/>
        <v>0</v>
      </c>
      <c r="FS293" s="5" t="s">
        <v>206</v>
      </c>
      <c r="FT293" s="5">
        <f t="shared" si="859"/>
        <v>0</v>
      </c>
      <c r="FU293" s="5" t="s">
        <v>206</v>
      </c>
      <c r="FV293" s="5">
        <f t="shared" si="860"/>
        <v>0</v>
      </c>
      <c r="FW293" s="5" t="s">
        <v>206</v>
      </c>
      <c r="FX293" s="5">
        <f t="shared" si="861"/>
        <v>0</v>
      </c>
      <c r="FY293" s="5" t="s">
        <v>206</v>
      </c>
      <c r="FZ293" s="5">
        <f t="shared" si="862"/>
        <v>0</v>
      </c>
      <c r="GA293" s="5" t="s">
        <v>206</v>
      </c>
      <c r="GB293" s="5">
        <f t="shared" si="863"/>
        <v>0</v>
      </c>
      <c r="GC293" s="5" t="s">
        <v>206</v>
      </c>
      <c r="GD293" s="5">
        <f t="shared" si="864"/>
        <v>0</v>
      </c>
      <c r="GE293" s="5">
        <f t="shared" si="865"/>
        <v>0</v>
      </c>
      <c r="GF293" s="5" t="str">
        <f t="shared" si="866"/>
        <v>Nivel de riesgo bajo</v>
      </c>
      <c r="GG293" s="5" t="s">
        <v>255</v>
      </c>
      <c r="GH293" s="5" t="s">
        <v>255</v>
      </c>
      <c r="GI293" s="5" t="s">
        <v>255</v>
      </c>
      <c r="GJ293" s="5" t="s">
        <v>255</v>
      </c>
      <c r="GK293" s="5" t="s">
        <v>255</v>
      </c>
      <c r="GL293" s="5" t="s">
        <v>255</v>
      </c>
      <c r="GM293" s="5" t="s">
        <v>255</v>
      </c>
      <c r="GN293" s="5" t="s">
        <v>256</v>
      </c>
      <c r="GO293" s="5" t="s">
        <v>256</v>
      </c>
      <c r="GP293" s="5" t="s">
        <v>256</v>
      </c>
      <c r="GQ293" s="5" t="s">
        <v>256</v>
      </c>
      <c r="GR293" s="5" t="s">
        <v>256</v>
      </c>
      <c r="GS293" s="5" t="s">
        <v>256</v>
      </c>
      <c r="GT293" s="5" t="s">
        <v>256</v>
      </c>
      <c r="GU293" s="5" t="s">
        <v>654</v>
      </c>
      <c r="GV293" s="5" t="str">
        <f>TEXT("6279854794297975206","0")</f>
        <v>6279854794297970000</v>
      </c>
    </row>
    <row r="294" spans="1:204" ht="15.75" hidden="1" customHeight="1" x14ac:dyDescent="0.15">
      <c r="B294" s="4">
        <v>45848.688576388886</v>
      </c>
      <c r="C294" s="5" t="s">
        <v>206</v>
      </c>
      <c r="GV294" s="5" t="str">
        <f>TEXT("6279886936819413450","0")</f>
        <v>6279886936819410000</v>
      </c>
    </row>
    <row r="295" spans="1:204" ht="15.75" customHeight="1" x14ac:dyDescent="0.15">
      <c r="A295" s="1">
        <f t="shared" ref="A295:A308" si="867">ROW(A295)</f>
        <v>295</v>
      </c>
      <c r="B295" s="4">
        <v>45848.704398148147</v>
      </c>
      <c r="C295" s="5" t="s">
        <v>204</v>
      </c>
      <c r="D295" s="5" t="s">
        <v>206</v>
      </c>
      <c r="F295" s="5" t="s">
        <v>206</v>
      </c>
      <c r="G295" s="5" t="s">
        <v>206</v>
      </c>
      <c r="H295" s="5" t="s">
        <v>206</v>
      </c>
      <c r="L295" s="5" t="s">
        <v>236</v>
      </c>
      <c r="P295" s="5" t="s">
        <v>237</v>
      </c>
      <c r="T295" s="5" t="s">
        <v>209</v>
      </c>
      <c r="Z295" s="5" t="s">
        <v>237</v>
      </c>
      <c r="AE295" s="5" t="s">
        <v>237</v>
      </c>
      <c r="AH295" s="5" t="s">
        <v>259</v>
      </c>
      <c r="AI295" s="5">
        <v>2019</v>
      </c>
      <c r="AJ295" s="5" t="s">
        <v>238</v>
      </c>
      <c r="AK295" s="5" t="str">
        <f t="shared" ref="AK295:AK308" si="868">IF(OR(AJ295="Empleada del sector privado",AJ295="Empleada del sector público"),"Asalariada",
IF(AJ295="Trabajadora por cuenta propia","Trabajadora por cuenta propia",""))</f>
        <v>Trabajadora por cuenta propia</v>
      </c>
      <c r="AN295" s="5" t="s">
        <v>288</v>
      </c>
      <c r="AP295" s="5" t="s">
        <v>284</v>
      </c>
      <c r="AR295" s="5" t="s">
        <v>261</v>
      </c>
      <c r="AS295" s="5" t="s">
        <v>261</v>
      </c>
      <c r="AT295" s="5" t="s">
        <v>276</v>
      </c>
      <c r="AU295" s="5" t="s">
        <v>241</v>
      </c>
      <c r="AV295" s="5" t="s">
        <v>285</v>
      </c>
      <c r="AW295" s="5" t="s">
        <v>204</v>
      </c>
      <c r="AX295" s="5" t="s">
        <v>204</v>
      </c>
      <c r="AY295" s="5" t="s">
        <v>339</v>
      </c>
      <c r="AZ295" s="5" t="s">
        <v>204</v>
      </c>
      <c r="BA295" s="5" t="s">
        <v>263</v>
      </c>
      <c r="BF295" s="5" t="s">
        <v>204</v>
      </c>
      <c r="BG295" s="5" t="s">
        <v>264</v>
      </c>
      <c r="BH295" s="5" t="s">
        <v>242</v>
      </c>
      <c r="BI295" s="5" t="s">
        <v>207</v>
      </c>
      <c r="BJ295" s="5" t="s">
        <v>242</v>
      </c>
      <c r="BK295" s="5" t="s">
        <v>246</v>
      </c>
      <c r="BL295" s="5" t="s">
        <v>246</v>
      </c>
      <c r="BM295" s="5" t="s">
        <v>244</v>
      </c>
      <c r="BN295" s="5" t="s">
        <v>243</v>
      </c>
      <c r="BO295" s="5" t="s">
        <v>243</v>
      </c>
      <c r="BP295" s="5" t="s">
        <v>243</v>
      </c>
      <c r="BQ295" s="5" t="s">
        <v>243</v>
      </c>
      <c r="BR295" s="5" t="s">
        <v>243</v>
      </c>
      <c r="BS295" s="5" t="s">
        <v>247</v>
      </c>
      <c r="BT295" s="5" t="s">
        <v>232</v>
      </c>
      <c r="BU295" s="5" t="s">
        <v>248</v>
      </c>
      <c r="BV295" s="5" t="s">
        <v>247</v>
      </c>
      <c r="BW295" s="5" t="s">
        <v>247</v>
      </c>
      <c r="BX295" s="5" t="s">
        <v>232</v>
      </c>
      <c r="BY295" s="5" t="s">
        <v>247</v>
      </c>
      <c r="BZ295" s="5" t="s">
        <v>243</v>
      </c>
      <c r="CA295" s="5" t="s">
        <v>243</v>
      </c>
      <c r="CB295" s="5" t="s">
        <v>243</v>
      </c>
      <c r="CC295" s="5" t="s">
        <v>243</v>
      </c>
      <c r="CD295" s="5" t="s">
        <v>204</v>
      </c>
      <c r="CE295" s="5" t="s">
        <v>286</v>
      </c>
      <c r="CF295" s="5" t="s">
        <v>219</v>
      </c>
      <c r="CG295" s="5" t="s">
        <v>206</v>
      </c>
      <c r="CH295" s="5" t="s">
        <v>206</v>
      </c>
      <c r="CI295" s="5" t="s">
        <v>206</v>
      </c>
      <c r="CJ295" s="5">
        <v>0</v>
      </c>
      <c r="CK295" s="5" t="s">
        <v>223</v>
      </c>
      <c r="CU295" s="5" t="s">
        <v>206</v>
      </c>
      <c r="DA295" s="5" t="s">
        <v>252</v>
      </c>
      <c r="DB295" s="5">
        <f t="shared" ref="DB295:DB308" si="869">IF(DA295="Mejor que lo habitual",1,
IF(DA295="Igual que lo habitual",2,
IF(DA295="Menos que lo habitual",3,
IF(DA295="Mucho menos que lo habitual",4,""))))</f>
        <v>3</v>
      </c>
      <c r="DC295" s="5" t="s">
        <v>280</v>
      </c>
      <c r="DD295" s="5">
        <f t="shared" ref="DD295:DD308" si="870">IF(DC295="No, en absoluto",1,
IF(DC295="No más que lo habitual",2,
IF(DC295="Bastante más que lo habitual",3,
IF(DC295="Mucho más que lo habitual",4,""))))</f>
        <v>4</v>
      </c>
      <c r="DE295" s="5" t="s">
        <v>280</v>
      </c>
      <c r="DF295" s="5">
        <f t="shared" ref="DF295:DF308" si="871">IF(DE295="No, en absoluto",1,
IF(DE295="No más que lo habitual",2,
IF(DE295="Bastante más que lo habitual",3,
IF(DE295="Mucho más que lo habitual",4,""))))</f>
        <v>4</v>
      </c>
      <c r="DG295" s="5" t="s">
        <v>250</v>
      </c>
      <c r="DH295" s="5">
        <f t="shared" ref="DH295:DH308" si="872">IF(DG295="No, en absoluto",1,
IF(DG295="No más que lo habitual",2,
IF(DG295="Bastante más que lo habitual",3,
IF(DG295="Mucho más que lo habitual",4,""))))</f>
        <v>3</v>
      </c>
      <c r="DI295" s="5" t="s">
        <v>250</v>
      </c>
      <c r="DJ295" s="5">
        <f t="shared" ref="DJ295:DJ308" si="873">IF(DI295="No, en absoluto",1,
IF(DI295="No más que lo habitual",2,
IF(DI295="Bastante más que lo habitual",3,
IF(DI295="Mucho más que lo habitual",4,""))))</f>
        <v>3</v>
      </c>
      <c r="DK295" s="5" t="s">
        <v>230</v>
      </c>
      <c r="DL295" s="5">
        <f t="shared" ref="DL295:DL308" si="874">IF(DK295="No, en absoluto",1,
IF(DK295="No más que lo habitual",2,
IF(DK295="Bastante más que lo habitual",3,
IF(DK295="Mucho más que lo habitual",4,""))))</f>
        <v>2</v>
      </c>
      <c r="DM295" s="5" t="s">
        <v>230</v>
      </c>
      <c r="DN295" s="5">
        <f t="shared" ref="DN295:DN308" si="875">IF(DM295="No, en absoluto",1,
IF(DM295="No más que lo habitual",2,
IF(DM295="Bastante más que lo habitual",3,
IF(DM295="Mucho más que lo habitual",4,""))))</f>
        <v>2</v>
      </c>
      <c r="DO295" s="5" t="s">
        <v>252</v>
      </c>
      <c r="DP295" s="5">
        <f t="shared" ref="DP295:DP308" si="876">IF(DO295="Más que lo habitual",1,
IF(DO295="Igual que lo habitual",2,
IF(DO295="Menos que lo habitual",3,
IF(DO295="Mucho menos que lo habitual",4,""))))</f>
        <v>3</v>
      </c>
      <c r="DQ295" s="5" t="s">
        <v>281</v>
      </c>
      <c r="DR295" s="5">
        <f t="shared" ref="DR295:DR308" si="877">IF(DQ295="Más que lo habitual",1,
IF(DQ295="Igual que lo habitual",2,
IF(DQ295="Menos que lo habitual",3,
IF(DQ295="Mucho menos que lo habitual",4,""))))</f>
        <v>1</v>
      </c>
      <c r="DS295" s="5" t="s">
        <v>231</v>
      </c>
      <c r="DT295" s="5">
        <f t="shared" ref="DT295:DT308" si="878">IF(DS295="Más que lo habitual",1,
IF(DS295="Igual que lo habitual",2,
IF(DS295="Menos que lo habitual",3,
IF(DS295="Mucho menos que lo habitual",4,""))))</f>
        <v>2</v>
      </c>
      <c r="DU295" s="5" t="s">
        <v>281</v>
      </c>
      <c r="DV295" s="5">
        <f t="shared" ref="DV295:DV308" si="879">IF(DU295="Más que lo habitual",1,
IF(DU295="Igual que lo habitual",2,
IF(DU295="Menos que lo habitual",3,
IF(DU295="Mucho menos que lo habitual",4,""))))</f>
        <v>1</v>
      </c>
      <c r="DW295" s="5" t="s">
        <v>231</v>
      </c>
      <c r="DX295" s="5">
        <f t="shared" ref="DX295:DX308" si="880">IF(DW295="Más que lo habitual",1,
IF(DW295="Igual que lo habitual",2,
IF(DW295="Menos que lo habitual",3,
IF(DW295="Mucho menos que lo habitual",4,""))))</f>
        <v>2</v>
      </c>
      <c r="DY295" s="5">
        <f t="shared" ref="DY295:DY308" si="881">SUM(DB295,DD295,DF295,DH295,DJ295,DL295,DN295,DP295,DR295,DT295,DV295,DX295)</f>
        <v>30</v>
      </c>
      <c r="DZ295" s="5" t="str">
        <f t="shared" ref="DZ295:DZ308" si="882">IF(DY295&lt;=18,"Nivel de riesgo bajo",
IF(DY295&lt;=23,"Nivel de riesgo medio",
"Nivel de riesgo alto"))</f>
        <v>Nivel de riesgo alto</v>
      </c>
      <c r="EA295" s="5" t="s">
        <v>247</v>
      </c>
      <c r="EB295" s="5">
        <f t="shared" ref="EB295:EB308" si="883">IF(EA295="Nunca/ casi nunca",0,
IF(EA295="Rara vez",1,
IF(EA295="A veces",2,
IF(EA295="A menudo",3,
IF(EA295="Siempre",4,"")))))</f>
        <v>2</v>
      </c>
      <c r="EC295" s="5" t="s">
        <v>247</v>
      </c>
      <c r="ED295" s="5">
        <f t="shared" ref="ED295:ED308" si="884">IF(EC295="Nunca/ casi nunca",0,
IF(EC295="Rara vez",1,
IF(EC295="A veces",2,
IF(EC295="A menudo",3,
IF(EC295="Siempre",4,"")))))</f>
        <v>2</v>
      </c>
      <c r="EE295" s="5" t="s">
        <v>253</v>
      </c>
      <c r="EF295" s="5">
        <f t="shared" ref="EF295:EF308" si="885">IF(EE295="Nunca/ casi nunca",0,
IF(EE295="Rara vez",1,
IF(EE295="A veces",2,
IF(EE295="A menudo",3,
IF(EE295="Siempre",4,"")))))</f>
        <v>0</v>
      </c>
      <c r="EG295" s="5">
        <f t="shared" ref="EG295:EG308" si="886">SUM(EB295,ED295,EF295)</f>
        <v>4</v>
      </c>
      <c r="EH295" s="5" t="str">
        <f t="shared" ref="EH295:EH308" si="887">IF(EG295&lt;=1,"Nivel de riesgo bajo",
IF(EG295&lt;=4,"Nivel de riesgo medio",
"Nivel de riesgo alto"))</f>
        <v>Nivel de riesgo medio</v>
      </c>
      <c r="EI295" s="5" t="s">
        <v>247</v>
      </c>
      <c r="EJ295" s="5">
        <f t="shared" ref="EJ295:EJ308" si="888">IF(EI295="Nunca/ casi nunca",0,
IF(EI295="Rara vez",1,
IF(EI295="A veces",2,
IF(EI295="A menudo",3,
IF(EI295="Siempre",4,"")))))</f>
        <v>2</v>
      </c>
      <c r="EK295" s="5" t="s">
        <v>247</v>
      </c>
      <c r="EL295" s="5">
        <f t="shared" ref="EL295:EL308" si="889">IF(EK295="Nunca/ casi nunca",0,
IF(EK295="Rara vez",1,
IF(EK295="A veces",2,
IF(EK295="A menudo",3,
IF(EK295="Siempre",4,"")))))</f>
        <v>2</v>
      </c>
      <c r="EM295" s="5" t="s">
        <v>247</v>
      </c>
      <c r="EN295" s="5">
        <f t="shared" ref="EN295:EN308" si="890">IF(EM295="Nunca/ casi nunca",0,
IF(EM295="Rara vez",1,
IF(EM295="A veces",2,
IF(EM295="A menudo",3,
IF(EM295="Siempre",4,"")))))</f>
        <v>2</v>
      </c>
      <c r="EO295" s="5">
        <f t="shared" ref="EO295:EO308" si="891">SUM(EJ295,EL295,EN295)</f>
        <v>6</v>
      </c>
      <c r="EP295" s="5" t="str">
        <f t="shared" ref="EP295:EP308" si="892">IF(EO295&lt;=1,"Nivel de riesgo bajo",
IF(EO295&lt;=5,"Nivel de riesgo medio",
"Nivel de riesgo alto"))</f>
        <v>Nivel de riesgo alto</v>
      </c>
      <c r="EQ295" s="5" t="s">
        <v>248</v>
      </c>
      <c r="ER295" s="5">
        <f t="shared" ref="ER295:ER308" si="893">IF(EQ295="Nunca/ casi nunca",4,
IF(EQ295="Rara vez",3,
IF(EQ295="A veces",2,
IF(EQ295="A menudo",1,
IF(EQ295="Siempre",0,"")))))</f>
        <v>3</v>
      </c>
      <c r="ES295" s="5" t="s">
        <v>248</v>
      </c>
      <c r="ET295" s="5">
        <f t="shared" ref="ET295:ET308" si="894">IF(ES295="Nunca/ casi nunca",4,
IF(ES295="Rara vez",3,
IF(ES295="A veces",2,
IF(ES295="A menudo",1,
IF(ES295="Siempre",0,"")))))</f>
        <v>3</v>
      </c>
      <c r="EU295" s="5" t="s">
        <v>247</v>
      </c>
      <c r="EV295" s="5">
        <f t="shared" ref="EV295:EV308" si="895">IF(EU295="Nunca/ casi nunca",4,
IF(EU295="Rara vez",3,
IF(EU295="A veces",2,
IF(EU295="A menudo",1,
IF(EU295="Siempre",0,"")))))</f>
        <v>2</v>
      </c>
      <c r="EW295" s="5" t="s">
        <v>247</v>
      </c>
      <c r="EX295" s="5">
        <f t="shared" ref="EX295:EX308" si="896">IF(EW295="Nunca/ casi nunca",4,
IF(EW295="Rara vez",3,
IF(EW295="A veces",2,
IF(EW295="A menudo",1,
IF(EW295="Siempre",0,"")))))</f>
        <v>2</v>
      </c>
      <c r="EY295" s="5">
        <f t="shared" ref="EY295:EY308" si="897">SUM(ER295,ET295,EV295,EX295)</f>
        <v>10</v>
      </c>
      <c r="EZ295" s="5" t="str">
        <f t="shared" ref="EZ295:EZ308" si="898">IF(EY295&lt;=0,"Nivel de riesgo bajo",
IF(EY295&lt;=4,"Nivel de riesgo medio",
"Nivel de riesgo alto"))</f>
        <v>Nivel de riesgo alto</v>
      </c>
      <c r="FA295" s="5" t="s">
        <v>248</v>
      </c>
      <c r="FB295" s="5">
        <f t="shared" ref="FB295:FB308" si="899">IF(FA295="Nunca/ casi nunca",0,
IF(FA295="Rara vez",1,
IF(FA295="A veces",2,
IF(FA295="A menudo",3,
IF(FA295="Siempre",4,"")))))</f>
        <v>1</v>
      </c>
      <c r="FC295" s="5" t="s">
        <v>247</v>
      </c>
      <c r="FD295" s="5">
        <f t="shared" ref="FD295:FD308" si="900">IF(FC295="Nunca/ casi nunca",0,
IF(FC295="Rara vez",1,
IF(FC295="A veces",2,
IF(FC295="A menudo",3,
IF(FC295="Siempre",4,"")))))</f>
        <v>2</v>
      </c>
      <c r="FE295" s="5" t="s">
        <v>247</v>
      </c>
      <c r="FF295" s="5">
        <f t="shared" ref="FF295:FF308" si="901">IF(FE295="Nunca/ casi nunca",0,
IF(FE295="Rara vez",1,
IF(FE295="A veces",2,
IF(FE295="A menudo",3,
IF(FE295="Siempre",4,"")))))</f>
        <v>2</v>
      </c>
      <c r="FG295" s="5">
        <f t="shared" ref="FG295:FG308" si="902">SUM(FB295,FD295,FF295)</f>
        <v>5</v>
      </c>
      <c r="FH295" s="5" t="str">
        <f t="shared" ref="FH295:FH308" si="903">IF(FG295&lt;=2,"Nivel de riesgo bajo",
IF(FG295&lt;=5,"Nivel de riesgo medio",
"Nivel de riesgo alto"))</f>
        <v>Nivel de riesgo medio</v>
      </c>
      <c r="FI295" s="5" t="s">
        <v>247</v>
      </c>
      <c r="FJ295" s="5">
        <f t="shared" ref="FJ295:FJ308" si="904">IF(FI295="Nunca/ casi nunca",0,
IF(FI295="Rara vez",1,
IF(FI295="A veces",2,
IF(FI295="A menudo",3,
IF(FI295="Siempre",4,"")))))</f>
        <v>2</v>
      </c>
      <c r="FK295" s="5" t="s">
        <v>247</v>
      </c>
      <c r="FL295" s="5">
        <f t="shared" ref="FL295:FL308" si="905">IF(FK295="Nunca/ casi nunca",0,
IF(FK295="Rara vez",1,
IF(FK295="A veces",2,
IF(FK295="A menudo",3,
IF(FK295="Siempre",4,"")))))</f>
        <v>2</v>
      </c>
      <c r="FM295" s="5" t="s">
        <v>247</v>
      </c>
      <c r="FN295" s="5">
        <f t="shared" ref="FN295:FN308" si="906">IF(FM295="Nunca/ casi nunca",0,
IF(FM295="Rara vez",1,
IF(FM295="A veces",2,
IF(FM295="A menudo",3,
IF(FM295="Siempre",4,"")))))</f>
        <v>2</v>
      </c>
      <c r="FO295" s="5">
        <f t="shared" ref="FO295:FO308" si="907">SUM(FJ295,FL295,FN295)</f>
        <v>6</v>
      </c>
      <c r="FP295" s="5" t="str">
        <f t="shared" ref="FP295:FP308" si="908">IF(FO295&lt;=2,"Nivel de riesgo bajo",
IF(FO295&lt;=5,"Nivel de riesgo medio",
"Nivel de riesgo alto"))</f>
        <v>Nivel de riesgo alto</v>
      </c>
      <c r="FQ295" s="5" t="s">
        <v>206</v>
      </c>
      <c r="FR295" s="5">
        <f t="shared" ref="FR295:FR308" si="909">IF(FQ295="No",0,
IF(FQ295="Sí, unas pocas veces",1,
IF(FQ295="Sí, mensualmente",2,
IF(FQ295="Sí, semanalmente",3,
IF(FQ295="Sí, diariamente",4,"")))))</f>
        <v>0</v>
      </c>
      <c r="FS295" s="5" t="s">
        <v>206</v>
      </c>
      <c r="FT295" s="5">
        <f t="shared" ref="FT295:FT308" si="910">IF(FS295="No",0,
IF(FS295="Sí, unas pocas veces",1,
IF(FS295="Sí, mensualmente",2,
IF(FS295="Sí, semanalmente",3,
IF(FS295="Sí, diariamente",4,"")))))</f>
        <v>0</v>
      </c>
      <c r="FU295" s="5" t="s">
        <v>206</v>
      </c>
      <c r="FV295" s="5">
        <f t="shared" ref="FV295:FV308" si="911">IF(FU295="No",0,
IF(FU295="Sí, unas pocas veces",1,
IF(FU295="Sí, mensualmente",2,
IF(FU295="Sí, semanalmente",3,
IF(FU295="Sí, diariamente",4,"")))))</f>
        <v>0</v>
      </c>
      <c r="FW295" s="5" t="s">
        <v>206</v>
      </c>
      <c r="FX295" s="5">
        <f t="shared" ref="FX295:FX308" si="912">IF(FW295="No",0,
IF(FW295="Sí, unas pocas veces",1,
IF(FW295="Sí, mensualmente",2,
IF(FW295="Sí, semanalmente",3,
IF(FW295="Sí, diariamente",4,"")))))</f>
        <v>0</v>
      </c>
      <c r="FY295" s="5" t="s">
        <v>206</v>
      </c>
      <c r="FZ295" s="5">
        <f t="shared" ref="FZ295:FZ308" si="913">IF(FY295="No",0,
IF(FY295="Sí, unas pocas veces",1,
IF(FY295="Sí, mensualmente",2,
IF(FY295="Sí, semanalmente",3,
IF(FY295="Sí, diariamente",4,"")))))</f>
        <v>0</v>
      </c>
      <c r="GA295" s="5" t="s">
        <v>206</v>
      </c>
      <c r="GB295" s="5">
        <f t="shared" ref="GB295:GB308" si="914">IF(GA295="No",0,
IF(GA295="Sí, unas pocas veces",1,
IF(GA295="Sí, mensualmente",2,
IF(GA295="Sí, semanalmente",3,
IF(GA295="Sí, diariamente",4,"")))))</f>
        <v>0</v>
      </c>
      <c r="GC295" s="5" t="s">
        <v>206</v>
      </c>
      <c r="GD295" s="5">
        <f t="shared" ref="GD295:GD308" si="915">IF(GC295="No",0,
IF(GC295="Sí, unas pocas veces",1,
IF(GC295="Sí, mensualmente",2,
IF(GC295="Sí, semanalmente",3,
IF(GC295="Sí, diariamente",4,"")))))</f>
        <v>0</v>
      </c>
      <c r="GE295" s="5">
        <f t="shared" ref="GE295:GE308" si="916">SUM(FR295,FT295,FV295,FX295,FZ295,GB295,GD295)</f>
        <v>0</v>
      </c>
      <c r="GF295" s="5" t="str">
        <f t="shared" ref="GF295:GF308" si="917">IF(GE295&lt;=0,"Nivel de riesgo bajo",
IF(GE295&lt;=14,"Nivel de riesgo medio",
"Nivel de riesgo alto"))</f>
        <v>Nivel de riesgo bajo</v>
      </c>
      <c r="GG295" s="5" t="s">
        <v>255</v>
      </c>
      <c r="GH295" s="5" t="s">
        <v>255</v>
      </c>
      <c r="GI295" s="5" t="s">
        <v>255</v>
      </c>
      <c r="GJ295" s="5" t="s">
        <v>298</v>
      </c>
      <c r="GK295" s="5" t="s">
        <v>233</v>
      </c>
      <c r="GL295" s="5" t="s">
        <v>266</v>
      </c>
      <c r="GM295" s="5" t="s">
        <v>255</v>
      </c>
      <c r="GN295" s="5" t="s">
        <v>256</v>
      </c>
      <c r="GO295" s="5" t="s">
        <v>256</v>
      </c>
      <c r="GP295" s="5" t="s">
        <v>243</v>
      </c>
      <c r="GQ295" s="5" t="s">
        <v>243</v>
      </c>
      <c r="GR295" s="5" t="s">
        <v>243</v>
      </c>
      <c r="GS295" s="5" t="s">
        <v>243</v>
      </c>
      <c r="GT295" s="5" t="s">
        <v>256</v>
      </c>
      <c r="GU295" s="5" t="s">
        <v>388</v>
      </c>
      <c r="GV295" s="5" t="str">
        <f>TEXT("6279900608658706890","0")</f>
        <v>6279900608658700000</v>
      </c>
    </row>
    <row r="296" spans="1:204" ht="15.75" customHeight="1" x14ac:dyDescent="0.15">
      <c r="A296" s="1">
        <f t="shared" si="867"/>
        <v>296</v>
      </c>
      <c r="B296" s="4">
        <v>45848.714120370372</v>
      </c>
      <c r="C296" s="5" t="s">
        <v>204</v>
      </c>
      <c r="D296" s="5" t="s">
        <v>206</v>
      </c>
      <c r="F296" s="5" t="s">
        <v>206</v>
      </c>
      <c r="G296" s="5" t="s">
        <v>206</v>
      </c>
      <c r="H296" s="5" t="s">
        <v>206</v>
      </c>
      <c r="K296" s="5" t="s">
        <v>237</v>
      </c>
      <c r="O296" s="5" t="s">
        <v>209</v>
      </c>
      <c r="T296" s="5" t="s">
        <v>209</v>
      </c>
      <c r="X296" s="5" t="s">
        <v>208</v>
      </c>
      <c r="AD296" s="5" t="s">
        <v>209</v>
      </c>
      <c r="AH296" s="5" t="s">
        <v>210</v>
      </c>
      <c r="AI296" s="5">
        <v>2024</v>
      </c>
      <c r="AJ296" s="5" t="s">
        <v>238</v>
      </c>
      <c r="AK296" s="5" t="str">
        <f t="shared" si="868"/>
        <v>Trabajadora por cuenta propia</v>
      </c>
      <c r="AL296" s="5" t="s">
        <v>239</v>
      </c>
      <c r="AP296" s="5" t="s">
        <v>321</v>
      </c>
      <c r="AR296" s="5" t="s">
        <v>276</v>
      </c>
      <c r="AS296" s="5" t="s">
        <v>276</v>
      </c>
      <c r="AT296" s="5" t="s">
        <v>276</v>
      </c>
      <c r="AU296" s="5" t="s">
        <v>276</v>
      </c>
      <c r="AV296" s="5" t="s">
        <v>285</v>
      </c>
      <c r="AW296" s="5" t="s">
        <v>204</v>
      </c>
      <c r="AX296" s="5" t="s">
        <v>204</v>
      </c>
      <c r="AY296" s="5" t="s">
        <v>214</v>
      </c>
      <c r="AZ296" s="5" t="s">
        <v>204</v>
      </c>
      <c r="BA296" s="5" t="s">
        <v>263</v>
      </c>
      <c r="BF296" s="5" t="s">
        <v>204</v>
      </c>
      <c r="BG296" s="5" t="s">
        <v>242</v>
      </c>
      <c r="BH296" s="5" t="s">
        <v>242</v>
      </c>
      <c r="BI296" s="5" t="s">
        <v>242</v>
      </c>
      <c r="BJ296" s="5" t="s">
        <v>242</v>
      </c>
      <c r="BK296" s="5" t="s">
        <v>244</v>
      </c>
      <c r="BL296" s="5" t="s">
        <v>243</v>
      </c>
      <c r="BM296" s="5" t="s">
        <v>243</v>
      </c>
      <c r="BN296" s="5" t="s">
        <v>243</v>
      </c>
      <c r="BO296" s="5" t="s">
        <v>243</v>
      </c>
      <c r="BP296" s="5" t="s">
        <v>243</v>
      </c>
      <c r="BQ296" s="5" t="s">
        <v>243</v>
      </c>
      <c r="BR296" s="5" t="s">
        <v>244</v>
      </c>
      <c r="BS296" s="5" t="s">
        <v>248</v>
      </c>
      <c r="BT296" s="5" t="s">
        <v>247</v>
      </c>
      <c r="BU296" s="5" t="s">
        <v>232</v>
      </c>
      <c r="BV296" s="5" t="s">
        <v>248</v>
      </c>
      <c r="BW296" s="5" t="s">
        <v>248</v>
      </c>
      <c r="BX296" s="5" t="s">
        <v>248</v>
      </c>
      <c r="BY296" s="5" t="s">
        <v>217</v>
      </c>
      <c r="BZ296" s="5" t="s">
        <v>243</v>
      </c>
      <c r="CA296" s="5" t="s">
        <v>244</v>
      </c>
      <c r="CB296" s="5" t="s">
        <v>244</v>
      </c>
      <c r="CC296" s="5" t="s">
        <v>244</v>
      </c>
      <c r="CD296" s="5" t="s">
        <v>204</v>
      </c>
      <c r="CE296" s="5" t="s">
        <v>218</v>
      </c>
      <c r="CF296" s="5" t="s">
        <v>219</v>
      </c>
      <c r="CG296" s="5" t="s">
        <v>206</v>
      </c>
      <c r="CH296" s="5" t="s">
        <v>206</v>
      </c>
      <c r="CI296" s="5" t="s">
        <v>206</v>
      </c>
      <c r="CJ296" s="5">
        <v>2</v>
      </c>
      <c r="CK296" s="5" t="s">
        <v>223</v>
      </c>
      <c r="CU296" s="5" t="s">
        <v>206</v>
      </c>
      <c r="DA296" s="5" t="s">
        <v>231</v>
      </c>
      <c r="DB296" s="5">
        <f t="shared" si="869"/>
        <v>2</v>
      </c>
      <c r="DC296" s="5" t="s">
        <v>251</v>
      </c>
      <c r="DD296" s="5">
        <f t="shared" si="870"/>
        <v>1</v>
      </c>
      <c r="DE296" s="5" t="s">
        <v>251</v>
      </c>
      <c r="DF296" s="5">
        <f t="shared" si="871"/>
        <v>1</v>
      </c>
      <c r="DG296" s="5" t="s">
        <v>230</v>
      </c>
      <c r="DH296" s="5">
        <f t="shared" si="872"/>
        <v>2</v>
      </c>
      <c r="DI296" s="5" t="s">
        <v>251</v>
      </c>
      <c r="DJ296" s="5">
        <f t="shared" si="873"/>
        <v>1</v>
      </c>
      <c r="DK296" s="5" t="s">
        <v>251</v>
      </c>
      <c r="DL296" s="5">
        <f t="shared" si="874"/>
        <v>1</v>
      </c>
      <c r="DM296" s="5" t="s">
        <v>251</v>
      </c>
      <c r="DN296" s="5">
        <f t="shared" si="875"/>
        <v>1</v>
      </c>
      <c r="DO296" s="5" t="s">
        <v>281</v>
      </c>
      <c r="DP296" s="5">
        <f t="shared" si="876"/>
        <v>1</v>
      </c>
      <c r="DQ296" s="5" t="s">
        <v>281</v>
      </c>
      <c r="DR296" s="5">
        <f t="shared" si="877"/>
        <v>1</v>
      </c>
      <c r="DS296" s="5" t="s">
        <v>281</v>
      </c>
      <c r="DT296" s="5">
        <f t="shared" si="878"/>
        <v>1</v>
      </c>
      <c r="DU296" s="5" t="s">
        <v>281</v>
      </c>
      <c r="DV296" s="5">
        <f t="shared" si="879"/>
        <v>1</v>
      </c>
      <c r="DW296" s="5" t="s">
        <v>281</v>
      </c>
      <c r="DX296" s="5">
        <f t="shared" si="880"/>
        <v>1</v>
      </c>
      <c r="DY296" s="5">
        <f t="shared" si="881"/>
        <v>14</v>
      </c>
      <c r="DZ296" s="5" t="str">
        <f t="shared" si="882"/>
        <v>Nivel de riesgo bajo</v>
      </c>
      <c r="EA296" s="5" t="s">
        <v>232</v>
      </c>
      <c r="EB296" s="5">
        <f t="shared" si="883"/>
        <v>3</v>
      </c>
      <c r="EC296" s="5" t="s">
        <v>232</v>
      </c>
      <c r="ED296" s="5">
        <f t="shared" si="884"/>
        <v>3</v>
      </c>
      <c r="EE296" s="5" t="s">
        <v>248</v>
      </c>
      <c r="EF296" s="5">
        <f t="shared" si="885"/>
        <v>1</v>
      </c>
      <c r="EG296" s="5">
        <f t="shared" si="886"/>
        <v>7</v>
      </c>
      <c r="EH296" s="5" t="str">
        <f t="shared" si="887"/>
        <v>Nivel de riesgo alto</v>
      </c>
      <c r="EI296" s="5" t="s">
        <v>247</v>
      </c>
      <c r="EJ296" s="5">
        <f t="shared" si="888"/>
        <v>2</v>
      </c>
      <c r="EK296" s="5" t="s">
        <v>247</v>
      </c>
      <c r="EL296" s="5">
        <f t="shared" si="889"/>
        <v>2</v>
      </c>
      <c r="EM296" s="5" t="s">
        <v>247</v>
      </c>
      <c r="EN296" s="5">
        <f t="shared" si="890"/>
        <v>2</v>
      </c>
      <c r="EO296" s="5">
        <f t="shared" si="891"/>
        <v>6</v>
      </c>
      <c r="EP296" s="5" t="str">
        <f t="shared" si="892"/>
        <v>Nivel de riesgo alto</v>
      </c>
      <c r="EQ296" s="5" t="s">
        <v>247</v>
      </c>
      <c r="ER296" s="5">
        <f t="shared" si="893"/>
        <v>2</v>
      </c>
      <c r="ES296" s="5" t="s">
        <v>247</v>
      </c>
      <c r="ET296" s="5">
        <f t="shared" si="894"/>
        <v>2</v>
      </c>
      <c r="EU296" s="5" t="s">
        <v>254</v>
      </c>
      <c r="EV296" s="5">
        <f t="shared" si="895"/>
        <v>0</v>
      </c>
      <c r="EW296" s="5" t="s">
        <v>254</v>
      </c>
      <c r="EX296" s="5">
        <f t="shared" si="896"/>
        <v>0</v>
      </c>
      <c r="EY296" s="5">
        <f t="shared" si="897"/>
        <v>4</v>
      </c>
      <c r="EZ296" s="5" t="str">
        <f t="shared" si="898"/>
        <v>Nivel de riesgo medio</v>
      </c>
      <c r="FA296" s="5" t="s">
        <v>254</v>
      </c>
      <c r="FB296" s="5">
        <f t="shared" si="899"/>
        <v>4</v>
      </c>
      <c r="FC296" s="5" t="s">
        <v>247</v>
      </c>
      <c r="FD296" s="5">
        <f t="shared" si="900"/>
        <v>2</v>
      </c>
      <c r="FE296" s="5" t="s">
        <v>247</v>
      </c>
      <c r="FF296" s="5">
        <f t="shared" si="901"/>
        <v>2</v>
      </c>
      <c r="FG296" s="5">
        <f t="shared" si="902"/>
        <v>8</v>
      </c>
      <c r="FH296" s="5" t="str">
        <f t="shared" si="903"/>
        <v>Nivel de riesgo alto</v>
      </c>
      <c r="FI296" s="5" t="s">
        <v>247</v>
      </c>
      <c r="FJ296" s="5">
        <f t="shared" si="904"/>
        <v>2</v>
      </c>
      <c r="FK296" s="5" t="s">
        <v>247</v>
      </c>
      <c r="FL296" s="5">
        <f t="shared" si="905"/>
        <v>2</v>
      </c>
      <c r="FM296" s="5" t="s">
        <v>247</v>
      </c>
      <c r="FN296" s="5">
        <f t="shared" si="906"/>
        <v>2</v>
      </c>
      <c r="FO296" s="5">
        <f t="shared" si="907"/>
        <v>6</v>
      </c>
      <c r="FP296" s="5" t="str">
        <f t="shared" si="908"/>
        <v>Nivel de riesgo alto</v>
      </c>
      <c r="FQ296" s="5" t="s">
        <v>265</v>
      </c>
      <c r="FR296" s="5">
        <f t="shared" si="909"/>
        <v>1</v>
      </c>
      <c r="FS296" s="5" t="s">
        <v>206</v>
      </c>
      <c r="FT296" s="5">
        <f t="shared" si="910"/>
        <v>0</v>
      </c>
      <c r="FU296" s="5" t="s">
        <v>206</v>
      </c>
      <c r="FV296" s="5">
        <f t="shared" si="911"/>
        <v>0</v>
      </c>
      <c r="FW296" s="5" t="s">
        <v>206</v>
      </c>
      <c r="FX296" s="5">
        <f t="shared" si="912"/>
        <v>0</v>
      </c>
      <c r="FY296" s="5" t="s">
        <v>206</v>
      </c>
      <c r="FZ296" s="5">
        <f t="shared" si="913"/>
        <v>0</v>
      </c>
      <c r="GA296" s="5" t="s">
        <v>206</v>
      </c>
      <c r="GB296" s="5">
        <f t="shared" si="914"/>
        <v>0</v>
      </c>
      <c r="GC296" s="5" t="s">
        <v>206</v>
      </c>
      <c r="GD296" s="5">
        <f t="shared" si="915"/>
        <v>0</v>
      </c>
      <c r="GE296" s="5">
        <f t="shared" si="916"/>
        <v>1</v>
      </c>
      <c r="GF296" s="5" t="str">
        <f t="shared" si="917"/>
        <v>Nivel de riesgo medio</v>
      </c>
      <c r="GG296" s="5" t="s">
        <v>266</v>
      </c>
      <c r="GH296" s="5" t="s">
        <v>273</v>
      </c>
      <c r="GI296" s="5" t="s">
        <v>273</v>
      </c>
      <c r="GJ296" s="5" t="s">
        <v>266</v>
      </c>
      <c r="GK296" s="5" t="s">
        <v>233</v>
      </c>
      <c r="GL296" s="5" t="s">
        <v>233</v>
      </c>
      <c r="GM296" s="5" t="s">
        <v>233</v>
      </c>
      <c r="GN296" s="5" t="s">
        <v>244</v>
      </c>
      <c r="GO296" s="5" t="s">
        <v>244</v>
      </c>
      <c r="GP296" s="5" t="s">
        <v>244</v>
      </c>
      <c r="GQ296" s="5" t="s">
        <v>244</v>
      </c>
      <c r="GR296" s="5" t="s">
        <v>244</v>
      </c>
      <c r="GS296" s="5" t="s">
        <v>244</v>
      </c>
      <c r="GT296" s="5" t="s">
        <v>244</v>
      </c>
      <c r="GU296" s="5" t="s">
        <v>655</v>
      </c>
      <c r="GV296" s="5" t="str">
        <f>TEXT("6279909001411861456","0")</f>
        <v>6279909001411860000</v>
      </c>
    </row>
    <row r="297" spans="1:204" ht="15.75" customHeight="1" x14ac:dyDescent="0.15">
      <c r="A297" s="1">
        <f t="shared" si="867"/>
        <v>297</v>
      </c>
      <c r="B297" s="4">
        <v>45848.720324074071</v>
      </c>
      <c r="C297" s="5" t="s">
        <v>204</v>
      </c>
      <c r="D297" s="5" t="s">
        <v>206</v>
      </c>
      <c r="F297" s="5" t="s">
        <v>206</v>
      </c>
      <c r="G297" s="5" t="s">
        <v>204</v>
      </c>
      <c r="H297" s="5" t="s">
        <v>206</v>
      </c>
      <c r="J297" s="5" t="s">
        <v>209</v>
      </c>
      <c r="O297" s="5" t="s">
        <v>209</v>
      </c>
      <c r="S297" s="5" t="s">
        <v>208</v>
      </c>
      <c r="X297" s="5" t="s">
        <v>208</v>
      </c>
      <c r="AD297" s="5" t="s">
        <v>209</v>
      </c>
      <c r="AH297" s="5" t="s">
        <v>210</v>
      </c>
      <c r="AI297" s="5">
        <v>2014</v>
      </c>
      <c r="AJ297" s="5" t="s">
        <v>238</v>
      </c>
      <c r="AK297" s="5" t="str">
        <f t="shared" si="868"/>
        <v>Trabajadora por cuenta propia</v>
      </c>
      <c r="AM297" s="5" t="s">
        <v>309</v>
      </c>
      <c r="AP297" s="5" t="s">
        <v>297</v>
      </c>
      <c r="AR297" s="5" t="s">
        <v>241</v>
      </c>
      <c r="AS297" s="5" t="s">
        <v>241</v>
      </c>
      <c r="AT297" s="5" t="s">
        <v>241</v>
      </c>
      <c r="AU297" s="5" t="s">
        <v>241</v>
      </c>
      <c r="AV297" s="5" t="s">
        <v>213</v>
      </c>
      <c r="AW297" s="5" t="s">
        <v>206</v>
      </c>
      <c r="BF297" s="5" t="s">
        <v>204</v>
      </c>
      <c r="BG297" s="5" t="s">
        <v>242</v>
      </c>
      <c r="BH297" s="5" t="s">
        <v>215</v>
      </c>
      <c r="BI297" s="5" t="s">
        <v>242</v>
      </c>
      <c r="BJ297" s="5" t="s">
        <v>242</v>
      </c>
      <c r="BK297" s="5" t="s">
        <v>244</v>
      </c>
      <c r="BL297" s="5" t="s">
        <v>244</v>
      </c>
      <c r="BM297" s="5" t="s">
        <v>244</v>
      </c>
      <c r="BN297" s="5" t="s">
        <v>244</v>
      </c>
      <c r="BO297" s="5" t="s">
        <v>244</v>
      </c>
      <c r="BP297" s="5" t="s">
        <v>244</v>
      </c>
      <c r="BQ297" s="5" t="s">
        <v>244</v>
      </c>
      <c r="BR297" s="5" t="s">
        <v>244</v>
      </c>
      <c r="BS297" s="5" t="s">
        <v>247</v>
      </c>
      <c r="BT297" s="5" t="s">
        <v>247</v>
      </c>
      <c r="BU297" s="5" t="s">
        <v>217</v>
      </c>
      <c r="BV297" s="5" t="s">
        <v>248</v>
      </c>
      <c r="BW297" s="5" t="s">
        <v>248</v>
      </c>
      <c r="BX297" s="5" t="s">
        <v>248</v>
      </c>
      <c r="BY297" s="5" t="s">
        <v>248</v>
      </c>
      <c r="CD297" s="5" t="s">
        <v>204</v>
      </c>
      <c r="CE297" s="5" t="s">
        <v>218</v>
      </c>
      <c r="CF297" s="5" t="s">
        <v>219</v>
      </c>
      <c r="CG297" s="5" t="s">
        <v>220</v>
      </c>
      <c r="CH297" s="5" t="s">
        <v>206</v>
      </c>
      <c r="CI297" s="5" t="s">
        <v>206</v>
      </c>
      <c r="CJ297" s="5">
        <v>2</v>
      </c>
      <c r="CK297" s="5" t="s">
        <v>223</v>
      </c>
      <c r="CU297" s="5" t="s">
        <v>206</v>
      </c>
      <c r="DA297" s="5" t="s">
        <v>272</v>
      </c>
      <c r="DB297" s="5">
        <f t="shared" si="869"/>
        <v>1</v>
      </c>
      <c r="DC297" s="5" t="s">
        <v>251</v>
      </c>
      <c r="DD297" s="5">
        <f t="shared" si="870"/>
        <v>1</v>
      </c>
      <c r="DE297" s="5" t="s">
        <v>251</v>
      </c>
      <c r="DF297" s="5">
        <f t="shared" si="871"/>
        <v>1</v>
      </c>
      <c r="DG297" s="5" t="s">
        <v>251</v>
      </c>
      <c r="DH297" s="5">
        <f t="shared" si="872"/>
        <v>1</v>
      </c>
      <c r="DI297" s="5" t="s">
        <v>251</v>
      </c>
      <c r="DJ297" s="5">
        <f t="shared" si="873"/>
        <v>1</v>
      </c>
      <c r="DK297" s="5" t="s">
        <v>251</v>
      </c>
      <c r="DL297" s="5">
        <f t="shared" si="874"/>
        <v>1</v>
      </c>
      <c r="DM297" s="5" t="s">
        <v>251</v>
      </c>
      <c r="DN297" s="5">
        <f t="shared" si="875"/>
        <v>1</v>
      </c>
      <c r="DO297" s="5" t="s">
        <v>281</v>
      </c>
      <c r="DP297" s="5">
        <f t="shared" si="876"/>
        <v>1</v>
      </c>
      <c r="DQ297" s="5" t="s">
        <v>281</v>
      </c>
      <c r="DR297" s="5">
        <f t="shared" si="877"/>
        <v>1</v>
      </c>
      <c r="DS297" s="5" t="s">
        <v>231</v>
      </c>
      <c r="DT297" s="5">
        <f t="shared" si="878"/>
        <v>2</v>
      </c>
      <c r="DU297" s="5" t="s">
        <v>281</v>
      </c>
      <c r="DV297" s="5">
        <f t="shared" si="879"/>
        <v>1</v>
      </c>
      <c r="DW297" s="5" t="s">
        <v>231</v>
      </c>
      <c r="DX297" s="5">
        <f t="shared" si="880"/>
        <v>2</v>
      </c>
      <c r="DY297" s="5">
        <f t="shared" si="881"/>
        <v>14</v>
      </c>
      <c r="DZ297" s="5" t="str">
        <f t="shared" si="882"/>
        <v>Nivel de riesgo bajo</v>
      </c>
      <c r="EA297" s="5" t="s">
        <v>232</v>
      </c>
      <c r="EB297" s="5">
        <f t="shared" si="883"/>
        <v>3</v>
      </c>
      <c r="EC297" s="5" t="s">
        <v>247</v>
      </c>
      <c r="ED297" s="5">
        <f t="shared" si="884"/>
        <v>2</v>
      </c>
      <c r="EE297" s="5" t="s">
        <v>253</v>
      </c>
      <c r="EF297" s="5">
        <f t="shared" si="885"/>
        <v>0</v>
      </c>
      <c r="EG297" s="5">
        <f t="shared" si="886"/>
        <v>5</v>
      </c>
      <c r="EH297" s="5" t="str">
        <f t="shared" si="887"/>
        <v>Nivel de riesgo alto</v>
      </c>
      <c r="EI297" s="5" t="s">
        <v>247</v>
      </c>
      <c r="EJ297" s="5">
        <f t="shared" si="888"/>
        <v>2</v>
      </c>
      <c r="EK297" s="5" t="s">
        <v>248</v>
      </c>
      <c r="EL297" s="5">
        <f t="shared" si="889"/>
        <v>1</v>
      </c>
      <c r="EM297" s="5" t="s">
        <v>248</v>
      </c>
      <c r="EN297" s="5">
        <f t="shared" si="890"/>
        <v>1</v>
      </c>
      <c r="EO297" s="5">
        <f t="shared" si="891"/>
        <v>4</v>
      </c>
      <c r="EP297" s="5" t="str">
        <f t="shared" si="892"/>
        <v>Nivel de riesgo medio</v>
      </c>
      <c r="EQ297" s="5" t="s">
        <v>232</v>
      </c>
      <c r="ER297" s="5">
        <f t="shared" si="893"/>
        <v>1</v>
      </c>
      <c r="ES297" s="5" t="s">
        <v>232</v>
      </c>
      <c r="ET297" s="5">
        <f t="shared" si="894"/>
        <v>1</v>
      </c>
      <c r="EU297" s="5" t="s">
        <v>232</v>
      </c>
      <c r="EV297" s="5">
        <f t="shared" si="895"/>
        <v>1</v>
      </c>
      <c r="EW297" s="5" t="s">
        <v>232</v>
      </c>
      <c r="EX297" s="5">
        <f t="shared" si="896"/>
        <v>1</v>
      </c>
      <c r="EY297" s="5">
        <f t="shared" si="897"/>
        <v>4</v>
      </c>
      <c r="EZ297" s="5" t="str">
        <f t="shared" si="898"/>
        <v>Nivel de riesgo medio</v>
      </c>
      <c r="FA297" s="5" t="s">
        <v>247</v>
      </c>
      <c r="FB297" s="5">
        <f t="shared" si="899"/>
        <v>2</v>
      </c>
      <c r="FC297" s="5" t="s">
        <v>253</v>
      </c>
      <c r="FD297" s="5">
        <f t="shared" si="900"/>
        <v>0</v>
      </c>
      <c r="FE297" s="5" t="s">
        <v>253</v>
      </c>
      <c r="FF297" s="5">
        <f t="shared" si="901"/>
        <v>0</v>
      </c>
      <c r="FG297" s="5">
        <f t="shared" si="902"/>
        <v>2</v>
      </c>
      <c r="FH297" s="5" t="str">
        <f t="shared" si="903"/>
        <v>Nivel de riesgo bajo</v>
      </c>
      <c r="FI297" s="5" t="s">
        <v>253</v>
      </c>
      <c r="FJ297" s="5">
        <f t="shared" si="904"/>
        <v>0</v>
      </c>
      <c r="FK297" s="5" t="s">
        <v>253</v>
      </c>
      <c r="FL297" s="5">
        <f t="shared" si="905"/>
        <v>0</v>
      </c>
      <c r="FM297" s="5" t="s">
        <v>253</v>
      </c>
      <c r="FN297" s="5">
        <f t="shared" si="906"/>
        <v>0</v>
      </c>
      <c r="FO297" s="5">
        <f t="shared" si="907"/>
        <v>0</v>
      </c>
      <c r="FP297" s="5" t="str">
        <f t="shared" si="908"/>
        <v>Nivel de riesgo bajo</v>
      </c>
      <c r="FQ297" s="5" t="s">
        <v>206</v>
      </c>
      <c r="FR297" s="5">
        <f t="shared" si="909"/>
        <v>0</v>
      </c>
      <c r="FS297" s="5" t="s">
        <v>206</v>
      </c>
      <c r="FT297" s="5">
        <f t="shared" si="910"/>
        <v>0</v>
      </c>
      <c r="FU297" s="5" t="s">
        <v>206</v>
      </c>
      <c r="FV297" s="5">
        <f t="shared" si="911"/>
        <v>0</v>
      </c>
      <c r="FW297" s="5" t="s">
        <v>206</v>
      </c>
      <c r="FX297" s="5">
        <f t="shared" si="912"/>
        <v>0</v>
      </c>
      <c r="FY297" s="5" t="s">
        <v>206</v>
      </c>
      <c r="FZ297" s="5">
        <f t="shared" si="913"/>
        <v>0</v>
      </c>
      <c r="GA297" s="5" t="s">
        <v>206</v>
      </c>
      <c r="GB297" s="5">
        <f t="shared" si="914"/>
        <v>0</v>
      </c>
      <c r="GC297" s="5" t="s">
        <v>206</v>
      </c>
      <c r="GD297" s="5">
        <f t="shared" si="915"/>
        <v>0</v>
      </c>
      <c r="GE297" s="5">
        <f t="shared" si="916"/>
        <v>0</v>
      </c>
      <c r="GF297" s="5" t="str">
        <f t="shared" si="917"/>
        <v>Nivel de riesgo bajo</v>
      </c>
      <c r="GG297" s="5" t="s">
        <v>255</v>
      </c>
      <c r="GH297" s="5" t="s">
        <v>255</v>
      </c>
      <c r="GI297" s="5" t="s">
        <v>255</v>
      </c>
      <c r="GJ297" s="5" t="s">
        <v>255</v>
      </c>
      <c r="GK297" s="5" t="s">
        <v>298</v>
      </c>
      <c r="GL297" s="5" t="s">
        <v>298</v>
      </c>
      <c r="GM297" s="5" t="s">
        <v>273</v>
      </c>
      <c r="GN297" s="5" t="s">
        <v>256</v>
      </c>
      <c r="GO297" s="5" t="s">
        <v>257</v>
      </c>
      <c r="GP297" s="5" t="s">
        <v>257</v>
      </c>
      <c r="GQ297" s="5" t="s">
        <v>257</v>
      </c>
      <c r="GR297" s="5" t="s">
        <v>257</v>
      </c>
      <c r="GS297" s="5" t="s">
        <v>243</v>
      </c>
      <c r="GT297" s="5" t="s">
        <v>257</v>
      </c>
      <c r="GU297" s="5" t="s">
        <v>656</v>
      </c>
      <c r="GV297" s="5" t="str">
        <f>TEXT("6279914365014882777","0")</f>
        <v>6279914365014880000</v>
      </c>
    </row>
    <row r="298" spans="1:204" ht="15.75" customHeight="1" x14ac:dyDescent="0.15">
      <c r="A298" s="1">
        <f t="shared" si="867"/>
        <v>298</v>
      </c>
      <c r="B298" s="4">
        <v>45848.733553240738</v>
      </c>
      <c r="C298" s="5" t="s">
        <v>204</v>
      </c>
      <c r="D298" s="5" t="s">
        <v>204</v>
      </c>
      <c r="E298" s="5" t="s">
        <v>335</v>
      </c>
      <c r="F298" s="5" t="s">
        <v>206</v>
      </c>
      <c r="G298" s="5" t="s">
        <v>204</v>
      </c>
      <c r="H298" s="5" t="s">
        <v>206</v>
      </c>
      <c r="K298" s="5" t="s">
        <v>237</v>
      </c>
      <c r="O298" s="5" t="s">
        <v>209</v>
      </c>
      <c r="S298" s="5" t="s">
        <v>208</v>
      </c>
      <c r="X298" s="5" t="s">
        <v>208</v>
      </c>
      <c r="AC298" s="5" t="s">
        <v>208</v>
      </c>
      <c r="AH298" s="5" t="s">
        <v>268</v>
      </c>
      <c r="AI298" s="5">
        <v>2023</v>
      </c>
      <c r="AJ298" s="5" t="s">
        <v>238</v>
      </c>
      <c r="AK298" s="5" t="str">
        <f t="shared" si="868"/>
        <v>Trabajadora por cuenta propia</v>
      </c>
      <c r="AM298" s="5" t="s">
        <v>309</v>
      </c>
      <c r="AP298" s="5" t="s">
        <v>240</v>
      </c>
      <c r="AR298" s="5" t="s">
        <v>241</v>
      </c>
      <c r="AS298" s="5" t="s">
        <v>241</v>
      </c>
      <c r="AT298" s="5" t="s">
        <v>301</v>
      </c>
      <c r="AU298" s="5" t="s">
        <v>241</v>
      </c>
      <c r="AV298" s="5" t="s">
        <v>269</v>
      </c>
      <c r="AW298" s="5" t="s">
        <v>204</v>
      </c>
      <c r="AX298" s="5" t="s">
        <v>204</v>
      </c>
      <c r="AY298" s="5" t="s">
        <v>339</v>
      </c>
      <c r="AZ298" s="5" t="s">
        <v>204</v>
      </c>
      <c r="BA298" s="5" t="s">
        <v>263</v>
      </c>
      <c r="BF298" s="5" t="s">
        <v>204</v>
      </c>
      <c r="BG298" s="5" t="s">
        <v>242</v>
      </c>
      <c r="BH298" s="5" t="s">
        <v>242</v>
      </c>
      <c r="BI298" s="5" t="s">
        <v>242</v>
      </c>
      <c r="BJ298" s="5" t="s">
        <v>242</v>
      </c>
      <c r="BK298" s="5" t="s">
        <v>243</v>
      </c>
      <c r="BL298" s="5" t="s">
        <v>244</v>
      </c>
      <c r="BM298" s="5" t="s">
        <v>243</v>
      </c>
      <c r="BN298" s="5" t="s">
        <v>246</v>
      </c>
      <c r="BO298" s="5" t="s">
        <v>244</v>
      </c>
      <c r="BP298" s="5" t="s">
        <v>243</v>
      </c>
      <c r="BQ298" s="5" t="s">
        <v>243</v>
      </c>
      <c r="BR298" s="5" t="s">
        <v>246</v>
      </c>
      <c r="BS298" s="5" t="s">
        <v>254</v>
      </c>
      <c r="BT298" s="5" t="s">
        <v>247</v>
      </c>
      <c r="BU298" s="5" t="s">
        <v>247</v>
      </c>
      <c r="BV298" s="5" t="s">
        <v>247</v>
      </c>
      <c r="BW298" s="5" t="s">
        <v>247</v>
      </c>
      <c r="BX298" s="5" t="s">
        <v>247</v>
      </c>
      <c r="BY298" s="5" t="s">
        <v>248</v>
      </c>
      <c r="BZ298" s="5" t="s">
        <v>244</v>
      </c>
      <c r="CA298" s="5" t="s">
        <v>246</v>
      </c>
      <c r="CB298" s="5" t="s">
        <v>244</v>
      </c>
      <c r="CC298" s="5" t="s">
        <v>245</v>
      </c>
      <c r="CD298" s="5" t="s">
        <v>206</v>
      </c>
      <c r="CH298" s="5" t="s">
        <v>331</v>
      </c>
      <c r="CI298" s="5" t="s">
        <v>249</v>
      </c>
      <c r="CJ298" s="5">
        <v>3</v>
      </c>
      <c r="CK298" s="5" t="s">
        <v>223</v>
      </c>
      <c r="CU298" s="5" t="s">
        <v>206</v>
      </c>
      <c r="DA298" s="5" t="s">
        <v>231</v>
      </c>
      <c r="DB298" s="5">
        <f t="shared" si="869"/>
        <v>2</v>
      </c>
      <c r="DC298" s="5" t="s">
        <v>230</v>
      </c>
      <c r="DD298" s="5">
        <f t="shared" si="870"/>
        <v>2</v>
      </c>
      <c r="DE298" s="5" t="s">
        <v>250</v>
      </c>
      <c r="DF298" s="5">
        <f t="shared" si="871"/>
        <v>3</v>
      </c>
      <c r="DG298" s="5" t="s">
        <v>250</v>
      </c>
      <c r="DH298" s="5">
        <f t="shared" si="872"/>
        <v>3</v>
      </c>
      <c r="DI298" s="5" t="s">
        <v>250</v>
      </c>
      <c r="DJ298" s="5">
        <f t="shared" si="873"/>
        <v>3</v>
      </c>
      <c r="DK298" s="5" t="s">
        <v>230</v>
      </c>
      <c r="DL298" s="5">
        <f t="shared" si="874"/>
        <v>2</v>
      </c>
      <c r="DM298" s="5" t="s">
        <v>230</v>
      </c>
      <c r="DN298" s="5">
        <f t="shared" si="875"/>
        <v>2</v>
      </c>
      <c r="DO298" s="5" t="s">
        <v>231</v>
      </c>
      <c r="DP298" s="5">
        <f t="shared" si="876"/>
        <v>2</v>
      </c>
      <c r="DQ298" s="5" t="s">
        <v>231</v>
      </c>
      <c r="DR298" s="5">
        <f t="shared" si="877"/>
        <v>2</v>
      </c>
      <c r="DS298" s="5" t="s">
        <v>231</v>
      </c>
      <c r="DT298" s="5">
        <f t="shared" si="878"/>
        <v>2</v>
      </c>
      <c r="DU298" s="5" t="s">
        <v>231</v>
      </c>
      <c r="DV298" s="5">
        <f t="shared" si="879"/>
        <v>2</v>
      </c>
      <c r="DW298" s="5" t="s">
        <v>231</v>
      </c>
      <c r="DX298" s="5">
        <f t="shared" si="880"/>
        <v>2</v>
      </c>
      <c r="DY298" s="5">
        <f t="shared" si="881"/>
        <v>27</v>
      </c>
      <c r="DZ298" s="5" t="str">
        <f t="shared" si="882"/>
        <v>Nivel de riesgo alto</v>
      </c>
      <c r="EA298" s="5" t="s">
        <v>247</v>
      </c>
      <c r="EB298" s="5">
        <f t="shared" si="883"/>
        <v>2</v>
      </c>
      <c r="EC298" s="5" t="s">
        <v>247</v>
      </c>
      <c r="ED298" s="5">
        <f t="shared" si="884"/>
        <v>2</v>
      </c>
      <c r="EE298" s="5" t="s">
        <v>247</v>
      </c>
      <c r="EF298" s="5">
        <f t="shared" si="885"/>
        <v>2</v>
      </c>
      <c r="EG298" s="5">
        <f t="shared" si="886"/>
        <v>6</v>
      </c>
      <c r="EH298" s="5" t="str">
        <f t="shared" si="887"/>
        <v>Nivel de riesgo alto</v>
      </c>
      <c r="EI298" s="5" t="s">
        <v>248</v>
      </c>
      <c r="EJ298" s="5">
        <f t="shared" si="888"/>
        <v>1</v>
      </c>
      <c r="EK298" s="5" t="s">
        <v>248</v>
      </c>
      <c r="EL298" s="5">
        <f t="shared" si="889"/>
        <v>1</v>
      </c>
      <c r="EM298" s="5" t="s">
        <v>247</v>
      </c>
      <c r="EN298" s="5">
        <f t="shared" si="890"/>
        <v>2</v>
      </c>
      <c r="EO298" s="5">
        <f t="shared" si="891"/>
        <v>4</v>
      </c>
      <c r="EP298" s="5" t="str">
        <f t="shared" si="892"/>
        <v>Nivel de riesgo medio</v>
      </c>
      <c r="EQ298" s="5" t="s">
        <v>247</v>
      </c>
      <c r="ER298" s="5">
        <f t="shared" si="893"/>
        <v>2</v>
      </c>
      <c r="ES298" s="5" t="s">
        <v>247</v>
      </c>
      <c r="ET298" s="5">
        <f t="shared" si="894"/>
        <v>2</v>
      </c>
      <c r="EU298" s="5" t="s">
        <v>247</v>
      </c>
      <c r="EV298" s="5">
        <f t="shared" si="895"/>
        <v>2</v>
      </c>
      <c r="EW298" s="5" t="s">
        <v>232</v>
      </c>
      <c r="EX298" s="5">
        <f t="shared" si="896"/>
        <v>1</v>
      </c>
      <c r="EY298" s="5">
        <f t="shared" si="897"/>
        <v>7</v>
      </c>
      <c r="EZ298" s="5" t="str">
        <f t="shared" si="898"/>
        <v>Nivel de riesgo alto</v>
      </c>
      <c r="FA298" s="5" t="s">
        <v>248</v>
      </c>
      <c r="FB298" s="5">
        <f t="shared" si="899"/>
        <v>1</v>
      </c>
      <c r="FC298" s="5" t="s">
        <v>248</v>
      </c>
      <c r="FD298" s="5">
        <f t="shared" si="900"/>
        <v>1</v>
      </c>
      <c r="FE298" s="5" t="s">
        <v>253</v>
      </c>
      <c r="FF298" s="5">
        <f t="shared" si="901"/>
        <v>0</v>
      </c>
      <c r="FG298" s="5">
        <f t="shared" si="902"/>
        <v>2</v>
      </c>
      <c r="FH298" s="5" t="str">
        <f t="shared" si="903"/>
        <v>Nivel de riesgo bajo</v>
      </c>
      <c r="FI298" s="5" t="s">
        <v>248</v>
      </c>
      <c r="FJ298" s="5">
        <f t="shared" si="904"/>
        <v>1</v>
      </c>
      <c r="FK298" s="5" t="s">
        <v>253</v>
      </c>
      <c r="FL298" s="5">
        <f t="shared" si="905"/>
        <v>0</v>
      </c>
      <c r="FM298" s="5" t="s">
        <v>253</v>
      </c>
      <c r="FN298" s="5">
        <f t="shared" si="906"/>
        <v>0</v>
      </c>
      <c r="FO298" s="5">
        <f t="shared" si="907"/>
        <v>1</v>
      </c>
      <c r="FP298" s="5" t="str">
        <f t="shared" si="908"/>
        <v>Nivel de riesgo bajo</v>
      </c>
      <c r="FQ298" s="5" t="s">
        <v>206</v>
      </c>
      <c r="FR298" s="5">
        <f t="shared" si="909"/>
        <v>0</v>
      </c>
      <c r="FS298" s="5" t="s">
        <v>206</v>
      </c>
      <c r="FT298" s="5">
        <f t="shared" si="910"/>
        <v>0</v>
      </c>
      <c r="FU298" s="5" t="s">
        <v>206</v>
      </c>
      <c r="FV298" s="5">
        <f t="shared" si="911"/>
        <v>0</v>
      </c>
      <c r="FW298" s="5" t="s">
        <v>206</v>
      </c>
      <c r="FX298" s="5">
        <f t="shared" si="912"/>
        <v>0</v>
      </c>
      <c r="FY298" s="5" t="s">
        <v>206</v>
      </c>
      <c r="FZ298" s="5">
        <f t="shared" si="913"/>
        <v>0</v>
      </c>
      <c r="GA298" s="5" t="s">
        <v>206</v>
      </c>
      <c r="GB298" s="5">
        <f t="shared" si="914"/>
        <v>0</v>
      </c>
      <c r="GC298" s="5" t="s">
        <v>206</v>
      </c>
      <c r="GD298" s="5">
        <f t="shared" si="915"/>
        <v>0</v>
      </c>
      <c r="GE298" s="5">
        <f t="shared" si="916"/>
        <v>0</v>
      </c>
      <c r="GF298" s="5" t="str">
        <f t="shared" si="917"/>
        <v>Nivel de riesgo bajo</v>
      </c>
      <c r="GG298" s="5" t="s">
        <v>255</v>
      </c>
      <c r="GH298" s="5" t="s">
        <v>255</v>
      </c>
      <c r="GI298" s="5" t="s">
        <v>255</v>
      </c>
      <c r="GJ298" s="5" t="s">
        <v>255</v>
      </c>
      <c r="GK298" s="5" t="s">
        <v>233</v>
      </c>
      <c r="GL298" s="5" t="s">
        <v>255</v>
      </c>
      <c r="GM298" s="5" t="s">
        <v>273</v>
      </c>
      <c r="GN298" s="5" t="s">
        <v>256</v>
      </c>
      <c r="GO298" s="5" t="s">
        <v>243</v>
      </c>
      <c r="GP298" s="5" t="s">
        <v>243</v>
      </c>
      <c r="GQ298" s="5" t="s">
        <v>243</v>
      </c>
      <c r="GR298" s="5" t="s">
        <v>243</v>
      </c>
      <c r="GS298" s="5" t="s">
        <v>243</v>
      </c>
      <c r="GT298" s="5" t="s">
        <v>243</v>
      </c>
      <c r="GU298" s="5" t="s">
        <v>657</v>
      </c>
      <c r="GV298" s="5" t="str">
        <f>TEXT("6279925798213152712","0")</f>
        <v>6279925798213150000</v>
      </c>
    </row>
    <row r="299" spans="1:204" ht="15.75" customHeight="1" x14ac:dyDescent="0.15">
      <c r="A299" s="1">
        <f t="shared" si="867"/>
        <v>299</v>
      </c>
      <c r="B299" s="4">
        <v>45848.734386574077</v>
      </c>
      <c r="C299" s="5" t="s">
        <v>204</v>
      </c>
      <c r="D299" s="5" t="s">
        <v>206</v>
      </c>
      <c r="F299" s="5" t="s">
        <v>206</v>
      </c>
      <c r="G299" s="5" t="s">
        <v>206</v>
      </c>
      <c r="H299" s="5" t="s">
        <v>206</v>
      </c>
      <c r="K299" s="5" t="s">
        <v>237</v>
      </c>
      <c r="P299" s="5" t="s">
        <v>237</v>
      </c>
      <c r="T299" s="5" t="s">
        <v>209</v>
      </c>
      <c r="X299" s="5" t="s">
        <v>208</v>
      </c>
      <c r="AC299" s="5" t="s">
        <v>208</v>
      </c>
      <c r="AH299" s="5" t="s">
        <v>210</v>
      </c>
      <c r="AI299" s="5">
        <v>2010</v>
      </c>
      <c r="AJ299" s="5" t="s">
        <v>238</v>
      </c>
      <c r="AK299" s="5" t="str">
        <f t="shared" si="868"/>
        <v>Trabajadora por cuenta propia</v>
      </c>
      <c r="AN299" s="5" t="s">
        <v>288</v>
      </c>
      <c r="AP299" s="5" t="s">
        <v>297</v>
      </c>
      <c r="AR299" s="5" t="s">
        <v>294</v>
      </c>
      <c r="AS299" s="5" t="s">
        <v>241</v>
      </c>
      <c r="AT299" s="5" t="s">
        <v>241</v>
      </c>
      <c r="AU299" s="5" t="s">
        <v>276</v>
      </c>
      <c r="AV299" s="5" t="s">
        <v>269</v>
      </c>
      <c r="AW299" s="5" t="s">
        <v>204</v>
      </c>
      <c r="AX299" s="5" t="s">
        <v>204</v>
      </c>
      <c r="AY299" s="5" t="s">
        <v>406</v>
      </c>
      <c r="AZ299" s="5" t="s">
        <v>204</v>
      </c>
      <c r="BA299" s="5" t="s">
        <v>263</v>
      </c>
      <c r="BF299" s="5" t="s">
        <v>204</v>
      </c>
      <c r="BG299" s="5" t="s">
        <v>207</v>
      </c>
      <c r="BH299" s="5" t="s">
        <v>215</v>
      </c>
      <c r="BI299" s="5" t="s">
        <v>207</v>
      </c>
      <c r="BJ299" s="5" t="s">
        <v>242</v>
      </c>
      <c r="BK299" s="5" t="s">
        <v>245</v>
      </c>
      <c r="BL299" s="5" t="s">
        <v>244</v>
      </c>
      <c r="BM299" s="5" t="s">
        <v>245</v>
      </c>
      <c r="BN299" s="5" t="s">
        <v>245</v>
      </c>
      <c r="BO299" s="5" t="s">
        <v>243</v>
      </c>
      <c r="BP299" s="5" t="s">
        <v>243</v>
      </c>
      <c r="BQ299" s="5" t="s">
        <v>243</v>
      </c>
      <c r="BR299" s="5" t="s">
        <v>246</v>
      </c>
      <c r="BS299" s="5" t="s">
        <v>254</v>
      </c>
      <c r="BT299" s="5" t="s">
        <v>247</v>
      </c>
      <c r="BU299" s="5" t="s">
        <v>254</v>
      </c>
      <c r="BV299" s="5" t="s">
        <v>247</v>
      </c>
      <c r="BW299" s="5" t="s">
        <v>232</v>
      </c>
      <c r="BX299" s="5" t="s">
        <v>232</v>
      </c>
      <c r="BY299" s="5" t="s">
        <v>248</v>
      </c>
      <c r="BZ299" s="5" t="s">
        <v>245</v>
      </c>
      <c r="CA299" s="5" t="s">
        <v>243</v>
      </c>
      <c r="CB299" s="5" t="s">
        <v>246</v>
      </c>
      <c r="CC299" s="5" t="s">
        <v>245</v>
      </c>
      <c r="CD299" s="5" t="s">
        <v>206</v>
      </c>
      <c r="CH299" s="5" t="s">
        <v>206</v>
      </c>
      <c r="CI299" s="5" t="s">
        <v>206</v>
      </c>
      <c r="CJ299" s="5">
        <v>5</v>
      </c>
      <c r="CK299" s="5" t="s">
        <v>223</v>
      </c>
      <c r="CU299" s="5" t="s">
        <v>206</v>
      </c>
      <c r="DA299" s="5" t="s">
        <v>231</v>
      </c>
      <c r="DB299" s="5">
        <f t="shared" si="869"/>
        <v>2</v>
      </c>
      <c r="DC299" s="5" t="s">
        <v>230</v>
      </c>
      <c r="DD299" s="5">
        <f t="shared" si="870"/>
        <v>2</v>
      </c>
      <c r="DE299" s="5" t="s">
        <v>280</v>
      </c>
      <c r="DF299" s="5">
        <f t="shared" si="871"/>
        <v>4</v>
      </c>
      <c r="DG299" s="5" t="s">
        <v>280</v>
      </c>
      <c r="DH299" s="5">
        <f t="shared" si="872"/>
        <v>4</v>
      </c>
      <c r="DI299" s="5" t="s">
        <v>280</v>
      </c>
      <c r="DJ299" s="5">
        <f t="shared" si="873"/>
        <v>4</v>
      </c>
      <c r="DK299" s="5" t="s">
        <v>250</v>
      </c>
      <c r="DL299" s="5">
        <f t="shared" si="874"/>
        <v>3</v>
      </c>
      <c r="DM299" s="5" t="s">
        <v>251</v>
      </c>
      <c r="DN299" s="5">
        <f t="shared" si="875"/>
        <v>1</v>
      </c>
      <c r="DO299" s="5" t="s">
        <v>231</v>
      </c>
      <c r="DP299" s="5">
        <f t="shared" si="876"/>
        <v>2</v>
      </c>
      <c r="DQ299" s="5" t="s">
        <v>231</v>
      </c>
      <c r="DR299" s="5">
        <f t="shared" si="877"/>
        <v>2</v>
      </c>
      <c r="DS299" s="5" t="s">
        <v>231</v>
      </c>
      <c r="DT299" s="5">
        <f t="shared" si="878"/>
        <v>2</v>
      </c>
      <c r="DU299" s="5" t="s">
        <v>231</v>
      </c>
      <c r="DV299" s="5">
        <f t="shared" si="879"/>
        <v>2</v>
      </c>
      <c r="DW299" s="5" t="s">
        <v>231</v>
      </c>
      <c r="DX299" s="5">
        <f t="shared" si="880"/>
        <v>2</v>
      </c>
      <c r="DY299" s="5">
        <f t="shared" si="881"/>
        <v>30</v>
      </c>
      <c r="DZ299" s="5" t="str">
        <f t="shared" si="882"/>
        <v>Nivel de riesgo alto</v>
      </c>
      <c r="EA299" s="5" t="s">
        <v>248</v>
      </c>
      <c r="EB299" s="5">
        <f t="shared" si="883"/>
        <v>1</v>
      </c>
      <c r="EC299" s="5" t="s">
        <v>248</v>
      </c>
      <c r="ED299" s="5">
        <f t="shared" si="884"/>
        <v>1</v>
      </c>
      <c r="EE299" s="5" t="s">
        <v>253</v>
      </c>
      <c r="EF299" s="5">
        <f t="shared" si="885"/>
        <v>0</v>
      </c>
      <c r="EG299" s="5">
        <f t="shared" si="886"/>
        <v>2</v>
      </c>
      <c r="EH299" s="5" t="str">
        <f t="shared" si="887"/>
        <v>Nivel de riesgo medio</v>
      </c>
      <c r="EI299" s="5" t="s">
        <v>247</v>
      </c>
      <c r="EJ299" s="5">
        <f t="shared" si="888"/>
        <v>2</v>
      </c>
      <c r="EK299" s="5" t="s">
        <v>247</v>
      </c>
      <c r="EL299" s="5">
        <f t="shared" si="889"/>
        <v>2</v>
      </c>
      <c r="EM299" s="5" t="s">
        <v>248</v>
      </c>
      <c r="EN299" s="5">
        <f t="shared" si="890"/>
        <v>1</v>
      </c>
      <c r="EO299" s="5">
        <f t="shared" si="891"/>
        <v>5</v>
      </c>
      <c r="EP299" s="5" t="str">
        <f t="shared" si="892"/>
        <v>Nivel de riesgo medio</v>
      </c>
      <c r="EQ299" s="5" t="s">
        <v>247</v>
      </c>
      <c r="ER299" s="5">
        <f t="shared" si="893"/>
        <v>2</v>
      </c>
      <c r="ES299" s="5" t="s">
        <v>247</v>
      </c>
      <c r="ET299" s="5">
        <f t="shared" si="894"/>
        <v>2</v>
      </c>
      <c r="EU299" s="5" t="s">
        <v>254</v>
      </c>
      <c r="EV299" s="5">
        <f t="shared" si="895"/>
        <v>0</v>
      </c>
      <c r="EW299" s="5" t="s">
        <v>254</v>
      </c>
      <c r="EX299" s="5">
        <f t="shared" si="896"/>
        <v>0</v>
      </c>
      <c r="EY299" s="5">
        <f t="shared" si="897"/>
        <v>4</v>
      </c>
      <c r="EZ299" s="5" t="str">
        <f t="shared" si="898"/>
        <v>Nivel de riesgo medio</v>
      </c>
      <c r="FA299" s="5" t="s">
        <v>253</v>
      </c>
      <c r="FB299" s="5">
        <f t="shared" si="899"/>
        <v>0</v>
      </c>
      <c r="FC299" s="5" t="s">
        <v>253</v>
      </c>
      <c r="FD299" s="5">
        <f t="shared" si="900"/>
        <v>0</v>
      </c>
      <c r="FE299" s="5" t="s">
        <v>253</v>
      </c>
      <c r="FF299" s="5">
        <f t="shared" si="901"/>
        <v>0</v>
      </c>
      <c r="FG299" s="5">
        <f t="shared" si="902"/>
        <v>0</v>
      </c>
      <c r="FH299" s="5" t="str">
        <f t="shared" si="903"/>
        <v>Nivel de riesgo bajo</v>
      </c>
      <c r="FI299" s="5" t="s">
        <v>247</v>
      </c>
      <c r="FJ299" s="5">
        <f t="shared" si="904"/>
        <v>2</v>
      </c>
      <c r="FK299" s="5" t="s">
        <v>247</v>
      </c>
      <c r="FL299" s="5">
        <f t="shared" si="905"/>
        <v>2</v>
      </c>
      <c r="FM299" s="5" t="s">
        <v>253</v>
      </c>
      <c r="FN299" s="5">
        <f t="shared" si="906"/>
        <v>0</v>
      </c>
      <c r="FO299" s="5">
        <f t="shared" si="907"/>
        <v>4</v>
      </c>
      <c r="FP299" s="5" t="str">
        <f t="shared" si="908"/>
        <v>Nivel de riesgo medio</v>
      </c>
      <c r="FQ299" s="5" t="s">
        <v>206</v>
      </c>
      <c r="FR299" s="5">
        <f t="shared" si="909"/>
        <v>0</v>
      </c>
      <c r="FS299" s="5" t="s">
        <v>206</v>
      </c>
      <c r="FT299" s="5">
        <f t="shared" si="910"/>
        <v>0</v>
      </c>
      <c r="FU299" s="5" t="s">
        <v>206</v>
      </c>
      <c r="FV299" s="5">
        <f t="shared" si="911"/>
        <v>0</v>
      </c>
      <c r="FW299" s="5" t="s">
        <v>265</v>
      </c>
      <c r="FX299" s="5">
        <f t="shared" si="912"/>
        <v>1</v>
      </c>
      <c r="FY299" s="5" t="s">
        <v>206</v>
      </c>
      <c r="FZ299" s="5">
        <f t="shared" si="913"/>
        <v>0</v>
      </c>
      <c r="GA299" s="5" t="s">
        <v>206</v>
      </c>
      <c r="GB299" s="5">
        <f t="shared" si="914"/>
        <v>0</v>
      </c>
      <c r="GC299" s="5" t="s">
        <v>206</v>
      </c>
      <c r="GD299" s="5">
        <f t="shared" si="915"/>
        <v>0</v>
      </c>
      <c r="GE299" s="5">
        <f t="shared" si="916"/>
        <v>1</v>
      </c>
      <c r="GF299" s="5" t="str">
        <f t="shared" si="917"/>
        <v>Nivel de riesgo medio</v>
      </c>
      <c r="GG299" s="5" t="s">
        <v>255</v>
      </c>
      <c r="GH299" s="5" t="s">
        <v>266</v>
      </c>
      <c r="GI299" s="5" t="s">
        <v>255</v>
      </c>
      <c r="GJ299" s="5" t="s">
        <v>233</v>
      </c>
      <c r="GK299" s="5" t="s">
        <v>273</v>
      </c>
      <c r="GL299" s="5" t="s">
        <v>255</v>
      </c>
      <c r="GM299" s="5" t="s">
        <v>233</v>
      </c>
      <c r="GN299" s="5" t="s">
        <v>243</v>
      </c>
      <c r="GO299" s="5" t="s">
        <v>257</v>
      </c>
      <c r="GP299" s="5" t="s">
        <v>257</v>
      </c>
      <c r="GQ299" s="5" t="s">
        <v>244</v>
      </c>
      <c r="GR299" s="5" t="s">
        <v>244</v>
      </c>
      <c r="GS299" s="5" t="s">
        <v>244</v>
      </c>
      <c r="GT299" s="5" t="s">
        <v>243</v>
      </c>
      <c r="GU299" s="5" t="s">
        <v>303</v>
      </c>
      <c r="GV299" s="5" t="str">
        <f>TEXT("6279926516325110873","0")</f>
        <v>6279926516325110000</v>
      </c>
    </row>
    <row r="300" spans="1:204" ht="15.75" customHeight="1" x14ac:dyDescent="0.15">
      <c r="A300" s="1">
        <f t="shared" si="867"/>
        <v>300</v>
      </c>
      <c r="B300" s="4">
        <v>45848.756874999999</v>
      </c>
      <c r="C300" s="5" t="s">
        <v>204</v>
      </c>
      <c r="D300" s="5" t="s">
        <v>206</v>
      </c>
      <c r="F300" s="5" t="s">
        <v>206</v>
      </c>
      <c r="G300" s="5" t="s">
        <v>206</v>
      </c>
      <c r="H300" s="5" t="s">
        <v>206</v>
      </c>
      <c r="K300" s="5" t="s">
        <v>237</v>
      </c>
      <c r="O300" s="5" t="s">
        <v>209</v>
      </c>
      <c r="U300" s="5" t="s">
        <v>237</v>
      </c>
      <c r="Z300" s="5" t="s">
        <v>237</v>
      </c>
      <c r="AD300" s="5" t="s">
        <v>209</v>
      </c>
      <c r="AH300" s="5" t="s">
        <v>268</v>
      </c>
      <c r="AI300" s="5">
        <v>2017</v>
      </c>
      <c r="AJ300" s="5" t="s">
        <v>337</v>
      </c>
      <c r="AK300" s="5" t="str">
        <f t="shared" si="868"/>
        <v>Asalariada</v>
      </c>
      <c r="AQ300" s="5" t="s">
        <v>204</v>
      </c>
      <c r="AR300" s="5" t="s">
        <v>301</v>
      </c>
      <c r="AS300" s="5" t="s">
        <v>301</v>
      </c>
      <c r="AT300" s="5" t="s">
        <v>301</v>
      </c>
      <c r="AU300" s="5" t="s">
        <v>301</v>
      </c>
      <c r="AV300" s="5" t="s">
        <v>285</v>
      </c>
      <c r="AW300" s="5" t="s">
        <v>204</v>
      </c>
      <c r="AX300" s="5" t="s">
        <v>204</v>
      </c>
      <c r="AY300" s="5" t="s">
        <v>214</v>
      </c>
      <c r="AZ300" s="5" t="s">
        <v>204</v>
      </c>
      <c r="BA300" s="5" t="s">
        <v>263</v>
      </c>
      <c r="BF300" s="5" t="s">
        <v>204</v>
      </c>
      <c r="BG300" s="5" t="s">
        <v>242</v>
      </c>
      <c r="BH300" s="5" t="s">
        <v>264</v>
      </c>
      <c r="BI300" s="5" t="s">
        <v>242</v>
      </c>
      <c r="BJ300" s="5" t="s">
        <v>264</v>
      </c>
      <c r="BK300" s="5" t="s">
        <v>216</v>
      </c>
      <c r="BL300" s="5" t="s">
        <v>216</v>
      </c>
      <c r="BM300" s="5" t="s">
        <v>216</v>
      </c>
      <c r="BN300" s="5" t="s">
        <v>216</v>
      </c>
      <c r="BO300" s="5" t="s">
        <v>216</v>
      </c>
      <c r="BP300" s="5" t="s">
        <v>216</v>
      </c>
      <c r="BQ300" s="5" t="s">
        <v>216</v>
      </c>
      <c r="BR300" s="5" t="s">
        <v>216</v>
      </c>
      <c r="BS300" s="5" t="s">
        <v>248</v>
      </c>
      <c r="BT300" s="5" t="s">
        <v>248</v>
      </c>
      <c r="BU300" s="5" t="s">
        <v>217</v>
      </c>
      <c r="BV300" s="5" t="s">
        <v>248</v>
      </c>
      <c r="BW300" s="5" t="s">
        <v>217</v>
      </c>
      <c r="BX300" s="5" t="s">
        <v>217</v>
      </c>
      <c r="BY300" s="5" t="s">
        <v>217</v>
      </c>
      <c r="BZ300" s="5" t="s">
        <v>216</v>
      </c>
      <c r="CA300" s="5" t="s">
        <v>216</v>
      </c>
      <c r="CB300" s="5" t="s">
        <v>216</v>
      </c>
      <c r="CC300" s="5" t="s">
        <v>216</v>
      </c>
      <c r="CD300" s="5" t="s">
        <v>204</v>
      </c>
      <c r="CE300" s="5" t="s">
        <v>286</v>
      </c>
      <c r="CF300" s="5" t="s">
        <v>279</v>
      </c>
      <c r="CG300" s="5" t="s">
        <v>206</v>
      </c>
      <c r="CH300" s="5" t="s">
        <v>206</v>
      </c>
      <c r="CI300" s="5" t="s">
        <v>206</v>
      </c>
      <c r="CJ300" s="5">
        <v>0</v>
      </c>
      <c r="CK300" s="5" t="s">
        <v>223</v>
      </c>
      <c r="CU300" s="5" t="s">
        <v>206</v>
      </c>
      <c r="DA300" s="5" t="s">
        <v>231</v>
      </c>
      <c r="DB300" s="5">
        <f t="shared" si="869"/>
        <v>2</v>
      </c>
      <c r="DC300" s="5" t="s">
        <v>251</v>
      </c>
      <c r="DD300" s="5">
        <f t="shared" si="870"/>
        <v>1</v>
      </c>
      <c r="DE300" s="5" t="s">
        <v>251</v>
      </c>
      <c r="DF300" s="5">
        <f t="shared" si="871"/>
        <v>1</v>
      </c>
      <c r="DG300" s="5" t="s">
        <v>251</v>
      </c>
      <c r="DH300" s="5">
        <f t="shared" si="872"/>
        <v>1</v>
      </c>
      <c r="DI300" s="5" t="s">
        <v>251</v>
      </c>
      <c r="DJ300" s="5">
        <f t="shared" si="873"/>
        <v>1</v>
      </c>
      <c r="DK300" s="5" t="s">
        <v>251</v>
      </c>
      <c r="DL300" s="5">
        <f t="shared" si="874"/>
        <v>1</v>
      </c>
      <c r="DM300" s="5" t="s">
        <v>251</v>
      </c>
      <c r="DN300" s="5">
        <f t="shared" si="875"/>
        <v>1</v>
      </c>
      <c r="DO300" s="5" t="s">
        <v>231</v>
      </c>
      <c r="DP300" s="5">
        <f t="shared" si="876"/>
        <v>2</v>
      </c>
      <c r="DQ300" s="5" t="s">
        <v>231</v>
      </c>
      <c r="DR300" s="5">
        <f t="shared" si="877"/>
        <v>2</v>
      </c>
      <c r="DS300" s="5" t="s">
        <v>231</v>
      </c>
      <c r="DT300" s="5">
        <f t="shared" si="878"/>
        <v>2</v>
      </c>
      <c r="DU300" s="5" t="s">
        <v>231</v>
      </c>
      <c r="DV300" s="5">
        <f t="shared" si="879"/>
        <v>2</v>
      </c>
      <c r="DW300" s="5" t="s">
        <v>231</v>
      </c>
      <c r="DX300" s="5">
        <f t="shared" si="880"/>
        <v>2</v>
      </c>
      <c r="DY300" s="5">
        <f t="shared" si="881"/>
        <v>18</v>
      </c>
      <c r="DZ300" s="5" t="str">
        <f t="shared" si="882"/>
        <v>Nivel de riesgo bajo</v>
      </c>
      <c r="EA300" s="5" t="s">
        <v>253</v>
      </c>
      <c r="EB300" s="5">
        <f t="shared" si="883"/>
        <v>0</v>
      </c>
      <c r="EC300" s="5" t="s">
        <v>248</v>
      </c>
      <c r="ED300" s="5">
        <f t="shared" si="884"/>
        <v>1</v>
      </c>
      <c r="EE300" s="5" t="s">
        <v>253</v>
      </c>
      <c r="EF300" s="5">
        <f t="shared" si="885"/>
        <v>0</v>
      </c>
      <c r="EG300" s="5">
        <f t="shared" si="886"/>
        <v>1</v>
      </c>
      <c r="EH300" s="5" t="str">
        <f t="shared" si="887"/>
        <v>Nivel de riesgo bajo</v>
      </c>
      <c r="EI300" s="5" t="s">
        <v>248</v>
      </c>
      <c r="EJ300" s="5">
        <f t="shared" si="888"/>
        <v>1</v>
      </c>
      <c r="EK300" s="5" t="s">
        <v>247</v>
      </c>
      <c r="EL300" s="5">
        <f t="shared" si="889"/>
        <v>2</v>
      </c>
      <c r="EM300" s="5" t="s">
        <v>253</v>
      </c>
      <c r="EN300" s="5">
        <f t="shared" si="890"/>
        <v>0</v>
      </c>
      <c r="EO300" s="5">
        <f t="shared" si="891"/>
        <v>3</v>
      </c>
      <c r="EP300" s="5" t="str">
        <f t="shared" si="892"/>
        <v>Nivel de riesgo medio</v>
      </c>
      <c r="EQ300" s="5" t="s">
        <v>248</v>
      </c>
      <c r="ER300" s="5">
        <f t="shared" si="893"/>
        <v>3</v>
      </c>
      <c r="ES300" s="5" t="s">
        <v>254</v>
      </c>
      <c r="ET300" s="5">
        <f t="shared" si="894"/>
        <v>0</v>
      </c>
      <c r="EU300" s="5" t="s">
        <v>254</v>
      </c>
      <c r="EV300" s="5">
        <f t="shared" si="895"/>
        <v>0</v>
      </c>
      <c r="EW300" s="5" t="s">
        <v>254</v>
      </c>
      <c r="EX300" s="5">
        <f t="shared" si="896"/>
        <v>0</v>
      </c>
      <c r="EY300" s="5">
        <f t="shared" si="897"/>
        <v>3</v>
      </c>
      <c r="EZ300" s="5" t="str">
        <f t="shared" si="898"/>
        <v>Nivel de riesgo medio</v>
      </c>
      <c r="FA300" s="5" t="s">
        <v>253</v>
      </c>
      <c r="FB300" s="5">
        <f t="shared" si="899"/>
        <v>0</v>
      </c>
      <c r="FC300" s="5" t="s">
        <v>253</v>
      </c>
      <c r="FD300" s="5">
        <f t="shared" si="900"/>
        <v>0</v>
      </c>
      <c r="FE300" s="5" t="s">
        <v>253</v>
      </c>
      <c r="FF300" s="5">
        <f t="shared" si="901"/>
        <v>0</v>
      </c>
      <c r="FG300" s="5">
        <f t="shared" si="902"/>
        <v>0</v>
      </c>
      <c r="FH300" s="5" t="str">
        <f t="shared" si="903"/>
        <v>Nivel de riesgo bajo</v>
      </c>
      <c r="FI300" s="5" t="s">
        <v>253</v>
      </c>
      <c r="FJ300" s="5">
        <f t="shared" si="904"/>
        <v>0</v>
      </c>
      <c r="FK300" s="5" t="s">
        <v>253</v>
      </c>
      <c r="FL300" s="5">
        <f t="shared" si="905"/>
        <v>0</v>
      </c>
      <c r="FM300" s="5" t="s">
        <v>253</v>
      </c>
      <c r="FN300" s="5">
        <f t="shared" si="906"/>
        <v>0</v>
      </c>
      <c r="FO300" s="5">
        <f t="shared" si="907"/>
        <v>0</v>
      </c>
      <c r="FP300" s="5" t="str">
        <f t="shared" si="908"/>
        <v>Nivel de riesgo bajo</v>
      </c>
      <c r="FQ300" s="5" t="s">
        <v>206</v>
      </c>
      <c r="FR300" s="5">
        <f t="shared" si="909"/>
        <v>0</v>
      </c>
      <c r="FS300" s="5" t="s">
        <v>206</v>
      </c>
      <c r="FT300" s="5">
        <f t="shared" si="910"/>
        <v>0</v>
      </c>
      <c r="FU300" s="5" t="s">
        <v>206</v>
      </c>
      <c r="FV300" s="5">
        <f t="shared" si="911"/>
        <v>0</v>
      </c>
      <c r="FW300" s="5" t="s">
        <v>206</v>
      </c>
      <c r="FX300" s="5">
        <f t="shared" si="912"/>
        <v>0</v>
      </c>
      <c r="FY300" s="5" t="s">
        <v>206</v>
      </c>
      <c r="FZ300" s="5">
        <f t="shared" si="913"/>
        <v>0</v>
      </c>
      <c r="GA300" s="5" t="s">
        <v>206</v>
      </c>
      <c r="GB300" s="5">
        <f t="shared" si="914"/>
        <v>0</v>
      </c>
      <c r="GC300" s="5" t="s">
        <v>206</v>
      </c>
      <c r="GD300" s="5">
        <f t="shared" si="915"/>
        <v>0</v>
      </c>
      <c r="GE300" s="5">
        <f t="shared" si="916"/>
        <v>0</v>
      </c>
      <c r="GF300" s="5" t="str">
        <f t="shared" si="917"/>
        <v>Nivel de riesgo bajo</v>
      </c>
      <c r="GG300" s="5" t="s">
        <v>255</v>
      </c>
      <c r="GH300" s="5" t="s">
        <v>255</v>
      </c>
      <c r="GI300" s="5" t="s">
        <v>255</v>
      </c>
      <c r="GJ300" s="5" t="s">
        <v>255</v>
      </c>
      <c r="GK300" s="5" t="s">
        <v>233</v>
      </c>
      <c r="GL300" s="5" t="s">
        <v>233</v>
      </c>
      <c r="GM300" s="5" t="s">
        <v>233</v>
      </c>
      <c r="GN300" s="5" t="s">
        <v>257</v>
      </c>
      <c r="GO300" s="5" t="s">
        <v>257</v>
      </c>
      <c r="GP300" s="5" t="s">
        <v>257</v>
      </c>
      <c r="GQ300" s="5" t="s">
        <v>257</v>
      </c>
      <c r="GR300" s="5" t="s">
        <v>257</v>
      </c>
      <c r="GS300" s="5" t="s">
        <v>257</v>
      </c>
      <c r="GT300" s="5" t="s">
        <v>257</v>
      </c>
      <c r="GU300" s="5" t="s">
        <v>658</v>
      </c>
      <c r="GV300" s="5" t="str">
        <f>TEXT("6279945940412796949","0")</f>
        <v>6279945940412790000</v>
      </c>
    </row>
    <row r="301" spans="1:204" ht="15.75" customHeight="1" x14ac:dyDescent="0.15">
      <c r="A301" s="1">
        <f t="shared" si="867"/>
        <v>301</v>
      </c>
      <c r="B301" s="4">
        <v>45848.777141203704</v>
      </c>
      <c r="C301" s="5" t="s">
        <v>204</v>
      </c>
      <c r="D301" s="5" t="s">
        <v>206</v>
      </c>
      <c r="F301" s="5" t="s">
        <v>206</v>
      </c>
      <c r="G301" s="5" t="s">
        <v>206</v>
      </c>
      <c r="H301" s="5" t="s">
        <v>206</v>
      </c>
      <c r="K301" s="5" t="s">
        <v>237</v>
      </c>
      <c r="O301" s="5" t="s">
        <v>209</v>
      </c>
      <c r="S301" s="5" t="s">
        <v>208</v>
      </c>
      <c r="X301" s="5" t="s">
        <v>208</v>
      </c>
      <c r="AC301" s="5" t="s">
        <v>208</v>
      </c>
      <c r="AH301" s="5" t="s">
        <v>259</v>
      </c>
      <c r="AI301" s="5">
        <v>2018</v>
      </c>
      <c r="AJ301" s="5" t="s">
        <v>238</v>
      </c>
      <c r="AK301" s="5" t="str">
        <f t="shared" si="868"/>
        <v>Trabajadora por cuenta propia</v>
      </c>
      <c r="AN301" s="5" t="s">
        <v>288</v>
      </c>
      <c r="AP301" s="5" t="s">
        <v>240</v>
      </c>
      <c r="AR301" s="5" t="s">
        <v>241</v>
      </c>
      <c r="AS301" s="5" t="s">
        <v>241</v>
      </c>
      <c r="AT301" s="5" t="s">
        <v>241</v>
      </c>
      <c r="AU301" s="5" t="s">
        <v>241</v>
      </c>
      <c r="AV301" s="5" t="s">
        <v>285</v>
      </c>
      <c r="AW301" s="5" t="s">
        <v>204</v>
      </c>
      <c r="AX301" s="5" t="s">
        <v>204</v>
      </c>
      <c r="AY301" s="5" t="s">
        <v>214</v>
      </c>
      <c r="AZ301" s="5" t="s">
        <v>204</v>
      </c>
      <c r="BA301" s="5" t="s">
        <v>344</v>
      </c>
      <c r="BF301" s="5" t="s">
        <v>204</v>
      </c>
      <c r="BG301" s="5" t="s">
        <v>207</v>
      </c>
      <c r="BH301" s="5" t="s">
        <v>215</v>
      </c>
      <c r="BI301" s="5" t="s">
        <v>207</v>
      </c>
      <c r="BJ301" s="5" t="s">
        <v>215</v>
      </c>
      <c r="BK301" s="5" t="s">
        <v>216</v>
      </c>
      <c r="BL301" s="5" t="s">
        <v>244</v>
      </c>
      <c r="BM301" s="5" t="s">
        <v>216</v>
      </c>
      <c r="BN301" s="5" t="s">
        <v>216</v>
      </c>
      <c r="BO301" s="5" t="s">
        <v>216</v>
      </c>
      <c r="BP301" s="5" t="s">
        <v>216</v>
      </c>
      <c r="BQ301" s="5" t="s">
        <v>244</v>
      </c>
      <c r="BR301" s="5" t="s">
        <v>216</v>
      </c>
      <c r="BS301" s="5" t="s">
        <v>248</v>
      </c>
      <c r="BT301" s="5" t="s">
        <v>248</v>
      </c>
      <c r="BU301" s="5" t="s">
        <v>248</v>
      </c>
      <c r="BV301" s="5" t="s">
        <v>248</v>
      </c>
      <c r="BW301" s="5" t="s">
        <v>248</v>
      </c>
      <c r="BX301" s="5" t="s">
        <v>248</v>
      </c>
      <c r="BY301" s="5" t="s">
        <v>248</v>
      </c>
      <c r="BZ301" s="5" t="s">
        <v>216</v>
      </c>
      <c r="CA301" s="5" t="s">
        <v>216</v>
      </c>
      <c r="CB301" s="5" t="s">
        <v>244</v>
      </c>
      <c r="CC301" s="5" t="s">
        <v>244</v>
      </c>
      <c r="CD301" s="5" t="s">
        <v>206</v>
      </c>
      <c r="CH301" s="5" t="s">
        <v>206</v>
      </c>
      <c r="CI301" s="5" t="s">
        <v>206</v>
      </c>
      <c r="CJ301" s="5">
        <v>0</v>
      </c>
      <c r="CK301" s="5" t="s">
        <v>223</v>
      </c>
      <c r="CU301" s="5" t="s">
        <v>206</v>
      </c>
      <c r="DA301" s="5" t="s">
        <v>231</v>
      </c>
      <c r="DB301" s="5">
        <f t="shared" si="869"/>
        <v>2</v>
      </c>
      <c r="DC301" s="5" t="s">
        <v>250</v>
      </c>
      <c r="DD301" s="5">
        <f t="shared" si="870"/>
        <v>3</v>
      </c>
      <c r="DE301" s="5" t="s">
        <v>230</v>
      </c>
      <c r="DF301" s="5">
        <f t="shared" si="871"/>
        <v>2</v>
      </c>
      <c r="DG301" s="5" t="s">
        <v>251</v>
      </c>
      <c r="DH301" s="5">
        <f t="shared" si="872"/>
        <v>1</v>
      </c>
      <c r="DI301" s="5" t="s">
        <v>230</v>
      </c>
      <c r="DJ301" s="5">
        <f t="shared" si="873"/>
        <v>2</v>
      </c>
      <c r="DK301" s="5" t="s">
        <v>251</v>
      </c>
      <c r="DL301" s="5">
        <f t="shared" si="874"/>
        <v>1</v>
      </c>
      <c r="DM301" s="5" t="s">
        <v>251</v>
      </c>
      <c r="DN301" s="5">
        <f t="shared" si="875"/>
        <v>1</v>
      </c>
      <c r="DO301" s="5" t="s">
        <v>231</v>
      </c>
      <c r="DP301" s="5">
        <f t="shared" si="876"/>
        <v>2</v>
      </c>
      <c r="DQ301" s="5" t="s">
        <v>231</v>
      </c>
      <c r="DR301" s="5">
        <f t="shared" si="877"/>
        <v>2</v>
      </c>
      <c r="DS301" s="5" t="s">
        <v>231</v>
      </c>
      <c r="DT301" s="5">
        <f t="shared" si="878"/>
        <v>2</v>
      </c>
      <c r="DU301" s="5" t="s">
        <v>231</v>
      </c>
      <c r="DV301" s="5">
        <f t="shared" si="879"/>
        <v>2</v>
      </c>
      <c r="DW301" s="5" t="s">
        <v>231</v>
      </c>
      <c r="DX301" s="5">
        <f t="shared" si="880"/>
        <v>2</v>
      </c>
      <c r="DY301" s="5">
        <f t="shared" si="881"/>
        <v>22</v>
      </c>
      <c r="DZ301" s="5" t="str">
        <f t="shared" si="882"/>
        <v>Nivel de riesgo medio</v>
      </c>
      <c r="EA301" s="5" t="s">
        <v>247</v>
      </c>
      <c r="EB301" s="5">
        <f t="shared" si="883"/>
        <v>2</v>
      </c>
      <c r="EC301" s="5" t="s">
        <v>247</v>
      </c>
      <c r="ED301" s="5">
        <f t="shared" si="884"/>
        <v>2</v>
      </c>
      <c r="EE301" s="5" t="s">
        <v>248</v>
      </c>
      <c r="EF301" s="5">
        <f t="shared" si="885"/>
        <v>1</v>
      </c>
      <c r="EG301" s="5">
        <f t="shared" si="886"/>
        <v>5</v>
      </c>
      <c r="EH301" s="5" t="str">
        <f t="shared" si="887"/>
        <v>Nivel de riesgo alto</v>
      </c>
      <c r="EI301" s="5" t="s">
        <v>247</v>
      </c>
      <c r="EJ301" s="5">
        <f t="shared" si="888"/>
        <v>2</v>
      </c>
      <c r="EK301" s="5" t="s">
        <v>247</v>
      </c>
      <c r="EL301" s="5">
        <f t="shared" si="889"/>
        <v>2</v>
      </c>
      <c r="EM301" s="5" t="s">
        <v>247</v>
      </c>
      <c r="EN301" s="5">
        <f t="shared" si="890"/>
        <v>2</v>
      </c>
      <c r="EO301" s="5">
        <f t="shared" si="891"/>
        <v>6</v>
      </c>
      <c r="EP301" s="5" t="str">
        <f t="shared" si="892"/>
        <v>Nivel de riesgo alto</v>
      </c>
      <c r="EQ301" s="5" t="s">
        <v>232</v>
      </c>
      <c r="ER301" s="5">
        <f t="shared" si="893"/>
        <v>1</v>
      </c>
      <c r="ES301" s="5" t="s">
        <v>232</v>
      </c>
      <c r="ET301" s="5">
        <f t="shared" si="894"/>
        <v>1</v>
      </c>
      <c r="EU301" s="5" t="s">
        <v>254</v>
      </c>
      <c r="EV301" s="5">
        <f t="shared" si="895"/>
        <v>0</v>
      </c>
      <c r="EW301" s="5" t="s">
        <v>254</v>
      </c>
      <c r="EX301" s="5">
        <f t="shared" si="896"/>
        <v>0</v>
      </c>
      <c r="EY301" s="5">
        <f t="shared" si="897"/>
        <v>2</v>
      </c>
      <c r="EZ301" s="5" t="str">
        <f t="shared" si="898"/>
        <v>Nivel de riesgo medio</v>
      </c>
      <c r="FA301" s="5" t="s">
        <v>254</v>
      </c>
      <c r="FB301" s="5">
        <f t="shared" si="899"/>
        <v>4</v>
      </c>
      <c r="FC301" s="5" t="s">
        <v>232</v>
      </c>
      <c r="FD301" s="5">
        <f t="shared" si="900"/>
        <v>3</v>
      </c>
      <c r="FE301" s="5" t="s">
        <v>232</v>
      </c>
      <c r="FF301" s="5">
        <f t="shared" si="901"/>
        <v>3</v>
      </c>
      <c r="FG301" s="5">
        <f t="shared" si="902"/>
        <v>10</v>
      </c>
      <c r="FH301" s="5" t="str">
        <f t="shared" si="903"/>
        <v>Nivel de riesgo alto</v>
      </c>
      <c r="FI301" s="5" t="s">
        <v>232</v>
      </c>
      <c r="FJ301" s="5">
        <f t="shared" si="904"/>
        <v>3</v>
      </c>
      <c r="FK301" s="5" t="s">
        <v>232</v>
      </c>
      <c r="FL301" s="5">
        <f t="shared" si="905"/>
        <v>3</v>
      </c>
      <c r="FM301" s="5" t="s">
        <v>232</v>
      </c>
      <c r="FN301" s="5">
        <f t="shared" si="906"/>
        <v>3</v>
      </c>
      <c r="FO301" s="5">
        <f t="shared" si="907"/>
        <v>9</v>
      </c>
      <c r="FP301" s="5" t="str">
        <f t="shared" si="908"/>
        <v>Nivel de riesgo alto</v>
      </c>
      <c r="FQ301" s="5" t="s">
        <v>206</v>
      </c>
      <c r="FR301" s="5">
        <f t="shared" si="909"/>
        <v>0</v>
      </c>
      <c r="FS301" s="5" t="s">
        <v>206</v>
      </c>
      <c r="FT301" s="5">
        <f t="shared" si="910"/>
        <v>0</v>
      </c>
      <c r="FU301" s="5" t="s">
        <v>206</v>
      </c>
      <c r="FV301" s="5">
        <f t="shared" si="911"/>
        <v>0</v>
      </c>
      <c r="FW301" s="5" t="s">
        <v>206</v>
      </c>
      <c r="FX301" s="5">
        <f t="shared" si="912"/>
        <v>0</v>
      </c>
      <c r="FY301" s="5" t="s">
        <v>206</v>
      </c>
      <c r="FZ301" s="5">
        <f t="shared" si="913"/>
        <v>0</v>
      </c>
      <c r="GA301" s="5" t="s">
        <v>206</v>
      </c>
      <c r="GB301" s="5">
        <f t="shared" si="914"/>
        <v>0</v>
      </c>
      <c r="GC301" s="5" t="s">
        <v>206</v>
      </c>
      <c r="GD301" s="5">
        <f t="shared" si="915"/>
        <v>0</v>
      </c>
      <c r="GE301" s="5">
        <f t="shared" si="916"/>
        <v>0</v>
      </c>
      <c r="GF301" s="5" t="str">
        <f t="shared" si="917"/>
        <v>Nivel de riesgo bajo</v>
      </c>
      <c r="GG301" s="5" t="s">
        <v>266</v>
      </c>
      <c r="GH301" s="5" t="s">
        <v>233</v>
      </c>
      <c r="GI301" s="5" t="s">
        <v>266</v>
      </c>
      <c r="GJ301" s="5" t="s">
        <v>233</v>
      </c>
      <c r="GK301" s="5" t="s">
        <v>298</v>
      </c>
      <c r="GL301" s="5" t="s">
        <v>298</v>
      </c>
      <c r="GM301" s="5" t="s">
        <v>266</v>
      </c>
      <c r="GN301" s="5" t="s">
        <v>256</v>
      </c>
      <c r="GO301" s="5" t="s">
        <v>243</v>
      </c>
      <c r="GP301" s="5" t="s">
        <v>257</v>
      </c>
      <c r="GQ301" s="5" t="s">
        <v>257</v>
      </c>
      <c r="GR301" s="5" t="s">
        <v>257</v>
      </c>
      <c r="GS301" s="5" t="s">
        <v>257</v>
      </c>
      <c r="GT301" s="5" t="s">
        <v>257</v>
      </c>
      <c r="GU301" s="5" t="s">
        <v>659</v>
      </c>
      <c r="GV301" s="5" t="str">
        <f>TEXT("6279963452574132246","0")</f>
        <v>6279963452574130000</v>
      </c>
    </row>
    <row r="302" spans="1:204" ht="15.75" customHeight="1" x14ac:dyDescent="0.15">
      <c r="A302" s="1">
        <f t="shared" si="867"/>
        <v>302</v>
      </c>
      <c r="B302" s="4">
        <v>45848.782500000001</v>
      </c>
      <c r="C302" s="5" t="s">
        <v>204</v>
      </c>
      <c r="D302" s="5" t="s">
        <v>206</v>
      </c>
      <c r="F302" s="5" t="s">
        <v>206</v>
      </c>
      <c r="G302" s="5" t="s">
        <v>206</v>
      </c>
      <c r="H302" s="5" t="s">
        <v>206</v>
      </c>
      <c r="K302" s="5" t="s">
        <v>237</v>
      </c>
      <c r="P302" s="5" t="s">
        <v>237</v>
      </c>
      <c r="U302" s="5" t="s">
        <v>237</v>
      </c>
      <c r="X302" s="5" t="s">
        <v>208</v>
      </c>
      <c r="AC302" s="5" t="s">
        <v>208</v>
      </c>
      <c r="AH302" s="5" t="s">
        <v>275</v>
      </c>
      <c r="AI302" s="5">
        <v>2000</v>
      </c>
      <c r="AJ302" s="5" t="s">
        <v>238</v>
      </c>
      <c r="AK302" s="5" t="str">
        <f t="shared" si="868"/>
        <v>Trabajadora por cuenta propia</v>
      </c>
      <c r="AL302" s="5" t="s">
        <v>239</v>
      </c>
      <c r="AP302" s="5" t="s">
        <v>240</v>
      </c>
      <c r="AR302" s="5" t="s">
        <v>301</v>
      </c>
      <c r="AS302" s="5" t="s">
        <v>301</v>
      </c>
      <c r="AT302" s="5" t="s">
        <v>301</v>
      </c>
      <c r="AU302" s="5" t="s">
        <v>241</v>
      </c>
      <c r="AV302" s="5" t="s">
        <v>269</v>
      </c>
      <c r="AW302" s="5" t="s">
        <v>204</v>
      </c>
      <c r="AX302" s="5" t="s">
        <v>204</v>
      </c>
      <c r="AY302" s="5" t="s">
        <v>214</v>
      </c>
      <c r="AZ302" s="5" t="s">
        <v>204</v>
      </c>
      <c r="BA302" s="5" t="s">
        <v>295</v>
      </c>
      <c r="BB302" s="5" t="s">
        <v>204</v>
      </c>
      <c r="BC302" s="5" t="s">
        <v>204</v>
      </c>
      <c r="BD302" s="5" t="s">
        <v>206</v>
      </c>
      <c r="BE302" s="5" t="s">
        <v>206</v>
      </c>
      <c r="BF302" s="5" t="s">
        <v>206</v>
      </c>
      <c r="CK302" s="5" t="s">
        <v>223</v>
      </c>
      <c r="CU302" s="5" t="s">
        <v>206</v>
      </c>
      <c r="DA302" s="5" t="s">
        <v>272</v>
      </c>
      <c r="DB302" s="5">
        <f t="shared" si="869"/>
        <v>1</v>
      </c>
      <c r="DC302" s="5" t="s">
        <v>251</v>
      </c>
      <c r="DD302" s="5">
        <f t="shared" si="870"/>
        <v>1</v>
      </c>
      <c r="DE302" s="5" t="s">
        <v>251</v>
      </c>
      <c r="DF302" s="5">
        <f t="shared" si="871"/>
        <v>1</v>
      </c>
      <c r="DG302" s="5" t="s">
        <v>251</v>
      </c>
      <c r="DH302" s="5">
        <f t="shared" si="872"/>
        <v>1</v>
      </c>
      <c r="DI302" s="5" t="s">
        <v>251</v>
      </c>
      <c r="DJ302" s="5">
        <f t="shared" si="873"/>
        <v>1</v>
      </c>
      <c r="DK302" s="5" t="s">
        <v>251</v>
      </c>
      <c r="DL302" s="5">
        <f t="shared" si="874"/>
        <v>1</v>
      </c>
      <c r="DM302" s="5" t="s">
        <v>251</v>
      </c>
      <c r="DN302" s="5">
        <f t="shared" si="875"/>
        <v>1</v>
      </c>
      <c r="DO302" s="5" t="s">
        <v>281</v>
      </c>
      <c r="DP302" s="5">
        <f t="shared" si="876"/>
        <v>1</v>
      </c>
      <c r="DQ302" s="5" t="s">
        <v>281</v>
      </c>
      <c r="DR302" s="5">
        <f t="shared" si="877"/>
        <v>1</v>
      </c>
      <c r="DS302" s="5" t="s">
        <v>281</v>
      </c>
      <c r="DT302" s="5">
        <f t="shared" si="878"/>
        <v>1</v>
      </c>
      <c r="DU302" s="5" t="s">
        <v>281</v>
      </c>
      <c r="DV302" s="5">
        <f t="shared" si="879"/>
        <v>1</v>
      </c>
      <c r="DW302" s="5" t="s">
        <v>281</v>
      </c>
      <c r="DX302" s="5">
        <f t="shared" si="880"/>
        <v>1</v>
      </c>
      <c r="DY302" s="5">
        <f t="shared" si="881"/>
        <v>12</v>
      </c>
      <c r="DZ302" s="5" t="str">
        <f t="shared" si="882"/>
        <v>Nivel de riesgo bajo</v>
      </c>
      <c r="EA302" s="5" t="s">
        <v>247</v>
      </c>
      <c r="EB302" s="5">
        <f t="shared" si="883"/>
        <v>2</v>
      </c>
      <c r="EC302" s="5" t="s">
        <v>254</v>
      </c>
      <c r="ED302" s="5">
        <f t="shared" si="884"/>
        <v>4</v>
      </c>
      <c r="EE302" s="5" t="s">
        <v>247</v>
      </c>
      <c r="EF302" s="5">
        <f t="shared" si="885"/>
        <v>2</v>
      </c>
      <c r="EG302" s="5">
        <f t="shared" si="886"/>
        <v>8</v>
      </c>
      <c r="EH302" s="5" t="str">
        <f t="shared" si="887"/>
        <v>Nivel de riesgo alto</v>
      </c>
      <c r="EI302" s="5" t="s">
        <v>247</v>
      </c>
      <c r="EJ302" s="5">
        <f t="shared" si="888"/>
        <v>2</v>
      </c>
      <c r="EK302" s="5" t="s">
        <v>247</v>
      </c>
      <c r="EL302" s="5">
        <f t="shared" si="889"/>
        <v>2</v>
      </c>
      <c r="EM302" s="5" t="s">
        <v>247</v>
      </c>
      <c r="EN302" s="5">
        <f t="shared" si="890"/>
        <v>2</v>
      </c>
      <c r="EO302" s="5">
        <f t="shared" si="891"/>
        <v>6</v>
      </c>
      <c r="EP302" s="5" t="str">
        <f t="shared" si="892"/>
        <v>Nivel de riesgo alto</v>
      </c>
      <c r="EQ302" s="5" t="s">
        <v>254</v>
      </c>
      <c r="ER302" s="5">
        <f t="shared" si="893"/>
        <v>0</v>
      </c>
      <c r="ES302" s="5" t="s">
        <v>254</v>
      </c>
      <c r="ET302" s="5">
        <f t="shared" si="894"/>
        <v>0</v>
      </c>
      <c r="EU302" s="5" t="s">
        <v>254</v>
      </c>
      <c r="EV302" s="5">
        <f t="shared" si="895"/>
        <v>0</v>
      </c>
      <c r="EW302" s="5" t="s">
        <v>254</v>
      </c>
      <c r="EX302" s="5">
        <f t="shared" si="896"/>
        <v>0</v>
      </c>
      <c r="EY302" s="5">
        <f t="shared" si="897"/>
        <v>0</v>
      </c>
      <c r="EZ302" s="5" t="str">
        <f t="shared" si="898"/>
        <v>Nivel de riesgo bajo</v>
      </c>
      <c r="FA302" s="5" t="s">
        <v>247</v>
      </c>
      <c r="FB302" s="5">
        <f t="shared" si="899"/>
        <v>2</v>
      </c>
      <c r="FC302" s="5" t="s">
        <v>247</v>
      </c>
      <c r="FD302" s="5">
        <f t="shared" si="900"/>
        <v>2</v>
      </c>
      <c r="FE302" s="5" t="s">
        <v>247</v>
      </c>
      <c r="FF302" s="5">
        <f t="shared" si="901"/>
        <v>2</v>
      </c>
      <c r="FG302" s="5">
        <f t="shared" si="902"/>
        <v>6</v>
      </c>
      <c r="FH302" s="5" t="str">
        <f t="shared" si="903"/>
        <v>Nivel de riesgo alto</v>
      </c>
      <c r="FI302" s="5" t="s">
        <v>247</v>
      </c>
      <c r="FJ302" s="5">
        <f t="shared" si="904"/>
        <v>2</v>
      </c>
      <c r="FK302" s="5" t="s">
        <v>247</v>
      </c>
      <c r="FL302" s="5">
        <f t="shared" si="905"/>
        <v>2</v>
      </c>
      <c r="FM302" s="5" t="s">
        <v>247</v>
      </c>
      <c r="FN302" s="5">
        <f t="shared" si="906"/>
        <v>2</v>
      </c>
      <c r="FO302" s="5">
        <f t="shared" si="907"/>
        <v>6</v>
      </c>
      <c r="FP302" s="5" t="str">
        <f t="shared" si="908"/>
        <v>Nivel de riesgo alto</v>
      </c>
      <c r="FQ302" s="5" t="s">
        <v>206</v>
      </c>
      <c r="FR302" s="5">
        <f t="shared" si="909"/>
        <v>0</v>
      </c>
      <c r="FS302" s="5" t="s">
        <v>206</v>
      </c>
      <c r="FT302" s="5">
        <f t="shared" si="910"/>
        <v>0</v>
      </c>
      <c r="FU302" s="5" t="s">
        <v>206</v>
      </c>
      <c r="FV302" s="5">
        <f t="shared" si="911"/>
        <v>0</v>
      </c>
      <c r="FW302" s="5" t="s">
        <v>206</v>
      </c>
      <c r="FX302" s="5">
        <f t="shared" si="912"/>
        <v>0</v>
      </c>
      <c r="FY302" s="5" t="s">
        <v>206</v>
      </c>
      <c r="FZ302" s="5">
        <f t="shared" si="913"/>
        <v>0</v>
      </c>
      <c r="GA302" s="5" t="s">
        <v>206</v>
      </c>
      <c r="GB302" s="5">
        <f t="shared" si="914"/>
        <v>0</v>
      </c>
      <c r="GC302" s="5" t="s">
        <v>206</v>
      </c>
      <c r="GD302" s="5">
        <f t="shared" si="915"/>
        <v>0</v>
      </c>
      <c r="GE302" s="5">
        <f t="shared" si="916"/>
        <v>0</v>
      </c>
      <c r="GF302" s="5" t="str">
        <f t="shared" si="917"/>
        <v>Nivel de riesgo bajo</v>
      </c>
      <c r="GG302" s="5" t="s">
        <v>255</v>
      </c>
      <c r="GH302" s="5" t="s">
        <v>255</v>
      </c>
      <c r="GI302" s="5" t="s">
        <v>255</v>
      </c>
      <c r="GJ302" s="5" t="s">
        <v>255</v>
      </c>
      <c r="GK302" s="5" t="s">
        <v>233</v>
      </c>
      <c r="GL302" s="5" t="s">
        <v>233</v>
      </c>
      <c r="GM302" s="5" t="s">
        <v>255</v>
      </c>
      <c r="GN302" s="5" t="s">
        <v>256</v>
      </c>
      <c r="GO302" s="5" t="s">
        <v>256</v>
      </c>
      <c r="GP302" s="5" t="s">
        <v>256</v>
      </c>
      <c r="GQ302" s="5" t="s">
        <v>256</v>
      </c>
      <c r="GR302" s="5" t="s">
        <v>256</v>
      </c>
      <c r="GS302" s="5" t="s">
        <v>256</v>
      </c>
      <c r="GT302" s="5" t="s">
        <v>256</v>
      </c>
      <c r="GU302" s="5" t="s">
        <v>566</v>
      </c>
      <c r="GV302" s="5" t="str">
        <f>TEXT("6279968083014481093","0")</f>
        <v>6279968083014480000</v>
      </c>
    </row>
    <row r="303" spans="1:204" ht="15.75" customHeight="1" x14ac:dyDescent="0.15">
      <c r="A303" s="1">
        <f t="shared" si="867"/>
        <v>303</v>
      </c>
      <c r="B303" s="4">
        <v>45848.812650462962</v>
      </c>
      <c r="C303" s="5" t="s">
        <v>204</v>
      </c>
      <c r="D303" s="5" t="s">
        <v>206</v>
      </c>
      <c r="F303" s="5" t="s">
        <v>206</v>
      </c>
      <c r="G303" s="5" t="s">
        <v>206</v>
      </c>
      <c r="H303" s="5" t="s">
        <v>206</v>
      </c>
      <c r="J303" s="5" t="s">
        <v>209</v>
      </c>
      <c r="N303" s="5" t="s">
        <v>208</v>
      </c>
      <c r="S303" s="5" t="s">
        <v>208</v>
      </c>
      <c r="X303" s="5" t="s">
        <v>208</v>
      </c>
      <c r="AD303" s="5" t="s">
        <v>209</v>
      </c>
      <c r="AH303" s="5" t="s">
        <v>210</v>
      </c>
      <c r="AI303" s="5">
        <v>2003</v>
      </c>
      <c r="AJ303" s="5" t="s">
        <v>238</v>
      </c>
      <c r="AK303" s="5" t="str">
        <f t="shared" si="868"/>
        <v>Trabajadora por cuenta propia</v>
      </c>
      <c r="AL303" s="5" t="s">
        <v>239</v>
      </c>
      <c r="AP303" s="5" t="s">
        <v>284</v>
      </c>
      <c r="AR303" s="5" t="s">
        <v>241</v>
      </c>
      <c r="AS303" s="5" t="s">
        <v>241</v>
      </c>
      <c r="AT303" s="5" t="s">
        <v>276</v>
      </c>
      <c r="AU303" s="5" t="s">
        <v>276</v>
      </c>
      <c r="AV303" s="5" t="s">
        <v>457</v>
      </c>
      <c r="AW303" s="5" t="s">
        <v>206</v>
      </c>
      <c r="BF303" s="5" t="s">
        <v>204</v>
      </c>
      <c r="BG303" s="5" t="s">
        <v>207</v>
      </c>
      <c r="BH303" s="5" t="s">
        <v>264</v>
      </c>
      <c r="BI303" s="5" t="s">
        <v>207</v>
      </c>
      <c r="BJ303" s="5" t="s">
        <v>264</v>
      </c>
      <c r="BK303" s="5" t="s">
        <v>244</v>
      </c>
      <c r="BL303" s="5" t="s">
        <v>244</v>
      </c>
      <c r="BM303" s="5" t="s">
        <v>244</v>
      </c>
      <c r="BN303" s="5" t="s">
        <v>244</v>
      </c>
      <c r="BO303" s="5" t="s">
        <v>244</v>
      </c>
      <c r="BP303" s="5" t="s">
        <v>244</v>
      </c>
      <c r="BQ303" s="5" t="s">
        <v>244</v>
      </c>
      <c r="BR303" s="5" t="s">
        <v>244</v>
      </c>
      <c r="BS303" s="5" t="s">
        <v>248</v>
      </c>
      <c r="BT303" s="5" t="s">
        <v>248</v>
      </c>
      <c r="BU303" s="5" t="s">
        <v>248</v>
      </c>
      <c r="BV303" s="5" t="s">
        <v>248</v>
      </c>
      <c r="BW303" s="5" t="s">
        <v>248</v>
      </c>
      <c r="BX303" s="5" t="s">
        <v>248</v>
      </c>
      <c r="BY303" s="5" t="s">
        <v>248</v>
      </c>
      <c r="CD303" s="5" t="s">
        <v>206</v>
      </c>
      <c r="CH303" s="5" t="s">
        <v>206</v>
      </c>
      <c r="CI303" s="5" t="s">
        <v>291</v>
      </c>
      <c r="CJ303" s="5">
        <v>2</v>
      </c>
      <c r="CK303" s="5" t="s">
        <v>223</v>
      </c>
      <c r="CU303" s="5" t="s">
        <v>206</v>
      </c>
      <c r="DA303" s="5" t="s">
        <v>231</v>
      </c>
      <c r="DB303" s="5">
        <f t="shared" si="869"/>
        <v>2</v>
      </c>
      <c r="DC303" s="5" t="s">
        <v>230</v>
      </c>
      <c r="DD303" s="5">
        <f t="shared" si="870"/>
        <v>2</v>
      </c>
      <c r="DE303" s="5" t="s">
        <v>230</v>
      </c>
      <c r="DF303" s="5">
        <f t="shared" si="871"/>
        <v>2</v>
      </c>
      <c r="DG303" s="5" t="s">
        <v>230</v>
      </c>
      <c r="DH303" s="5">
        <f t="shared" si="872"/>
        <v>2</v>
      </c>
      <c r="DI303" s="5" t="s">
        <v>230</v>
      </c>
      <c r="DJ303" s="5">
        <f t="shared" si="873"/>
        <v>2</v>
      </c>
      <c r="DK303" s="5" t="s">
        <v>230</v>
      </c>
      <c r="DL303" s="5">
        <f t="shared" si="874"/>
        <v>2</v>
      </c>
      <c r="DM303" s="5" t="s">
        <v>230</v>
      </c>
      <c r="DN303" s="5">
        <f t="shared" si="875"/>
        <v>2</v>
      </c>
      <c r="DO303" s="5" t="s">
        <v>229</v>
      </c>
      <c r="DP303" s="5">
        <f t="shared" si="876"/>
        <v>4</v>
      </c>
      <c r="DQ303" s="5" t="s">
        <v>229</v>
      </c>
      <c r="DR303" s="5">
        <f t="shared" si="877"/>
        <v>4</v>
      </c>
      <c r="DS303" s="5" t="s">
        <v>229</v>
      </c>
      <c r="DT303" s="5">
        <f t="shared" si="878"/>
        <v>4</v>
      </c>
      <c r="DU303" s="5" t="s">
        <v>229</v>
      </c>
      <c r="DV303" s="5">
        <f t="shared" si="879"/>
        <v>4</v>
      </c>
      <c r="DW303" s="5" t="s">
        <v>229</v>
      </c>
      <c r="DX303" s="5">
        <f t="shared" si="880"/>
        <v>4</v>
      </c>
      <c r="DY303" s="5">
        <f t="shared" si="881"/>
        <v>34</v>
      </c>
      <c r="DZ303" s="5" t="str">
        <f t="shared" si="882"/>
        <v>Nivel de riesgo alto</v>
      </c>
      <c r="EA303" s="5" t="s">
        <v>247</v>
      </c>
      <c r="EB303" s="5">
        <f t="shared" si="883"/>
        <v>2</v>
      </c>
      <c r="EC303" s="5" t="s">
        <v>247</v>
      </c>
      <c r="ED303" s="5">
        <f t="shared" si="884"/>
        <v>2</v>
      </c>
      <c r="EE303" s="5" t="s">
        <v>247</v>
      </c>
      <c r="EF303" s="5">
        <f t="shared" si="885"/>
        <v>2</v>
      </c>
      <c r="EG303" s="5">
        <f t="shared" si="886"/>
        <v>6</v>
      </c>
      <c r="EH303" s="5" t="str">
        <f t="shared" si="887"/>
        <v>Nivel de riesgo alto</v>
      </c>
      <c r="EI303" s="5" t="s">
        <v>247</v>
      </c>
      <c r="EJ303" s="5">
        <f t="shared" si="888"/>
        <v>2</v>
      </c>
      <c r="EK303" s="5" t="s">
        <v>247</v>
      </c>
      <c r="EL303" s="5">
        <f t="shared" si="889"/>
        <v>2</v>
      </c>
      <c r="EM303" s="5" t="s">
        <v>247</v>
      </c>
      <c r="EN303" s="5">
        <f t="shared" si="890"/>
        <v>2</v>
      </c>
      <c r="EO303" s="5">
        <f t="shared" si="891"/>
        <v>6</v>
      </c>
      <c r="EP303" s="5" t="str">
        <f t="shared" si="892"/>
        <v>Nivel de riesgo alto</v>
      </c>
      <c r="EQ303" s="5" t="s">
        <v>247</v>
      </c>
      <c r="ER303" s="5">
        <f t="shared" si="893"/>
        <v>2</v>
      </c>
      <c r="ES303" s="5" t="s">
        <v>247</v>
      </c>
      <c r="ET303" s="5">
        <f t="shared" si="894"/>
        <v>2</v>
      </c>
      <c r="EU303" s="5" t="s">
        <v>247</v>
      </c>
      <c r="EV303" s="5">
        <f t="shared" si="895"/>
        <v>2</v>
      </c>
      <c r="EW303" s="5" t="s">
        <v>247</v>
      </c>
      <c r="EX303" s="5">
        <f t="shared" si="896"/>
        <v>2</v>
      </c>
      <c r="EY303" s="5">
        <f t="shared" si="897"/>
        <v>8</v>
      </c>
      <c r="EZ303" s="5" t="str">
        <f t="shared" si="898"/>
        <v>Nivel de riesgo alto</v>
      </c>
      <c r="FA303" s="5" t="s">
        <v>247</v>
      </c>
      <c r="FB303" s="5">
        <f t="shared" si="899"/>
        <v>2</v>
      </c>
      <c r="FC303" s="5" t="s">
        <v>247</v>
      </c>
      <c r="FD303" s="5">
        <f t="shared" si="900"/>
        <v>2</v>
      </c>
      <c r="FE303" s="5" t="s">
        <v>247</v>
      </c>
      <c r="FF303" s="5">
        <f t="shared" si="901"/>
        <v>2</v>
      </c>
      <c r="FG303" s="5">
        <f t="shared" si="902"/>
        <v>6</v>
      </c>
      <c r="FH303" s="5" t="str">
        <f t="shared" si="903"/>
        <v>Nivel de riesgo alto</v>
      </c>
      <c r="FI303" s="5" t="s">
        <v>247</v>
      </c>
      <c r="FJ303" s="5">
        <f t="shared" si="904"/>
        <v>2</v>
      </c>
      <c r="FK303" s="5" t="s">
        <v>247</v>
      </c>
      <c r="FL303" s="5">
        <f t="shared" si="905"/>
        <v>2</v>
      </c>
      <c r="FM303" s="5" t="s">
        <v>247</v>
      </c>
      <c r="FN303" s="5">
        <f t="shared" si="906"/>
        <v>2</v>
      </c>
      <c r="FO303" s="5">
        <f t="shared" si="907"/>
        <v>6</v>
      </c>
      <c r="FP303" s="5" t="str">
        <f t="shared" si="908"/>
        <v>Nivel de riesgo alto</v>
      </c>
      <c r="FQ303" s="5" t="s">
        <v>206</v>
      </c>
      <c r="FR303" s="5">
        <f t="shared" si="909"/>
        <v>0</v>
      </c>
      <c r="FS303" s="5" t="s">
        <v>206</v>
      </c>
      <c r="FT303" s="5">
        <f t="shared" si="910"/>
        <v>0</v>
      </c>
      <c r="FU303" s="5" t="s">
        <v>206</v>
      </c>
      <c r="FV303" s="5">
        <f t="shared" si="911"/>
        <v>0</v>
      </c>
      <c r="FW303" s="5" t="s">
        <v>206</v>
      </c>
      <c r="FX303" s="5">
        <f t="shared" si="912"/>
        <v>0</v>
      </c>
      <c r="FY303" s="5" t="s">
        <v>206</v>
      </c>
      <c r="FZ303" s="5">
        <f t="shared" si="913"/>
        <v>0</v>
      </c>
      <c r="GA303" s="5" t="s">
        <v>206</v>
      </c>
      <c r="GB303" s="5">
        <f t="shared" si="914"/>
        <v>0</v>
      </c>
      <c r="GC303" s="5" t="s">
        <v>206</v>
      </c>
      <c r="GD303" s="5">
        <f t="shared" si="915"/>
        <v>0</v>
      </c>
      <c r="GE303" s="5">
        <f t="shared" si="916"/>
        <v>0</v>
      </c>
      <c r="GF303" s="5" t="str">
        <f t="shared" si="917"/>
        <v>Nivel de riesgo bajo</v>
      </c>
      <c r="GG303" s="5" t="s">
        <v>273</v>
      </c>
      <c r="GH303" s="5" t="s">
        <v>273</v>
      </c>
      <c r="GI303" s="5" t="s">
        <v>273</v>
      </c>
      <c r="GJ303" s="5" t="s">
        <v>273</v>
      </c>
      <c r="GK303" s="5" t="s">
        <v>273</v>
      </c>
      <c r="GL303" s="5" t="s">
        <v>273</v>
      </c>
      <c r="GM303" s="5" t="s">
        <v>273</v>
      </c>
      <c r="GN303" s="5" t="s">
        <v>243</v>
      </c>
      <c r="GO303" s="5" t="s">
        <v>243</v>
      </c>
      <c r="GP303" s="5" t="s">
        <v>243</v>
      </c>
      <c r="GQ303" s="5" t="s">
        <v>243</v>
      </c>
      <c r="GR303" s="5" t="s">
        <v>243</v>
      </c>
      <c r="GS303" s="5" t="s">
        <v>243</v>
      </c>
      <c r="GT303" s="5" t="s">
        <v>243</v>
      </c>
      <c r="GU303" s="5" t="s">
        <v>660</v>
      </c>
      <c r="GV303" s="5" t="str">
        <f>TEXT("6279994136318979132","0")</f>
        <v>6279994136318970000</v>
      </c>
    </row>
    <row r="304" spans="1:204" ht="15.75" customHeight="1" x14ac:dyDescent="0.15">
      <c r="A304" s="1">
        <f t="shared" si="867"/>
        <v>304</v>
      </c>
      <c r="B304" s="4">
        <v>45848.816874999997</v>
      </c>
      <c r="C304" s="5" t="s">
        <v>204</v>
      </c>
      <c r="D304" s="5" t="s">
        <v>206</v>
      </c>
      <c r="F304" s="5" t="s">
        <v>206</v>
      </c>
      <c r="G304" s="5" t="s">
        <v>206</v>
      </c>
      <c r="H304" s="5" t="s">
        <v>206</v>
      </c>
      <c r="K304" s="5" t="s">
        <v>237</v>
      </c>
      <c r="N304" s="5" t="s">
        <v>208</v>
      </c>
      <c r="T304" s="5" t="s">
        <v>209</v>
      </c>
      <c r="Y304" s="5" t="s">
        <v>209</v>
      </c>
      <c r="AC304" s="5" t="s">
        <v>208</v>
      </c>
      <c r="AH304" s="5" t="s">
        <v>275</v>
      </c>
      <c r="AI304" s="5">
        <v>2021</v>
      </c>
      <c r="AJ304" s="5" t="s">
        <v>238</v>
      </c>
      <c r="AK304" s="5" t="str">
        <f t="shared" si="868"/>
        <v>Trabajadora por cuenta propia</v>
      </c>
      <c r="AL304" s="5" t="s">
        <v>239</v>
      </c>
      <c r="AO304" s="5" t="s">
        <v>390</v>
      </c>
      <c r="AP304" s="5" t="s">
        <v>297</v>
      </c>
      <c r="AR304" s="5" t="s">
        <v>261</v>
      </c>
      <c r="AS304" s="5" t="s">
        <v>294</v>
      </c>
      <c r="AT304" s="5" t="s">
        <v>261</v>
      </c>
      <c r="AU304" s="5" t="s">
        <v>261</v>
      </c>
      <c r="AV304" s="5" t="s">
        <v>213</v>
      </c>
      <c r="AW304" s="5" t="s">
        <v>206</v>
      </c>
      <c r="BF304" s="5" t="s">
        <v>204</v>
      </c>
      <c r="BG304" s="5" t="s">
        <v>278</v>
      </c>
      <c r="BH304" s="5" t="s">
        <v>278</v>
      </c>
      <c r="BI304" s="5" t="s">
        <v>278</v>
      </c>
      <c r="BJ304" s="5" t="s">
        <v>278</v>
      </c>
      <c r="BK304" s="5" t="s">
        <v>243</v>
      </c>
      <c r="BL304" s="5" t="s">
        <v>243</v>
      </c>
      <c r="BM304" s="5" t="s">
        <v>246</v>
      </c>
      <c r="BN304" s="5" t="s">
        <v>246</v>
      </c>
      <c r="BO304" s="5" t="s">
        <v>243</v>
      </c>
      <c r="BP304" s="5" t="s">
        <v>245</v>
      </c>
      <c r="BQ304" s="5" t="s">
        <v>245</v>
      </c>
      <c r="BR304" s="5" t="s">
        <v>245</v>
      </c>
      <c r="BS304" s="5" t="s">
        <v>254</v>
      </c>
      <c r="BT304" s="5" t="s">
        <v>254</v>
      </c>
      <c r="BU304" s="5" t="s">
        <v>232</v>
      </c>
      <c r="BV304" s="5" t="s">
        <v>247</v>
      </c>
      <c r="BW304" s="5" t="s">
        <v>232</v>
      </c>
      <c r="BX304" s="5" t="s">
        <v>232</v>
      </c>
      <c r="BY304" s="5" t="s">
        <v>232</v>
      </c>
      <c r="CD304" s="5" t="s">
        <v>206</v>
      </c>
      <c r="CH304" s="5" t="s">
        <v>206</v>
      </c>
      <c r="CI304" s="5" t="s">
        <v>206</v>
      </c>
      <c r="CJ304" s="5">
        <v>0</v>
      </c>
      <c r="CK304" s="5" t="s">
        <v>223</v>
      </c>
      <c r="CU304" s="5" t="s">
        <v>206</v>
      </c>
      <c r="DA304" s="5" t="s">
        <v>229</v>
      </c>
      <c r="DB304" s="5">
        <f t="shared" si="869"/>
        <v>4</v>
      </c>
      <c r="DC304" s="5" t="s">
        <v>280</v>
      </c>
      <c r="DD304" s="5">
        <f t="shared" si="870"/>
        <v>4</v>
      </c>
      <c r="DE304" s="5" t="s">
        <v>280</v>
      </c>
      <c r="DF304" s="5">
        <f t="shared" si="871"/>
        <v>4</v>
      </c>
      <c r="DG304" s="5" t="s">
        <v>280</v>
      </c>
      <c r="DH304" s="5">
        <f t="shared" si="872"/>
        <v>4</v>
      </c>
      <c r="DI304" s="5" t="s">
        <v>280</v>
      </c>
      <c r="DJ304" s="5">
        <f t="shared" si="873"/>
        <v>4</v>
      </c>
      <c r="DK304" s="5" t="s">
        <v>280</v>
      </c>
      <c r="DL304" s="5">
        <f t="shared" si="874"/>
        <v>4</v>
      </c>
      <c r="DM304" s="5" t="s">
        <v>280</v>
      </c>
      <c r="DN304" s="5">
        <f t="shared" si="875"/>
        <v>4</v>
      </c>
      <c r="DO304" s="5" t="s">
        <v>231</v>
      </c>
      <c r="DP304" s="5">
        <f t="shared" si="876"/>
        <v>2</v>
      </c>
      <c r="DQ304" s="5" t="s">
        <v>252</v>
      </c>
      <c r="DR304" s="5">
        <f t="shared" si="877"/>
        <v>3</v>
      </c>
      <c r="DS304" s="5" t="s">
        <v>229</v>
      </c>
      <c r="DT304" s="5">
        <f t="shared" si="878"/>
        <v>4</v>
      </c>
      <c r="DU304" s="5" t="s">
        <v>252</v>
      </c>
      <c r="DV304" s="5">
        <f t="shared" si="879"/>
        <v>3</v>
      </c>
      <c r="DW304" s="5" t="s">
        <v>252</v>
      </c>
      <c r="DX304" s="5">
        <f t="shared" si="880"/>
        <v>3</v>
      </c>
      <c r="DY304" s="5">
        <f t="shared" si="881"/>
        <v>43</v>
      </c>
      <c r="DZ304" s="5" t="str">
        <f t="shared" si="882"/>
        <v>Nivel de riesgo alto</v>
      </c>
      <c r="EA304" s="5" t="s">
        <v>248</v>
      </c>
      <c r="EB304" s="5">
        <f t="shared" si="883"/>
        <v>1</v>
      </c>
      <c r="EC304" s="5" t="s">
        <v>248</v>
      </c>
      <c r="ED304" s="5">
        <f t="shared" si="884"/>
        <v>1</v>
      </c>
      <c r="EE304" s="5" t="s">
        <v>253</v>
      </c>
      <c r="EF304" s="5">
        <f t="shared" si="885"/>
        <v>0</v>
      </c>
      <c r="EG304" s="5">
        <f t="shared" si="886"/>
        <v>2</v>
      </c>
      <c r="EH304" s="5" t="str">
        <f t="shared" si="887"/>
        <v>Nivel de riesgo medio</v>
      </c>
      <c r="EI304" s="5" t="s">
        <v>253</v>
      </c>
      <c r="EJ304" s="5">
        <f t="shared" si="888"/>
        <v>0</v>
      </c>
      <c r="EK304" s="5" t="s">
        <v>253</v>
      </c>
      <c r="EL304" s="5">
        <f t="shared" si="889"/>
        <v>0</v>
      </c>
      <c r="EM304" s="5" t="s">
        <v>253</v>
      </c>
      <c r="EN304" s="5">
        <f t="shared" si="890"/>
        <v>0</v>
      </c>
      <c r="EO304" s="5">
        <f t="shared" si="891"/>
        <v>0</v>
      </c>
      <c r="EP304" s="5" t="str">
        <f t="shared" si="892"/>
        <v>Nivel de riesgo bajo</v>
      </c>
      <c r="EQ304" s="5" t="s">
        <v>253</v>
      </c>
      <c r="ER304" s="5">
        <f t="shared" si="893"/>
        <v>4</v>
      </c>
      <c r="ES304" s="5" t="s">
        <v>253</v>
      </c>
      <c r="ET304" s="5">
        <f t="shared" si="894"/>
        <v>4</v>
      </c>
      <c r="EU304" s="5" t="s">
        <v>253</v>
      </c>
      <c r="EV304" s="5">
        <f t="shared" si="895"/>
        <v>4</v>
      </c>
      <c r="EW304" s="5" t="s">
        <v>253</v>
      </c>
      <c r="EX304" s="5">
        <f t="shared" si="896"/>
        <v>4</v>
      </c>
      <c r="EY304" s="5">
        <f t="shared" si="897"/>
        <v>16</v>
      </c>
      <c r="EZ304" s="5" t="str">
        <f t="shared" si="898"/>
        <v>Nivel de riesgo alto</v>
      </c>
      <c r="FA304" s="5" t="s">
        <v>253</v>
      </c>
      <c r="FB304" s="5">
        <f t="shared" si="899"/>
        <v>0</v>
      </c>
      <c r="FC304" s="5" t="s">
        <v>253</v>
      </c>
      <c r="FD304" s="5">
        <f t="shared" si="900"/>
        <v>0</v>
      </c>
      <c r="FE304" s="5" t="s">
        <v>253</v>
      </c>
      <c r="FF304" s="5">
        <f t="shared" si="901"/>
        <v>0</v>
      </c>
      <c r="FG304" s="5">
        <f t="shared" si="902"/>
        <v>0</v>
      </c>
      <c r="FH304" s="5" t="str">
        <f t="shared" si="903"/>
        <v>Nivel de riesgo bajo</v>
      </c>
      <c r="FI304" s="5" t="s">
        <v>232</v>
      </c>
      <c r="FJ304" s="5">
        <f t="shared" si="904"/>
        <v>3</v>
      </c>
      <c r="FK304" s="5" t="s">
        <v>232</v>
      </c>
      <c r="FL304" s="5">
        <f t="shared" si="905"/>
        <v>3</v>
      </c>
      <c r="FM304" s="5" t="s">
        <v>247</v>
      </c>
      <c r="FN304" s="5">
        <f t="shared" si="906"/>
        <v>2</v>
      </c>
      <c r="FO304" s="5">
        <f t="shared" si="907"/>
        <v>8</v>
      </c>
      <c r="FP304" s="5" t="str">
        <f t="shared" si="908"/>
        <v>Nivel de riesgo alto</v>
      </c>
      <c r="FQ304" s="5" t="s">
        <v>206</v>
      </c>
      <c r="FR304" s="5">
        <f t="shared" si="909"/>
        <v>0</v>
      </c>
      <c r="FS304" s="5" t="s">
        <v>206</v>
      </c>
      <c r="FT304" s="5">
        <f t="shared" si="910"/>
        <v>0</v>
      </c>
      <c r="FU304" s="5" t="s">
        <v>206</v>
      </c>
      <c r="FV304" s="5">
        <f t="shared" si="911"/>
        <v>0</v>
      </c>
      <c r="FW304" s="5" t="s">
        <v>206</v>
      </c>
      <c r="FX304" s="5">
        <f t="shared" si="912"/>
        <v>0</v>
      </c>
      <c r="FY304" s="5" t="s">
        <v>206</v>
      </c>
      <c r="FZ304" s="5">
        <f t="shared" si="913"/>
        <v>0</v>
      </c>
      <c r="GA304" s="5" t="s">
        <v>206</v>
      </c>
      <c r="GB304" s="5">
        <f t="shared" si="914"/>
        <v>0</v>
      </c>
      <c r="GC304" s="5" t="s">
        <v>206</v>
      </c>
      <c r="GD304" s="5">
        <f t="shared" si="915"/>
        <v>0</v>
      </c>
      <c r="GE304" s="5">
        <f t="shared" si="916"/>
        <v>0</v>
      </c>
      <c r="GF304" s="5" t="str">
        <f t="shared" si="917"/>
        <v>Nivel de riesgo bajo</v>
      </c>
      <c r="GG304" s="5" t="s">
        <v>255</v>
      </c>
      <c r="GH304" s="5" t="s">
        <v>255</v>
      </c>
      <c r="GI304" s="5" t="s">
        <v>255</v>
      </c>
      <c r="GJ304" s="5" t="s">
        <v>273</v>
      </c>
      <c r="GK304" s="5" t="s">
        <v>233</v>
      </c>
      <c r="GL304" s="5" t="s">
        <v>273</v>
      </c>
      <c r="GM304" s="5" t="s">
        <v>255</v>
      </c>
      <c r="GN304" s="5" t="s">
        <v>256</v>
      </c>
      <c r="GO304" s="5" t="s">
        <v>257</v>
      </c>
      <c r="GP304" s="5" t="s">
        <v>257</v>
      </c>
      <c r="GQ304" s="5" t="s">
        <v>244</v>
      </c>
      <c r="GR304" s="5" t="s">
        <v>244</v>
      </c>
      <c r="GS304" s="5" t="s">
        <v>243</v>
      </c>
      <c r="GT304" s="5" t="s">
        <v>243</v>
      </c>
      <c r="GU304" s="5" t="s">
        <v>661</v>
      </c>
      <c r="GV304" s="5" t="str">
        <f>TEXT("6279997781884209530","0")</f>
        <v>6279997781884200000</v>
      </c>
    </row>
    <row r="305" spans="1:204" ht="15.75" customHeight="1" x14ac:dyDescent="0.15">
      <c r="A305" s="1">
        <f t="shared" si="867"/>
        <v>305</v>
      </c>
      <c r="B305" s="4">
        <v>45848.832557870373</v>
      </c>
      <c r="C305" s="5" t="s">
        <v>204</v>
      </c>
      <c r="D305" s="5" t="s">
        <v>206</v>
      </c>
      <c r="F305" s="5" t="s">
        <v>206</v>
      </c>
      <c r="G305" s="5" t="s">
        <v>204</v>
      </c>
      <c r="H305" s="5" t="s">
        <v>206</v>
      </c>
      <c r="K305" s="5" t="s">
        <v>237</v>
      </c>
      <c r="O305" s="5" t="s">
        <v>209</v>
      </c>
      <c r="W305" s="5" t="s">
        <v>207</v>
      </c>
      <c r="Y305" s="5" t="s">
        <v>209</v>
      </c>
      <c r="AD305" s="5" t="s">
        <v>209</v>
      </c>
      <c r="AH305" s="5" t="s">
        <v>275</v>
      </c>
      <c r="AI305" s="5">
        <v>2019</v>
      </c>
      <c r="AJ305" s="5" t="s">
        <v>238</v>
      </c>
      <c r="AK305" s="5" t="str">
        <f t="shared" si="868"/>
        <v>Trabajadora por cuenta propia</v>
      </c>
      <c r="AM305" s="5" t="s">
        <v>309</v>
      </c>
      <c r="AP305" s="5" t="s">
        <v>284</v>
      </c>
      <c r="AR305" s="5" t="s">
        <v>301</v>
      </c>
      <c r="AS305" s="5" t="s">
        <v>301</v>
      </c>
      <c r="AT305" s="5" t="s">
        <v>301</v>
      </c>
      <c r="AU305" s="5" t="s">
        <v>241</v>
      </c>
      <c r="AV305" s="5" t="s">
        <v>269</v>
      </c>
      <c r="AW305" s="5" t="s">
        <v>204</v>
      </c>
      <c r="AX305" s="5" t="s">
        <v>204</v>
      </c>
      <c r="AY305" s="5" t="s">
        <v>214</v>
      </c>
      <c r="AZ305" s="5" t="s">
        <v>204</v>
      </c>
      <c r="BA305" s="5" t="s">
        <v>263</v>
      </c>
      <c r="BF305" s="5" t="s">
        <v>204</v>
      </c>
      <c r="BG305" s="5" t="s">
        <v>278</v>
      </c>
      <c r="BH305" s="5" t="s">
        <v>278</v>
      </c>
      <c r="BI305" s="5" t="s">
        <v>278</v>
      </c>
      <c r="BJ305" s="5" t="s">
        <v>278</v>
      </c>
      <c r="BK305" s="5" t="s">
        <v>244</v>
      </c>
      <c r="BL305" s="5" t="s">
        <v>244</v>
      </c>
      <c r="BM305" s="5" t="s">
        <v>243</v>
      </c>
      <c r="BN305" s="5" t="s">
        <v>245</v>
      </c>
      <c r="BO305" s="5" t="s">
        <v>244</v>
      </c>
      <c r="BP305" s="5" t="s">
        <v>244</v>
      </c>
      <c r="BQ305" s="5" t="s">
        <v>244</v>
      </c>
      <c r="BR305" s="5" t="s">
        <v>244</v>
      </c>
      <c r="BS305" s="5" t="s">
        <v>232</v>
      </c>
      <c r="BT305" s="5" t="s">
        <v>232</v>
      </c>
      <c r="BU305" s="5" t="s">
        <v>248</v>
      </c>
      <c r="BV305" s="5" t="s">
        <v>248</v>
      </c>
      <c r="BW305" s="5" t="s">
        <v>248</v>
      </c>
      <c r="BX305" s="5" t="s">
        <v>248</v>
      </c>
      <c r="BY305" s="5" t="s">
        <v>248</v>
      </c>
      <c r="BZ305" s="5" t="s">
        <v>244</v>
      </c>
      <c r="CA305" s="5" t="s">
        <v>244</v>
      </c>
      <c r="CB305" s="5" t="s">
        <v>244</v>
      </c>
      <c r="CC305" s="5" t="s">
        <v>243</v>
      </c>
      <c r="CD305" s="5" t="s">
        <v>206</v>
      </c>
      <c r="CH305" s="5" t="s">
        <v>206</v>
      </c>
      <c r="CI305" s="5" t="s">
        <v>249</v>
      </c>
      <c r="CJ305" s="5">
        <v>1</v>
      </c>
      <c r="CK305" s="5" t="s">
        <v>223</v>
      </c>
      <c r="CU305" s="5" t="s">
        <v>206</v>
      </c>
      <c r="DA305" s="5" t="s">
        <v>252</v>
      </c>
      <c r="DB305" s="5">
        <f t="shared" si="869"/>
        <v>3</v>
      </c>
      <c r="DC305" s="5" t="s">
        <v>250</v>
      </c>
      <c r="DD305" s="5">
        <f t="shared" si="870"/>
        <v>3</v>
      </c>
      <c r="DE305" s="5" t="s">
        <v>250</v>
      </c>
      <c r="DF305" s="5">
        <f t="shared" si="871"/>
        <v>3</v>
      </c>
      <c r="DG305" s="5" t="s">
        <v>230</v>
      </c>
      <c r="DH305" s="5">
        <f t="shared" si="872"/>
        <v>2</v>
      </c>
      <c r="DI305" s="5" t="s">
        <v>251</v>
      </c>
      <c r="DJ305" s="5">
        <f t="shared" si="873"/>
        <v>1</v>
      </c>
      <c r="DK305" s="5" t="s">
        <v>251</v>
      </c>
      <c r="DL305" s="5">
        <f t="shared" si="874"/>
        <v>1</v>
      </c>
      <c r="DM305" s="5" t="s">
        <v>251</v>
      </c>
      <c r="DN305" s="5">
        <f t="shared" si="875"/>
        <v>1</v>
      </c>
      <c r="DO305" s="5" t="s">
        <v>231</v>
      </c>
      <c r="DP305" s="5">
        <f t="shared" si="876"/>
        <v>2</v>
      </c>
      <c r="DQ305" s="5" t="s">
        <v>231</v>
      </c>
      <c r="DR305" s="5">
        <f t="shared" si="877"/>
        <v>2</v>
      </c>
      <c r="DS305" s="5" t="s">
        <v>231</v>
      </c>
      <c r="DT305" s="5">
        <f t="shared" si="878"/>
        <v>2</v>
      </c>
      <c r="DU305" s="5" t="s">
        <v>231</v>
      </c>
      <c r="DV305" s="5">
        <f t="shared" si="879"/>
        <v>2</v>
      </c>
      <c r="DW305" s="5" t="s">
        <v>231</v>
      </c>
      <c r="DX305" s="5">
        <f t="shared" si="880"/>
        <v>2</v>
      </c>
      <c r="DY305" s="5">
        <f t="shared" si="881"/>
        <v>24</v>
      </c>
      <c r="DZ305" s="5" t="str">
        <f t="shared" si="882"/>
        <v>Nivel de riesgo alto</v>
      </c>
      <c r="EA305" s="5" t="s">
        <v>248</v>
      </c>
      <c r="EB305" s="5">
        <f t="shared" si="883"/>
        <v>1</v>
      </c>
      <c r="EC305" s="5" t="s">
        <v>247</v>
      </c>
      <c r="ED305" s="5">
        <f t="shared" si="884"/>
        <v>2</v>
      </c>
      <c r="EE305" s="5" t="s">
        <v>253</v>
      </c>
      <c r="EF305" s="5">
        <f t="shared" si="885"/>
        <v>0</v>
      </c>
      <c r="EG305" s="5">
        <f t="shared" si="886"/>
        <v>3</v>
      </c>
      <c r="EH305" s="5" t="str">
        <f t="shared" si="887"/>
        <v>Nivel de riesgo medio</v>
      </c>
      <c r="EI305" s="5" t="s">
        <v>248</v>
      </c>
      <c r="EJ305" s="5">
        <f t="shared" si="888"/>
        <v>1</v>
      </c>
      <c r="EK305" s="5" t="s">
        <v>253</v>
      </c>
      <c r="EL305" s="5">
        <f t="shared" si="889"/>
        <v>0</v>
      </c>
      <c r="EM305" s="5" t="s">
        <v>253</v>
      </c>
      <c r="EN305" s="5">
        <f t="shared" si="890"/>
        <v>0</v>
      </c>
      <c r="EO305" s="5">
        <f t="shared" si="891"/>
        <v>1</v>
      </c>
      <c r="EP305" s="5" t="str">
        <f t="shared" si="892"/>
        <v>Nivel de riesgo bajo</v>
      </c>
      <c r="EQ305" s="5" t="s">
        <v>253</v>
      </c>
      <c r="ER305" s="5">
        <f t="shared" si="893"/>
        <v>4</v>
      </c>
      <c r="ES305" s="5" t="s">
        <v>247</v>
      </c>
      <c r="ET305" s="5">
        <f t="shared" si="894"/>
        <v>2</v>
      </c>
      <c r="EU305" s="5" t="s">
        <v>254</v>
      </c>
      <c r="EV305" s="5">
        <f t="shared" si="895"/>
        <v>0</v>
      </c>
      <c r="EW305" s="5" t="s">
        <v>254</v>
      </c>
      <c r="EX305" s="5">
        <f t="shared" si="896"/>
        <v>0</v>
      </c>
      <c r="EY305" s="5">
        <f t="shared" si="897"/>
        <v>6</v>
      </c>
      <c r="EZ305" s="5" t="str">
        <f t="shared" si="898"/>
        <v>Nivel de riesgo alto</v>
      </c>
      <c r="FA305" s="5" t="s">
        <v>248</v>
      </c>
      <c r="FB305" s="5">
        <f t="shared" si="899"/>
        <v>1</v>
      </c>
      <c r="FC305" s="5" t="s">
        <v>253</v>
      </c>
      <c r="FD305" s="5">
        <f t="shared" si="900"/>
        <v>0</v>
      </c>
      <c r="FE305" s="5" t="s">
        <v>253</v>
      </c>
      <c r="FF305" s="5">
        <f t="shared" si="901"/>
        <v>0</v>
      </c>
      <c r="FG305" s="5">
        <f t="shared" si="902"/>
        <v>1</v>
      </c>
      <c r="FH305" s="5" t="str">
        <f t="shared" si="903"/>
        <v>Nivel de riesgo bajo</v>
      </c>
      <c r="FI305" s="5" t="s">
        <v>253</v>
      </c>
      <c r="FJ305" s="5">
        <f t="shared" si="904"/>
        <v>0</v>
      </c>
      <c r="FK305" s="5" t="s">
        <v>248</v>
      </c>
      <c r="FL305" s="5">
        <f t="shared" si="905"/>
        <v>1</v>
      </c>
      <c r="FM305" s="5" t="s">
        <v>247</v>
      </c>
      <c r="FN305" s="5">
        <f t="shared" si="906"/>
        <v>2</v>
      </c>
      <c r="FO305" s="5">
        <f t="shared" si="907"/>
        <v>3</v>
      </c>
      <c r="FP305" s="5" t="str">
        <f t="shared" si="908"/>
        <v>Nivel de riesgo medio</v>
      </c>
      <c r="FQ305" s="5" t="s">
        <v>206</v>
      </c>
      <c r="FR305" s="5">
        <f t="shared" si="909"/>
        <v>0</v>
      </c>
      <c r="FS305" s="5" t="s">
        <v>206</v>
      </c>
      <c r="FT305" s="5">
        <f t="shared" si="910"/>
        <v>0</v>
      </c>
      <c r="FU305" s="5" t="s">
        <v>206</v>
      </c>
      <c r="FV305" s="5">
        <f t="shared" si="911"/>
        <v>0</v>
      </c>
      <c r="FW305" s="5" t="s">
        <v>206</v>
      </c>
      <c r="FX305" s="5">
        <f t="shared" si="912"/>
        <v>0</v>
      </c>
      <c r="FY305" s="5" t="s">
        <v>206</v>
      </c>
      <c r="FZ305" s="5">
        <f t="shared" si="913"/>
        <v>0</v>
      </c>
      <c r="GA305" s="5" t="s">
        <v>206</v>
      </c>
      <c r="GB305" s="5">
        <f t="shared" si="914"/>
        <v>0</v>
      </c>
      <c r="GC305" s="5" t="s">
        <v>206</v>
      </c>
      <c r="GD305" s="5">
        <f t="shared" si="915"/>
        <v>0</v>
      </c>
      <c r="GE305" s="5">
        <f t="shared" si="916"/>
        <v>0</v>
      </c>
      <c r="GF305" s="5" t="str">
        <f t="shared" si="917"/>
        <v>Nivel de riesgo bajo</v>
      </c>
      <c r="GG305" s="5" t="s">
        <v>255</v>
      </c>
      <c r="GH305" s="5" t="s">
        <v>255</v>
      </c>
      <c r="GI305" s="5" t="s">
        <v>255</v>
      </c>
      <c r="GJ305" s="5" t="s">
        <v>255</v>
      </c>
      <c r="GK305" s="5" t="s">
        <v>233</v>
      </c>
      <c r="GL305" s="5" t="s">
        <v>233</v>
      </c>
      <c r="GM305" s="5" t="s">
        <v>255</v>
      </c>
      <c r="GN305" s="5" t="s">
        <v>243</v>
      </c>
      <c r="GO305" s="5" t="s">
        <v>243</v>
      </c>
      <c r="GP305" s="5" t="s">
        <v>243</v>
      </c>
      <c r="GQ305" s="5" t="s">
        <v>257</v>
      </c>
      <c r="GR305" s="5" t="s">
        <v>257</v>
      </c>
      <c r="GS305" s="5" t="s">
        <v>257</v>
      </c>
      <c r="GT305" s="5" t="s">
        <v>243</v>
      </c>
      <c r="GU305" s="5" t="s">
        <v>662</v>
      </c>
      <c r="GV305" s="5" t="str">
        <f>TEXT("6280011338913703735","0")</f>
        <v>6280011338913700000</v>
      </c>
    </row>
    <row r="306" spans="1:204" ht="15.75" customHeight="1" x14ac:dyDescent="0.15">
      <c r="A306" s="1">
        <f t="shared" si="867"/>
        <v>306</v>
      </c>
      <c r="B306" s="4">
        <v>45848.846296296295</v>
      </c>
      <c r="C306" s="5" t="s">
        <v>204</v>
      </c>
      <c r="D306" s="5" t="s">
        <v>206</v>
      </c>
      <c r="F306" s="5" t="s">
        <v>206</v>
      </c>
      <c r="G306" s="5" t="s">
        <v>206</v>
      </c>
      <c r="H306" s="5" t="s">
        <v>206</v>
      </c>
      <c r="K306" s="5" t="s">
        <v>237</v>
      </c>
      <c r="O306" s="5" t="s">
        <v>209</v>
      </c>
      <c r="T306" s="5" t="s">
        <v>209</v>
      </c>
      <c r="Y306" s="5" t="s">
        <v>209</v>
      </c>
      <c r="AD306" s="5" t="s">
        <v>209</v>
      </c>
      <c r="AH306" s="5" t="s">
        <v>268</v>
      </c>
      <c r="AI306" s="5">
        <v>2014</v>
      </c>
      <c r="AJ306" s="5" t="s">
        <v>337</v>
      </c>
      <c r="AK306" s="5" t="str">
        <f t="shared" si="868"/>
        <v>Asalariada</v>
      </c>
      <c r="AQ306" s="5" t="s">
        <v>204</v>
      </c>
      <c r="AR306" s="5" t="s">
        <v>301</v>
      </c>
      <c r="AS306" s="5" t="s">
        <v>301</v>
      </c>
      <c r="AT306" s="5" t="s">
        <v>241</v>
      </c>
      <c r="AU306" s="5" t="s">
        <v>241</v>
      </c>
      <c r="AV306" s="5" t="s">
        <v>285</v>
      </c>
      <c r="AW306" s="5" t="s">
        <v>204</v>
      </c>
      <c r="AX306" s="5" t="s">
        <v>204</v>
      </c>
      <c r="AY306" s="5" t="s">
        <v>214</v>
      </c>
      <c r="AZ306" s="5" t="s">
        <v>204</v>
      </c>
      <c r="BA306" s="5" t="s">
        <v>263</v>
      </c>
      <c r="BF306" s="5" t="s">
        <v>204</v>
      </c>
      <c r="BG306" s="5" t="s">
        <v>278</v>
      </c>
      <c r="BH306" s="5" t="s">
        <v>278</v>
      </c>
      <c r="BI306" s="5" t="s">
        <v>278</v>
      </c>
      <c r="BJ306" s="5" t="s">
        <v>278</v>
      </c>
      <c r="BK306" s="5" t="s">
        <v>243</v>
      </c>
      <c r="BL306" s="5" t="s">
        <v>245</v>
      </c>
      <c r="BM306" s="5" t="s">
        <v>243</v>
      </c>
      <c r="BN306" s="5" t="s">
        <v>246</v>
      </c>
      <c r="BO306" s="5" t="s">
        <v>246</v>
      </c>
      <c r="BP306" s="5" t="s">
        <v>243</v>
      </c>
      <c r="BQ306" s="5" t="s">
        <v>246</v>
      </c>
      <c r="BR306" s="5" t="s">
        <v>244</v>
      </c>
      <c r="BS306" s="5" t="s">
        <v>254</v>
      </c>
      <c r="BT306" s="5" t="s">
        <v>247</v>
      </c>
      <c r="BU306" s="5" t="s">
        <v>217</v>
      </c>
      <c r="BV306" s="5" t="s">
        <v>248</v>
      </c>
      <c r="BW306" s="5" t="s">
        <v>248</v>
      </c>
      <c r="BX306" s="5" t="s">
        <v>247</v>
      </c>
      <c r="BY306" s="5" t="s">
        <v>217</v>
      </c>
      <c r="BZ306" s="5" t="s">
        <v>246</v>
      </c>
      <c r="CA306" s="5" t="s">
        <v>246</v>
      </c>
      <c r="CB306" s="5" t="s">
        <v>244</v>
      </c>
      <c r="CC306" s="5" t="s">
        <v>246</v>
      </c>
      <c r="CD306" s="5" t="s">
        <v>204</v>
      </c>
      <c r="CE306" s="5" t="s">
        <v>286</v>
      </c>
      <c r="CF306" s="5" t="s">
        <v>219</v>
      </c>
      <c r="CG306" s="5" t="s">
        <v>206</v>
      </c>
      <c r="CH306" s="5" t="s">
        <v>206</v>
      </c>
      <c r="CI306" s="5" t="s">
        <v>206</v>
      </c>
      <c r="CJ306" s="5">
        <v>0</v>
      </c>
      <c r="CK306" s="5" t="s">
        <v>223</v>
      </c>
      <c r="CU306" s="5" t="s">
        <v>206</v>
      </c>
      <c r="DA306" s="5" t="s">
        <v>231</v>
      </c>
      <c r="DB306" s="5">
        <f t="shared" si="869"/>
        <v>2</v>
      </c>
      <c r="DC306" s="5" t="s">
        <v>251</v>
      </c>
      <c r="DD306" s="5">
        <f t="shared" si="870"/>
        <v>1</v>
      </c>
      <c r="DE306" s="5" t="s">
        <v>230</v>
      </c>
      <c r="DF306" s="5">
        <f t="shared" si="871"/>
        <v>2</v>
      </c>
      <c r="DG306" s="5" t="s">
        <v>251</v>
      </c>
      <c r="DH306" s="5">
        <f t="shared" si="872"/>
        <v>1</v>
      </c>
      <c r="DI306" s="5" t="s">
        <v>251</v>
      </c>
      <c r="DJ306" s="5">
        <f t="shared" si="873"/>
        <v>1</v>
      </c>
      <c r="DK306" s="5" t="s">
        <v>251</v>
      </c>
      <c r="DL306" s="5">
        <f t="shared" si="874"/>
        <v>1</v>
      </c>
      <c r="DM306" s="5" t="s">
        <v>251</v>
      </c>
      <c r="DN306" s="5">
        <f t="shared" si="875"/>
        <v>1</v>
      </c>
      <c r="DO306" s="5" t="s">
        <v>281</v>
      </c>
      <c r="DP306" s="5">
        <f t="shared" si="876"/>
        <v>1</v>
      </c>
      <c r="DQ306" s="5" t="s">
        <v>281</v>
      </c>
      <c r="DR306" s="5">
        <f t="shared" si="877"/>
        <v>1</v>
      </c>
      <c r="DS306" s="5" t="s">
        <v>281</v>
      </c>
      <c r="DT306" s="5">
        <f t="shared" si="878"/>
        <v>1</v>
      </c>
      <c r="DU306" s="5" t="s">
        <v>281</v>
      </c>
      <c r="DV306" s="5">
        <f t="shared" si="879"/>
        <v>1</v>
      </c>
      <c r="DW306" s="5" t="s">
        <v>281</v>
      </c>
      <c r="DX306" s="5">
        <f t="shared" si="880"/>
        <v>1</v>
      </c>
      <c r="DY306" s="5">
        <f t="shared" si="881"/>
        <v>14</v>
      </c>
      <c r="DZ306" s="5" t="str">
        <f t="shared" si="882"/>
        <v>Nivel de riesgo bajo</v>
      </c>
      <c r="EA306" s="5" t="s">
        <v>248</v>
      </c>
      <c r="EB306" s="5">
        <f t="shared" si="883"/>
        <v>1</v>
      </c>
      <c r="EC306" s="5" t="s">
        <v>253</v>
      </c>
      <c r="ED306" s="5">
        <f t="shared" si="884"/>
        <v>0</v>
      </c>
      <c r="EE306" s="5" t="s">
        <v>253</v>
      </c>
      <c r="EF306" s="5">
        <f t="shared" si="885"/>
        <v>0</v>
      </c>
      <c r="EG306" s="5">
        <f t="shared" si="886"/>
        <v>1</v>
      </c>
      <c r="EH306" s="5" t="str">
        <f t="shared" si="887"/>
        <v>Nivel de riesgo bajo</v>
      </c>
      <c r="EI306" s="5" t="s">
        <v>232</v>
      </c>
      <c r="EJ306" s="5">
        <f t="shared" si="888"/>
        <v>3</v>
      </c>
      <c r="EK306" s="5" t="s">
        <v>232</v>
      </c>
      <c r="EL306" s="5">
        <f t="shared" si="889"/>
        <v>3</v>
      </c>
      <c r="EM306" s="5" t="s">
        <v>247</v>
      </c>
      <c r="EN306" s="5">
        <f t="shared" si="890"/>
        <v>2</v>
      </c>
      <c r="EO306" s="5">
        <f t="shared" si="891"/>
        <v>8</v>
      </c>
      <c r="EP306" s="5" t="str">
        <f t="shared" si="892"/>
        <v>Nivel de riesgo alto</v>
      </c>
      <c r="EQ306" s="5" t="s">
        <v>254</v>
      </c>
      <c r="ER306" s="5">
        <f t="shared" si="893"/>
        <v>0</v>
      </c>
      <c r="ES306" s="5" t="s">
        <v>232</v>
      </c>
      <c r="ET306" s="5">
        <f t="shared" si="894"/>
        <v>1</v>
      </c>
      <c r="EU306" s="5" t="s">
        <v>232</v>
      </c>
      <c r="EV306" s="5">
        <f t="shared" si="895"/>
        <v>1</v>
      </c>
      <c r="EW306" s="5" t="s">
        <v>254</v>
      </c>
      <c r="EX306" s="5">
        <f t="shared" si="896"/>
        <v>0</v>
      </c>
      <c r="EY306" s="5">
        <f t="shared" si="897"/>
        <v>2</v>
      </c>
      <c r="EZ306" s="5" t="str">
        <f t="shared" si="898"/>
        <v>Nivel de riesgo medio</v>
      </c>
      <c r="FA306" s="5" t="s">
        <v>253</v>
      </c>
      <c r="FB306" s="5">
        <f t="shared" si="899"/>
        <v>0</v>
      </c>
      <c r="FC306" s="5" t="s">
        <v>253</v>
      </c>
      <c r="FD306" s="5">
        <f t="shared" si="900"/>
        <v>0</v>
      </c>
      <c r="FE306" s="5" t="s">
        <v>253</v>
      </c>
      <c r="FF306" s="5">
        <f t="shared" si="901"/>
        <v>0</v>
      </c>
      <c r="FG306" s="5">
        <f t="shared" si="902"/>
        <v>0</v>
      </c>
      <c r="FH306" s="5" t="str">
        <f t="shared" si="903"/>
        <v>Nivel de riesgo bajo</v>
      </c>
      <c r="FI306" s="5" t="s">
        <v>253</v>
      </c>
      <c r="FJ306" s="5">
        <f t="shared" si="904"/>
        <v>0</v>
      </c>
      <c r="FK306" s="5" t="s">
        <v>253</v>
      </c>
      <c r="FL306" s="5">
        <f t="shared" si="905"/>
        <v>0</v>
      </c>
      <c r="FM306" s="5" t="s">
        <v>253</v>
      </c>
      <c r="FN306" s="5">
        <f t="shared" si="906"/>
        <v>0</v>
      </c>
      <c r="FO306" s="5">
        <f t="shared" si="907"/>
        <v>0</v>
      </c>
      <c r="FP306" s="5" t="str">
        <f t="shared" si="908"/>
        <v>Nivel de riesgo bajo</v>
      </c>
      <c r="FQ306" s="5" t="s">
        <v>206</v>
      </c>
      <c r="FR306" s="5">
        <f t="shared" si="909"/>
        <v>0</v>
      </c>
      <c r="FS306" s="5" t="s">
        <v>206</v>
      </c>
      <c r="FT306" s="5">
        <f t="shared" si="910"/>
        <v>0</v>
      </c>
      <c r="FU306" s="5" t="s">
        <v>206</v>
      </c>
      <c r="FV306" s="5">
        <f t="shared" si="911"/>
        <v>0</v>
      </c>
      <c r="FW306" s="5" t="s">
        <v>206</v>
      </c>
      <c r="FX306" s="5">
        <f t="shared" si="912"/>
        <v>0</v>
      </c>
      <c r="FY306" s="5" t="s">
        <v>265</v>
      </c>
      <c r="FZ306" s="5">
        <f t="shared" si="913"/>
        <v>1</v>
      </c>
      <c r="GA306" s="5" t="s">
        <v>206</v>
      </c>
      <c r="GB306" s="5">
        <f t="shared" si="914"/>
        <v>0</v>
      </c>
      <c r="GC306" s="5" t="s">
        <v>206</v>
      </c>
      <c r="GD306" s="5">
        <f t="shared" si="915"/>
        <v>0</v>
      </c>
      <c r="GE306" s="5">
        <f t="shared" si="916"/>
        <v>1</v>
      </c>
      <c r="GF306" s="5" t="str">
        <f t="shared" si="917"/>
        <v>Nivel de riesgo medio</v>
      </c>
      <c r="GG306" s="5" t="s">
        <v>273</v>
      </c>
      <c r="GH306" s="5" t="s">
        <v>273</v>
      </c>
      <c r="GI306" s="5" t="s">
        <v>255</v>
      </c>
      <c r="GJ306" s="5" t="s">
        <v>266</v>
      </c>
      <c r="GK306" s="5" t="s">
        <v>233</v>
      </c>
      <c r="GL306" s="5" t="s">
        <v>273</v>
      </c>
      <c r="GM306" s="5" t="s">
        <v>233</v>
      </c>
      <c r="GN306" s="5" t="s">
        <v>256</v>
      </c>
      <c r="GO306" s="5" t="s">
        <v>257</v>
      </c>
      <c r="GP306" s="5" t="s">
        <v>256</v>
      </c>
      <c r="GQ306" s="5" t="s">
        <v>256</v>
      </c>
      <c r="GR306" s="5" t="s">
        <v>243</v>
      </c>
      <c r="GS306" s="5" t="s">
        <v>243</v>
      </c>
      <c r="GT306" s="5" t="s">
        <v>243</v>
      </c>
      <c r="GU306" s="5" t="s">
        <v>663</v>
      </c>
      <c r="GV306" s="5" t="str">
        <f>TEXT("6280023203817601861","0")</f>
        <v>6280023203817600000</v>
      </c>
    </row>
    <row r="307" spans="1:204" ht="15.75" customHeight="1" x14ac:dyDescent="0.15">
      <c r="A307" s="1">
        <f t="shared" si="867"/>
        <v>307</v>
      </c>
      <c r="B307" s="4">
        <v>45848.855266203704</v>
      </c>
      <c r="C307" s="5" t="s">
        <v>204</v>
      </c>
      <c r="D307" s="5" t="s">
        <v>206</v>
      </c>
      <c r="F307" s="5" t="s">
        <v>206</v>
      </c>
      <c r="G307" s="5" t="s">
        <v>206</v>
      </c>
      <c r="H307" s="5" t="s">
        <v>206</v>
      </c>
      <c r="J307" s="5" t="s">
        <v>209</v>
      </c>
      <c r="P307" s="5" t="s">
        <v>237</v>
      </c>
      <c r="S307" s="5" t="s">
        <v>208</v>
      </c>
      <c r="X307" s="5" t="s">
        <v>208</v>
      </c>
      <c r="AD307" s="5" t="s">
        <v>209</v>
      </c>
      <c r="AE307" s="5" t="s">
        <v>237</v>
      </c>
      <c r="AH307" s="5" t="s">
        <v>210</v>
      </c>
      <c r="AI307" s="5">
        <v>2021</v>
      </c>
      <c r="AJ307" s="5" t="s">
        <v>238</v>
      </c>
      <c r="AK307" s="5" t="str">
        <f t="shared" si="868"/>
        <v>Trabajadora por cuenta propia</v>
      </c>
      <c r="AM307" s="5" t="s">
        <v>309</v>
      </c>
      <c r="AP307" s="5" t="s">
        <v>664</v>
      </c>
      <c r="AR307" s="5" t="s">
        <v>261</v>
      </c>
      <c r="AS307" s="5" t="s">
        <v>261</v>
      </c>
      <c r="AT307" s="5" t="s">
        <v>261</v>
      </c>
      <c r="AU307" s="5" t="s">
        <v>294</v>
      </c>
      <c r="AV307" s="5" t="s">
        <v>302</v>
      </c>
      <c r="AW307" s="5" t="s">
        <v>204</v>
      </c>
      <c r="AX307" s="5" t="s">
        <v>206</v>
      </c>
      <c r="BF307" s="5" t="s">
        <v>204</v>
      </c>
      <c r="BG307" s="5" t="s">
        <v>271</v>
      </c>
      <c r="BH307" s="5" t="s">
        <v>215</v>
      </c>
      <c r="BI307" s="5" t="s">
        <v>271</v>
      </c>
      <c r="BJ307" s="5" t="s">
        <v>242</v>
      </c>
      <c r="BK307" s="5" t="s">
        <v>245</v>
      </c>
      <c r="BL307" s="5" t="s">
        <v>243</v>
      </c>
      <c r="BM307" s="5" t="s">
        <v>243</v>
      </c>
      <c r="BN307" s="5" t="s">
        <v>246</v>
      </c>
      <c r="BO307" s="5" t="s">
        <v>246</v>
      </c>
      <c r="BP307" s="5" t="s">
        <v>243</v>
      </c>
      <c r="BQ307" s="5" t="s">
        <v>243</v>
      </c>
      <c r="BR307" s="5" t="s">
        <v>243</v>
      </c>
      <c r="BS307" s="5" t="s">
        <v>232</v>
      </c>
      <c r="BT307" s="5" t="s">
        <v>232</v>
      </c>
      <c r="BU307" s="5" t="s">
        <v>254</v>
      </c>
      <c r="BV307" s="5" t="s">
        <v>232</v>
      </c>
      <c r="BW307" s="5" t="s">
        <v>254</v>
      </c>
      <c r="BX307" s="5" t="s">
        <v>232</v>
      </c>
      <c r="BY307" s="5" t="s">
        <v>232</v>
      </c>
      <c r="BZ307" s="5" t="s">
        <v>243</v>
      </c>
      <c r="CA307" s="5" t="s">
        <v>243</v>
      </c>
      <c r="CB307" s="5" t="s">
        <v>243</v>
      </c>
      <c r="CC307" s="5" t="s">
        <v>243</v>
      </c>
      <c r="CD307" s="5" t="s">
        <v>206</v>
      </c>
      <c r="CH307" s="5" t="s">
        <v>206</v>
      </c>
      <c r="CI307" s="5" t="s">
        <v>307</v>
      </c>
      <c r="CJ307" s="5">
        <v>3</v>
      </c>
      <c r="CK307" s="5" t="s">
        <v>223</v>
      </c>
      <c r="CU307" s="5" t="s">
        <v>206</v>
      </c>
      <c r="DA307" s="5" t="s">
        <v>252</v>
      </c>
      <c r="DB307" s="5">
        <f t="shared" si="869"/>
        <v>3</v>
      </c>
      <c r="DC307" s="5" t="s">
        <v>250</v>
      </c>
      <c r="DD307" s="5">
        <f t="shared" si="870"/>
        <v>3</v>
      </c>
      <c r="DE307" s="5" t="s">
        <v>250</v>
      </c>
      <c r="DF307" s="5">
        <f t="shared" si="871"/>
        <v>3</v>
      </c>
      <c r="DG307" s="5" t="s">
        <v>250</v>
      </c>
      <c r="DH307" s="5">
        <f t="shared" si="872"/>
        <v>3</v>
      </c>
      <c r="DI307" s="5" t="s">
        <v>230</v>
      </c>
      <c r="DJ307" s="5">
        <f t="shared" si="873"/>
        <v>2</v>
      </c>
      <c r="DK307" s="5" t="s">
        <v>230</v>
      </c>
      <c r="DL307" s="5">
        <f t="shared" si="874"/>
        <v>2</v>
      </c>
      <c r="DM307" s="5" t="s">
        <v>251</v>
      </c>
      <c r="DN307" s="5">
        <f t="shared" si="875"/>
        <v>1</v>
      </c>
      <c r="DO307" s="5" t="s">
        <v>252</v>
      </c>
      <c r="DP307" s="5">
        <f t="shared" si="876"/>
        <v>3</v>
      </c>
      <c r="DQ307" s="5" t="s">
        <v>252</v>
      </c>
      <c r="DR307" s="5">
        <f t="shared" si="877"/>
        <v>3</v>
      </c>
      <c r="DS307" s="5" t="s">
        <v>252</v>
      </c>
      <c r="DT307" s="5">
        <f t="shared" si="878"/>
        <v>3</v>
      </c>
      <c r="DU307" s="5" t="s">
        <v>231</v>
      </c>
      <c r="DV307" s="5">
        <f t="shared" si="879"/>
        <v>2</v>
      </c>
      <c r="DW307" s="5" t="s">
        <v>231</v>
      </c>
      <c r="DX307" s="5">
        <f t="shared" si="880"/>
        <v>2</v>
      </c>
      <c r="DY307" s="5">
        <f t="shared" si="881"/>
        <v>30</v>
      </c>
      <c r="DZ307" s="5" t="str">
        <f t="shared" si="882"/>
        <v>Nivel de riesgo alto</v>
      </c>
      <c r="EA307" s="5" t="s">
        <v>247</v>
      </c>
      <c r="EB307" s="5">
        <f t="shared" si="883"/>
        <v>2</v>
      </c>
      <c r="EC307" s="5" t="s">
        <v>232</v>
      </c>
      <c r="ED307" s="5">
        <f t="shared" si="884"/>
        <v>3</v>
      </c>
      <c r="EE307" s="5" t="s">
        <v>247</v>
      </c>
      <c r="EF307" s="5">
        <f t="shared" si="885"/>
        <v>2</v>
      </c>
      <c r="EG307" s="5">
        <f t="shared" si="886"/>
        <v>7</v>
      </c>
      <c r="EH307" s="5" t="str">
        <f t="shared" si="887"/>
        <v>Nivel de riesgo alto</v>
      </c>
      <c r="EI307" s="5" t="s">
        <v>248</v>
      </c>
      <c r="EJ307" s="5">
        <f t="shared" si="888"/>
        <v>1</v>
      </c>
      <c r="EK307" s="5" t="s">
        <v>248</v>
      </c>
      <c r="EL307" s="5">
        <f t="shared" si="889"/>
        <v>1</v>
      </c>
      <c r="EM307" s="5" t="s">
        <v>253</v>
      </c>
      <c r="EN307" s="5">
        <f t="shared" si="890"/>
        <v>0</v>
      </c>
      <c r="EO307" s="5">
        <f t="shared" si="891"/>
        <v>2</v>
      </c>
      <c r="EP307" s="5" t="str">
        <f t="shared" si="892"/>
        <v>Nivel de riesgo medio</v>
      </c>
      <c r="EQ307" s="5" t="s">
        <v>247</v>
      </c>
      <c r="ER307" s="5">
        <f t="shared" si="893"/>
        <v>2</v>
      </c>
      <c r="ES307" s="5" t="s">
        <v>247</v>
      </c>
      <c r="ET307" s="5">
        <f t="shared" si="894"/>
        <v>2</v>
      </c>
      <c r="EU307" s="5" t="s">
        <v>232</v>
      </c>
      <c r="EV307" s="5">
        <f t="shared" si="895"/>
        <v>1</v>
      </c>
      <c r="EW307" s="5" t="s">
        <v>247</v>
      </c>
      <c r="EX307" s="5">
        <f t="shared" si="896"/>
        <v>2</v>
      </c>
      <c r="EY307" s="5">
        <f t="shared" si="897"/>
        <v>7</v>
      </c>
      <c r="EZ307" s="5" t="str">
        <f t="shared" si="898"/>
        <v>Nivel de riesgo alto</v>
      </c>
      <c r="FA307" s="5" t="s">
        <v>247</v>
      </c>
      <c r="FB307" s="5">
        <f t="shared" si="899"/>
        <v>2</v>
      </c>
      <c r="FC307" s="5" t="s">
        <v>248</v>
      </c>
      <c r="FD307" s="5">
        <f t="shared" si="900"/>
        <v>1</v>
      </c>
      <c r="FE307" s="5" t="s">
        <v>253</v>
      </c>
      <c r="FF307" s="5">
        <f t="shared" si="901"/>
        <v>0</v>
      </c>
      <c r="FG307" s="5">
        <f t="shared" si="902"/>
        <v>3</v>
      </c>
      <c r="FH307" s="5" t="str">
        <f t="shared" si="903"/>
        <v>Nivel de riesgo medio</v>
      </c>
      <c r="FI307" s="5" t="s">
        <v>248</v>
      </c>
      <c r="FJ307" s="5">
        <f t="shared" si="904"/>
        <v>1</v>
      </c>
      <c r="FK307" s="5" t="s">
        <v>247</v>
      </c>
      <c r="FL307" s="5">
        <f t="shared" si="905"/>
        <v>2</v>
      </c>
      <c r="FM307" s="5" t="s">
        <v>247</v>
      </c>
      <c r="FN307" s="5">
        <f t="shared" si="906"/>
        <v>2</v>
      </c>
      <c r="FO307" s="5">
        <f t="shared" si="907"/>
        <v>5</v>
      </c>
      <c r="FP307" s="5" t="str">
        <f t="shared" si="908"/>
        <v>Nivel de riesgo medio</v>
      </c>
      <c r="FQ307" s="5" t="s">
        <v>206</v>
      </c>
      <c r="FR307" s="5">
        <f t="shared" si="909"/>
        <v>0</v>
      </c>
      <c r="FS307" s="5" t="s">
        <v>206</v>
      </c>
      <c r="FT307" s="5">
        <f t="shared" si="910"/>
        <v>0</v>
      </c>
      <c r="FU307" s="5" t="s">
        <v>206</v>
      </c>
      <c r="FV307" s="5">
        <f t="shared" si="911"/>
        <v>0</v>
      </c>
      <c r="FW307" s="5" t="s">
        <v>206</v>
      </c>
      <c r="FX307" s="5">
        <f t="shared" si="912"/>
        <v>0</v>
      </c>
      <c r="FY307" s="5" t="s">
        <v>206</v>
      </c>
      <c r="FZ307" s="5">
        <f t="shared" si="913"/>
        <v>0</v>
      </c>
      <c r="GA307" s="5" t="s">
        <v>206</v>
      </c>
      <c r="GB307" s="5">
        <f t="shared" si="914"/>
        <v>0</v>
      </c>
      <c r="GC307" s="5" t="s">
        <v>206</v>
      </c>
      <c r="GD307" s="5">
        <f t="shared" si="915"/>
        <v>0</v>
      </c>
      <c r="GE307" s="5">
        <f t="shared" si="916"/>
        <v>0</v>
      </c>
      <c r="GF307" s="5" t="str">
        <f t="shared" si="917"/>
        <v>Nivel de riesgo bajo</v>
      </c>
      <c r="GG307" s="5" t="s">
        <v>255</v>
      </c>
      <c r="GH307" s="5" t="s">
        <v>273</v>
      </c>
      <c r="GI307" s="5" t="s">
        <v>273</v>
      </c>
      <c r="GJ307" s="5" t="s">
        <v>273</v>
      </c>
      <c r="GK307" s="5" t="s">
        <v>233</v>
      </c>
      <c r="GL307" s="5" t="s">
        <v>266</v>
      </c>
      <c r="GM307" s="5" t="s">
        <v>298</v>
      </c>
      <c r="GN307" s="5" t="s">
        <v>243</v>
      </c>
      <c r="GO307" s="5" t="s">
        <v>257</v>
      </c>
      <c r="GP307" s="5" t="s">
        <v>244</v>
      </c>
      <c r="GQ307" s="5" t="s">
        <v>257</v>
      </c>
      <c r="GR307" s="5" t="s">
        <v>244</v>
      </c>
      <c r="GS307" s="5" t="s">
        <v>243</v>
      </c>
      <c r="GT307" s="5" t="s">
        <v>243</v>
      </c>
      <c r="GU307" s="5" t="s">
        <v>665</v>
      </c>
      <c r="GV307" s="5" t="str">
        <f>TEXT("6280030952713044078","0")</f>
        <v>6280030952713040000</v>
      </c>
    </row>
    <row r="308" spans="1:204" ht="15.75" customHeight="1" x14ac:dyDescent="0.15">
      <c r="A308" s="1">
        <f t="shared" si="867"/>
        <v>308</v>
      </c>
      <c r="B308" s="4">
        <v>45848.858043981483</v>
      </c>
      <c r="C308" s="5" t="s">
        <v>204</v>
      </c>
      <c r="D308" s="5" t="s">
        <v>204</v>
      </c>
      <c r="E308" s="5" t="s">
        <v>335</v>
      </c>
      <c r="F308" s="5" t="s">
        <v>206</v>
      </c>
      <c r="G308" s="5" t="s">
        <v>204</v>
      </c>
      <c r="H308" s="5" t="s">
        <v>206</v>
      </c>
      <c r="J308" s="5" t="s">
        <v>209</v>
      </c>
      <c r="P308" s="5" t="s">
        <v>237</v>
      </c>
      <c r="S308" s="5" t="s">
        <v>208</v>
      </c>
      <c r="Z308" s="5" t="s">
        <v>237</v>
      </c>
      <c r="AD308" s="5" t="s">
        <v>209</v>
      </c>
      <c r="AH308" s="5" t="s">
        <v>275</v>
      </c>
      <c r="AI308" s="5">
        <v>2022</v>
      </c>
      <c r="AJ308" s="5" t="s">
        <v>238</v>
      </c>
      <c r="AK308" s="5" t="str">
        <f t="shared" si="868"/>
        <v>Trabajadora por cuenta propia</v>
      </c>
      <c r="AM308" s="5" t="s">
        <v>309</v>
      </c>
      <c r="AP308" s="5" t="s">
        <v>297</v>
      </c>
      <c r="AR308" s="5" t="s">
        <v>276</v>
      </c>
      <c r="AS308" s="5" t="s">
        <v>276</v>
      </c>
      <c r="AT308" s="5" t="s">
        <v>276</v>
      </c>
      <c r="AU308" s="5" t="s">
        <v>276</v>
      </c>
      <c r="AV308" s="5" t="s">
        <v>213</v>
      </c>
      <c r="AW308" s="5" t="s">
        <v>206</v>
      </c>
      <c r="BF308" s="5" t="s">
        <v>206</v>
      </c>
      <c r="CK308" s="5" t="s">
        <v>223</v>
      </c>
      <c r="CU308" s="5" t="s">
        <v>206</v>
      </c>
      <c r="DA308" s="5" t="s">
        <v>231</v>
      </c>
      <c r="DB308" s="5">
        <f t="shared" si="869"/>
        <v>2</v>
      </c>
      <c r="DC308" s="5" t="s">
        <v>230</v>
      </c>
      <c r="DD308" s="5">
        <f t="shared" si="870"/>
        <v>2</v>
      </c>
      <c r="DE308" s="5" t="s">
        <v>230</v>
      </c>
      <c r="DF308" s="5">
        <f t="shared" si="871"/>
        <v>2</v>
      </c>
      <c r="DG308" s="5" t="s">
        <v>230</v>
      </c>
      <c r="DH308" s="5">
        <f t="shared" si="872"/>
        <v>2</v>
      </c>
      <c r="DI308" s="5" t="s">
        <v>230</v>
      </c>
      <c r="DJ308" s="5">
        <f t="shared" si="873"/>
        <v>2</v>
      </c>
      <c r="DK308" s="5" t="s">
        <v>230</v>
      </c>
      <c r="DL308" s="5">
        <f t="shared" si="874"/>
        <v>2</v>
      </c>
      <c r="DM308" s="5" t="s">
        <v>230</v>
      </c>
      <c r="DN308" s="5">
        <f t="shared" si="875"/>
        <v>2</v>
      </c>
      <c r="DO308" s="5" t="s">
        <v>281</v>
      </c>
      <c r="DP308" s="5">
        <f t="shared" si="876"/>
        <v>1</v>
      </c>
      <c r="DQ308" s="5" t="s">
        <v>231</v>
      </c>
      <c r="DR308" s="5">
        <f t="shared" si="877"/>
        <v>2</v>
      </c>
      <c r="DS308" s="5" t="s">
        <v>231</v>
      </c>
      <c r="DT308" s="5">
        <f t="shared" si="878"/>
        <v>2</v>
      </c>
      <c r="DU308" s="5" t="s">
        <v>231</v>
      </c>
      <c r="DV308" s="5">
        <f t="shared" si="879"/>
        <v>2</v>
      </c>
      <c r="DW308" s="5" t="s">
        <v>231</v>
      </c>
      <c r="DX308" s="5">
        <f t="shared" si="880"/>
        <v>2</v>
      </c>
      <c r="DY308" s="5">
        <f t="shared" si="881"/>
        <v>23</v>
      </c>
      <c r="DZ308" s="5" t="str">
        <f t="shared" si="882"/>
        <v>Nivel de riesgo medio</v>
      </c>
      <c r="EA308" s="5" t="s">
        <v>232</v>
      </c>
      <c r="EB308" s="5">
        <f t="shared" si="883"/>
        <v>3</v>
      </c>
      <c r="EC308" s="5" t="s">
        <v>248</v>
      </c>
      <c r="ED308" s="5">
        <f t="shared" si="884"/>
        <v>1</v>
      </c>
      <c r="EE308" s="5" t="s">
        <v>253</v>
      </c>
      <c r="EF308" s="5">
        <f t="shared" si="885"/>
        <v>0</v>
      </c>
      <c r="EG308" s="5">
        <f t="shared" si="886"/>
        <v>4</v>
      </c>
      <c r="EH308" s="5" t="str">
        <f t="shared" si="887"/>
        <v>Nivel de riesgo medio</v>
      </c>
      <c r="EI308" s="5" t="s">
        <v>253</v>
      </c>
      <c r="EJ308" s="5">
        <f t="shared" si="888"/>
        <v>0</v>
      </c>
      <c r="EK308" s="5" t="s">
        <v>248</v>
      </c>
      <c r="EL308" s="5">
        <f t="shared" si="889"/>
        <v>1</v>
      </c>
      <c r="EM308" s="5" t="s">
        <v>248</v>
      </c>
      <c r="EN308" s="5">
        <f t="shared" si="890"/>
        <v>1</v>
      </c>
      <c r="EO308" s="5">
        <f t="shared" si="891"/>
        <v>2</v>
      </c>
      <c r="EP308" s="5" t="str">
        <f t="shared" si="892"/>
        <v>Nivel de riesgo medio</v>
      </c>
      <c r="EQ308" s="5" t="s">
        <v>248</v>
      </c>
      <c r="ER308" s="5">
        <f t="shared" si="893"/>
        <v>3</v>
      </c>
      <c r="ES308" s="5" t="s">
        <v>253</v>
      </c>
      <c r="ET308" s="5">
        <f t="shared" si="894"/>
        <v>4</v>
      </c>
      <c r="EU308" s="5" t="s">
        <v>254</v>
      </c>
      <c r="EV308" s="5">
        <f t="shared" si="895"/>
        <v>0</v>
      </c>
      <c r="EW308" s="5" t="s">
        <v>254</v>
      </c>
      <c r="EX308" s="5">
        <f t="shared" si="896"/>
        <v>0</v>
      </c>
      <c r="EY308" s="5">
        <f t="shared" si="897"/>
        <v>7</v>
      </c>
      <c r="EZ308" s="5" t="str">
        <f t="shared" si="898"/>
        <v>Nivel de riesgo alto</v>
      </c>
      <c r="FA308" s="5" t="s">
        <v>248</v>
      </c>
      <c r="FB308" s="5">
        <f t="shared" si="899"/>
        <v>1</v>
      </c>
      <c r="FC308" s="5" t="s">
        <v>248</v>
      </c>
      <c r="FD308" s="5">
        <f t="shared" si="900"/>
        <v>1</v>
      </c>
      <c r="FE308" s="5" t="s">
        <v>248</v>
      </c>
      <c r="FF308" s="5">
        <f t="shared" si="901"/>
        <v>1</v>
      </c>
      <c r="FG308" s="5">
        <f t="shared" si="902"/>
        <v>3</v>
      </c>
      <c r="FH308" s="5" t="str">
        <f t="shared" si="903"/>
        <v>Nivel de riesgo medio</v>
      </c>
      <c r="FI308" s="5" t="s">
        <v>248</v>
      </c>
      <c r="FJ308" s="5">
        <f t="shared" si="904"/>
        <v>1</v>
      </c>
      <c r="FK308" s="5" t="s">
        <v>248</v>
      </c>
      <c r="FL308" s="5">
        <f t="shared" si="905"/>
        <v>1</v>
      </c>
      <c r="FM308" s="5" t="s">
        <v>248</v>
      </c>
      <c r="FN308" s="5">
        <f t="shared" si="906"/>
        <v>1</v>
      </c>
      <c r="FO308" s="5">
        <f t="shared" si="907"/>
        <v>3</v>
      </c>
      <c r="FP308" s="5" t="str">
        <f t="shared" si="908"/>
        <v>Nivel de riesgo medio</v>
      </c>
      <c r="FQ308" s="5" t="s">
        <v>206</v>
      </c>
      <c r="FR308" s="5">
        <f t="shared" si="909"/>
        <v>0</v>
      </c>
      <c r="FS308" s="5" t="s">
        <v>206</v>
      </c>
      <c r="FT308" s="5">
        <f t="shared" si="910"/>
        <v>0</v>
      </c>
      <c r="FU308" s="5" t="s">
        <v>206</v>
      </c>
      <c r="FV308" s="5">
        <f t="shared" si="911"/>
        <v>0</v>
      </c>
      <c r="FW308" s="5" t="s">
        <v>206</v>
      </c>
      <c r="FX308" s="5">
        <f t="shared" si="912"/>
        <v>0</v>
      </c>
      <c r="FY308" s="5" t="s">
        <v>206</v>
      </c>
      <c r="FZ308" s="5">
        <f t="shared" si="913"/>
        <v>0</v>
      </c>
      <c r="GA308" s="5" t="s">
        <v>206</v>
      </c>
      <c r="GB308" s="5">
        <f t="shared" si="914"/>
        <v>0</v>
      </c>
      <c r="GC308" s="5" t="s">
        <v>206</v>
      </c>
      <c r="GD308" s="5">
        <f t="shared" si="915"/>
        <v>0</v>
      </c>
      <c r="GE308" s="5">
        <f t="shared" si="916"/>
        <v>0</v>
      </c>
      <c r="GF308" s="5" t="str">
        <f t="shared" si="917"/>
        <v>Nivel de riesgo bajo</v>
      </c>
      <c r="GG308" s="5" t="s">
        <v>273</v>
      </c>
      <c r="GH308" s="5" t="s">
        <v>273</v>
      </c>
      <c r="GI308" s="5" t="s">
        <v>273</v>
      </c>
      <c r="GJ308" s="5" t="s">
        <v>266</v>
      </c>
      <c r="GK308" s="5" t="s">
        <v>233</v>
      </c>
      <c r="GL308" s="5" t="s">
        <v>266</v>
      </c>
      <c r="GM308" s="5" t="s">
        <v>266</v>
      </c>
      <c r="GN308" s="5" t="s">
        <v>234</v>
      </c>
      <c r="GO308" s="5" t="s">
        <v>257</v>
      </c>
      <c r="GP308" s="5" t="s">
        <v>234</v>
      </c>
      <c r="GQ308" s="5" t="s">
        <v>243</v>
      </c>
      <c r="GR308" s="5" t="s">
        <v>243</v>
      </c>
      <c r="GS308" s="5" t="s">
        <v>243</v>
      </c>
      <c r="GT308" s="5" t="s">
        <v>243</v>
      </c>
      <c r="GU308" s="5" t="s">
        <v>666</v>
      </c>
      <c r="GV308" s="5" t="str">
        <f>TEXT("6280033358321833670","0")</f>
        <v>6280033358321830000</v>
      </c>
    </row>
    <row r="309" spans="1:204" ht="15.75" hidden="1" customHeight="1" x14ac:dyDescent="0.15">
      <c r="B309" s="4">
        <v>45848.901990740742</v>
      </c>
      <c r="C309" s="5" t="s">
        <v>204</v>
      </c>
      <c r="D309" s="5" t="s">
        <v>206</v>
      </c>
      <c r="F309" s="5" t="s">
        <v>204</v>
      </c>
      <c r="G309" s="5" t="s">
        <v>204</v>
      </c>
      <c r="H309" s="5" t="s">
        <v>206</v>
      </c>
      <c r="J309" s="5" t="s">
        <v>209</v>
      </c>
      <c r="O309" s="5" t="s">
        <v>209</v>
      </c>
      <c r="S309" s="5" t="s">
        <v>208</v>
      </c>
      <c r="Y309" s="5" t="s">
        <v>209</v>
      </c>
      <c r="AC309" s="5" t="s">
        <v>208</v>
      </c>
      <c r="AH309" s="5" t="s">
        <v>210</v>
      </c>
      <c r="AI309" s="5">
        <v>2020</v>
      </c>
      <c r="AJ309" s="5" t="s">
        <v>293</v>
      </c>
      <c r="AK309" s="5"/>
      <c r="AR309" s="5" t="s">
        <v>301</v>
      </c>
      <c r="AS309" s="5" t="s">
        <v>301</v>
      </c>
      <c r="AT309" s="5" t="s">
        <v>241</v>
      </c>
      <c r="AU309" s="5" t="s">
        <v>241</v>
      </c>
      <c r="AV309" s="5" t="s">
        <v>285</v>
      </c>
      <c r="AW309" s="5" t="s">
        <v>204</v>
      </c>
      <c r="AX309" s="5" t="s">
        <v>206</v>
      </c>
      <c r="BF309" s="5" t="s">
        <v>204</v>
      </c>
      <c r="BG309" s="5" t="s">
        <v>264</v>
      </c>
      <c r="BH309" s="5" t="s">
        <v>215</v>
      </c>
      <c r="BI309" s="5" t="s">
        <v>264</v>
      </c>
      <c r="BJ309" s="5" t="s">
        <v>215</v>
      </c>
      <c r="BK309" s="5" t="s">
        <v>244</v>
      </c>
      <c r="BL309" s="5" t="s">
        <v>243</v>
      </c>
      <c r="BM309" s="5" t="s">
        <v>244</v>
      </c>
      <c r="BN309" s="5" t="s">
        <v>216</v>
      </c>
      <c r="BO309" s="5" t="s">
        <v>216</v>
      </c>
      <c r="BP309" s="5" t="s">
        <v>216</v>
      </c>
      <c r="BQ309" s="5" t="s">
        <v>216</v>
      </c>
      <c r="BR309" s="5" t="s">
        <v>245</v>
      </c>
      <c r="BS309" s="5" t="s">
        <v>248</v>
      </c>
      <c r="BT309" s="5" t="s">
        <v>247</v>
      </c>
      <c r="BU309" s="5" t="s">
        <v>217</v>
      </c>
      <c r="BV309" s="5" t="s">
        <v>217</v>
      </c>
      <c r="BW309" s="5" t="s">
        <v>247</v>
      </c>
      <c r="BX309" s="5" t="s">
        <v>217</v>
      </c>
      <c r="BY309" s="5" t="s">
        <v>217</v>
      </c>
      <c r="BZ309" s="5" t="s">
        <v>244</v>
      </c>
      <c r="CA309" s="5" t="s">
        <v>244</v>
      </c>
      <c r="CB309" s="5" t="s">
        <v>245</v>
      </c>
      <c r="CC309" s="5" t="s">
        <v>245</v>
      </c>
      <c r="CD309" s="5" t="s">
        <v>206</v>
      </c>
      <c r="CH309" s="5" t="s">
        <v>206</v>
      </c>
      <c r="CI309" s="5" t="s">
        <v>206</v>
      </c>
      <c r="CJ309" s="5">
        <v>3</v>
      </c>
      <c r="CK309" s="5" t="s">
        <v>223</v>
      </c>
      <c r="CU309" s="5" t="s">
        <v>206</v>
      </c>
      <c r="DA309" s="5" t="s">
        <v>231</v>
      </c>
      <c r="DB309" s="5"/>
      <c r="DC309" s="5" t="s">
        <v>251</v>
      </c>
      <c r="DD309" s="5"/>
      <c r="DE309" s="5" t="s">
        <v>251</v>
      </c>
      <c r="DF309" s="5"/>
      <c r="DG309" s="5" t="s">
        <v>251</v>
      </c>
      <c r="DH309" s="5"/>
      <c r="DI309" s="5" t="s">
        <v>251</v>
      </c>
      <c r="DJ309" s="5"/>
      <c r="DK309" s="5" t="s">
        <v>251</v>
      </c>
      <c r="DL309" s="5"/>
      <c r="DM309" s="5" t="s">
        <v>251</v>
      </c>
      <c r="DN309" s="5"/>
      <c r="DO309" s="5" t="s">
        <v>281</v>
      </c>
      <c r="DP309" s="5"/>
      <c r="DQ309" s="5" t="s">
        <v>281</v>
      </c>
      <c r="DR309" s="5"/>
      <c r="DS309" s="5" t="s">
        <v>231</v>
      </c>
      <c r="DT309" s="5"/>
      <c r="DU309" s="5" t="s">
        <v>231</v>
      </c>
      <c r="DV309" s="5"/>
      <c r="DW309" s="5" t="s">
        <v>231</v>
      </c>
      <c r="DX309" s="5"/>
      <c r="DY309" s="5"/>
      <c r="DZ309" s="5"/>
      <c r="EA309" s="5" t="s">
        <v>248</v>
      </c>
      <c r="EB309" s="5"/>
      <c r="EC309" s="5" t="s">
        <v>247</v>
      </c>
      <c r="ED309" s="5"/>
      <c r="EE309" s="5" t="s">
        <v>253</v>
      </c>
      <c r="EF309" s="5"/>
      <c r="EG309" s="5"/>
      <c r="EH309" s="5"/>
      <c r="EI309" s="5" t="s">
        <v>253</v>
      </c>
      <c r="EJ309" s="5"/>
      <c r="EK309" s="5" t="s">
        <v>247</v>
      </c>
      <c r="EL309" s="5"/>
      <c r="EM309" s="5" t="s">
        <v>247</v>
      </c>
      <c r="EN309" s="5"/>
      <c r="EO309" s="5"/>
      <c r="EP309" s="5"/>
      <c r="EQ309" s="5" t="s">
        <v>253</v>
      </c>
      <c r="ER309" s="5"/>
      <c r="ES309" s="5" t="s">
        <v>248</v>
      </c>
      <c r="ET309" s="5"/>
      <c r="EU309" s="5" t="s">
        <v>254</v>
      </c>
      <c r="EV309" s="5"/>
      <c r="EW309" s="5" t="s">
        <v>254</v>
      </c>
      <c r="EX309" s="5"/>
      <c r="EY309" s="5"/>
      <c r="EZ309" s="5"/>
      <c r="FA309" s="5" t="s">
        <v>248</v>
      </c>
      <c r="FB309" s="5"/>
      <c r="FC309" s="5" t="s">
        <v>253</v>
      </c>
      <c r="FD309" s="5"/>
      <c r="FE309" s="5" t="s">
        <v>253</v>
      </c>
      <c r="FF309" s="5"/>
      <c r="FG309" s="5"/>
      <c r="FH309" s="5"/>
      <c r="FI309" s="5" t="s">
        <v>253</v>
      </c>
      <c r="FJ309" s="5"/>
      <c r="FK309" s="5" t="s">
        <v>248</v>
      </c>
      <c r="FL309" s="5"/>
      <c r="FM309" s="5" t="s">
        <v>248</v>
      </c>
      <c r="FN309" s="5"/>
      <c r="FO309" s="5"/>
      <c r="FP309" s="5"/>
      <c r="FQ309" s="5" t="s">
        <v>206</v>
      </c>
      <c r="FR309" s="5"/>
      <c r="FS309" s="5" t="s">
        <v>206</v>
      </c>
      <c r="FT309" s="5"/>
      <c r="FU309" s="5" t="s">
        <v>206</v>
      </c>
      <c r="FV309" s="5"/>
      <c r="FW309" s="5" t="s">
        <v>206</v>
      </c>
      <c r="FX309" s="5"/>
      <c r="FY309" s="5" t="s">
        <v>206</v>
      </c>
      <c r="FZ309" s="5"/>
      <c r="GA309" s="5" t="s">
        <v>206</v>
      </c>
      <c r="GB309" s="5"/>
      <c r="GC309" s="5" t="s">
        <v>206</v>
      </c>
      <c r="GD309" s="5"/>
      <c r="GE309" s="5"/>
      <c r="GF309" s="5"/>
      <c r="GG309" s="5" t="s">
        <v>273</v>
      </c>
      <c r="GH309" s="5" t="s">
        <v>273</v>
      </c>
      <c r="GI309" s="5" t="s">
        <v>273</v>
      </c>
      <c r="GJ309" s="5" t="s">
        <v>298</v>
      </c>
      <c r="GK309" s="5" t="s">
        <v>233</v>
      </c>
      <c r="GL309" s="5" t="s">
        <v>266</v>
      </c>
      <c r="GM309" s="5" t="s">
        <v>233</v>
      </c>
      <c r="GN309" s="5" t="s">
        <v>243</v>
      </c>
      <c r="GO309" s="5" t="s">
        <v>243</v>
      </c>
      <c r="GP309" s="5" t="s">
        <v>243</v>
      </c>
      <c r="GQ309" s="5" t="s">
        <v>243</v>
      </c>
      <c r="GR309" s="5" t="s">
        <v>244</v>
      </c>
      <c r="GS309" s="5" t="s">
        <v>234</v>
      </c>
      <c r="GT309" s="5" t="s">
        <v>244</v>
      </c>
      <c r="GU309" s="5" t="s">
        <v>667</v>
      </c>
      <c r="GV309" s="5" t="str">
        <f>TEXT("6280071321558575062","0")</f>
        <v>6280071321558570000</v>
      </c>
    </row>
    <row r="310" spans="1:204" ht="15.75" customHeight="1" x14ac:dyDescent="0.15">
      <c r="A310" s="1">
        <f>ROW(A310)</f>
        <v>310</v>
      </c>
      <c r="B310" s="4">
        <v>45848.907326388886</v>
      </c>
      <c r="C310" s="5" t="s">
        <v>204</v>
      </c>
      <c r="D310" s="5" t="s">
        <v>206</v>
      </c>
      <c r="F310" s="5" t="s">
        <v>206</v>
      </c>
      <c r="G310" s="5" t="s">
        <v>204</v>
      </c>
      <c r="H310" s="5" t="s">
        <v>206</v>
      </c>
      <c r="J310" s="5" t="s">
        <v>209</v>
      </c>
      <c r="O310" s="5" t="s">
        <v>209</v>
      </c>
      <c r="S310" s="5" t="s">
        <v>208</v>
      </c>
      <c r="Y310" s="5" t="s">
        <v>209</v>
      </c>
      <c r="AC310" s="5" t="s">
        <v>208</v>
      </c>
      <c r="AH310" s="5" t="s">
        <v>668</v>
      </c>
      <c r="AI310" s="5">
        <v>2025</v>
      </c>
      <c r="AJ310" s="5" t="s">
        <v>238</v>
      </c>
      <c r="AK310" s="5" t="str">
        <f>IF(OR(AJ310="Empleada del sector privado",AJ310="Empleada del sector público"),"Asalariada",
IF(AJ310="Trabajadora por cuenta propia","Trabajadora por cuenta propia",""))</f>
        <v>Trabajadora por cuenta propia</v>
      </c>
      <c r="AL310" s="5" t="s">
        <v>239</v>
      </c>
      <c r="AP310" s="5" t="s">
        <v>284</v>
      </c>
      <c r="AR310" s="5" t="s">
        <v>301</v>
      </c>
      <c r="AS310" s="5" t="s">
        <v>301</v>
      </c>
      <c r="AT310" s="5" t="s">
        <v>301</v>
      </c>
      <c r="AU310" s="5" t="s">
        <v>301</v>
      </c>
      <c r="AV310" s="5" t="s">
        <v>213</v>
      </c>
      <c r="AW310" s="5" t="s">
        <v>206</v>
      </c>
      <c r="BF310" s="5" t="s">
        <v>204</v>
      </c>
      <c r="BG310" s="5" t="s">
        <v>278</v>
      </c>
      <c r="BH310" s="5" t="s">
        <v>242</v>
      </c>
      <c r="BI310" s="5" t="s">
        <v>278</v>
      </c>
      <c r="BJ310" s="5" t="s">
        <v>215</v>
      </c>
      <c r="BK310" s="5" t="s">
        <v>246</v>
      </c>
      <c r="BL310" s="5" t="s">
        <v>246</v>
      </c>
      <c r="BM310" s="5" t="s">
        <v>243</v>
      </c>
      <c r="BN310" s="5" t="s">
        <v>246</v>
      </c>
      <c r="BO310" s="5" t="s">
        <v>246</v>
      </c>
      <c r="BP310" s="5" t="s">
        <v>243</v>
      </c>
      <c r="BQ310" s="5" t="s">
        <v>246</v>
      </c>
      <c r="BR310" s="5" t="s">
        <v>246</v>
      </c>
      <c r="BS310" s="5" t="s">
        <v>247</v>
      </c>
      <c r="BT310" s="5" t="s">
        <v>248</v>
      </c>
      <c r="BU310" s="5" t="s">
        <v>248</v>
      </c>
      <c r="BV310" s="5" t="s">
        <v>217</v>
      </c>
      <c r="BW310" s="5" t="s">
        <v>217</v>
      </c>
      <c r="BX310" s="5" t="s">
        <v>248</v>
      </c>
      <c r="BY310" s="5" t="s">
        <v>217</v>
      </c>
      <c r="CD310" s="5" t="s">
        <v>206</v>
      </c>
      <c r="CH310" s="5" t="s">
        <v>369</v>
      </c>
      <c r="CI310" s="5" t="s">
        <v>206</v>
      </c>
      <c r="CJ310" s="5">
        <v>1</v>
      </c>
      <c r="CK310" s="5" t="s">
        <v>223</v>
      </c>
      <c r="CU310" s="5" t="s">
        <v>206</v>
      </c>
      <c r="DA310" s="5" t="s">
        <v>231</v>
      </c>
      <c r="DB310" s="5">
        <f>IF(DA310="Mejor que lo habitual",1,
IF(DA310="Igual que lo habitual",2,
IF(DA310="Menos que lo habitual",3,
IF(DA310="Mucho menos que lo habitual",4,""))))</f>
        <v>2</v>
      </c>
      <c r="DC310" s="5" t="s">
        <v>230</v>
      </c>
      <c r="DD310" s="5">
        <f>IF(DC310="No, en absoluto",1,
IF(DC310="No más que lo habitual",2,
IF(DC310="Bastante más que lo habitual",3,
IF(DC310="Mucho más que lo habitual",4,""))))</f>
        <v>2</v>
      </c>
      <c r="DE310" s="5" t="s">
        <v>230</v>
      </c>
      <c r="DF310" s="5">
        <f>IF(DE310="No, en absoluto",1,
IF(DE310="No más que lo habitual",2,
IF(DE310="Bastante más que lo habitual",3,
IF(DE310="Mucho más que lo habitual",4,""))))</f>
        <v>2</v>
      </c>
      <c r="DG310" s="5" t="s">
        <v>251</v>
      </c>
      <c r="DH310" s="5">
        <f>IF(DG310="No, en absoluto",1,
IF(DG310="No más que lo habitual",2,
IF(DG310="Bastante más que lo habitual",3,
IF(DG310="Mucho más que lo habitual",4,""))))</f>
        <v>1</v>
      </c>
      <c r="DI310" s="5" t="s">
        <v>251</v>
      </c>
      <c r="DJ310" s="5">
        <f>IF(DI310="No, en absoluto",1,
IF(DI310="No más que lo habitual",2,
IF(DI310="Bastante más que lo habitual",3,
IF(DI310="Mucho más que lo habitual",4,""))))</f>
        <v>1</v>
      </c>
      <c r="DK310" s="5" t="s">
        <v>230</v>
      </c>
      <c r="DL310" s="5">
        <f>IF(DK310="No, en absoluto",1,
IF(DK310="No más que lo habitual",2,
IF(DK310="Bastante más que lo habitual",3,
IF(DK310="Mucho más que lo habitual",4,""))))</f>
        <v>2</v>
      </c>
      <c r="DM310" s="5" t="s">
        <v>251</v>
      </c>
      <c r="DN310" s="5">
        <f>IF(DM310="No, en absoluto",1,
IF(DM310="No más que lo habitual",2,
IF(DM310="Bastante más que lo habitual",3,
IF(DM310="Mucho más que lo habitual",4,""))))</f>
        <v>1</v>
      </c>
      <c r="DO310" s="5" t="s">
        <v>231</v>
      </c>
      <c r="DP310" s="5">
        <f>IF(DO310="Más que lo habitual",1,
IF(DO310="Igual que lo habitual",2,
IF(DO310="Menos que lo habitual",3,
IF(DO310="Mucho menos que lo habitual",4,""))))</f>
        <v>2</v>
      </c>
      <c r="DQ310" s="5" t="s">
        <v>231</v>
      </c>
      <c r="DR310" s="5">
        <f>IF(DQ310="Más que lo habitual",1,
IF(DQ310="Igual que lo habitual",2,
IF(DQ310="Menos que lo habitual",3,
IF(DQ310="Mucho menos que lo habitual",4,""))))</f>
        <v>2</v>
      </c>
      <c r="DS310" s="5" t="s">
        <v>231</v>
      </c>
      <c r="DT310" s="5">
        <f>IF(DS310="Más que lo habitual",1,
IF(DS310="Igual que lo habitual",2,
IF(DS310="Menos que lo habitual",3,
IF(DS310="Mucho menos que lo habitual",4,""))))</f>
        <v>2</v>
      </c>
      <c r="DU310" s="5" t="s">
        <v>281</v>
      </c>
      <c r="DV310" s="5">
        <f>IF(DU310="Más que lo habitual",1,
IF(DU310="Igual que lo habitual",2,
IF(DU310="Menos que lo habitual",3,
IF(DU310="Mucho menos que lo habitual",4,""))))</f>
        <v>1</v>
      </c>
      <c r="DW310" s="5" t="s">
        <v>281</v>
      </c>
      <c r="DX310" s="5">
        <f>IF(DW310="Más que lo habitual",1,
IF(DW310="Igual que lo habitual",2,
IF(DW310="Menos que lo habitual",3,
IF(DW310="Mucho menos que lo habitual",4,""))))</f>
        <v>1</v>
      </c>
      <c r="DY310" s="5">
        <f>SUM(DB310,DD310,DF310,DH310,DJ310,DL310,DN310,DP310,DR310,DT310,DV310,DX310)</f>
        <v>19</v>
      </c>
      <c r="DZ310" s="5" t="str">
        <f>IF(DY310&lt;=18,"Nivel de riesgo bajo",
IF(DY310&lt;=23,"Nivel de riesgo medio",
"Nivel de riesgo alto"))</f>
        <v>Nivel de riesgo medio</v>
      </c>
      <c r="EA310" s="5" t="s">
        <v>248</v>
      </c>
      <c r="EB310" s="5">
        <f>IF(EA310="Nunca/ casi nunca",0,
IF(EA310="Rara vez",1,
IF(EA310="A veces",2,
IF(EA310="A menudo",3,
IF(EA310="Siempre",4,"")))))</f>
        <v>1</v>
      </c>
      <c r="EC310" s="5" t="s">
        <v>247</v>
      </c>
      <c r="ED310" s="5">
        <f>IF(EC310="Nunca/ casi nunca",0,
IF(EC310="Rara vez",1,
IF(EC310="A veces",2,
IF(EC310="A menudo",3,
IF(EC310="Siempre",4,"")))))</f>
        <v>2</v>
      </c>
      <c r="EE310" s="5" t="s">
        <v>248</v>
      </c>
      <c r="EF310" s="5">
        <f>IF(EE310="Nunca/ casi nunca",0,
IF(EE310="Rara vez",1,
IF(EE310="A veces",2,
IF(EE310="A menudo",3,
IF(EE310="Siempre",4,"")))))</f>
        <v>1</v>
      </c>
      <c r="EG310" s="5">
        <f>SUM(EB310,ED310,EF310)</f>
        <v>4</v>
      </c>
      <c r="EH310" s="5" t="str">
        <f>IF(EG310&lt;=1,"Nivel de riesgo bajo",
IF(EG310&lt;=4,"Nivel de riesgo medio",
"Nivel de riesgo alto"))</f>
        <v>Nivel de riesgo medio</v>
      </c>
      <c r="EI310" s="5" t="s">
        <v>253</v>
      </c>
      <c r="EJ310" s="5">
        <f>IF(EI310="Nunca/ casi nunca",0,
IF(EI310="Rara vez",1,
IF(EI310="A veces",2,
IF(EI310="A menudo",3,
IF(EI310="Siempre",4,"")))))</f>
        <v>0</v>
      </c>
      <c r="EK310" s="5" t="s">
        <v>253</v>
      </c>
      <c r="EL310" s="5">
        <f>IF(EK310="Nunca/ casi nunca",0,
IF(EK310="Rara vez",1,
IF(EK310="A veces",2,
IF(EK310="A menudo",3,
IF(EK310="Siempre",4,"")))))</f>
        <v>0</v>
      </c>
      <c r="EM310" s="5" t="s">
        <v>248</v>
      </c>
      <c r="EN310" s="5">
        <f>IF(EM310="Nunca/ casi nunca",0,
IF(EM310="Rara vez",1,
IF(EM310="A veces",2,
IF(EM310="A menudo",3,
IF(EM310="Siempre",4,"")))))</f>
        <v>1</v>
      </c>
      <c r="EO310" s="5">
        <f>SUM(EJ310,EL310,EN310)</f>
        <v>1</v>
      </c>
      <c r="EP310" s="5" t="str">
        <f>IF(EO310&lt;=1,"Nivel de riesgo bajo",
IF(EO310&lt;=5,"Nivel de riesgo medio",
"Nivel de riesgo alto"))</f>
        <v>Nivel de riesgo bajo</v>
      </c>
      <c r="EQ310" s="5" t="s">
        <v>253</v>
      </c>
      <c r="ER310" s="5">
        <f>IF(EQ310="Nunca/ casi nunca",4,
IF(EQ310="Rara vez",3,
IF(EQ310="A veces",2,
IF(EQ310="A menudo",1,
IF(EQ310="Siempre",0,"")))))</f>
        <v>4</v>
      </c>
      <c r="ES310" s="5" t="s">
        <v>253</v>
      </c>
      <c r="ET310" s="5">
        <f>IF(ES310="Nunca/ casi nunca",4,
IF(ES310="Rara vez",3,
IF(ES310="A veces",2,
IF(ES310="A menudo",1,
IF(ES310="Siempre",0,"")))))</f>
        <v>4</v>
      </c>
      <c r="EU310" s="5" t="s">
        <v>253</v>
      </c>
      <c r="EV310" s="5">
        <f>IF(EU310="Nunca/ casi nunca",4,
IF(EU310="Rara vez",3,
IF(EU310="A veces",2,
IF(EU310="A menudo",1,
IF(EU310="Siempre",0,"")))))</f>
        <v>4</v>
      </c>
      <c r="EW310" s="5" t="s">
        <v>254</v>
      </c>
      <c r="EX310" s="5">
        <f>IF(EW310="Nunca/ casi nunca",4,
IF(EW310="Rara vez",3,
IF(EW310="A veces",2,
IF(EW310="A menudo",1,
IF(EW310="Siempre",0,"")))))</f>
        <v>0</v>
      </c>
      <c r="EY310" s="5">
        <f>SUM(ER310,ET310,EV310,EX310)</f>
        <v>12</v>
      </c>
      <c r="EZ310" s="5" t="str">
        <f>IF(EY310&lt;=0,"Nivel de riesgo bajo",
IF(EY310&lt;=4,"Nivel de riesgo medio",
"Nivel de riesgo alto"))</f>
        <v>Nivel de riesgo alto</v>
      </c>
      <c r="FA310" s="5" t="s">
        <v>253</v>
      </c>
      <c r="FB310" s="5">
        <f>IF(FA310="Nunca/ casi nunca",0,
IF(FA310="Rara vez",1,
IF(FA310="A veces",2,
IF(FA310="A menudo",3,
IF(FA310="Siempre",4,"")))))</f>
        <v>0</v>
      </c>
      <c r="FC310" s="5" t="s">
        <v>253</v>
      </c>
      <c r="FD310" s="5">
        <f>IF(FC310="Nunca/ casi nunca",0,
IF(FC310="Rara vez",1,
IF(FC310="A veces",2,
IF(FC310="A menudo",3,
IF(FC310="Siempre",4,"")))))</f>
        <v>0</v>
      </c>
      <c r="FE310" s="5" t="s">
        <v>253</v>
      </c>
      <c r="FF310" s="5">
        <f>IF(FE310="Nunca/ casi nunca",0,
IF(FE310="Rara vez",1,
IF(FE310="A veces",2,
IF(FE310="A menudo",3,
IF(FE310="Siempre",4,"")))))</f>
        <v>0</v>
      </c>
      <c r="FG310" s="5">
        <f>SUM(FB310,FD310,FF310)</f>
        <v>0</v>
      </c>
      <c r="FH310" s="5" t="str">
        <f>IF(FG310&lt;=2,"Nivel de riesgo bajo",
IF(FG310&lt;=5,"Nivel de riesgo medio",
"Nivel de riesgo alto"))</f>
        <v>Nivel de riesgo bajo</v>
      </c>
      <c r="FI310" s="5" t="s">
        <v>253</v>
      </c>
      <c r="FJ310" s="5">
        <f>IF(FI310="Nunca/ casi nunca",0,
IF(FI310="Rara vez",1,
IF(FI310="A veces",2,
IF(FI310="A menudo",3,
IF(FI310="Siempre",4,"")))))</f>
        <v>0</v>
      </c>
      <c r="FK310" s="5" t="s">
        <v>253</v>
      </c>
      <c r="FL310" s="5">
        <f>IF(FK310="Nunca/ casi nunca",0,
IF(FK310="Rara vez",1,
IF(FK310="A veces",2,
IF(FK310="A menudo",3,
IF(FK310="Siempre",4,"")))))</f>
        <v>0</v>
      </c>
      <c r="FM310" s="5" t="s">
        <v>253</v>
      </c>
      <c r="FN310" s="5">
        <f>IF(FM310="Nunca/ casi nunca",0,
IF(FM310="Rara vez",1,
IF(FM310="A veces",2,
IF(FM310="A menudo",3,
IF(FM310="Siempre",4,"")))))</f>
        <v>0</v>
      </c>
      <c r="FO310" s="5">
        <f>SUM(FJ310,FL310,FN310)</f>
        <v>0</v>
      </c>
      <c r="FP310" s="5" t="str">
        <f>IF(FO310&lt;=2,"Nivel de riesgo bajo",
IF(FO310&lt;=5,"Nivel de riesgo medio",
"Nivel de riesgo alto"))</f>
        <v>Nivel de riesgo bajo</v>
      </c>
      <c r="FQ310" s="5" t="s">
        <v>206</v>
      </c>
      <c r="FR310" s="5">
        <f>IF(FQ310="No",0,
IF(FQ310="Sí, unas pocas veces",1,
IF(FQ310="Sí, mensualmente",2,
IF(FQ310="Sí, semanalmente",3,
IF(FQ310="Sí, diariamente",4,"")))))</f>
        <v>0</v>
      </c>
      <c r="FS310" s="5" t="s">
        <v>206</v>
      </c>
      <c r="FT310" s="5">
        <f>IF(FS310="No",0,
IF(FS310="Sí, unas pocas veces",1,
IF(FS310="Sí, mensualmente",2,
IF(FS310="Sí, semanalmente",3,
IF(FS310="Sí, diariamente",4,"")))))</f>
        <v>0</v>
      </c>
      <c r="FU310" s="5" t="s">
        <v>206</v>
      </c>
      <c r="FV310" s="5">
        <f>IF(FU310="No",0,
IF(FU310="Sí, unas pocas veces",1,
IF(FU310="Sí, mensualmente",2,
IF(FU310="Sí, semanalmente",3,
IF(FU310="Sí, diariamente",4,"")))))</f>
        <v>0</v>
      </c>
      <c r="FW310" s="5" t="s">
        <v>206</v>
      </c>
      <c r="FX310" s="5">
        <f>IF(FW310="No",0,
IF(FW310="Sí, unas pocas veces",1,
IF(FW310="Sí, mensualmente",2,
IF(FW310="Sí, semanalmente",3,
IF(FW310="Sí, diariamente",4,"")))))</f>
        <v>0</v>
      </c>
      <c r="FY310" s="5" t="s">
        <v>206</v>
      </c>
      <c r="FZ310" s="5">
        <f>IF(FY310="No",0,
IF(FY310="Sí, unas pocas veces",1,
IF(FY310="Sí, mensualmente",2,
IF(FY310="Sí, semanalmente",3,
IF(FY310="Sí, diariamente",4,"")))))</f>
        <v>0</v>
      </c>
      <c r="GA310" s="5" t="s">
        <v>206</v>
      </c>
      <c r="GB310" s="5">
        <f>IF(GA310="No",0,
IF(GA310="Sí, unas pocas veces",1,
IF(GA310="Sí, mensualmente",2,
IF(GA310="Sí, semanalmente",3,
IF(GA310="Sí, diariamente",4,"")))))</f>
        <v>0</v>
      </c>
      <c r="GC310" s="5" t="s">
        <v>206</v>
      </c>
      <c r="GD310" s="5">
        <f>IF(GC310="No",0,
IF(GC310="Sí, unas pocas veces",1,
IF(GC310="Sí, mensualmente",2,
IF(GC310="Sí, semanalmente",3,
IF(GC310="Sí, diariamente",4,"")))))</f>
        <v>0</v>
      </c>
      <c r="GE310" s="5">
        <f>SUM(FR310,FT310,FV310,FX310,FZ310,GB310,GD310)</f>
        <v>0</v>
      </c>
      <c r="GF310" s="5" t="str">
        <f>IF(GE310&lt;=0,"Nivel de riesgo bajo",
IF(GE310&lt;=14,"Nivel de riesgo medio",
"Nivel de riesgo alto"))</f>
        <v>Nivel de riesgo bajo</v>
      </c>
      <c r="GG310" s="5" t="s">
        <v>255</v>
      </c>
      <c r="GH310" s="5" t="s">
        <v>255</v>
      </c>
      <c r="GI310" s="5" t="s">
        <v>233</v>
      </c>
      <c r="GJ310" s="5" t="s">
        <v>233</v>
      </c>
      <c r="GK310" s="5" t="s">
        <v>233</v>
      </c>
      <c r="GL310" s="5" t="s">
        <v>233</v>
      </c>
      <c r="GM310" s="5" t="s">
        <v>298</v>
      </c>
      <c r="GN310" s="5" t="s">
        <v>257</v>
      </c>
      <c r="GO310" s="5" t="s">
        <v>257</v>
      </c>
      <c r="GP310" s="5" t="s">
        <v>234</v>
      </c>
      <c r="GQ310" s="5" t="s">
        <v>257</v>
      </c>
      <c r="GR310" s="5" t="s">
        <v>257</v>
      </c>
      <c r="GS310" s="5" t="s">
        <v>257</v>
      </c>
      <c r="GT310" s="5" t="s">
        <v>257</v>
      </c>
      <c r="GU310" s="5" t="s">
        <v>669</v>
      </c>
      <c r="GV310" s="5" t="str">
        <f>TEXT("6280075937688290938","0")</f>
        <v>6280075937688290000</v>
      </c>
    </row>
    <row r="311" spans="1:204" ht="15.75" customHeight="1" x14ac:dyDescent="0.15">
      <c r="A311" s="1">
        <f>ROW(A311)</f>
        <v>311</v>
      </c>
      <c r="B311" s="4">
        <v>45848.916307870371</v>
      </c>
      <c r="C311" s="5" t="s">
        <v>204</v>
      </c>
      <c r="D311" s="5" t="s">
        <v>206</v>
      </c>
      <c r="F311" s="5" t="s">
        <v>206</v>
      </c>
      <c r="G311" s="5" t="s">
        <v>204</v>
      </c>
      <c r="H311" s="5" t="s">
        <v>206</v>
      </c>
      <c r="J311" s="5" t="s">
        <v>209</v>
      </c>
      <c r="P311" s="5" t="s">
        <v>237</v>
      </c>
      <c r="T311" s="5" t="s">
        <v>209</v>
      </c>
      <c r="Y311" s="5" t="s">
        <v>209</v>
      </c>
      <c r="AD311" s="5" t="s">
        <v>209</v>
      </c>
      <c r="AH311" s="5" t="s">
        <v>210</v>
      </c>
      <c r="AI311" s="5">
        <v>2012</v>
      </c>
      <c r="AJ311" s="5" t="s">
        <v>238</v>
      </c>
      <c r="AK311" s="5" t="str">
        <f>IF(OR(AJ311="Empleada del sector privado",AJ311="Empleada del sector público"),"Asalariada",
IF(AJ311="Trabajadora por cuenta propia","Trabajadora por cuenta propia",""))</f>
        <v>Trabajadora por cuenta propia</v>
      </c>
      <c r="AM311" s="5" t="s">
        <v>309</v>
      </c>
      <c r="AP311" s="5" t="s">
        <v>297</v>
      </c>
      <c r="AR311" s="5" t="s">
        <v>261</v>
      </c>
      <c r="AS311" s="5" t="s">
        <v>241</v>
      </c>
      <c r="AT311" s="5" t="s">
        <v>241</v>
      </c>
      <c r="AU311" s="5" t="s">
        <v>261</v>
      </c>
      <c r="AV311" s="5" t="s">
        <v>269</v>
      </c>
      <c r="AW311" s="5" t="s">
        <v>204</v>
      </c>
      <c r="AX311" s="5" t="s">
        <v>206</v>
      </c>
      <c r="BF311" s="5" t="s">
        <v>204</v>
      </c>
      <c r="BG311" s="5" t="s">
        <v>215</v>
      </c>
      <c r="BH311" s="5" t="s">
        <v>242</v>
      </c>
      <c r="BI311" s="5" t="s">
        <v>242</v>
      </c>
      <c r="BJ311" s="5" t="s">
        <v>215</v>
      </c>
      <c r="BK311" s="5" t="s">
        <v>246</v>
      </c>
      <c r="BL311" s="5" t="s">
        <v>243</v>
      </c>
      <c r="BM311" s="5" t="s">
        <v>243</v>
      </c>
      <c r="BN311" s="5" t="s">
        <v>243</v>
      </c>
      <c r="BO311" s="5" t="s">
        <v>246</v>
      </c>
      <c r="BP311" s="5" t="s">
        <v>245</v>
      </c>
      <c r="BQ311" s="5" t="s">
        <v>246</v>
      </c>
      <c r="BR311" s="5" t="s">
        <v>246</v>
      </c>
      <c r="BS311" s="5" t="s">
        <v>248</v>
      </c>
      <c r="BT311" s="5" t="s">
        <v>247</v>
      </c>
      <c r="BU311" s="5" t="s">
        <v>247</v>
      </c>
      <c r="BV311" s="5" t="s">
        <v>248</v>
      </c>
      <c r="BW311" s="5" t="s">
        <v>248</v>
      </c>
      <c r="BX311" s="5" t="s">
        <v>248</v>
      </c>
      <c r="BY311" s="5" t="s">
        <v>248</v>
      </c>
      <c r="BZ311" s="5" t="s">
        <v>244</v>
      </c>
      <c r="CA311" s="5" t="s">
        <v>246</v>
      </c>
      <c r="CB311" s="5" t="s">
        <v>246</v>
      </c>
      <c r="CC311" s="5" t="s">
        <v>246</v>
      </c>
      <c r="CD311" s="5" t="s">
        <v>206</v>
      </c>
      <c r="CH311" s="5" t="s">
        <v>310</v>
      </c>
      <c r="CI311" s="5" t="s">
        <v>249</v>
      </c>
      <c r="CJ311" s="5">
        <v>2</v>
      </c>
      <c r="CK311" s="5" t="s">
        <v>223</v>
      </c>
      <c r="CU311" s="5" t="s">
        <v>206</v>
      </c>
      <c r="DA311" s="5" t="s">
        <v>231</v>
      </c>
      <c r="DB311" s="5">
        <f>IF(DA311="Mejor que lo habitual",1,
IF(DA311="Igual que lo habitual",2,
IF(DA311="Menos que lo habitual",3,
IF(DA311="Mucho menos que lo habitual",4,""))))</f>
        <v>2</v>
      </c>
      <c r="DC311" s="5" t="s">
        <v>250</v>
      </c>
      <c r="DD311" s="5">
        <f>IF(DC311="No, en absoluto",1,
IF(DC311="No más que lo habitual",2,
IF(DC311="Bastante más que lo habitual",3,
IF(DC311="Mucho más que lo habitual",4,""))))</f>
        <v>3</v>
      </c>
      <c r="DE311" s="5" t="s">
        <v>230</v>
      </c>
      <c r="DF311" s="5">
        <f>IF(DE311="No, en absoluto",1,
IF(DE311="No más que lo habitual",2,
IF(DE311="Bastante más que lo habitual",3,
IF(DE311="Mucho más que lo habitual",4,""))))</f>
        <v>2</v>
      </c>
      <c r="DG311" s="5" t="s">
        <v>280</v>
      </c>
      <c r="DH311" s="5">
        <f>IF(DG311="No, en absoluto",1,
IF(DG311="No más que lo habitual",2,
IF(DG311="Bastante más que lo habitual",3,
IF(DG311="Mucho más que lo habitual",4,""))))</f>
        <v>4</v>
      </c>
      <c r="DI311" s="5" t="s">
        <v>280</v>
      </c>
      <c r="DJ311" s="5">
        <f>IF(DI311="No, en absoluto",1,
IF(DI311="No más que lo habitual",2,
IF(DI311="Bastante más que lo habitual",3,
IF(DI311="Mucho más que lo habitual",4,""))))</f>
        <v>4</v>
      </c>
      <c r="DK311" s="5" t="s">
        <v>280</v>
      </c>
      <c r="DL311" s="5">
        <f>IF(DK311="No, en absoluto",1,
IF(DK311="No más que lo habitual",2,
IF(DK311="Bastante más que lo habitual",3,
IF(DK311="Mucho más que lo habitual",4,""))))</f>
        <v>4</v>
      </c>
      <c r="DM311" s="5" t="s">
        <v>251</v>
      </c>
      <c r="DN311" s="5">
        <f>IF(DM311="No, en absoluto",1,
IF(DM311="No más que lo habitual",2,
IF(DM311="Bastante más que lo habitual",3,
IF(DM311="Mucho más que lo habitual",4,""))))</f>
        <v>1</v>
      </c>
      <c r="DO311" s="5" t="s">
        <v>281</v>
      </c>
      <c r="DP311" s="5">
        <f>IF(DO311="Más que lo habitual",1,
IF(DO311="Igual que lo habitual",2,
IF(DO311="Menos que lo habitual",3,
IF(DO311="Mucho menos que lo habitual",4,""))))</f>
        <v>1</v>
      </c>
      <c r="DQ311" s="5" t="s">
        <v>281</v>
      </c>
      <c r="DR311" s="5">
        <f>IF(DQ311="Más que lo habitual",1,
IF(DQ311="Igual que lo habitual",2,
IF(DQ311="Menos que lo habitual",3,
IF(DQ311="Mucho menos que lo habitual",4,""))))</f>
        <v>1</v>
      </c>
      <c r="DS311" s="5" t="s">
        <v>281</v>
      </c>
      <c r="DT311" s="5">
        <f>IF(DS311="Más que lo habitual",1,
IF(DS311="Igual que lo habitual",2,
IF(DS311="Menos que lo habitual",3,
IF(DS311="Mucho menos que lo habitual",4,""))))</f>
        <v>1</v>
      </c>
      <c r="DU311" s="5" t="s">
        <v>281</v>
      </c>
      <c r="DV311" s="5">
        <f>IF(DU311="Más que lo habitual",1,
IF(DU311="Igual que lo habitual",2,
IF(DU311="Menos que lo habitual",3,
IF(DU311="Mucho menos que lo habitual",4,""))))</f>
        <v>1</v>
      </c>
      <c r="DW311" s="5" t="s">
        <v>281</v>
      </c>
      <c r="DX311" s="5">
        <f>IF(DW311="Más que lo habitual",1,
IF(DW311="Igual que lo habitual",2,
IF(DW311="Menos que lo habitual",3,
IF(DW311="Mucho menos que lo habitual",4,""))))</f>
        <v>1</v>
      </c>
      <c r="DY311" s="5">
        <f>SUM(DB311,DD311,DF311,DH311,DJ311,DL311,DN311,DP311,DR311,DT311,DV311,DX311)</f>
        <v>25</v>
      </c>
      <c r="DZ311" s="5" t="str">
        <f>IF(DY311&lt;=18,"Nivel de riesgo bajo",
IF(DY311&lt;=23,"Nivel de riesgo medio",
"Nivel de riesgo alto"))</f>
        <v>Nivel de riesgo alto</v>
      </c>
      <c r="EA311" s="5" t="s">
        <v>247</v>
      </c>
      <c r="EB311" s="5">
        <f>IF(EA311="Nunca/ casi nunca",0,
IF(EA311="Rara vez",1,
IF(EA311="A veces",2,
IF(EA311="A menudo",3,
IF(EA311="Siempre",4,"")))))</f>
        <v>2</v>
      </c>
      <c r="EC311" s="5" t="s">
        <v>247</v>
      </c>
      <c r="ED311" s="5">
        <f>IF(EC311="Nunca/ casi nunca",0,
IF(EC311="Rara vez",1,
IF(EC311="A veces",2,
IF(EC311="A menudo",3,
IF(EC311="Siempre",4,"")))))</f>
        <v>2</v>
      </c>
      <c r="EE311" s="5" t="s">
        <v>247</v>
      </c>
      <c r="EF311" s="5">
        <f>IF(EE311="Nunca/ casi nunca",0,
IF(EE311="Rara vez",1,
IF(EE311="A veces",2,
IF(EE311="A menudo",3,
IF(EE311="Siempre",4,"")))))</f>
        <v>2</v>
      </c>
      <c r="EG311" s="5">
        <f>SUM(EB311,ED311,EF311)</f>
        <v>6</v>
      </c>
      <c r="EH311" s="5" t="str">
        <f>IF(EG311&lt;=1,"Nivel de riesgo bajo",
IF(EG311&lt;=4,"Nivel de riesgo medio",
"Nivel de riesgo alto"))</f>
        <v>Nivel de riesgo alto</v>
      </c>
      <c r="EI311" s="5" t="s">
        <v>247</v>
      </c>
      <c r="EJ311" s="5">
        <f>IF(EI311="Nunca/ casi nunca",0,
IF(EI311="Rara vez",1,
IF(EI311="A veces",2,
IF(EI311="A menudo",3,
IF(EI311="Siempre",4,"")))))</f>
        <v>2</v>
      </c>
      <c r="EK311" s="5" t="s">
        <v>232</v>
      </c>
      <c r="EL311" s="5">
        <f>IF(EK311="Nunca/ casi nunca",0,
IF(EK311="Rara vez",1,
IF(EK311="A veces",2,
IF(EK311="A menudo",3,
IF(EK311="Siempre",4,"")))))</f>
        <v>3</v>
      </c>
      <c r="EM311" s="5" t="s">
        <v>247</v>
      </c>
      <c r="EN311" s="5">
        <f>IF(EM311="Nunca/ casi nunca",0,
IF(EM311="Rara vez",1,
IF(EM311="A veces",2,
IF(EM311="A menudo",3,
IF(EM311="Siempre",4,"")))))</f>
        <v>2</v>
      </c>
      <c r="EO311" s="5">
        <f>SUM(EJ311,EL311,EN311)</f>
        <v>7</v>
      </c>
      <c r="EP311" s="5" t="str">
        <f>IF(EO311&lt;=1,"Nivel de riesgo bajo",
IF(EO311&lt;=5,"Nivel de riesgo medio",
"Nivel de riesgo alto"))</f>
        <v>Nivel de riesgo alto</v>
      </c>
      <c r="EQ311" s="5" t="s">
        <v>247</v>
      </c>
      <c r="ER311" s="5">
        <f>IF(EQ311="Nunca/ casi nunca",4,
IF(EQ311="Rara vez",3,
IF(EQ311="A veces",2,
IF(EQ311="A menudo",1,
IF(EQ311="Siempre",0,"")))))</f>
        <v>2</v>
      </c>
      <c r="ES311" s="5" t="s">
        <v>247</v>
      </c>
      <c r="ET311" s="5">
        <f>IF(ES311="Nunca/ casi nunca",4,
IF(ES311="Rara vez",3,
IF(ES311="A veces",2,
IF(ES311="A menudo",1,
IF(ES311="Siempre",0,"")))))</f>
        <v>2</v>
      </c>
      <c r="EU311" s="5" t="s">
        <v>247</v>
      </c>
      <c r="EV311" s="5">
        <f>IF(EU311="Nunca/ casi nunca",4,
IF(EU311="Rara vez",3,
IF(EU311="A veces",2,
IF(EU311="A menudo",1,
IF(EU311="Siempre",0,"")))))</f>
        <v>2</v>
      </c>
      <c r="EW311" s="5" t="s">
        <v>247</v>
      </c>
      <c r="EX311" s="5">
        <f>IF(EW311="Nunca/ casi nunca",4,
IF(EW311="Rara vez",3,
IF(EW311="A veces",2,
IF(EW311="A menudo",1,
IF(EW311="Siempre",0,"")))))</f>
        <v>2</v>
      </c>
      <c r="EY311" s="5">
        <f>SUM(ER311,ET311,EV311,EX311)</f>
        <v>8</v>
      </c>
      <c r="EZ311" s="5" t="str">
        <f>IF(EY311&lt;=0,"Nivel de riesgo bajo",
IF(EY311&lt;=4,"Nivel de riesgo medio",
"Nivel de riesgo alto"))</f>
        <v>Nivel de riesgo alto</v>
      </c>
      <c r="FA311" s="5" t="s">
        <v>247</v>
      </c>
      <c r="FB311" s="5">
        <f>IF(FA311="Nunca/ casi nunca",0,
IF(FA311="Rara vez",1,
IF(FA311="A veces",2,
IF(FA311="A menudo",3,
IF(FA311="Siempre",4,"")))))</f>
        <v>2</v>
      </c>
      <c r="FC311" s="5" t="s">
        <v>247</v>
      </c>
      <c r="FD311" s="5">
        <f>IF(FC311="Nunca/ casi nunca",0,
IF(FC311="Rara vez",1,
IF(FC311="A veces",2,
IF(FC311="A menudo",3,
IF(FC311="Siempre",4,"")))))</f>
        <v>2</v>
      </c>
      <c r="FE311" s="5" t="s">
        <v>247</v>
      </c>
      <c r="FF311" s="5">
        <f>IF(FE311="Nunca/ casi nunca",0,
IF(FE311="Rara vez",1,
IF(FE311="A veces",2,
IF(FE311="A menudo",3,
IF(FE311="Siempre",4,"")))))</f>
        <v>2</v>
      </c>
      <c r="FG311" s="5">
        <f>SUM(FB311,FD311,FF311)</f>
        <v>6</v>
      </c>
      <c r="FH311" s="5" t="str">
        <f>IF(FG311&lt;=2,"Nivel de riesgo bajo",
IF(FG311&lt;=5,"Nivel de riesgo medio",
"Nivel de riesgo alto"))</f>
        <v>Nivel de riesgo alto</v>
      </c>
      <c r="FI311" s="5" t="s">
        <v>247</v>
      </c>
      <c r="FJ311" s="5">
        <f>IF(FI311="Nunca/ casi nunca",0,
IF(FI311="Rara vez",1,
IF(FI311="A veces",2,
IF(FI311="A menudo",3,
IF(FI311="Siempre",4,"")))))</f>
        <v>2</v>
      </c>
      <c r="FK311" s="5" t="s">
        <v>247</v>
      </c>
      <c r="FL311" s="5">
        <f>IF(FK311="Nunca/ casi nunca",0,
IF(FK311="Rara vez",1,
IF(FK311="A veces",2,
IF(FK311="A menudo",3,
IF(FK311="Siempre",4,"")))))</f>
        <v>2</v>
      </c>
      <c r="FM311" s="5" t="s">
        <v>247</v>
      </c>
      <c r="FN311" s="5">
        <f>IF(FM311="Nunca/ casi nunca",0,
IF(FM311="Rara vez",1,
IF(FM311="A veces",2,
IF(FM311="A menudo",3,
IF(FM311="Siempre",4,"")))))</f>
        <v>2</v>
      </c>
      <c r="FO311" s="5">
        <f>SUM(FJ311,FL311,FN311)</f>
        <v>6</v>
      </c>
      <c r="FP311" s="5" t="str">
        <f>IF(FO311&lt;=2,"Nivel de riesgo bajo",
IF(FO311&lt;=5,"Nivel de riesgo medio",
"Nivel de riesgo alto"))</f>
        <v>Nivel de riesgo alto</v>
      </c>
      <c r="FQ311" s="5" t="s">
        <v>206</v>
      </c>
      <c r="FR311" s="5">
        <f>IF(FQ311="No",0,
IF(FQ311="Sí, unas pocas veces",1,
IF(FQ311="Sí, mensualmente",2,
IF(FQ311="Sí, semanalmente",3,
IF(FQ311="Sí, diariamente",4,"")))))</f>
        <v>0</v>
      </c>
      <c r="FS311" s="5" t="s">
        <v>206</v>
      </c>
      <c r="FT311" s="5">
        <f>IF(FS311="No",0,
IF(FS311="Sí, unas pocas veces",1,
IF(FS311="Sí, mensualmente",2,
IF(FS311="Sí, semanalmente",3,
IF(FS311="Sí, diariamente",4,"")))))</f>
        <v>0</v>
      </c>
      <c r="FU311" s="5" t="s">
        <v>206</v>
      </c>
      <c r="FV311" s="5">
        <f>IF(FU311="No",0,
IF(FU311="Sí, unas pocas veces",1,
IF(FU311="Sí, mensualmente",2,
IF(FU311="Sí, semanalmente",3,
IF(FU311="Sí, diariamente",4,"")))))</f>
        <v>0</v>
      </c>
      <c r="FW311" s="5" t="s">
        <v>206</v>
      </c>
      <c r="FX311" s="5">
        <f>IF(FW311="No",0,
IF(FW311="Sí, unas pocas veces",1,
IF(FW311="Sí, mensualmente",2,
IF(FW311="Sí, semanalmente",3,
IF(FW311="Sí, diariamente",4,"")))))</f>
        <v>0</v>
      </c>
      <c r="FY311" s="5" t="s">
        <v>206</v>
      </c>
      <c r="FZ311" s="5">
        <f>IF(FY311="No",0,
IF(FY311="Sí, unas pocas veces",1,
IF(FY311="Sí, mensualmente",2,
IF(FY311="Sí, semanalmente",3,
IF(FY311="Sí, diariamente",4,"")))))</f>
        <v>0</v>
      </c>
      <c r="GA311" s="5" t="s">
        <v>206</v>
      </c>
      <c r="GB311" s="5">
        <f>IF(GA311="No",0,
IF(GA311="Sí, unas pocas veces",1,
IF(GA311="Sí, mensualmente",2,
IF(GA311="Sí, semanalmente",3,
IF(GA311="Sí, diariamente",4,"")))))</f>
        <v>0</v>
      </c>
      <c r="GC311" s="5" t="s">
        <v>206</v>
      </c>
      <c r="GD311" s="5">
        <f>IF(GC311="No",0,
IF(GC311="Sí, unas pocas veces",1,
IF(GC311="Sí, mensualmente",2,
IF(GC311="Sí, semanalmente",3,
IF(GC311="Sí, diariamente",4,"")))))</f>
        <v>0</v>
      </c>
      <c r="GE311" s="5">
        <f>SUM(FR311,FT311,FV311,FX311,FZ311,GB311,GD311)</f>
        <v>0</v>
      </c>
      <c r="GF311" s="5" t="str">
        <f>IF(GE311&lt;=0,"Nivel de riesgo bajo",
IF(GE311&lt;=14,"Nivel de riesgo medio",
"Nivel de riesgo alto"))</f>
        <v>Nivel de riesgo bajo</v>
      </c>
      <c r="GG311" s="5" t="s">
        <v>255</v>
      </c>
      <c r="GH311" s="5" t="s">
        <v>255</v>
      </c>
      <c r="GI311" s="5" t="s">
        <v>255</v>
      </c>
      <c r="GJ311" s="5" t="s">
        <v>255</v>
      </c>
      <c r="GK311" s="5" t="s">
        <v>233</v>
      </c>
      <c r="GL311" s="5" t="s">
        <v>233</v>
      </c>
      <c r="GM311" s="5" t="s">
        <v>233</v>
      </c>
      <c r="GN311" s="5" t="s">
        <v>234</v>
      </c>
      <c r="GO311" s="5" t="s">
        <v>257</v>
      </c>
      <c r="GP311" s="5" t="s">
        <v>244</v>
      </c>
      <c r="GQ311" s="5" t="s">
        <v>257</v>
      </c>
      <c r="GR311" s="5" t="s">
        <v>257</v>
      </c>
      <c r="GS311" s="5" t="s">
        <v>257</v>
      </c>
      <c r="GT311" s="5" t="s">
        <v>257</v>
      </c>
      <c r="GU311" s="5" t="s">
        <v>670</v>
      </c>
      <c r="GV311" s="5" t="str">
        <f>TEXT("6280083696165077450","0")</f>
        <v>6280083696165070000</v>
      </c>
    </row>
    <row r="312" spans="1:204" ht="15.75" customHeight="1" x14ac:dyDescent="0.15">
      <c r="A312" s="1">
        <f>ROW(A312)</f>
        <v>312</v>
      </c>
      <c r="B312" s="4">
        <v>45848.926712962966</v>
      </c>
      <c r="C312" s="5" t="s">
        <v>204</v>
      </c>
      <c r="D312" s="5" t="s">
        <v>206</v>
      </c>
      <c r="F312" s="5" t="s">
        <v>206</v>
      </c>
      <c r="G312" s="5" t="s">
        <v>206</v>
      </c>
      <c r="H312" s="5" t="s">
        <v>206</v>
      </c>
      <c r="K312" s="5" t="s">
        <v>237</v>
      </c>
      <c r="P312" s="5" t="s">
        <v>237</v>
      </c>
      <c r="T312" s="5" t="s">
        <v>209</v>
      </c>
      <c r="X312" s="5" t="s">
        <v>208</v>
      </c>
      <c r="AD312" s="5" t="s">
        <v>209</v>
      </c>
      <c r="AH312" s="5" t="s">
        <v>275</v>
      </c>
      <c r="AI312" s="5">
        <v>2018</v>
      </c>
      <c r="AJ312" s="5" t="s">
        <v>238</v>
      </c>
      <c r="AK312" s="5" t="str">
        <f>IF(OR(AJ312="Empleada del sector privado",AJ312="Empleada del sector público"),"Asalariada",
IF(AJ312="Trabajadora por cuenta propia","Trabajadora por cuenta propia",""))</f>
        <v>Trabajadora por cuenta propia</v>
      </c>
      <c r="AN312" s="5" t="s">
        <v>288</v>
      </c>
      <c r="AP312" s="5" t="s">
        <v>240</v>
      </c>
      <c r="AR312" s="5" t="s">
        <v>301</v>
      </c>
      <c r="AS312" s="5" t="s">
        <v>301</v>
      </c>
      <c r="AT312" s="5" t="s">
        <v>301</v>
      </c>
      <c r="AU312" s="5" t="s">
        <v>301</v>
      </c>
      <c r="AV312" s="5" t="s">
        <v>285</v>
      </c>
      <c r="AW312" s="5" t="s">
        <v>204</v>
      </c>
      <c r="AX312" s="5" t="s">
        <v>204</v>
      </c>
      <c r="AY312" s="5" t="s">
        <v>214</v>
      </c>
      <c r="AZ312" s="5" t="s">
        <v>204</v>
      </c>
      <c r="BA312" s="5" t="s">
        <v>344</v>
      </c>
      <c r="BF312" s="5" t="s">
        <v>204</v>
      </c>
      <c r="BG312" s="5" t="s">
        <v>278</v>
      </c>
      <c r="BH312" s="5" t="s">
        <v>278</v>
      </c>
      <c r="BI312" s="5" t="s">
        <v>278</v>
      </c>
      <c r="BJ312" s="5" t="s">
        <v>278</v>
      </c>
      <c r="BK312" s="5" t="s">
        <v>246</v>
      </c>
      <c r="BL312" s="5" t="s">
        <v>243</v>
      </c>
      <c r="BM312" s="5" t="s">
        <v>243</v>
      </c>
      <c r="BN312" s="5" t="s">
        <v>244</v>
      </c>
      <c r="BO312" s="5" t="s">
        <v>243</v>
      </c>
      <c r="BP312" s="5" t="s">
        <v>244</v>
      </c>
      <c r="BQ312" s="5" t="s">
        <v>246</v>
      </c>
      <c r="BR312" s="5" t="s">
        <v>243</v>
      </c>
      <c r="BS312" s="5" t="s">
        <v>248</v>
      </c>
      <c r="BT312" s="5" t="s">
        <v>247</v>
      </c>
      <c r="BU312" s="5" t="s">
        <v>217</v>
      </c>
      <c r="BV312" s="5" t="s">
        <v>217</v>
      </c>
      <c r="BW312" s="5" t="s">
        <v>217</v>
      </c>
      <c r="BX312" s="5" t="s">
        <v>217</v>
      </c>
      <c r="BY312" s="5" t="s">
        <v>217</v>
      </c>
      <c r="BZ312" s="5" t="s">
        <v>246</v>
      </c>
      <c r="CA312" s="5" t="s">
        <v>244</v>
      </c>
      <c r="CB312" s="5" t="s">
        <v>216</v>
      </c>
      <c r="CC312" s="5" t="s">
        <v>243</v>
      </c>
      <c r="CD312" s="5" t="s">
        <v>204</v>
      </c>
      <c r="CE312" s="5" t="s">
        <v>218</v>
      </c>
      <c r="CF312" s="5" t="s">
        <v>219</v>
      </c>
      <c r="CG312" s="5" t="s">
        <v>206</v>
      </c>
      <c r="CH312" s="5" t="s">
        <v>206</v>
      </c>
      <c r="CI312" s="5" t="s">
        <v>291</v>
      </c>
      <c r="CJ312" s="5">
        <v>1</v>
      </c>
      <c r="CK312" s="5" t="s">
        <v>223</v>
      </c>
      <c r="CU312" s="5" t="s">
        <v>206</v>
      </c>
      <c r="DA312" s="5" t="s">
        <v>231</v>
      </c>
      <c r="DB312" s="5">
        <f>IF(DA312="Mejor que lo habitual",1,
IF(DA312="Igual que lo habitual",2,
IF(DA312="Menos que lo habitual",3,
IF(DA312="Mucho menos que lo habitual",4,""))))</f>
        <v>2</v>
      </c>
      <c r="DC312" s="5" t="s">
        <v>250</v>
      </c>
      <c r="DD312" s="5">
        <f>IF(DC312="No, en absoluto",1,
IF(DC312="No más que lo habitual",2,
IF(DC312="Bastante más que lo habitual",3,
IF(DC312="Mucho más que lo habitual",4,""))))</f>
        <v>3</v>
      </c>
      <c r="DE312" s="5" t="s">
        <v>250</v>
      </c>
      <c r="DF312" s="5">
        <f>IF(DE312="No, en absoluto",1,
IF(DE312="No más que lo habitual",2,
IF(DE312="Bastante más que lo habitual",3,
IF(DE312="Mucho más que lo habitual",4,""))))</f>
        <v>3</v>
      </c>
      <c r="DG312" s="5" t="s">
        <v>230</v>
      </c>
      <c r="DH312" s="5">
        <f>IF(DG312="No, en absoluto",1,
IF(DG312="No más que lo habitual",2,
IF(DG312="Bastante más que lo habitual",3,
IF(DG312="Mucho más que lo habitual",4,""))))</f>
        <v>2</v>
      </c>
      <c r="DI312" s="5" t="s">
        <v>230</v>
      </c>
      <c r="DJ312" s="5">
        <f>IF(DI312="No, en absoluto",1,
IF(DI312="No más que lo habitual",2,
IF(DI312="Bastante más que lo habitual",3,
IF(DI312="Mucho más que lo habitual",4,""))))</f>
        <v>2</v>
      </c>
      <c r="DK312" s="5" t="s">
        <v>251</v>
      </c>
      <c r="DL312" s="5">
        <f>IF(DK312="No, en absoluto",1,
IF(DK312="No más que lo habitual",2,
IF(DK312="Bastante más que lo habitual",3,
IF(DK312="Mucho más que lo habitual",4,""))))</f>
        <v>1</v>
      </c>
      <c r="DM312" s="5" t="s">
        <v>251</v>
      </c>
      <c r="DN312" s="5">
        <f>IF(DM312="No, en absoluto",1,
IF(DM312="No más que lo habitual",2,
IF(DM312="Bastante más que lo habitual",3,
IF(DM312="Mucho más que lo habitual",4,""))))</f>
        <v>1</v>
      </c>
      <c r="DO312" s="5" t="s">
        <v>281</v>
      </c>
      <c r="DP312" s="5">
        <f>IF(DO312="Más que lo habitual",1,
IF(DO312="Igual que lo habitual",2,
IF(DO312="Menos que lo habitual",3,
IF(DO312="Mucho menos que lo habitual",4,""))))</f>
        <v>1</v>
      </c>
      <c r="DQ312" s="5" t="s">
        <v>281</v>
      </c>
      <c r="DR312" s="5">
        <f>IF(DQ312="Más que lo habitual",1,
IF(DQ312="Igual que lo habitual",2,
IF(DQ312="Menos que lo habitual",3,
IF(DQ312="Mucho menos que lo habitual",4,""))))</f>
        <v>1</v>
      </c>
      <c r="DS312" s="5" t="s">
        <v>281</v>
      </c>
      <c r="DT312" s="5">
        <f>IF(DS312="Más que lo habitual",1,
IF(DS312="Igual que lo habitual",2,
IF(DS312="Menos que lo habitual",3,
IF(DS312="Mucho menos que lo habitual",4,""))))</f>
        <v>1</v>
      </c>
      <c r="DU312" s="5" t="s">
        <v>231</v>
      </c>
      <c r="DV312" s="5">
        <f>IF(DU312="Más que lo habitual",1,
IF(DU312="Igual que lo habitual",2,
IF(DU312="Menos que lo habitual",3,
IF(DU312="Mucho menos que lo habitual",4,""))))</f>
        <v>2</v>
      </c>
      <c r="DW312" s="5" t="s">
        <v>231</v>
      </c>
      <c r="DX312" s="5">
        <f>IF(DW312="Más que lo habitual",1,
IF(DW312="Igual que lo habitual",2,
IF(DW312="Menos que lo habitual",3,
IF(DW312="Mucho menos que lo habitual",4,""))))</f>
        <v>2</v>
      </c>
      <c r="DY312" s="5">
        <f>SUM(DB312,DD312,DF312,DH312,DJ312,DL312,DN312,DP312,DR312,DT312,DV312,DX312)</f>
        <v>21</v>
      </c>
      <c r="DZ312" s="5" t="str">
        <f>IF(DY312&lt;=18,"Nivel de riesgo bajo",
IF(DY312&lt;=23,"Nivel de riesgo medio",
"Nivel de riesgo alto"))</f>
        <v>Nivel de riesgo medio</v>
      </c>
      <c r="EA312" s="5" t="s">
        <v>248</v>
      </c>
      <c r="EB312" s="5">
        <f>IF(EA312="Nunca/ casi nunca",0,
IF(EA312="Rara vez",1,
IF(EA312="A veces",2,
IF(EA312="A menudo",3,
IF(EA312="Siempre",4,"")))))</f>
        <v>1</v>
      </c>
      <c r="EC312" s="5" t="s">
        <v>248</v>
      </c>
      <c r="ED312" s="5">
        <f>IF(EC312="Nunca/ casi nunca",0,
IF(EC312="Rara vez",1,
IF(EC312="A veces",2,
IF(EC312="A menudo",3,
IF(EC312="Siempre",4,"")))))</f>
        <v>1</v>
      </c>
      <c r="EE312" s="5" t="s">
        <v>253</v>
      </c>
      <c r="EF312" s="5">
        <f>IF(EE312="Nunca/ casi nunca",0,
IF(EE312="Rara vez",1,
IF(EE312="A veces",2,
IF(EE312="A menudo",3,
IF(EE312="Siempre",4,"")))))</f>
        <v>0</v>
      </c>
      <c r="EG312" s="5">
        <f>SUM(EB312,ED312,EF312)</f>
        <v>2</v>
      </c>
      <c r="EH312" s="5" t="str">
        <f>IF(EG312&lt;=1,"Nivel de riesgo bajo",
IF(EG312&lt;=4,"Nivel de riesgo medio",
"Nivel de riesgo alto"))</f>
        <v>Nivel de riesgo medio</v>
      </c>
      <c r="EI312" s="5" t="s">
        <v>253</v>
      </c>
      <c r="EJ312" s="5">
        <f>IF(EI312="Nunca/ casi nunca",0,
IF(EI312="Rara vez",1,
IF(EI312="A veces",2,
IF(EI312="A menudo",3,
IF(EI312="Siempre",4,"")))))</f>
        <v>0</v>
      </c>
      <c r="EK312" s="5" t="s">
        <v>247</v>
      </c>
      <c r="EL312" s="5">
        <f>IF(EK312="Nunca/ casi nunca",0,
IF(EK312="Rara vez",1,
IF(EK312="A veces",2,
IF(EK312="A menudo",3,
IF(EK312="Siempre",4,"")))))</f>
        <v>2</v>
      </c>
      <c r="EM312" s="5" t="s">
        <v>254</v>
      </c>
      <c r="EN312" s="5">
        <f>IF(EM312="Nunca/ casi nunca",0,
IF(EM312="Rara vez",1,
IF(EM312="A veces",2,
IF(EM312="A menudo",3,
IF(EM312="Siempre",4,"")))))</f>
        <v>4</v>
      </c>
      <c r="EO312" s="5">
        <f>SUM(EJ312,EL312,EN312)</f>
        <v>6</v>
      </c>
      <c r="EP312" s="5" t="str">
        <f>IF(EO312&lt;=1,"Nivel de riesgo bajo",
IF(EO312&lt;=5,"Nivel de riesgo medio",
"Nivel de riesgo alto"))</f>
        <v>Nivel de riesgo alto</v>
      </c>
      <c r="EQ312" s="5" t="s">
        <v>253</v>
      </c>
      <c r="ER312" s="5">
        <f>IF(EQ312="Nunca/ casi nunca",4,
IF(EQ312="Rara vez",3,
IF(EQ312="A veces",2,
IF(EQ312="A menudo",1,
IF(EQ312="Siempre",0,"")))))</f>
        <v>4</v>
      </c>
      <c r="ES312" s="5" t="s">
        <v>253</v>
      </c>
      <c r="ET312" s="5">
        <f>IF(ES312="Nunca/ casi nunca",4,
IF(ES312="Rara vez",3,
IF(ES312="A veces",2,
IF(ES312="A menudo",1,
IF(ES312="Siempre",0,"")))))</f>
        <v>4</v>
      </c>
      <c r="EU312" s="5" t="s">
        <v>254</v>
      </c>
      <c r="EV312" s="5">
        <f>IF(EU312="Nunca/ casi nunca",4,
IF(EU312="Rara vez",3,
IF(EU312="A veces",2,
IF(EU312="A menudo",1,
IF(EU312="Siempre",0,"")))))</f>
        <v>0</v>
      </c>
      <c r="EW312" s="5" t="s">
        <v>254</v>
      </c>
      <c r="EX312" s="5">
        <f>IF(EW312="Nunca/ casi nunca",4,
IF(EW312="Rara vez",3,
IF(EW312="A veces",2,
IF(EW312="A menudo",1,
IF(EW312="Siempre",0,"")))))</f>
        <v>0</v>
      </c>
      <c r="EY312" s="5">
        <f>SUM(ER312,ET312,EV312,EX312)</f>
        <v>8</v>
      </c>
      <c r="EZ312" s="5" t="str">
        <f>IF(EY312&lt;=0,"Nivel de riesgo bajo",
IF(EY312&lt;=4,"Nivel de riesgo medio",
"Nivel de riesgo alto"))</f>
        <v>Nivel de riesgo alto</v>
      </c>
      <c r="FA312" s="5" t="s">
        <v>253</v>
      </c>
      <c r="FB312" s="5">
        <f>IF(FA312="Nunca/ casi nunca",0,
IF(FA312="Rara vez",1,
IF(FA312="A veces",2,
IF(FA312="A menudo",3,
IF(FA312="Siempre",4,"")))))</f>
        <v>0</v>
      </c>
      <c r="FC312" s="5" t="s">
        <v>253</v>
      </c>
      <c r="FD312" s="5">
        <f>IF(FC312="Nunca/ casi nunca",0,
IF(FC312="Rara vez",1,
IF(FC312="A veces",2,
IF(FC312="A menudo",3,
IF(FC312="Siempre",4,"")))))</f>
        <v>0</v>
      </c>
      <c r="FE312" s="5" t="s">
        <v>253</v>
      </c>
      <c r="FF312" s="5">
        <f>IF(FE312="Nunca/ casi nunca",0,
IF(FE312="Rara vez",1,
IF(FE312="A veces",2,
IF(FE312="A menudo",3,
IF(FE312="Siempre",4,"")))))</f>
        <v>0</v>
      </c>
      <c r="FG312" s="5">
        <f>SUM(FB312,FD312,FF312)</f>
        <v>0</v>
      </c>
      <c r="FH312" s="5" t="str">
        <f>IF(FG312&lt;=2,"Nivel de riesgo bajo",
IF(FG312&lt;=5,"Nivel de riesgo medio",
"Nivel de riesgo alto"))</f>
        <v>Nivel de riesgo bajo</v>
      </c>
      <c r="FI312" s="5" t="s">
        <v>253</v>
      </c>
      <c r="FJ312" s="5">
        <f>IF(FI312="Nunca/ casi nunca",0,
IF(FI312="Rara vez",1,
IF(FI312="A veces",2,
IF(FI312="A menudo",3,
IF(FI312="Siempre",4,"")))))</f>
        <v>0</v>
      </c>
      <c r="FK312" s="5" t="s">
        <v>253</v>
      </c>
      <c r="FL312" s="5">
        <f>IF(FK312="Nunca/ casi nunca",0,
IF(FK312="Rara vez",1,
IF(FK312="A veces",2,
IF(FK312="A menudo",3,
IF(FK312="Siempre",4,"")))))</f>
        <v>0</v>
      </c>
      <c r="FM312" s="5" t="s">
        <v>253</v>
      </c>
      <c r="FN312" s="5">
        <f>IF(FM312="Nunca/ casi nunca",0,
IF(FM312="Rara vez",1,
IF(FM312="A veces",2,
IF(FM312="A menudo",3,
IF(FM312="Siempre",4,"")))))</f>
        <v>0</v>
      </c>
      <c r="FO312" s="5">
        <f>SUM(FJ312,FL312,FN312)</f>
        <v>0</v>
      </c>
      <c r="FP312" s="5" t="str">
        <f>IF(FO312&lt;=2,"Nivel de riesgo bajo",
IF(FO312&lt;=5,"Nivel de riesgo medio",
"Nivel de riesgo alto"))</f>
        <v>Nivel de riesgo bajo</v>
      </c>
      <c r="FQ312" s="5" t="s">
        <v>206</v>
      </c>
      <c r="FR312" s="5">
        <f>IF(FQ312="No",0,
IF(FQ312="Sí, unas pocas veces",1,
IF(FQ312="Sí, mensualmente",2,
IF(FQ312="Sí, semanalmente",3,
IF(FQ312="Sí, diariamente",4,"")))))</f>
        <v>0</v>
      </c>
      <c r="FS312" s="5" t="s">
        <v>206</v>
      </c>
      <c r="FT312" s="5">
        <f>IF(FS312="No",0,
IF(FS312="Sí, unas pocas veces",1,
IF(FS312="Sí, mensualmente",2,
IF(FS312="Sí, semanalmente",3,
IF(FS312="Sí, diariamente",4,"")))))</f>
        <v>0</v>
      </c>
      <c r="FU312" s="5" t="s">
        <v>206</v>
      </c>
      <c r="FV312" s="5">
        <f>IF(FU312="No",0,
IF(FU312="Sí, unas pocas veces",1,
IF(FU312="Sí, mensualmente",2,
IF(FU312="Sí, semanalmente",3,
IF(FU312="Sí, diariamente",4,"")))))</f>
        <v>0</v>
      </c>
      <c r="FW312" s="5" t="s">
        <v>206</v>
      </c>
      <c r="FX312" s="5">
        <f>IF(FW312="No",0,
IF(FW312="Sí, unas pocas veces",1,
IF(FW312="Sí, mensualmente",2,
IF(FW312="Sí, semanalmente",3,
IF(FW312="Sí, diariamente",4,"")))))</f>
        <v>0</v>
      </c>
      <c r="FY312" s="5" t="s">
        <v>206</v>
      </c>
      <c r="FZ312" s="5">
        <f>IF(FY312="No",0,
IF(FY312="Sí, unas pocas veces",1,
IF(FY312="Sí, mensualmente",2,
IF(FY312="Sí, semanalmente",3,
IF(FY312="Sí, diariamente",4,"")))))</f>
        <v>0</v>
      </c>
      <c r="GA312" s="5" t="s">
        <v>206</v>
      </c>
      <c r="GB312" s="5">
        <f>IF(GA312="No",0,
IF(GA312="Sí, unas pocas veces",1,
IF(GA312="Sí, mensualmente",2,
IF(GA312="Sí, semanalmente",3,
IF(GA312="Sí, diariamente",4,"")))))</f>
        <v>0</v>
      </c>
      <c r="GC312" s="5" t="s">
        <v>206</v>
      </c>
      <c r="GD312" s="5">
        <f>IF(GC312="No",0,
IF(GC312="Sí, unas pocas veces",1,
IF(GC312="Sí, mensualmente",2,
IF(GC312="Sí, semanalmente",3,
IF(GC312="Sí, diariamente",4,"")))))</f>
        <v>0</v>
      </c>
      <c r="GE312" s="5">
        <f>SUM(FR312,FT312,FV312,FX312,FZ312,GB312,GD312)</f>
        <v>0</v>
      </c>
      <c r="GF312" s="5" t="str">
        <f>IF(GE312&lt;=0,"Nivel de riesgo bajo",
IF(GE312&lt;=14,"Nivel de riesgo medio",
"Nivel de riesgo alto"))</f>
        <v>Nivel de riesgo bajo</v>
      </c>
      <c r="GG312" s="5" t="s">
        <v>255</v>
      </c>
      <c r="GH312" s="5" t="s">
        <v>298</v>
      </c>
      <c r="GI312" s="5" t="s">
        <v>255</v>
      </c>
      <c r="GJ312" s="5" t="s">
        <v>298</v>
      </c>
      <c r="GK312" s="5" t="s">
        <v>298</v>
      </c>
      <c r="GL312" s="5" t="s">
        <v>255</v>
      </c>
      <c r="GM312" s="5" t="s">
        <v>298</v>
      </c>
      <c r="GN312" s="5" t="s">
        <v>243</v>
      </c>
      <c r="GO312" s="5" t="s">
        <v>257</v>
      </c>
      <c r="GP312" s="5" t="s">
        <v>257</v>
      </c>
      <c r="GQ312" s="5" t="s">
        <v>257</v>
      </c>
      <c r="GR312" s="5" t="s">
        <v>257</v>
      </c>
      <c r="GS312" s="5" t="s">
        <v>243</v>
      </c>
      <c r="GT312" s="5" t="s">
        <v>243</v>
      </c>
      <c r="GU312" s="5" t="s">
        <v>671</v>
      </c>
      <c r="GV312" s="5" t="str">
        <f>TEXT("6280092683118725549","0")</f>
        <v>6280092683118720000</v>
      </c>
    </row>
    <row r="313" spans="1:204" ht="15.75" customHeight="1" x14ac:dyDescent="0.15">
      <c r="A313" s="1">
        <f>ROW(A313)</f>
        <v>313</v>
      </c>
      <c r="B313" s="4">
        <v>45848.932268518518</v>
      </c>
      <c r="C313" s="5" t="s">
        <v>204</v>
      </c>
      <c r="D313" s="5" t="s">
        <v>206</v>
      </c>
      <c r="F313" s="5" t="s">
        <v>206</v>
      </c>
      <c r="G313" s="5" t="s">
        <v>206</v>
      </c>
      <c r="H313" s="5" t="s">
        <v>204</v>
      </c>
      <c r="K313" s="5" t="s">
        <v>237</v>
      </c>
      <c r="P313" s="5" t="s">
        <v>237</v>
      </c>
      <c r="T313" s="5" t="s">
        <v>209</v>
      </c>
      <c r="Y313" s="5" t="s">
        <v>209</v>
      </c>
      <c r="Z313" s="5" t="s">
        <v>237</v>
      </c>
      <c r="AE313" s="5" t="s">
        <v>237</v>
      </c>
      <c r="AH313" s="5" t="s">
        <v>275</v>
      </c>
      <c r="AI313" s="5">
        <v>2005</v>
      </c>
      <c r="AJ313" s="5" t="s">
        <v>330</v>
      </c>
      <c r="AK313" s="5" t="str">
        <f>IF(OR(AJ313="Empleada del sector privado",AJ313="Empleada del sector público"),"Asalariada",
IF(AJ313="Trabajadora por cuenta propia","Trabajadora por cuenta propia",""))</f>
        <v>Asalariada</v>
      </c>
      <c r="AQ313" s="5" t="s">
        <v>206</v>
      </c>
      <c r="AR313" s="5" t="s">
        <v>261</v>
      </c>
      <c r="AS313" s="5" t="s">
        <v>261</v>
      </c>
      <c r="AT313" s="5" t="s">
        <v>261</v>
      </c>
      <c r="AU313" s="5" t="s">
        <v>261</v>
      </c>
      <c r="AV313" s="5" t="s">
        <v>285</v>
      </c>
      <c r="AW313" s="5" t="s">
        <v>204</v>
      </c>
      <c r="AX313" s="5" t="s">
        <v>204</v>
      </c>
      <c r="AY313" s="5" t="s">
        <v>366</v>
      </c>
      <c r="AZ313" s="5" t="s">
        <v>204</v>
      </c>
      <c r="BA313" s="5" t="s">
        <v>295</v>
      </c>
      <c r="BB313" s="5" t="s">
        <v>206</v>
      </c>
      <c r="BC313" s="5" t="s">
        <v>206</v>
      </c>
      <c r="BD313" s="5" t="s">
        <v>672</v>
      </c>
      <c r="BE313" s="5" t="s">
        <v>206</v>
      </c>
      <c r="BF313" s="5" t="s">
        <v>204</v>
      </c>
      <c r="BG313" s="5" t="s">
        <v>242</v>
      </c>
      <c r="BH313" s="5" t="s">
        <v>215</v>
      </c>
      <c r="BI313" s="5" t="s">
        <v>215</v>
      </c>
      <c r="BJ313" s="5" t="s">
        <v>215</v>
      </c>
      <c r="BK313" s="5" t="s">
        <v>243</v>
      </c>
      <c r="BL313" s="5" t="s">
        <v>246</v>
      </c>
      <c r="BM313" s="5" t="s">
        <v>246</v>
      </c>
      <c r="BN313" s="5" t="s">
        <v>246</v>
      </c>
      <c r="BO313" s="5" t="s">
        <v>246</v>
      </c>
      <c r="BP313" s="5" t="s">
        <v>246</v>
      </c>
      <c r="BQ313" s="5" t="s">
        <v>243</v>
      </c>
      <c r="BR313" s="5" t="s">
        <v>246</v>
      </c>
      <c r="BS313" s="5" t="s">
        <v>247</v>
      </c>
      <c r="BT313" s="5" t="s">
        <v>247</v>
      </c>
      <c r="BU313" s="5" t="s">
        <v>247</v>
      </c>
      <c r="BV313" s="5" t="s">
        <v>247</v>
      </c>
      <c r="BW313" s="5" t="s">
        <v>232</v>
      </c>
      <c r="BX313" s="5" t="s">
        <v>232</v>
      </c>
      <c r="BY313" s="5" t="s">
        <v>247</v>
      </c>
      <c r="BZ313" s="5" t="s">
        <v>246</v>
      </c>
      <c r="CA313" s="5" t="s">
        <v>246</v>
      </c>
      <c r="CB313" s="5" t="s">
        <v>243</v>
      </c>
      <c r="CC313" s="5" t="s">
        <v>243</v>
      </c>
      <c r="CD313" s="5" t="s">
        <v>206</v>
      </c>
      <c r="CH313" s="5" t="s">
        <v>673</v>
      </c>
      <c r="CI313" s="5" t="s">
        <v>332</v>
      </c>
      <c r="CJ313" s="5">
        <v>2</v>
      </c>
      <c r="CK313" s="5" t="s">
        <v>223</v>
      </c>
      <c r="CU313" s="5" t="s">
        <v>206</v>
      </c>
      <c r="DA313" s="5" t="s">
        <v>252</v>
      </c>
      <c r="DB313" s="5">
        <f>IF(DA313="Mejor que lo habitual",1,
IF(DA313="Igual que lo habitual",2,
IF(DA313="Menos que lo habitual",3,
IF(DA313="Mucho menos que lo habitual",4,""))))</f>
        <v>3</v>
      </c>
      <c r="DC313" s="5" t="s">
        <v>230</v>
      </c>
      <c r="DD313" s="5">
        <f>IF(DC313="No, en absoluto",1,
IF(DC313="No más que lo habitual",2,
IF(DC313="Bastante más que lo habitual",3,
IF(DC313="Mucho más que lo habitual",4,""))))</f>
        <v>2</v>
      </c>
      <c r="DE313" s="5" t="s">
        <v>250</v>
      </c>
      <c r="DF313" s="5">
        <f>IF(DE313="No, en absoluto",1,
IF(DE313="No más que lo habitual",2,
IF(DE313="Bastante más que lo habitual",3,
IF(DE313="Mucho más que lo habitual",4,""))))</f>
        <v>3</v>
      </c>
      <c r="DG313" s="5" t="s">
        <v>250</v>
      </c>
      <c r="DH313" s="5">
        <f>IF(DG313="No, en absoluto",1,
IF(DG313="No más que lo habitual",2,
IF(DG313="Bastante más que lo habitual",3,
IF(DG313="Mucho más que lo habitual",4,""))))</f>
        <v>3</v>
      </c>
      <c r="DI313" s="5" t="s">
        <v>230</v>
      </c>
      <c r="DJ313" s="5">
        <f>IF(DI313="No, en absoluto",1,
IF(DI313="No más que lo habitual",2,
IF(DI313="Bastante más que lo habitual",3,
IF(DI313="Mucho más que lo habitual",4,""))))</f>
        <v>2</v>
      </c>
      <c r="DK313" s="5" t="s">
        <v>230</v>
      </c>
      <c r="DL313" s="5">
        <f>IF(DK313="No, en absoluto",1,
IF(DK313="No más que lo habitual",2,
IF(DK313="Bastante más que lo habitual",3,
IF(DK313="Mucho más que lo habitual",4,""))))</f>
        <v>2</v>
      </c>
      <c r="DM313" s="5" t="s">
        <v>250</v>
      </c>
      <c r="DN313" s="5">
        <f>IF(DM313="No, en absoluto",1,
IF(DM313="No más que lo habitual",2,
IF(DM313="Bastante más que lo habitual",3,
IF(DM313="Mucho más que lo habitual",4,""))))</f>
        <v>3</v>
      </c>
      <c r="DO313" s="5" t="s">
        <v>231</v>
      </c>
      <c r="DP313" s="5">
        <f>IF(DO313="Más que lo habitual",1,
IF(DO313="Igual que lo habitual",2,
IF(DO313="Menos que lo habitual",3,
IF(DO313="Mucho menos que lo habitual",4,""))))</f>
        <v>2</v>
      </c>
      <c r="DQ313" s="5" t="s">
        <v>231</v>
      </c>
      <c r="DR313" s="5">
        <f>IF(DQ313="Más que lo habitual",1,
IF(DQ313="Igual que lo habitual",2,
IF(DQ313="Menos que lo habitual",3,
IF(DQ313="Mucho menos que lo habitual",4,""))))</f>
        <v>2</v>
      </c>
      <c r="DS313" s="5" t="s">
        <v>231</v>
      </c>
      <c r="DT313" s="5">
        <f>IF(DS313="Más que lo habitual",1,
IF(DS313="Igual que lo habitual",2,
IF(DS313="Menos que lo habitual",3,
IF(DS313="Mucho menos que lo habitual",4,""))))</f>
        <v>2</v>
      </c>
      <c r="DU313" s="5" t="s">
        <v>231</v>
      </c>
      <c r="DV313" s="5">
        <f>IF(DU313="Más que lo habitual",1,
IF(DU313="Igual que lo habitual",2,
IF(DU313="Menos que lo habitual",3,
IF(DU313="Mucho menos que lo habitual",4,""))))</f>
        <v>2</v>
      </c>
      <c r="DW313" s="5" t="s">
        <v>231</v>
      </c>
      <c r="DX313" s="5">
        <f>IF(DW313="Más que lo habitual",1,
IF(DW313="Igual que lo habitual",2,
IF(DW313="Menos que lo habitual",3,
IF(DW313="Mucho menos que lo habitual",4,""))))</f>
        <v>2</v>
      </c>
      <c r="DY313" s="5">
        <f>SUM(DB313,DD313,DF313,DH313,DJ313,DL313,DN313,DP313,DR313,DT313,DV313,DX313)</f>
        <v>28</v>
      </c>
      <c r="DZ313" s="5" t="str">
        <f>IF(DY313&lt;=18,"Nivel de riesgo bajo",
IF(DY313&lt;=23,"Nivel de riesgo medio",
"Nivel de riesgo alto"))</f>
        <v>Nivel de riesgo alto</v>
      </c>
      <c r="EA313" s="5" t="s">
        <v>247</v>
      </c>
      <c r="EB313" s="5">
        <f>IF(EA313="Nunca/ casi nunca",0,
IF(EA313="Rara vez",1,
IF(EA313="A veces",2,
IF(EA313="A menudo",3,
IF(EA313="Siempre",4,"")))))</f>
        <v>2</v>
      </c>
      <c r="EC313" s="5" t="s">
        <v>247</v>
      </c>
      <c r="ED313" s="5">
        <f>IF(EC313="Nunca/ casi nunca",0,
IF(EC313="Rara vez",1,
IF(EC313="A veces",2,
IF(EC313="A menudo",3,
IF(EC313="Siempre",4,"")))))</f>
        <v>2</v>
      </c>
      <c r="EE313" s="5" t="s">
        <v>247</v>
      </c>
      <c r="EF313" s="5">
        <f>IF(EE313="Nunca/ casi nunca",0,
IF(EE313="Rara vez",1,
IF(EE313="A veces",2,
IF(EE313="A menudo",3,
IF(EE313="Siempre",4,"")))))</f>
        <v>2</v>
      </c>
      <c r="EG313" s="5">
        <f>SUM(EB313,ED313,EF313)</f>
        <v>6</v>
      </c>
      <c r="EH313" s="5" t="str">
        <f>IF(EG313&lt;=1,"Nivel de riesgo bajo",
IF(EG313&lt;=4,"Nivel de riesgo medio",
"Nivel de riesgo alto"))</f>
        <v>Nivel de riesgo alto</v>
      </c>
      <c r="EI313" s="5" t="s">
        <v>248</v>
      </c>
      <c r="EJ313" s="5">
        <f>IF(EI313="Nunca/ casi nunca",0,
IF(EI313="Rara vez",1,
IF(EI313="A veces",2,
IF(EI313="A menudo",3,
IF(EI313="Siempre",4,"")))))</f>
        <v>1</v>
      </c>
      <c r="EK313" s="5" t="s">
        <v>247</v>
      </c>
      <c r="EL313" s="5">
        <f>IF(EK313="Nunca/ casi nunca",0,
IF(EK313="Rara vez",1,
IF(EK313="A veces",2,
IF(EK313="A menudo",3,
IF(EK313="Siempre",4,"")))))</f>
        <v>2</v>
      </c>
      <c r="EM313" s="5" t="s">
        <v>248</v>
      </c>
      <c r="EN313" s="5">
        <f>IF(EM313="Nunca/ casi nunca",0,
IF(EM313="Rara vez",1,
IF(EM313="A veces",2,
IF(EM313="A menudo",3,
IF(EM313="Siempre",4,"")))))</f>
        <v>1</v>
      </c>
      <c r="EO313" s="5">
        <f>SUM(EJ313,EL313,EN313)</f>
        <v>4</v>
      </c>
      <c r="EP313" s="5" t="str">
        <f>IF(EO313&lt;=1,"Nivel de riesgo bajo",
IF(EO313&lt;=5,"Nivel de riesgo medio",
"Nivel de riesgo alto"))</f>
        <v>Nivel de riesgo medio</v>
      </c>
      <c r="EQ313" s="5" t="s">
        <v>248</v>
      </c>
      <c r="ER313" s="5">
        <f>IF(EQ313="Nunca/ casi nunca",4,
IF(EQ313="Rara vez",3,
IF(EQ313="A veces",2,
IF(EQ313="A menudo",1,
IF(EQ313="Siempre",0,"")))))</f>
        <v>3</v>
      </c>
      <c r="ES313" s="5" t="s">
        <v>248</v>
      </c>
      <c r="ET313" s="5">
        <f>IF(ES313="Nunca/ casi nunca",4,
IF(ES313="Rara vez",3,
IF(ES313="A veces",2,
IF(ES313="A menudo",1,
IF(ES313="Siempre",0,"")))))</f>
        <v>3</v>
      </c>
      <c r="EU313" s="5" t="s">
        <v>247</v>
      </c>
      <c r="EV313" s="5">
        <f>IF(EU313="Nunca/ casi nunca",4,
IF(EU313="Rara vez",3,
IF(EU313="A veces",2,
IF(EU313="A menudo",1,
IF(EU313="Siempre",0,"")))))</f>
        <v>2</v>
      </c>
      <c r="EW313" s="5" t="s">
        <v>248</v>
      </c>
      <c r="EX313" s="5">
        <f>IF(EW313="Nunca/ casi nunca",4,
IF(EW313="Rara vez",3,
IF(EW313="A veces",2,
IF(EW313="A menudo",1,
IF(EW313="Siempre",0,"")))))</f>
        <v>3</v>
      </c>
      <c r="EY313" s="5">
        <f>SUM(ER313,ET313,EV313,EX313)</f>
        <v>11</v>
      </c>
      <c r="EZ313" s="5" t="str">
        <f>IF(EY313&lt;=0,"Nivel de riesgo bajo",
IF(EY313&lt;=4,"Nivel de riesgo medio",
"Nivel de riesgo alto"))</f>
        <v>Nivel de riesgo alto</v>
      </c>
      <c r="FA313" s="5" t="s">
        <v>248</v>
      </c>
      <c r="FB313" s="5">
        <f>IF(FA313="Nunca/ casi nunca",0,
IF(FA313="Rara vez",1,
IF(FA313="A veces",2,
IF(FA313="A menudo",3,
IF(FA313="Siempre",4,"")))))</f>
        <v>1</v>
      </c>
      <c r="FC313" s="5" t="s">
        <v>247</v>
      </c>
      <c r="FD313" s="5">
        <f>IF(FC313="Nunca/ casi nunca",0,
IF(FC313="Rara vez",1,
IF(FC313="A veces",2,
IF(FC313="A menudo",3,
IF(FC313="Siempre",4,"")))))</f>
        <v>2</v>
      </c>
      <c r="FE313" s="5" t="s">
        <v>248</v>
      </c>
      <c r="FF313" s="5">
        <f>IF(FE313="Nunca/ casi nunca",0,
IF(FE313="Rara vez",1,
IF(FE313="A veces",2,
IF(FE313="A menudo",3,
IF(FE313="Siempre",4,"")))))</f>
        <v>1</v>
      </c>
      <c r="FG313" s="5">
        <f>SUM(FB313,FD313,FF313)</f>
        <v>4</v>
      </c>
      <c r="FH313" s="5" t="str">
        <f>IF(FG313&lt;=2,"Nivel de riesgo bajo",
IF(FG313&lt;=5,"Nivel de riesgo medio",
"Nivel de riesgo alto"))</f>
        <v>Nivel de riesgo medio</v>
      </c>
      <c r="FI313" s="5" t="s">
        <v>247</v>
      </c>
      <c r="FJ313" s="5">
        <f>IF(FI313="Nunca/ casi nunca",0,
IF(FI313="Rara vez",1,
IF(FI313="A veces",2,
IF(FI313="A menudo",3,
IF(FI313="Siempre",4,"")))))</f>
        <v>2</v>
      </c>
      <c r="FK313" s="5" t="s">
        <v>248</v>
      </c>
      <c r="FL313" s="5">
        <f>IF(FK313="Nunca/ casi nunca",0,
IF(FK313="Rara vez",1,
IF(FK313="A veces",2,
IF(FK313="A menudo",3,
IF(FK313="Siempre",4,"")))))</f>
        <v>1</v>
      </c>
      <c r="FM313" s="5" t="s">
        <v>247</v>
      </c>
      <c r="FN313" s="5">
        <f>IF(FM313="Nunca/ casi nunca",0,
IF(FM313="Rara vez",1,
IF(FM313="A veces",2,
IF(FM313="A menudo",3,
IF(FM313="Siempre",4,"")))))</f>
        <v>2</v>
      </c>
      <c r="FO313" s="5">
        <f>SUM(FJ313,FL313,FN313)</f>
        <v>5</v>
      </c>
      <c r="FP313" s="5" t="str">
        <f>IF(FO313&lt;=2,"Nivel de riesgo bajo",
IF(FO313&lt;=5,"Nivel de riesgo medio",
"Nivel de riesgo alto"))</f>
        <v>Nivel de riesgo medio</v>
      </c>
      <c r="FQ313" s="5" t="s">
        <v>265</v>
      </c>
      <c r="FR313" s="5">
        <f>IF(FQ313="No",0,
IF(FQ313="Sí, unas pocas veces",1,
IF(FQ313="Sí, mensualmente",2,
IF(FQ313="Sí, semanalmente",3,
IF(FQ313="Sí, diariamente",4,"")))))</f>
        <v>1</v>
      </c>
      <c r="FS313" s="5" t="s">
        <v>325</v>
      </c>
      <c r="FT313" s="5">
        <f>IF(FS313="No",0,
IF(FS313="Sí, unas pocas veces",1,
IF(FS313="Sí, mensualmente",2,
IF(FS313="Sí, semanalmente",3,
IF(FS313="Sí, diariamente",4,"")))))</f>
        <v>2</v>
      </c>
      <c r="FU313" s="5" t="s">
        <v>325</v>
      </c>
      <c r="FV313" s="5">
        <f>IF(FU313="No",0,
IF(FU313="Sí, unas pocas veces",1,
IF(FU313="Sí, mensualmente",2,
IF(FU313="Sí, semanalmente",3,
IF(FU313="Sí, diariamente",4,"")))))</f>
        <v>2</v>
      </c>
      <c r="FW313" s="5" t="s">
        <v>325</v>
      </c>
      <c r="FX313" s="5">
        <f>IF(FW313="No",0,
IF(FW313="Sí, unas pocas veces",1,
IF(FW313="Sí, mensualmente",2,
IF(FW313="Sí, semanalmente",3,
IF(FW313="Sí, diariamente",4,"")))))</f>
        <v>2</v>
      </c>
      <c r="FY313" s="5" t="s">
        <v>325</v>
      </c>
      <c r="FZ313" s="5">
        <f>IF(FY313="No",0,
IF(FY313="Sí, unas pocas veces",1,
IF(FY313="Sí, mensualmente",2,
IF(FY313="Sí, semanalmente",3,
IF(FY313="Sí, diariamente",4,"")))))</f>
        <v>2</v>
      </c>
      <c r="GA313" s="5" t="s">
        <v>325</v>
      </c>
      <c r="GB313" s="5">
        <f>IF(GA313="No",0,
IF(GA313="Sí, unas pocas veces",1,
IF(GA313="Sí, mensualmente",2,
IF(GA313="Sí, semanalmente",3,
IF(GA313="Sí, diariamente",4,"")))))</f>
        <v>2</v>
      </c>
      <c r="GC313" s="5" t="s">
        <v>325</v>
      </c>
      <c r="GD313" s="5">
        <f>IF(GC313="No",0,
IF(GC313="Sí, unas pocas veces",1,
IF(GC313="Sí, mensualmente",2,
IF(GC313="Sí, semanalmente",3,
IF(GC313="Sí, diariamente",4,"")))))</f>
        <v>2</v>
      </c>
      <c r="GE313" s="5">
        <f>SUM(FR313,FT313,FV313,FX313,FZ313,GB313,GD313)</f>
        <v>13</v>
      </c>
      <c r="GF313" s="5" t="str">
        <f>IF(GE313&lt;=0,"Nivel de riesgo bajo",
IF(GE313&lt;=14,"Nivel de riesgo medio",
"Nivel de riesgo alto"))</f>
        <v>Nivel de riesgo medio</v>
      </c>
      <c r="GG313" s="5" t="s">
        <v>273</v>
      </c>
      <c r="GH313" s="5" t="s">
        <v>273</v>
      </c>
      <c r="GI313" s="5" t="s">
        <v>273</v>
      </c>
      <c r="GJ313" s="5" t="s">
        <v>266</v>
      </c>
      <c r="GK313" s="5" t="s">
        <v>266</v>
      </c>
      <c r="GL313" s="5" t="s">
        <v>273</v>
      </c>
      <c r="GM313" s="5" t="s">
        <v>266</v>
      </c>
      <c r="GN313" s="5" t="s">
        <v>243</v>
      </c>
      <c r="GO313" s="5" t="s">
        <v>243</v>
      </c>
      <c r="GP313" s="5" t="s">
        <v>243</v>
      </c>
      <c r="GQ313" s="5" t="s">
        <v>243</v>
      </c>
      <c r="GR313" s="5" t="s">
        <v>243</v>
      </c>
      <c r="GS313" s="5" t="s">
        <v>256</v>
      </c>
      <c r="GT313" s="5" t="s">
        <v>243</v>
      </c>
      <c r="GU313" s="5" t="s">
        <v>674</v>
      </c>
      <c r="GV313" s="5" t="str">
        <f>TEXT("6280097482017969815","0")</f>
        <v>6280097482017960000</v>
      </c>
    </row>
    <row r="314" spans="1:204" ht="15.75" customHeight="1" x14ac:dyDescent="0.15">
      <c r="A314" s="1">
        <f>ROW(A314)</f>
        <v>314</v>
      </c>
      <c r="B314" s="4">
        <v>45848.936666666668</v>
      </c>
      <c r="C314" s="5" t="s">
        <v>204</v>
      </c>
      <c r="D314" s="5" t="s">
        <v>206</v>
      </c>
      <c r="F314" s="5" t="s">
        <v>206</v>
      </c>
      <c r="G314" s="5" t="s">
        <v>204</v>
      </c>
      <c r="H314" s="5" t="s">
        <v>206</v>
      </c>
      <c r="J314" s="5" t="s">
        <v>209</v>
      </c>
      <c r="O314" s="5" t="s">
        <v>209</v>
      </c>
      <c r="S314" s="5" t="s">
        <v>208</v>
      </c>
      <c r="X314" s="5" t="s">
        <v>208</v>
      </c>
      <c r="AC314" s="5" t="s">
        <v>208</v>
      </c>
      <c r="AH314" s="5" t="s">
        <v>275</v>
      </c>
      <c r="AI314" s="5">
        <v>2019</v>
      </c>
      <c r="AJ314" s="5" t="s">
        <v>238</v>
      </c>
      <c r="AK314" s="5" t="str">
        <f>IF(OR(AJ314="Empleada del sector privado",AJ314="Empleada del sector público"),"Asalariada",
IF(AJ314="Trabajadora por cuenta propia","Trabajadora por cuenta propia",""))</f>
        <v>Trabajadora por cuenta propia</v>
      </c>
      <c r="AL314" s="5" t="s">
        <v>239</v>
      </c>
      <c r="AP314" s="5" t="s">
        <v>297</v>
      </c>
      <c r="AR314" s="5" t="s">
        <v>301</v>
      </c>
      <c r="AS314" s="5" t="s">
        <v>301</v>
      </c>
      <c r="AT314" s="5" t="s">
        <v>301</v>
      </c>
      <c r="AU314" s="5" t="s">
        <v>301</v>
      </c>
      <c r="AV314" s="5" t="s">
        <v>213</v>
      </c>
      <c r="AW314" s="5" t="s">
        <v>206</v>
      </c>
      <c r="BF314" s="5" t="s">
        <v>204</v>
      </c>
      <c r="BG314" s="5" t="s">
        <v>271</v>
      </c>
      <c r="BH314" s="5" t="s">
        <v>242</v>
      </c>
      <c r="BI314" s="5" t="s">
        <v>278</v>
      </c>
      <c r="BJ314" s="5" t="s">
        <v>215</v>
      </c>
      <c r="BK314" s="5" t="s">
        <v>245</v>
      </c>
      <c r="BL314" s="5" t="s">
        <v>243</v>
      </c>
      <c r="BM314" s="5" t="s">
        <v>243</v>
      </c>
      <c r="BN314" s="5" t="s">
        <v>246</v>
      </c>
      <c r="BO314" s="5" t="s">
        <v>246</v>
      </c>
      <c r="BP314" s="5" t="s">
        <v>246</v>
      </c>
      <c r="BQ314" s="5" t="s">
        <v>244</v>
      </c>
      <c r="BR314" s="5" t="s">
        <v>243</v>
      </c>
      <c r="BS314" s="5" t="s">
        <v>247</v>
      </c>
      <c r="BT314" s="5" t="s">
        <v>247</v>
      </c>
      <c r="BU314" s="5" t="s">
        <v>247</v>
      </c>
      <c r="BV314" s="5" t="s">
        <v>248</v>
      </c>
      <c r="BW314" s="5" t="s">
        <v>248</v>
      </c>
      <c r="BX314" s="5" t="s">
        <v>217</v>
      </c>
      <c r="BY314" s="5" t="s">
        <v>217</v>
      </c>
      <c r="CD314" s="5" t="s">
        <v>206</v>
      </c>
      <c r="CH314" s="5" t="s">
        <v>206</v>
      </c>
      <c r="CI314" s="5" t="s">
        <v>307</v>
      </c>
      <c r="CJ314" s="5">
        <v>4</v>
      </c>
      <c r="CK314" s="5" t="s">
        <v>223</v>
      </c>
      <c r="CU314" s="5" t="s">
        <v>206</v>
      </c>
      <c r="DA314" s="5" t="s">
        <v>272</v>
      </c>
      <c r="DB314" s="5">
        <f>IF(DA314="Mejor que lo habitual",1,
IF(DA314="Igual que lo habitual",2,
IF(DA314="Menos que lo habitual",3,
IF(DA314="Mucho menos que lo habitual",4,""))))</f>
        <v>1</v>
      </c>
      <c r="DC314" s="5" t="s">
        <v>230</v>
      </c>
      <c r="DD314" s="5">
        <f>IF(DC314="No, en absoluto",1,
IF(DC314="No más que lo habitual",2,
IF(DC314="Bastante más que lo habitual",3,
IF(DC314="Mucho más que lo habitual",4,""))))</f>
        <v>2</v>
      </c>
      <c r="DE314" s="5" t="s">
        <v>251</v>
      </c>
      <c r="DF314" s="5">
        <f>IF(DE314="No, en absoluto",1,
IF(DE314="No más que lo habitual",2,
IF(DE314="Bastante más que lo habitual",3,
IF(DE314="Mucho más que lo habitual",4,""))))</f>
        <v>1</v>
      </c>
      <c r="DG314" s="5" t="s">
        <v>251</v>
      </c>
      <c r="DH314" s="5">
        <f>IF(DG314="No, en absoluto",1,
IF(DG314="No más que lo habitual",2,
IF(DG314="Bastante más que lo habitual",3,
IF(DG314="Mucho más que lo habitual",4,""))))</f>
        <v>1</v>
      </c>
      <c r="DI314" s="5" t="s">
        <v>251</v>
      </c>
      <c r="DJ314" s="5">
        <f>IF(DI314="No, en absoluto",1,
IF(DI314="No más que lo habitual",2,
IF(DI314="Bastante más que lo habitual",3,
IF(DI314="Mucho más que lo habitual",4,""))))</f>
        <v>1</v>
      </c>
      <c r="DK314" s="5" t="s">
        <v>251</v>
      </c>
      <c r="DL314" s="5">
        <f>IF(DK314="No, en absoluto",1,
IF(DK314="No más que lo habitual",2,
IF(DK314="Bastante más que lo habitual",3,
IF(DK314="Mucho más que lo habitual",4,""))))</f>
        <v>1</v>
      </c>
      <c r="DM314" s="5" t="s">
        <v>251</v>
      </c>
      <c r="DN314" s="5">
        <f>IF(DM314="No, en absoluto",1,
IF(DM314="No más que lo habitual",2,
IF(DM314="Bastante más que lo habitual",3,
IF(DM314="Mucho más que lo habitual",4,""))))</f>
        <v>1</v>
      </c>
      <c r="DO314" s="5" t="s">
        <v>281</v>
      </c>
      <c r="DP314" s="5">
        <f>IF(DO314="Más que lo habitual",1,
IF(DO314="Igual que lo habitual",2,
IF(DO314="Menos que lo habitual",3,
IF(DO314="Mucho menos que lo habitual",4,""))))</f>
        <v>1</v>
      </c>
      <c r="DQ314" s="5" t="s">
        <v>281</v>
      </c>
      <c r="DR314" s="5">
        <f>IF(DQ314="Más que lo habitual",1,
IF(DQ314="Igual que lo habitual",2,
IF(DQ314="Menos que lo habitual",3,
IF(DQ314="Mucho menos que lo habitual",4,""))))</f>
        <v>1</v>
      </c>
      <c r="DS314" s="5" t="s">
        <v>231</v>
      </c>
      <c r="DT314" s="5">
        <f>IF(DS314="Más que lo habitual",1,
IF(DS314="Igual que lo habitual",2,
IF(DS314="Menos que lo habitual",3,
IF(DS314="Mucho menos que lo habitual",4,""))))</f>
        <v>2</v>
      </c>
      <c r="DU314" s="5" t="s">
        <v>281</v>
      </c>
      <c r="DV314" s="5">
        <f>IF(DU314="Más que lo habitual",1,
IF(DU314="Igual que lo habitual",2,
IF(DU314="Menos que lo habitual",3,
IF(DU314="Mucho menos que lo habitual",4,""))))</f>
        <v>1</v>
      </c>
      <c r="DW314" s="5" t="s">
        <v>281</v>
      </c>
      <c r="DX314" s="5">
        <f>IF(DW314="Más que lo habitual",1,
IF(DW314="Igual que lo habitual",2,
IF(DW314="Menos que lo habitual",3,
IF(DW314="Mucho menos que lo habitual",4,""))))</f>
        <v>1</v>
      </c>
      <c r="DY314" s="5">
        <f>SUM(DB314,DD314,DF314,DH314,DJ314,DL314,DN314,DP314,DR314,DT314,DV314,DX314)</f>
        <v>14</v>
      </c>
      <c r="DZ314" s="5" t="str">
        <f>IF(DY314&lt;=18,"Nivel de riesgo bajo",
IF(DY314&lt;=23,"Nivel de riesgo medio",
"Nivel de riesgo alto"))</f>
        <v>Nivel de riesgo bajo</v>
      </c>
      <c r="EA314" s="5" t="s">
        <v>253</v>
      </c>
      <c r="EB314" s="5">
        <f>IF(EA314="Nunca/ casi nunca",0,
IF(EA314="Rara vez",1,
IF(EA314="A veces",2,
IF(EA314="A menudo",3,
IF(EA314="Siempre",4,"")))))</f>
        <v>0</v>
      </c>
      <c r="EC314" s="5" t="s">
        <v>253</v>
      </c>
      <c r="ED314" s="5">
        <f>IF(EC314="Nunca/ casi nunca",0,
IF(EC314="Rara vez",1,
IF(EC314="A veces",2,
IF(EC314="A menudo",3,
IF(EC314="Siempre",4,"")))))</f>
        <v>0</v>
      </c>
      <c r="EE314" s="5" t="s">
        <v>253</v>
      </c>
      <c r="EF314" s="5">
        <f>IF(EE314="Nunca/ casi nunca",0,
IF(EE314="Rara vez",1,
IF(EE314="A veces",2,
IF(EE314="A menudo",3,
IF(EE314="Siempre",4,"")))))</f>
        <v>0</v>
      </c>
      <c r="EG314" s="5">
        <f>SUM(EB314,ED314,EF314)</f>
        <v>0</v>
      </c>
      <c r="EH314" s="5" t="str">
        <f>IF(EG314&lt;=1,"Nivel de riesgo bajo",
IF(EG314&lt;=4,"Nivel de riesgo medio",
"Nivel de riesgo alto"))</f>
        <v>Nivel de riesgo bajo</v>
      </c>
      <c r="EI314" s="5" t="s">
        <v>253</v>
      </c>
      <c r="EJ314" s="5">
        <f>IF(EI314="Nunca/ casi nunca",0,
IF(EI314="Rara vez",1,
IF(EI314="A veces",2,
IF(EI314="A menudo",3,
IF(EI314="Siempre",4,"")))))</f>
        <v>0</v>
      </c>
      <c r="EK314" s="5" t="s">
        <v>253</v>
      </c>
      <c r="EL314" s="5">
        <f>IF(EK314="Nunca/ casi nunca",0,
IF(EK314="Rara vez",1,
IF(EK314="A veces",2,
IF(EK314="A menudo",3,
IF(EK314="Siempre",4,"")))))</f>
        <v>0</v>
      </c>
      <c r="EM314" s="5" t="s">
        <v>253</v>
      </c>
      <c r="EN314" s="5">
        <f>IF(EM314="Nunca/ casi nunca",0,
IF(EM314="Rara vez",1,
IF(EM314="A veces",2,
IF(EM314="A menudo",3,
IF(EM314="Siempre",4,"")))))</f>
        <v>0</v>
      </c>
      <c r="EO314" s="5">
        <f>SUM(EJ314,EL314,EN314)</f>
        <v>0</v>
      </c>
      <c r="EP314" s="5" t="str">
        <f>IF(EO314&lt;=1,"Nivel de riesgo bajo",
IF(EO314&lt;=5,"Nivel de riesgo medio",
"Nivel de riesgo alto"))</f>
        <v>Nivel de riesgo bajo</v>
      </c>
      <c r="EQ314" s="5" t="s">
        <v>253</v>
      </c>
      <c r="ER314" s="5">
        <f>IF(EQ314="Nunca/ casi nunca",4,
IF(EQ314="Rara vez",3,
IF(EQ314="A veces",2,
IF(EQ314="A menudo",1,
IF(EQ314="Siempre",0,"")))))</f>
        <v>4</v>
      </c>
      <c r="ES314" s="5" t="s">
        <v>248</v>
      </c>
      <c r="ET314" s="5">
        <f>IF(ES314="Nunca/ casi nunca",4,
IF(ES314="Rara vez",3,
IF(ES314="A veces",2,
IF(ES314="A menudo",1,
IF(ES314="Siempre",0,"")))))</f>
        <v>3</v>
      </c>
      <c r="EU314" s="5" t="s">
        <v>254</v>
      </c>
      <c r="EV314" s="5">
        <f>IF(EU314="Nunca/ casi nunca",4,
IF(EU314="Rara vez",3,
IF(EU314="A veces",2,
IF(EU314="A menudo",1,
IF(EU314="Siempre",0,"")))))</f>
        <v>0</v>
      </c>
      <c r="EW314" s="5" t="s">
        <v>254</v>
      </c>
      <c r="EX314" s="5">
        <f>IF(EW314="Nunca/ casi nunca",4,
IF(EW314="Rara vez",3,
IF(EW314="A veces",2,
IF(EW314="A menudo",1,
IF(EW314="Siempre",0,"")))))</f>
        <v>0</v>
      </c>
      <c r="EY314" s="5">
        <f>SUM(ER314,ET314,EV314,EX314)</f>
        <v>7</v>
      </c>
      <c r="EZ314" s="5" t="str">
        <f>IF(EY314&lt;=0,"Nivel de riesgo bajo",
IF(EY314&lt;=4,"Nivel de riesgo medio",
"Nivel de riesgo alto"))</f>
        <v>Nivel de riesgo alto</v>
      </c>
      <c r="FA314" s="5" t="s">
        <v>253</v>
      </c>
      <c r="FB314" s="5">
        <f>IF(FA314="Nunca/ casi nunca",0,
IF(FA314="Rara vez",1,
IF(FA314="A veces",2,
IF(FA314="A menudo",3,
IF(FA314="Siempre",4,"")))))</f>
        <v>0</v>
      </c>
      <c r="FC314" s="5" t="s">
        <v>253</v>
      </c>
      <c r="FD314" s="5">
        <f>IF(FC314="Nunca/ casi nunca",0,
IF(FC314="Rara vez",1,
IF(FC314="A veces",2,
IF(FC314="A menudo",3,
IF(FC314="Siempre",4,"")))))</f>
        <v>0</v>
      </c>
      <c r="FE314" s="5" t="s">
        <v>247</v>
      </c>
      <c r="FF314" s="5">
        <f>IF(FE314="Nunca/ casi nunca",0,
IF(FE314="Rara vez",1,
IF(FE314="A veces",2,
IF(FE314="A menudo",3,
IF(FE314="Siempre",4,"")))))</f>
        <v>2</v>
      </c>
      <c r="FG314" s="5">
        <f>SUM(FB314,FD314,FF314)</f>
        <v>2</v>
      </c>
      <c r="FH314" s="5" t="str">
        <f>IF(FG314&lt;=2,"Nivel de riesgo bajo",
IF(FG314&lt;=5,"Nivel de riesgo medio",
"Nivel de riesgo alto"))</f>
        <v>Nivel de riesgo bajo</v>
      </c>
      <c r="FI314" s="5" t="s">
        <v>253</v>
      </c>
      <c r="FJ314" s="5">
        <f>IF(FI314="Nunca/ casi nunca",0,
IF(FI314="Rara vez",1,
IF(FI314="A veces",2,
IF(FI314="A menudo",3,
IF(FI314="Siempre",4,"")))))</f>
        <v>0</v>
      </c>
      <c r="FK314" s="5" t="s">
        <v>248</v>
      </c>
      <c r="FL314" s="5">
        <f>IF(FK314="Nunca/ casi nunca",0,
IF(FK314="Rara vez",1,
IF(FK314="A veces",2,
IF(FK314="A menudo",3,
IF(FK314="Siempre",4,"")))))</f>
        <v>1</v>
      </c>
      <c r="FM314" s="5" t="s">
        <v>248</v>
      </c>
      <c r="FN314" s="5">
        <f>IF(FM314="Nunca/ casi nunca",0,
IF(FM314="Rara vez",1,
IF(FM314="A veces",2,
IF(FM314="A menudo",3,
IF(FM314="Siempre",4,"")))))</f>
        <v>1</v>
      </c>
      <c r="FO314" s="5">
        <f>SUM(FJ314,FL314,FN314)</f>
        <v>2</v>
      </c>
      <c r="FP314" s="5" t="str">
        <f>IF(FO314&lt;=2,"Nivel de riesgo bajo",
IF(FO314&lt;=5,"Nivel de riesgo medio",
"Nivel de riesgo alto"))</f>
        <v>Nivel de riesgo bajo</v>
      </c>
      <c r="FQ314" s="5" t="s">
        <v>206</v>
      </c>
      <c r="FR314" s="5">
        <f>IF(FQ314="No",0,
IF(FQ314="Sí, unas pocas veces",1,
IF(FQ314="Sí, mensualmente",2,
IF(FQ314="Sí, semanalmente",3,
IF(FQ314="Sí, diariamente",4,"")))))</f>
        <v>0</v>
      </c>
      <c r="FS314" s="5" t="s">
        <v>265</v>
      </c>
      <c r="FT314" s="5">
        <f>IF(FS314="No",0,
IF(FS314="Sí, unas pocas veces",1,
IF(FS314="Sí, mensualmente",2,
IF(FS314="Sí, semanalmente",3,
IF(FS314="Sí, diariamente",4,"")))))</f>
        <v>1</v>
      </c>
      <c r="FU314" s="5" t="s">
        <v>265</v>
      </c>
      <c r="FV314" s="5">
        <f>IF(FU314="No",0,
IF(FU314="Sí, unas pocas veces",1,
IF(FU314="Sí, mensualmente",2,
IF(FU314="Sí, semanalmente",3,
IF(FU314="Sí, diariamente",4,"")))))</f>
        <v>1</v>
      </c>
      <c r="FW314" s="5" t="s">
        <v>265</v>
      </c>
      <c r="FX314" s="5">
        <f>IF(FW314="No",0,
IF(FW314="Sí, unas pocas veces",1,
IF(FW314="Sí, mensualmente",2,
IF(FW314="Sí, semanalmente",3,
IF(FW314="Sí, diariamente",4,"")))))</f>
        <v>1</v>
      </c>
      <c r="FY314" s="5" t="s">
        <v>206</v>
      </c>
      <c r="FZ314" s="5">
        <f>IF(FY314="No",0,
IF(FY314="Sí, unas pocas veces",1,
IF(FY314="Sí, mensualmente",2,
IF(FY314="Sí, semanalmente",3,
IF(FY314="Sí, diariamente",4,"")))))</f>
        <v>0</v>
      </c>
      <c r="GA314" s="5" t="s">
        <v>206</v>
      </c>
      <c r="GB314" s="5">
        <f>IF(GA314="No",0,
IF(GA314="Sí, unas pocas veces",1,
IF(GA314="Sí, mensualmente",2,
IF(GA314="Sí, semanalmente",3,
IF(GA314="Sí, diariamente",4,"")))))</f>
        <v>0</v>
      </c>
      <c r="GC314" s="5" t="s">
        <v>206</v>
      </c>
      <c r="GD314" s="5">
        <f>IF(GC314="No",0,
IF(GC314="Sí, unas pocas veces",1,
IF(GC314="Sí, mensualmente",2,
IF(GC314="Sí, semanalmente",3,
IF(GC314="Sí, diariamente",4,"")))))</f>
        <v>0</v>
      </c>
      <c r="GE314" s="5">
        <f>SUM(FR314,FT314,FV314,FX314,FZ314,GB314,GD314)</f>
        <v>3</v>
      </c>
      <c r="GF314" s="5" t="str">
        <f>IF(GE314&lt;=0,"Nivel de riesgo bajo",
IF(GE314&lt;=14,"Nivel de riesgo medio",
"Nivel de riesgo alto"))</f>
        <v>Nivel de riesgo medio</v>
      </c>
      <c r="GG314" s="5" t="s">
        <v>255</v>
      </c>
      <c r="GH314" s="5" t="s">
        <v>255</v>
      </c>
      <c r="GI314" s="5" t="s">
        <v>273</v>
      </c>
      <c r="GJ314" s="5" t="s">
        <v>266</v>
      </c>
      <c r="GK314" s="5" t="s">
        <v>233</v>
      </c>
      <c r="GL314" s="5" t="s">
        <v>233</v>
      </c>
      <c r="GM314" s="5" t="s">
        <v>255</v>
      </c>
      <c r="GN314" s="5" t="s">
        <v>256</v>
      </c>
      <c r="GO314" s="5" t="s">
        <v>256</v>
      </c>
      <c r="GP314" s="5" t="s">
        <v>257</v>
      </c>
      <c r="GQ314" s="5" t="s">
        <v>243</v>
      </c>
      <c r="GR314" s="5" t="s">
        <v>243</v>
      </c>
      <c r="GS314" s="5" t="s">
        <v>243</v>
      </c>
      <c r="GT314" s="5" t="s">
        <v>243</v>
      </c>
      <c r="GU314" s="5" t="s">
        <v>675</v>
      </c>
      <c r="GV314" s="5" t="str">
        <f>TEXT("6280101289126743402","0")</f>
        <v>6280101289126740000</v>
      </c>
    </row>
    <row r="315" spans="1:204" ht="15.75" hidden="1" customHeight="1" x14ac:dyDescent="0.15">
      <c r="B315" s="4">
        <v>45848.953668981485</v>
      </c>
      <c r="C315" s="5" t="s">
        <v>204</v>
      </c>
      <c r="D315" s="5" t="s">
        <v>206</v>
      </c>
      <c r="F315" s="5" t="s">
        <v>206</v>
      </c>
      <c r="G315" s="5" t="s">
        <v>206</v>
      </c>
      <c r="H315" s="5" t="s">
        <v>206</v>
      </c>
      <c r="K315" s="5" t="s">
        <v>237</v>
      </c>
      <c r="O315" s="5" t="s">
        <v>209</v>
      </c>
      <c r="T315" s="5" t="s">
        <v>209</v>
      </c>
      <c r="X315" s="5" t="s">
        <v>208</v>
      </c>
      <c r="AD315" s="5" t="s">
        <v>209</v>
      </c>
      <c r="AH315" s="5" t="s">
        <v>275</v>
      </c>
      <c r="AI315" s="5">
        <v>2021</v>
      </c>
      <c r="AJ315" s="5" t="s">
        <v>260</v>
      </c>
      <c r="AK315" s="5"/>
      <c r="AR315" s="5" t="s">
        <v>301</v>
      </c>
      <c r="AS315" s="5" t="s">
        <v>301</v>
      </c>
      <c r="AT315" s="5" t="s">
        <v>301</v>
      </c>
      <c r="AU315" s="5" t="s">
        <v>301</v>
      </c>
      <c r="AV315" s="5" t="s">
        <v>269</v>
      </c>
      <c r="AW315" s="5" t="s">
        <v>204</v>
      </c>
      <c r="AX315" s="5" t="s">
        <v>204</v>
      </c>
      <c r="AY315" s="5" t="s">
        <v>214</v>
      </c>
      <c r="AZ315" s="5" t="s">
        <v>204</v>
      </c>
      <c r="BA315" s="5" t="s">
        <v>289</v>
      </c>
      <c r="BB315" s="5" t="s">
        <v>204</v>
      </c>
      <c r="BC315" s="5" t="s">
        <v>204</v>
      </c>
      <c r="BD315" s="5" t="s">
        <v>290</v>
      </c>
      <c r="BE315" s="5" t="s">
        <v>204</v>
      </c>
      <c r="BF315" s="5" t="s">
        <v>204</v>
      </c>
      <c r="BG315" s="5" t="s">
        <v>271</v>
      </c>
      <c r="BH315" s="5" t="s">
        <v>271</v>
      </c>
      <c r="BI315" s="5" t="s">
        <v>242</v>
      </c>
      <c r="BJ315" s="5" t="s">
        <v>242</v>
      </c>
      <c r="BK315" s="5" t="s">
        <v>243</v>
      </c>
      <c r="BL315" s="5" t="s">
        <v>243</v>
      </c>
      <c r="BM315" s="5" t="s">
        <v>243</v>
      </c>
      <c r="BN315" s="5" t="s">
        <v>243</v>
      </c>
      <c r="BO315" s="5" t="s">
        <v>243</v>
      </c>
      <c r="BP315" s="5" t="s">
        <v>246</v>
      </c>
      <c r="BQ315" s="5" t="s">
        <v>243</v>
      </c>
      <c r="BR315" s="5" t="s">
        <v>246</v>
      </c>
      <c r="BS315" s="5" t="s">
        <v>254</v>
      </c>
      <c r="BT315" s="5" t="s">
        <v>247</v>
      </c>
      <c r="BU315" s="5" t="s">
        <v>247</v>
      </c>
      <c r="BV315" s="5" t="s">
        <v>247</v>
      </c>
      <c r="BW315" s="5" t="s">
        <v>247</v>
      </c>
      <c r="BX315" s="5" t="s">
        <v>247</v>
      </c>
      <c r="BY315" s="5" t="s">
        <v>247</v>
      </c>
      <c r="BZ315" s="5" t="s">
        <v>243</v>
      </c>
      <c r="CA315" s="5" t="s">
        <v>243</v>
      </c>
      <c r="CB315" s="5" t="s">
        <v>243</v>
      </c>
      <c r="CC315" s="5" t="s">
        <v>243</v>
      </c>
      <c r="CD315" s="5" t="s">
        <v>206</v>
      </c>
      <c r="CH315" s="5" t="s">
        <v>206</v>
      </c>
      <c r="CI315" s="5" t="s">
        <v>206</v>
      </c>
      <c r="CJ315" s="5">
        <v>5</v>
      </c>
      <c r="CK315" s="5" t="s">
        <v>223</v>
      </c>
      <c r="CU315" s="5" t="s">
        <v>206</v>
      </c>
      <c r="DA315" s="5" t="s">
        <v>252</v>
      </c>
      <c r="DB315" s="5"/>
      <c r="DC315" s="5" t="s">
        <v>230</v>
      </c>
      <c r="DD315" s="5"/>
      <c r="DE315" s="5" t="s">
        <v>280</v>
      </c>
      <c r="DF315" s="5"/>
      <c r="DG315" s="5" t="s">
        <v>280</v>
      </c>
      <c r="DH315" s="5"/>
      <c r="DI315" s="5" t="s">
        <v>230</v>
      </c>
      <c r="DJ315" s="5"/>
      <c r="DK315" s="5" t="s">
        <v>251</v>
      </c>
      <c r="DL315" s="5"/>
      <c r="DM315" s="5" t="s">
        <v>251</v>
      </c>
      <c r="DN315" s="5"/>
      <c r="DO315" s="5" t="s">
        <v>252</v>
      </c>
      <c r="DP315" s="5"/>
      <c r="DQ315" s="5" t="s">
        <v>252</v>
      </c>
      <c r="DR315" s="5"/>
      <c r="DS315" s="5" t="s">
        <v>231</v>
      </c>
      <c r="DT315" s="5"/>
      <c r="DU315" s="5" t="s">
        <v>252</v>
      </c>
      <c r="DV315" s="5"/>
      <c r="DW315" s="5" t="s">
        <v>252</v>
      </c>
      <c r="DX315" s="5"/>
      <c r="DY315" s="5"/>
      <c r="DZ315" s="5"/>
      <c r="EA315" s="5" t="s">
        <v>253</v>
      </c>
      <c r="EB315" s="5"/>
      <c r="EC315" s="5" t="s">
        <v>253</v>
      </c>
      <c r="ED315" s="5"/>
      <c r="EE315" s="5" t="s">
        <v>253</v>
      </c>
      <c r="EF315" s="5"/>
      <c r="EG315" s="5"/>
      <c r="EH315" s="5"/>
      <c r="EI315" s="5" t="s">
        <v>253</v>
      </c>
      <c r="EJ315" s="5"/>
      <c r="EK315" s="5" t="s">
        <v>253</v>
      </c>
      <c r="EL315" s="5"/>
      <c r="EM315" s="5" t="s">
        <v>248</v>
      </c>
      <c r="EN315" s="5"/>
      <c r="EO315" s="5"/>
      <c r="EP315" s="5"/>
      <c r="EQ315" s="5" t="s">
        <v>248</v>
      </c>
      <c r="ER315" s="5"/>
      <c r="ES315" s="5" t="s">
        <v>248</v>
      </c>
      <c r="ET315" s="5"/>
      <c r="EU315" s="5" t="s">
        <v>248</v>
      </c>
      <c r="EV315" s="5"/>
      <c r="EW315" s="5" t="s">
        <v>253</v>
      </c>
      <c r="EX315" s="5"/>
      <c r="EY315" s="5"/>
      <c r="EZ315" s="5"/>
      <c r="FA315" s="5" t="s">
        <v>248</v>
      </c>
      <c r="FB315" s="5"/>
      <c r="FC315" s="5" t="s">
        <v>253</v>
      </c>
      <c r="FD315" s="5"/>
      <c r="FE315" s="5" t="s">
        <v>248</v>
      </c>
      <c r="FF315" s="5"/>
      <c r="FG315" s="5"/>
      <c r="FH315" s="5"/>
      <c r="FI315" s="5" t="s">
        <v>248</v>
      </c>
      <c r="FJ315" s="5"/>
      <c r="FK315" s="5" t="s">
        <v>253</v>
      </c>
      <c r="FL315" s="5"/>
      <c r="FM315" s="5" t="s">
        <v>248</v>
      </c>
      <c r="FN315" s="5"/>
      <c r="FO315" s="5"/>
      <c r="FP315" s="5"/>
      <c r="FQ315" s="5" t="s">
        <v>206</v>
      </c>
      <c r="FR315" s="5"/>
      <c r="FS315" s="5" t="s">
        <v>206</v>
      </c>
      <c r="FT315" s="5"/>
      <c r="FU315" s="5" t="s">
        <v>206</v>
      </c>
      <c r="FV315" s="5"/>
      <c r="FW315" s="5" t="s">
        <v>206</v>
      </c>
      <c r="FX315" s="5"/>
      <c r="FY315" s="5" t="s">
        <v>206</v>
      </c>
      <c r="FZ315" s="5"/>
      <c r="GA315" s="5" t="s">
        <v>206</v>
      </c>
      <c r="GB315" s="5"/>
      <c r="GC315" s="5" t="s">
        <v>206</v>
      </c>
      <c r="GD315" s="5"/>
      <c r="GE315" s="5"/>
      <c r="GF315" s="5"/>
      <c r="GG315" s="5" t="s">
        <v>273</v>
      </c>
      <c r="GH315" s="5" t="s">
        <v>273</v>
      </c>
      <c r="GI315" s="5" t="s">
        <v>273</v>
      </c>
      <c r="GJ315" s="5" t="s">
        <v>233</v>
      </c>
      <c r="GK315" s="5" t="s">
        <v>233</v>
      </c>
      <c r="GL315" s="5" t="s">
        <v>273</v>
      </c>
      <c r="GM315" s="5" t="s">
        <v>233</v>
      </c>
      <c r="GN315" s="5" t="s">
        <v>243</v>
      </c>
      <c r="GO315" s="5" t="s">
        <v>243</v>
      </c>
      <c r="GP315" s="5" t="s">
        <v>243</v>
      </c>
      <c r="GQ315" s="5" t="s">
        <v>243</v>
      </c>
      <c r="GR315" s="5" t="s">
        <v>243</v>
      </c>
      <c r="GS315" s="5" t="s">
        <v>243</v>
      </c>
      <c r="GT315" s="5" t="s">
        <v>243</v>
      </c>
      <c r="GU315" s="5" t="s">
        <v>336</v>
      </c>
      <c r="GV315" s="5" t="str">
        <f>TEXT("6280115972215071785","0")</f>
        <v>6280115972215070000</v>
      </c>
    </row>
    <row r="316" spans="1:204" ht="15.75" customHeight="1" x14ac:dyDescent="0.15">
      <c r="A316" s="1">
        <f>ROW(A316)</f>
        <v>316</v>
      </c>
      <c r="B316" s="4">
        <v>45848.967187499999</v>
      </c>
      <c r="C316" s="5" t="s">
        <v>204</v>
      </c>
      <c r="D316" s="5" t="s">
        <v>204</v>
      </c>
      <c r="E316" s="5" t="s">
        <v>676</v>
      </c>
      <c r="F316" s="5" t="s">
        <v>206</v>
      </c>
      <c r="G316" s="5" t="s">
        <v>206</v>
      </c>
      <c r="H316" s="5" t="s">
        <v>206</v>
      </c>
      <c r="K316" s="5" t="s">
        <v>237</v>
      </c>
      <c r="O316" s="5" t="s">
        <v>209</v>
      </c>
      <c r="S316" s="5" t="s">
        <v>208</v>
      </c>
      <c r="X316" s="5" t="s">
        <v>208</v>
      </c>
      <c r="AC316" s="5" t="s">
        <v>208</v>
      </c>
      <c r="AH316" s="5" t="s">
        <v>275</v>
      </c>
      <c r="AI316" s="5">
        <v>2017</v>
      </c>
      <c r="AJ316" s="5" t="s">
        <v>238</v>
      </c>
      <c r="AK316" s="5" t="str">
        <f>IF(OR(AJ316="Empleada del sector privado",AJ316="Empleada del sector público"),"Asalariada",
IF(AJ316="Trabajadora por cuenta propia","Trabajadora por cuenta propia",""))</f>
        <v>Trabajadora por cuenta propia</v>
      </c>
      <c r="AM316" s="5" t="s">
        <v>309</v>
      </c>
      <c r="AP316" s="5" t="s">
        <v>284</v>
      </c>
      <c r="AR316" s="5" t="s">
        <v>276</v>
      </c>
      <c r="AS316" s="5" t="s">
        <v>276</v>
      </c>
      <c r="AT316" s="5" t="s">
        <v>276</v>
      </c>
      <c r="AU316" s="5" t="s">
        <v>276</v>
      </c>
      <c r="AV316" s="5" t="s">
        <v>285</v>
      </c>
      <c r="AW316" s="5" t="s">
        <v>204</v>
      </c>
      <c r="AX316" s="5" t="s">
        <v>204</v>
      </c>
      <c r="AY316" s="5" t="s">
        <v>270</v>
      </c>
      <c r="AZ316" s="5" t="s">
        <v>204</v>
      </c>
      <c r="BA316" s="5" t="s">
        <v>348</v>
      </c>
      <c r="BF316" s="5" t="s">
        <v>204</v>
      </c>
      <c r="BG316" s="5" t="s">
        <v>278</v>
      </c>
      <c r="BH316" s="5" t="s">
        <v>215</v>
      </c>
      <c r="BI316" s="5" t="s">
        <v>278</v>
      </c>
      <c r="BJ316" s="5" t="s">
        <v>264</v>
      </c>
      <c r="BK316" s="5" t="s">
        <v>244</v>
      </c>
      <c r="BL316" s="5" t="s">
        <v>244</v>
      </c>
      <c r="BM316" s="5" t="s">
        <v>216</v>
      </c>
      <c r="BN316" s="5" t="s">
        <v>216</v>
      </c>
      <c r="BO316" s="5" t="s">
        <v>216</v>
      </c>
      <c r="BP316" s="5" t="s">
        <v>216</v>
      </c>
      <c r="BQ316" s="5" t="s">
        <v>216</v>
      </c>
      <c r="BR316" s="5" t="s">
        <v>216</v>
      </c>
      <c r="BS316" s="5" t="s">
        <v>247</v>
      </c>
      <c r="BT316" s="5" t="s">
        <v>248</v>
      </c>
      <c r="BU316" s="5" t="s">
        <v>248</v>
      </c>
      <c r="BV316" s="5" t="s">
        <v>248</v>
      </c>
      <c r="BW316" s="5" t="s">
        <v>217</v>
      </c>
      <c r="BX316" s="5" t="s">
        <v>248</v>
      </c>
      <c r="BY316" s="5" t="s">
        <v>248</v>
      </c>
      <c r="BZ316" s="5" t="s">
        <v>216</v>
      </c>
      <c r="CA316" s="5" t="s">
        <v>216</v>
      </c>
      <c r="CB316" s="5" t="s">
        <v>216</v>
      </c>
      <c r="CC316" s="5" t="s">
        <v>244</v>
      </c>
      <c r="CD316" s="5" t="s">
        <v>206</v>
      </c>
      <c r="CH316" s="5" t="s">
        <v>206</v>
      </c>
      <c r="CI316" s="5" t="s">
        <v>307</v>
      </c>
      <c r="CJ316" s="5">
        <v>3</v>
      </c>
      <c r="CQ316" s="5" t="s">
        <v>349</v>
      </c>
      <c r="CU316" s="5" t="s">
        <v>204</v>
      </c>
      <c r="CV316" s="5" t="s">
        <v>350</v>
      </c>
      <c r="CW316" s="5" t="s">
        <v>351</v>
      </c>
      <c r="CX316" s="5" t="s">
        <v>435</v>
      </c>
      <c r="CY316" s="5" t="s">
        <v>353</v>
      </c>
      <c r="CZ316" s="5" t="s">
        <v>228</v>
      </c>
      <c r="DA316" s="5" t="s">
        <v>272</v>
      </c>
      <c r="DB316" s="5">
        <f>IF(DA316="Mejor que lo habitual",1,
IF(DA316="Igual que lo habitual",2,
IF(DA316="Menos que lo habitual",3,
IF(DA316="Mucho menos que lo habitual",4,""))))</f>
        <v>1</v>
      </c>
      <c r="DC316" s="5" t="s">
        <v>230</v>
      </c>
      <c r="DD316" s="5">
        <f>IF(DC316="No, en absoluto",1,
IF(DC316="No más que lo habitual",2,
IF(DC316="Bastante más que lo habitual",3,
IF(DC316="Mucho más que lo habitual",4,""))))</f>
        <v>2</v>
      </c>
      <c r="DE316" s="5" t="s">
        <v>230</v>
      </c>
      <c r="DF316" s="5">
        <f>IF(DE316="No, en absoluto",1,
IF(DE316="No más que lo habitual",2,
IF(DE316="Bastante más que lo habitual",3,
IF(DE316="Mucho más que lo habitual",4,""))))</f>
        <v>2</v>
      </c>
      <c r="DG316" s="5" t="s">
        <v>251</v>
      </c>
      <c r="DH316" s="5">
        <f>IF(DG316="No, en absoluto",1,
IF(DG316="No más que lo habitual",2,
IF(DG316="Bastante más que lo habitual",3,
IF(DG316="Mucho más que lo habitual",4,""))))</f>
        <v>1</v>
      </c>
      <c r="DI316" s="5" t="s">
        <v>251</v>
      </c>
      <c r="DJ316" s="5">
        <f>IF(DI316="No, en absoluto",1,
IF(DI316="No más que lo habitual",2,
IF(DI316="Bastante más que lo habitual",3,
IF(DI316="Mucho más que lo habitual",4,""))))</f>
        <v>1</v>
      </c>
      <c r="DK316" s="5" t="s">
        <v>251</v>
      </c>
      <c r="DL316" s="5">
        <f>IF(DK316="No, en absoluto",1,
IF(DK316="No más que lo habitual",2,
IF(DK316="Bastante más que lo habitual",3,
IF(DK316="Mucho más que lo habitual",4,""))))</f>
        <v>1</v>
      </c>
      <c r="DM316" s="5" t="s">
        <v>251</v>
      </c>
      <c r="DN316" s="5">
        <f>IF(DM316="No, en absoluto",1,
IF(DM316="No más que lo habitual",2,
IF(DM316="Bastante más que lo habitual",3,
IF(DM316="Mucho más que lo habitual",4,""))))</f>
        <v>1</v>
      </c>
      <c r="DO316" s="5" t="s">
        <v>281</v>
      </c>
      <c r="DP316" s="5">
        <f>IF(DO316="Más que lo habitual",1,
IF(DO316="Igual que lo habitual",2,
IF(DO316="Menos que lo habitual",3,
IF(DO316="Mucho menos que lo habitual",4,""))))</f>
        <v>1</v>
      </c>
      <c r="DQ316" s="5" t="s">
        <v>281</v>
      </c>
      <c r="DR316" s="5">
        <f>IF(DQ316="Más que lo habitual",1,
IF(DQ316="Igual que lo habitual",2,
IF(DQ316="Menos que lo habitual",3,
IF(DQ316="Mucho menos que lo habitual",4,""))))</f>
        <v>1</v>
      </c>
      <c r="DS316" s="5" t="s">
        <v>281</v>
      </c>
      <c r="DT316" s="5">
        <f>IF(DS316="Más que lo habitual",1,
IF(DS316="Igual que lo habitual",2,
IF(DS316="Menos que lo habitual",3,
IF(DS316="Mucho menos que lo habitual",4,""))))</f>
        <v>1</v>
      </c>
      <c r="DU316" s="5" t="s">
        <v>281</v>
      </c>
      <c r="DV316" s="5">
        <f>IF(DU316="Más que lo habitual",1,
IF(DU316="Igual que lo habitual",2,
IF(DU316="Menos que lo habitual",3,
IF(DU316="Mucho menos que lo habitual",4,""))))</f>
        <v>1</v>
      </c>
      <c r="DW316" s="5" t="s">
        <v>281</v>
      </c>
      <c r="DX316" s="5">
        <f>IF(DW316="Más que lo habitual",1,
IF(DW316="Igual que lo habitual",2,
IF(DW316="Menos que lo habitual",3,
IF(DW316="Mucho menos que lo habitual",4,""))))</f>
        <v>1</v>
      </c>
      <c r="DY316" s="5">
        <f>SUM(DB316,DD316,DF316,DH316,DJ316,DL316,DN316,DP316,DR316,DT316,DV316,DX316)</f>
        <v>14</v>
      </c>
      <c r="DZ316" s="5" t="str">
        <f>IF(DY316&lt;=18,"Nivel de riesgo bajo",
IF(DY316&lt;=23,"Nivel de riesgo medio",
"Nivel de riesgo alto"))</f>
        <v>Nivel de riesgo bajo</v>
      </c>
      <c r="EA316" s="5" t="s">
        <v>247</v>
      </c>
      <c r="EB316" s="5">
        <f>IF(EA316="Nunca/ casi nunca",0,
IF(EA316="Rara vez",1,
IF(EA316="A veces",2,
IF(EA316="A menudo",3,
IF(EA316="Siempre",4,"")))))</f>
        <v>2</v>
      </c>
      <c r="EC316" s="5" t="s">
        <v>248</v>
      </c>
      <c r="ED316" s="5">
        <f>IF(EC316="Nunca/ casi nunca",0,
IF(EC316="Rara vez",1,
IF(EC316="A veces",2,
IF(EC316="A menudo",3,
IF(EC316="Siempre",4,"")))))</f>
        <v>1</v>
      </c>
      <c r="EE316" s="5" t="s">
        <v>253</v>
      </c>
      <c r="EF316" s="5">
        <f>IF(EE316="Nunca/ casi nunca",0,
IF(EE316="Rara vez",1,
IF(EE316="A veces",2,
IF(EE316="A menudo",3,
IF(EE316="Siempre",4,"")))))</f>
        <v>0</v>
      </c>
      <c r="EG316" s="5">
        <f>SUM(EB316,ED316,EF316)</f>
        <v>3</v>
      </c>
      <c r="EH316" s="5" t="str">
        <f>IF(EG316&lt;=1,"Nivel de riesgo bajo",
IF(EG316&lt;=4,"Nivel de riesgo medio",
"Nivel de riesgo alto"))</f>
        <v>Nivel de riesgo medio</v>
      </c>
      <c r="EI316" s="5" t="s">
        <v>253</v>
      </c>
      <c r="EJ316" s="5">
        <f>IF(EI316="Nunca/ casi nunca",0,
IF(EI316="Rara vez",1,
IF(EI316="A veces",2,
IF(EI316="A menudo",3,
IF(EI316="Siempre",4,"")))))</f>
        <v>0</v>
      </c>
      <c r="EK316" s="5" t="s">
        <v>248</v>
      </c>
      <c r="EL316" s="5">
        <f>IF(EK316="Nunca/ casi nunca",0,
IF(EK316="Rara vez",1,
IF(EK316="A veces",2,
IF(EK316="A menudo",3,
IF(EK316="Siempre",4,"")))))</f>
        <v>1</v>
      </c>
      <c r="EM316" s="5" t="s">
        <v>253</v>
      </c>
      <c r="EN316" s="5">
        <f>IF(EM316="Nunca/ casi nunca",0,
IF(EM316="Rara vez",1,
IF(EM316="A veces",2,
IF(EM316="A menudo",3,
IF(EM316="Siempre",4,"")))))</f>
        <v>0</v>
      </c>
      <c r="EO316" s="5">
        <f>SUM(EJ316,EL316,EN316)</f>
        <v>1</v>
      </c>
      <c r="EP316" s="5" t="str">
        <f>IF(EO316&lt;=1,"Nivel de riesgo bajo",
IF(EO316&lt;=5,"Nivel de riesgo medio",
"Nivel de riesgo alto"))</f>
        <v>Nivel de riesgo bajo</v>
      </c>
      <c r="EQ316" s="5" t="s">
        <v>253</v>
      </c>
      <c r="ER316" s="5">
        <f>IF(EQ316="Nunca/ casi nunca",4,
IF(EQ316="Rara vez",3,
IF(EQ316="A veces",2,
IF(EQ316="A menudo",1,
IF(EQ316="Siempre",0,"")))))</f>
        <v>4</v>
      </c>
      <c r="ES316" s="5" t="s">
        <v>253</v>
      </c>
      <c r="ET316" s="5">
        <f>IF(ES316="Nunca/ casi nunca",4,
IF(ES316="Rara vez",3,
IF(ES316="A veces",2,
IF(ES316="A menudo",1,
IF(ES316="Siempre",0,"")))))</f>
        <v>4</v>
      </c>
      <c r="EU316" s="5" t="s">
        <v>253</v>
      </c>
      <c r="EV316" s="5">
        <f>IF(EU316="Nunca/ casi nunca",4,
IF(EU316="Rara vez",3,
IF(EU316="A veces",2,
IF(EU316="A menudo",1,
IF(EU316="Siempre",0,"")))))</f>
        <v>4</v>
      </c>
      <c r="EW316" s="5" t="s">
        <v>253</v>
      </c>
      <c r="EX316" s="5">
        <f>IF(EW316="Nunca/ casi nunca",4,
IF(EW316="Rara vez",3,
IF(EW316="A veces",2,
IF(EW316="A menudo",1,
IF(EW316="Siempre",0,"")))))</f>
        <v>4</v>
      </c>
      <c r="EY316" s="5">
        <f>SUM(ER316,ET316,EV316,EX316)</f>
        <v>16</v>
      </c>
      <c r="EZ316" s="5" t="str">
        <f>IF(EY316&lt;=0,"Nivel de riesgo bajo",
IF(EY316&lt;=4,"Nivel de riesgo medio",
"Nivel de riesgo alto"))</f>
        <v>Nivel de riesgo alto</v>
      </c>
      <c r="FA316" s="5" t="s">
        <v>253</v>
      </c>
      <c r="FB316" s="5">
        <f>IF(FA316="Nunca/ casi nunca",0,
IF(FA316="Rara vez",1,
IF(FA316="A veces",2,
IF(FA316="A menudo",3,
IF(FA316="Siempre",4,"")))))</f>
        <v>0</v>
      </c>
      <c r="FC316" s="5" t="s">
        <v>253</v>
      </c>
      <c r="FD316" s="5">
        <f>IF(FC316="Nunca/ casi nunca",0,
IF(FC316="Rara vez",1,
IF(FC316="A veces",2,
IF(FC316="A menudo",3,
IF(FC316="Siempre",4,"")))))</f>
        <v>0</v>
      </c>
      <c r="FE316" s="5" t="s">
        <v>253</v>
      </c>
      <c r="FF316" s="5">
        <f>IF(FE316="Nunca/ casi nunca",0,
IF(FE316="Rara vez",1,
IF(FE316="A veces",2,
IF(FE316="A menudo",3,
IF(FE316="Siempre",4,"")))))</f>
        <v>0</v>
      </c>
      <c r="FG316" s="5">
        <f>SUM(FB316,FD316,FF316)</f>
        <v>0</v>
      </c>
      <c r="FH316" s="5" t="str">
        <f>IF(FG316&lt;=2,"Nivel de riesgo bajo",
IF(FG316&lt;=5,"Nivel de riesgo medio",
"Nivel de riesgo alto"))</f>
        <v>Nivel de riesgo bajo</v>
      </c>
      <c r="FI316" s="5" t="s">
        <v>253</v>
      </c>
      <c r="FJ316" s="5">
        <f>IF(FI316="Nunca/ casi nunca",0,
IF(FI316="Rara vez",1,
IF(FI316="A veces",2,
IF(FI316="A menudo",3,
IF(FI316="Siempre",4,"")))))</f>
        <v>0</v>
      </c>
      <c r="FK316" s="5" t="s">
        <v>253</v>
      </c>
      <c r="FL316" s="5">
        <f>IF(FK316="Nunca/ casi nunca",0,
IF(FK316="Rara vez",1,
IF(FK316="A veces",2,
IF(FK316="A menudo",3,
IF(FK316="Siempre",4,"")))))</f>
        <v>0</v>
      </c>
      <c r="FM316" s="5" t="s">
        <v>253</v>
      </c>
      <c r="FN316" s="5">
        <f>IF(FM316="Nunca/ casi nunca",0,
IF(FM316="Rara vez",1,
IF(FM316="A veces",2,
IF(FM316="A menudo",3,
IF(FM316="Siempre",4,"")))))</f>
        <v>0</v>
      </c>
      <c r="FO316" s="5">
        <f>SUM(FJ316,FL316,FN316)</f>
        <v>0</v>
      </c>
      <c r="FP316" s="5" t="str">
        <f>IF(FO316&lt;=2,"Nivel de riesgo bajo",
IF(FO316&lt;=5,"Nivel de riesgo medio",
"Nivel de riesgo alto"))</f>
        <v>Nivel de riesgo bajo</v>
      </c>
      <c r="FQ316" s="5" t="s">
        <v>206</v>
      </c>
      <c r="FR316" s="5">
        <f>IF(FQ316="No",0,
IF(FQ316="Sí, unas pocas veces",1,
IF(FQ316="Sí, mensualmente",2,
IF(FQ316="Sí, semanalmente",3,
IF(FQ316="Sí, diariamente",4,"")))))</f>
        <v>0</v>
      </c>
      <c r="FS316" s="5" t="s">
        <v>206</v>
      </c>
      <c r="FT316" s="5">
        <f>IF(FS316="No",0,
IF(FS316="Sí, unas pocas veces",1,
IF(FS316="Sí, mensualmente",2,
IF(FS316="Sí, semanalmente",3,
IF(FS316="Sí, diariamente",4,"")))))</f>
        <v>0</v>
      </c>
      <c r="FU316" s="5" t="s">
        <v>206</v>
      </c>
      <c r="FV316" s="5">
        <f>IF(FU316="No",0,
IF(FU316="Sí, unas pocas veces",1,
IF(FU316="Sí, mensualmente",2,
IF(FU316="Sí, semanalmente",3,
IF(FU316="Sí, diariamente",4,"")))))</f>
        <v>0</v>
      </c>
      <c r="FW316" s="5" t="s">
        <v>206</v>
      </c>
      <c r="FX316" s="5">
        <f>IF(FW316="No",0,
IF(FW316="Sí, unas pocas veces",1,
IF(FW316="Sí, mensualmente",2,
IF(FW316="Sí, semanalmente",3,
IF(FW316="Sí, diariamente",4,"")))))</f>
        <v>0</v>
      </c>
      <c r="FY316" s="5" t="s">
        <v>206</v>
      </c>
      <c r="FZ316" s="5">
        <f>IF(FY316="No",0,
IF(FY316="Sí, unas pocas veces",1,
IF(FY316="Sí, mensualmente",2,
IF(FY316="Sí, semanalmente",3,
IF(FY316="Sí, diariamente",4,"")))))</f>
        <v>0</v>
      </c>
      <c r="GA316" s="5" t="s">
        <v>206</v>
      </c>
      <c r="GB316" s="5">
        <f>IF(GA316="No",0,
IF(GA316="Sí, unas pocas veces",1,
IF(GA316="Sí, mensualmente",2,
IF(GA316="Sí, semanalmente",3,
IF(GA316="Sí, diariamente",4,"")))))</f>
        <v>0</v>
      </c>
      <c r="GC316" s="5" t="s">
        <v>206</v>
      </c>
      <c r="GD316" s="5">
        <f>IF(GC316="No",0,
IF(GC316="Sí, unas pocas veces",1,
IF(GC316="Sí, mensualmente",2,
IF(GC316="Sí, semanalmente",3,
IF(GC316="Sí, diariamente",4,"")))))</f>
        <v>0</v>
      </c>
      <c r="GE316" s="5">
        <f>SUM(FR316,FT316,FV316,FX316,FZ316,GB316,GD316)</f>
        <v>0</v>
      </c>
      <c r="GF316" s="5" t="str">
        <f>IF(GE316&lt;=0,"Nivel de riesgo bajo",
IF(GE316&lt;=14,"Nivel de riesgo medio",
"Nivel de riesgo alto"))</f>
        <v>Nivel de riesgo bajo</v>
      </c>
      <c r="GG316" s="5" t="s">
        <v>255</v>
      </c>
      <c r="GH316" s="5" t="s">
        <v>273</v>
      </c>
      <c r="GI316" s="5" t="s">
        <v>273</v>
      </c>
      <c r="GJ316" s="5" t="s">
        <v>233</v>
      </c>
      <c r="GK316" s="5" t="s">
        <v>233</v>
      </c>
      <c r="GL316" s="5" t="s">
        <v>233</v>
      </c>
      <c r="GM316" s="5" t="s">
        <v>233</v>
      </c>
      <c r="GN316" s="5" t="s">
        <v>256</v>
      </c>
      <c r="GO316" s="5" t="s">
        <v>256</v>
      </c>
      <c r="GP316" s="5" t="s">
        <v>256</v>
      </c>
      <c r="GQ316" s="5" t="s">
        <v>256</v>
      </c>
      <c r="GR316" s="5" t="s">
        <v>256</v>
      </c>
      <c r="GS316" s="5" t="s">
        <v>256</v>
      </c>
      <c r="GT316" s="5" t="s">
        <v>256</v>
      </c>
      <c r="GU316" s="5" t="s">
        <v>677</v>
      </c>
      <c r="GV316" s="5" t="str">
        <f>TEXT("6280127652359688307","0")</f>
        <v>6280127652359680000</v>
      </c>
    </row>
    <row r="317" spans="1:204" ht="15.75" customHeight="1" x14ac:dyDescent="0.15">
      <c r="A317" s="1">
        <f>ROW(A317)</f>
        <v>317</v>
      </c>
      <c r="B317" s="4">
        <v>45848.969918981478</v>
      </c>
      <c r="C317" s="5" t="s">
        <v>204</v>
      </c>
      <c r="D317" s="5" t="s">
        <v>206</v>
      </c>
      <c r="F317" s="5" t="s">
        <v>206</v>
      </c>
      <c r="G317" s="5" t="s">
        <v>206</v>
      </c>
      <c r="H317" s="5" t="s">
        <v>206</v>
      </c>
      <c r="I317" s="5" t="s">
        <v>208</v>
      </c>
      <c r="N317" s="5" t="s">
        <v>208</v>
      </c>
      <c r="S317" s="5" t="s">
        <v>208</v>
      </c>
      <c r="X317" s="5" t="s">
        <v>208</v>
      </c>
      <c r="AC317" s="5" t="s">
        <v>208</v>
      </c>
      <c r="AH317" s="5" t="s">
        <v>210</v>
      </c>
      <c r="AI317" s="5">
        <v>2009</v>
      </c>
      <c r="AJ317" s="5" t="s">
        <v>238</v>
      </c>
      <c r="AK317" s="5" t="str">
        <f>IF(OR(AJ317="Empleada del sector privado",AJ317="Empleada del sector público"),"Asalariada",
IF(AJ317="Trabajadora por cuenta propia","Trabajadora por cuenta propia",""))</f>
        <v>Trabajadora por cuenta propia</v>
      </c>
      <c r="AL317" s="5" t="s">
        <v>239</v>
      </c>
      <c r="AP317" s="5" t="s">
        <v>297</v>
      </c>
      <c r="AR317" s="5" t="s">
        <v>261</v>
      </c>
      <c r="AS317" s="5" t="s">
        <v>276</v>
      </c>
      <c r="AT317" s="5" t="s">
        <v>294</v>
      </c>
      <c r="AU317" s="5" t="s">
        <v>276</v>
      </c>
      <c r="AV317" s="5" t="s">
        <v>213</v>
      </c>
      <c r="AW317" s="5" t="s">
        <v>206</v>
      </c>
      <c r="BF317" s="5" t="s">
        <v>206</v>
      </c>
      <c r="CK317" s="5" t="s">
        <v>223</v>
      </c>
      <c r="CU317" s="5" t="s">
        <v>206</v>
      </c>
      <c r="DA317" s="5" t="s">
        <v>231</v>
      </c>
      <c r="DB317" s="5">
        <f>IF(DA317="Mejor que lo habitual",1,
IF(DA317="Igual que lo habitual",2,
IF(DA317="Menos que lo habitual",3,
IF(DA317="Mucho menos que lo habitual",4,""))))</f>
        <v>2</v>
      </c>
      <c r="DC317" s="5" t="s">
        <v>251</v>
      </c>
      <c r="DD317" s="5">
        <f>IF(DC317="No, en absoluto",1,
IF(DC317="No más que lo habitual",2,
IF(DC317="Bastante más que lo habitual",3,
IF(DC317="Mucho más que lo habitual",4,""))))</f>
        <v>1</v>
      </c>
      <c r="DE317" s="5" t="s">
        <v>251</v>
      </c>
      <c r="DF317" s="5">
        <f>IF(DE317="No, en absoluto",1,
IF(DE317="No más que lo habitual",2,
IF(DE317="Bastante más que lo habitual",3,
IF(DE317="Mucho más que lo habitual",4,""))))</f>
        <v>1</v>
      </c>
      <c r="DG317" s="5" t="s">
        <v>251</v>
      </c>
      <c r="DH317" s="5">
        <f>IF(DG317="No, en absoluto",1,
IF(DG317="No más que lo habitual",2,
IF(DG317="Bastante más que lo habitual",3,
IF(DG317="Mucho más que lo habitual",4,""))))</f>
        <v>1</v>
      </c>
      <c r="DI317" s="5" t="s">
        <v>251</v>
      </c>
      <c r="DJ317" s="5">
        <f>IF(DI317="No, en absoluto",1,
IF(DI317="No más que lo habitual",2,
IF(DI317="Bastante más que lo habitual",3,
IF(DI317="Mucho más que lo habitual",4,""))))</f>
        <v>1</v>
      </c>
      <c r="DK317" s="5" t="s">
        <v>251</v>
      </c>
      <c r="DL317" s="5">
        <f>IF(DK317="No, en absoluto",1,
IF(DK317="No más que lo habitual",2,
IF(DK317="Bastante más que lo habitual",3,
IF(DK317="Mucho más que lo habitual",4,""))))</f>
        <v>1</v>
      </c>
      <c r="DM317" s="5" t="s">
        <v>251</v>
      </c>
      <c r="DN317" s="5">
        <f>IF(DM317="No, en absoluto",1,
IF(DM317="No más que lo habitual",2,
IF(DM317="Bastante más que lo habitual",3,
IF(DM317="Mucho más que lo habitual",4,""))))</f>
        <v>1</v>
      </c>
      <c r="DO317" s="5" t="s">
        <v>281</v>
      </c>
      <c r="DP317" s="5">
        <f>IF(DO317="Más que lo habitual",1,
IF(DO317="Igual que lo habitual",2,
IF(DO317="Menos que lo habitual",3,
IF(DO317="Mucho menos que lo habitual",4,""))))</f>
        <v>1</v>
      </c>
      <c r="DQ317" s="5" t="s">
        <v>281</v>
      </c>
      <c r="DR317" s="5">
        <f>IF(DQ317="Más que lo habitual",1,
IF(DQ317="Igual que lo habitual",2,
IF(DQ317="Menos que lo habitual",3,
IF(DQ317="Mucho menos que lo habitual",4,""))))</f>
        <v>1</v>
      </c>
      <c r="DS317" s="5" t="s">
        <v>281</v>
      </c>
      <c r="DT317" s="5">
        <f>IF(DS317="Más que lo habitual",1,
IF(DS317="Igual que lo habitual",2,
IF(DS317="Menos que lo habitual",3,
IF(DS317="Mucho menos que lo habitual",4,""))))</f>
        <v>1</v>
      </c>
      <c r="DU317" s="5" t="s">
        <v>281</v>
      </c>
      <c r="DV317" s="5">
        <f>IF(DU317="Más que lo habitual",1,
IF(DU317="Igual que lo habitual",2,
IF(DU317="Menos que lo habitual",3,
IF(DU317="Mucho menos que lo habitual",4,""))))</f>
        <v>1</v>
      </c>
      <c r="DW317" s="5" t="s">
        <v>281</v>
      </c>
      <c r="DX317" s="5">
        <f>IF(DW317="Más que lo habitual",1,
IF(DW317="Igual que lo habitual",2,
IF(DW317="Menos que lo habitual",3,
IF(DW317="Mucho menos que lo habitual",4,""))))</f>
        <v>1</v>
      </c>
      <c r="DY317" s="5">
        <f>SUM(DB317,DD317,DF317,DH317,DJ317,DL317,DN317,DP317,DR317,DT317,DV317,DX317)</f>
        <v>13</v>
      </c>
      <c r="DZ317" s="5" t="str">
        <f>IF(DY317&lt;=18,"Nivel de riesgo bajo",
IF(DY317&lt;=23,"Nivel de riesgo medio",
"Nivel de riesgo alto"))</f>
        <v>Nivel de riesgo bajo</v>
      </c>
      <c r="EA317" s="5" t="s">
        <v>254</v>
      </c>
      <c r="EB317" s="5">
        <f>IF(EA317="Nunca/ casi nunca",0,
IF(EA317="Rara vez",1,
IF(EA317="A veces",2,
IF(EA317="A menudo",3,
IF(EA317="Siempre",4,"")))))</f>
        <v>4</v>
      </c>
      <c r="EC317" s="5" t="s">
        <v>253</v>
      </c>
      <c r="ED317" s="5">
        <f>IF(EC317="Nunca/ casi nunca",0,
IF(EC317="Rara vez",1,
IF(EC317="A veces",2,
IF(EC317="A menudo",3,
IF(EC317="Siempre",4,"")))))</f>
        <v>0</v>
      </c>
      <c r="EE317" s="5" t="s">
        <v>247</v>
      </c>
      <c r="EF317" s="5">
        <f>IF(EE317="Nunca/ casi nunca",0,
IF(EE317="Rara vez",1,
IF(EE317="A veces",2,
IF(EE317="A menudo",3,
IF(EE317="Siempre",4,"")))))</f>
        <v>2</v>
      </c>
      <c r="EG317" s="5">
        <f>SUM(EB317,ED317,EF317)</f>
        <v>6</v>
      </c>
      <c r="EH317" s="5" t="str">
        <f>IF(EG317&lt;=1,"Nivel de riesgo bajo",
IF(EG317&lt;=4,"Nivel de riesgo medio",
"Nivel de riesgo alto"))</f>
        <v>Nivel de riesgo alto</v>
      </c>
      <c r="EI317" s="5" t="s">
        <v>253</v>
      </c>
      <c r="EJ317" s="5">
        <f>IF(EI317="Nunca/ casi nunca",0,
IF(EI317="Rara vez",1,
IF(EI317="A veces",2,
IF(EI317="A menudo",3,
IF(EI317="Siempre",4,"")))))</f>
        <v>0</v>
      </c>
      <c r="EK317" s="5" t="s">
        <v>232</v>
      </c>
      <c r="EL317" s="5">
        <f>IF(EK317="Nunca/ casi nunca",0,
IF(EK317="Rara vez",1,
IF(EK317="A veces",2,
IF(EK317="A menudo",3,
IF(EK317="Siempre",4,"")))))</f>
        <v>3</v>
      </c>
      <c r="EM317" s="5" t="s">
        <v>248</v>
      </c>
      <c r="EN317" s="5">
        <f>IF(EM317="Nunca/ casi nunca",0,
IF(EM317="Rara vez",1,
IF(EM317="A veces",2,
IF(EM317="A menudo",3,
IF(EM317="Siempre",4,"")))))</f>
        <v>1</v>
      </c>
      <c r="EO317" s="5">
        <f>SUM(EJ317,EL317,EN317)</f>
        <v>4</v>
      </c>
      <c r="EP317" s="5" t="str">
        <f>IF(EO317&lt;=1,"Nivel de riesgo bajo",
IF(EO317&lt;=5,"Nivel de riesgo medio",
"Nivel de riesgo alto"))</f>
        <v>Nivel de riesgo medio</v>
      </c>
      <c r="EQ317" s="5" t="s">
        <v>232</v>
      </c>
      <c r="ER317" s="5">
        <f>IF(EQ317="Nunca/ casi nunca",4,
IF(EQ317="Rara vez",3,
IF(EQ317="A veces",2,
IF(EQ317="A menudo",1,
IF(EQ317="Siempre",0,"")))))</f>
        <v>1</v>
      </c>
      <c r="ES317" s="5" t="s">
        <v>247</v>
      </c>
      <c r="ET317" s="5">
        <f>IF(ES317="Nunca/ casi nunca",4,
IF(ES317="Rara vez",3,
IF(ES317="A veces",2,
IF(ES317="A menudo",1,
IF(ES317="Siempre",0,"")))))</f>
        <v>2</v>
      </c>
      <c r="EU317" s="5" t="s">
        <v>232</v>
      </c>
      <c r="EV317" s="5">
        <f>IF(EU317="Nunca/ casi nunca",4,
IF(EU317="Rara vez",3,
IF(EU317="A veces",2,
IF(EU317="A menudo",1,
IF(EU317="Siempre",0,"")))))</f>
        <v>1</v>
      </c>
      <c r="EW317" s="5" t="s">
        <v>253</v>
      </c>
      <c r="EX317" s="5">
        <f>IF(EW317="Nunca/ casi nunca",4,
IF(EW317="Rara vez",3,
IF(EW317="A veces",2,
IF(EW317="A menudo",1,
IF(EW317="Siempre",0,"")))))</f>
        <v>4</v>
      </c>
      <c r="EY317" s="5">
        <f>SUM(ER317,ET317,EV317,EX317)</f>
        <v>8</v>
      </c>
      <c r="EZ317" s="5" t="str">
        <f>IF(EY317&lt;=0,"Nivel de riesgo bajo",
IF(EY317&lt;=4,"Nivel de riesgo medio",
"Nivel de riesgo alto"))</f>
        <v>Nivel de riesgo alto</v>
      </c>
      <c r="FA317" s="5" t="s">
        <v>253</v>
      </c>
      <c r="FB317" s="5">
        <f>IF(FA317="Nunca/ casi nunca",0,
IF(FA317="Rara vez",1,
IF(FA317="A veces",2,
IF(FA317="A menudo",3,
IF(FA317="Siempre",4,"")))))</f>
        <v>0</v>
      </c>
      <c r="FC317" s="5" t="s">
        <v>247</v>
      </c>
      <c r="FD317" s="5">
        <f>IF(FC317="Nunca/ casi nunca",0,
IF(FC317="Rara vez",1,
IF(FC317="A veces",2,
IF(FC317="A menudo",3,
IF(FC317="Siempre",4,"")))))</f>
        <v>2</v>
      </c>
      <c r="FE317" s="5" t="s">
        <v>253</v>
      </c>
      <c r="FF317" s="5">
        <f>IF(FE317="Nunca/ casi nunca",0,
IF(FE317="Rara vez",1,
IF(FE317="A veces",2,
IF(FE317="A menudo",3,
IF(FE317="Siempre",4,"")))))</f>
        <v>0</v>
      </c>
      <c r="FG317" s="5">
        <f>SUM(FB317,FD317,FF317)</f>
        <v>2</v>
      </c>
      <c r="FH317" s="5" t="str">
        <f>IF(FG317&lt;=2,"Nivel de riesgo bajo",
IF(FG317&lt;=5,"Nivel de riesgo medio",
"Nivel de riesgo alto"))</f>
        <v>Nivel de riesgo bajo</v>
      </c>
      <c r="FI317" s="5" t="s">
        <v>232</v>
      </c>
      <c r="FJ317" s="5">
        <f>IF(FI317="Nunca/ casi nunca",0,
IF(FI317="Rara vez",1,
IF(FI317="A veces",2,
IF(FI317="A menudo",3,
IF(FI317="Siempre",4,"")))))</f>
        <v>3</v>
      </c>
      <c r="FK317" s="5" t="s">
        <v>253</v>
      </c>
      <c r="FL317" s="5">
        <f>IF(FK317="Nunca/ casi nunca",0,
IF(FK317="Rara vez",1,
IF(FK317="A veces",2,
IF(FK317="A menudo",3,
IF(FK317="Siempre",4,"")))))</f>
        <v>0</v>
      </c>
      <c r="FM317" s="5" t="s">
        <v>253</v>
      </c>
      <c r="FN317" s="5">
        <f>IF(FM317="Nunca/ casi nunca",0,
IF(FM317="Rara vez",1,
IF(FM317="A veces",2,
IF(FM317="A menudo",3,
IF(FM317="Siempre",4,"")))))</f>
        <v>0</v>
      </c>
      <c r="FO317" s="5">
        <f>SUM(FJ317,FL317,FN317)</f>
        <v>3</v>
      </c>
      <c r="FP317" s="5" t="str">
        <f>IF(FO317&lt;=2,"Nivel de riesgo bajo",
IF(FO317&lt;=5,"Nivel de riesgo medio",
"Nivel de riesgo alto"))</f>
        <v>Nivel de riesgo medio</v>
      </c>
      <c r="FQ317" s="5" t="s">
        <v>206</v>
      </c>
      <c r="FR317" s="5">
        <f>IF(FQ317="No",0,
IF(FQ317="Sí, unas pocas veces",1,
IF(FQ317="Sí, mensualmente",2,
IF(FQ317="Sí, semanalmente",3,
IF(FQ317="Sí, diariamente",4,"")))))</f>
        <v>0</v>
      </c>
      <c r="FS317" s="5" t="s">
        <v>206</v>
      </c>
      <c r="FT317" s="5">
        <f>IF(FS317="No",0,
IF(FS317="Sí, unas pocas veces",1,
IF(FS317="Sí, mensualmente",2,
IF(FS317="Sí, semanalmente",3,
IF(FS317="Sí, diariamente",4,"")))))</f>
        <v>0</v>
      </c>
      <c r="FU317" s="5" t="s">
        <v>206</v>
      </c>
      <c r="FV317" s="5">
        <f>IF(FU317="No",0,
IF(FU317="Sí, unas pocas veces",1,
IF(FU317="Sí, mensualmente",2,
IF(FU317="Sí, semanalmente",3,
IF(FU317="Sí, diariamente",4,"")))))</f>
        <v>0</v>
      </c>
      <c r="FW317" s="5" t="s">
        <v>206</v>
      </c>
      <c r="FX317" s="5">
        <f>IF(FW317="No",0,
IF(FW317="Sí, unas pocas veces",1,
IF(FW317="Sí, mensualmente",2,
IF(FW317="Sí, semanalmente",3,
IF(FW317="Sí, diariamente",4,"")))))</f>
        <v>0</v>
      </c>
      <c r="FY317" s="5" t="s">
        <v>206</v>
      </c>
      <c r="FZ317" s="5">
        <f>IF(FY317="No",0,
IF(FY317="Sí, unas pocas veces",1,
IF(FY317="Sí, mensualmente",2,
IF(FY317="Sí, semanalmente",3,
IF(FY317="Sí, diariamente",4,"")))))</f>
        <v>0</v>
      </c>
      <c r="GA317" s="5" t="s">
        <v>206</v>
      </c>
      <c r="GB317" s="5">
        <f>IF(GA317="No",0,
IF(GA317="Sí, unas pocas veces",1,
IF(GA317="Sí, mensualmente",2,
IF(GA317="Sí, semanalmente",3,
IF(GA317="Sí, diariamente",4,"")))))</f>
        <v>0</v>
      </c>
      <c r="GC317" s="5" t="s">
        <v>206</v>
      </c>
      <c r="GD317" s="5">
        <f>IF(GC317="No",0,
IF(GC317="Sí, unas pocas veces",1,
IF(GC317="Sí, mensualmente",2,
IF(GC317="Sí, semanalmente",3,
IF(GC317="Sí, diariamente",4,"")))))</f>
        <v>0</v>
      </c>
      <c r="GE317" s="5">
        <f>SUM(FR317,FT317,FV317,FX317,FZ317,GB317,GD317)</f>
        <v>0</v>
      </c>
      <c r="GF317" s="5" t="str">
        <f>IF(GE317&lt;=0,"Nivel de riesgo bajo",
IF(GE317&lt;=14,"Nivel de riesgo medio",
"Nivel de riesgo alto"))</f>
        <v>Nivel de riesgo bajo</v>
      </c>
      <c r="GG317" s="5" t="s">
        <v>255</v>
      </c>
      <c r="GH317" s="5" t="s">
        <v>273</v>
      </c>
      <c r="GI317" s="5" t="s">
        <v>233</v>
      </c>
      <c r="GJ317" s="5" t="s">
        <v>233</v>
      </c>
      <c r="GK317" s="5" t="s">
        <v>233</v>
      </c>
      <c r="GL317" s="5" t="s">
        <v>233</v>
      </c>
      <c r="GM317" s="5" t="s">
        <v>233</v>
      </c>
      <c r="GN317" s="5" t="s">
        <v>257</v>
      </c>
      <c r="GO317" s="5" t="s">
        <v>243</v>
      </c>
      <c r="GP317" s="5" t="s">
        <v>234</v>
      </c>
      <c r="GQ317" s="5" t="s">
        <v>257</v>
      </c>
      <c r="GR317" s="5" t="s">
        <v>243</v>
      </c>
      <c r="GS317" s="5" t="s">
        <v>244</v>
      </c>
      <c r="GT317" s="5" t="s">
        <v>256</v>
      </c>
      <c r="GU317" s="5" t="s">
        <v>678</v>
      </c>
      <c r="GV317" s="5" t="str">
        <f>TEXT("6280130011913048821","0")</f>
        <v>6280130011913040000</v>
      </c>
    </row>
    <row r="318" spans="1:204" ht="15.75" customHeight="1" x14ac:dyDescent="0.15">
      <c r="A318" s="1">
        <f>ROW(A318)</f>
        <v>318</v>
      </c>
      <c r="B318" s="4">
        <v>45848.991631944446</v>
      </c>
      <c r="C318" s="5" t="s">
        <v>204</v>
      </c>
      <c r="D318" s="5" t="s">
        <v>206</v>
      </c>
      <c r="F318" s="5" t="s">
        <v>206</v>
      </c>
      <c r="G318" s="5" t="s">
        <v>204</v>
      </c>
      <c r="H318" s="5" t="s">
        <v>206</v>
      </c>
      <c r="L318" s="5" t="s">
        <v>236</v>
      </c>
      <c r="O318" s="5" t="s">
        <v>209</v>
      </c>
      <c r="T318" s="5" t="s">
        <v>209</v>
      </c>
      <c r="AB318" s="5" t="s">
        <v>207</v>
      </c>
      <c r="AG318" s="5" t="s">
        <v>207</v>
      </c>
      <c r="AH318" s="5" t="s">
        <v>268</v>
      </c>
      <c r="AI318" s="5">
        <v>1996</v>
      </c>
      <c r="AJ318" s="5" t="s">
        <v>238</v>
      </c>
      <c r="AK318" s="5" t="str">
        <f>IF(OR(AJ318="Empleada del sector privado",AJ318="Empleada del sector público"),"Asalariada",
IF(AJ318="Trabajadora por cuenta propia","Trabajadora por cuenta propia",""))</f>
        <v>Trabajadora por cuenta propia</v>
      </c>
      <c r="AM318" s="5" t="s">
        <v>309</v>
      </c>
      <c r="AP318" s="5" t="s">
        <v>284</v>
      </c>
      <c r="AR318" s="5" t="s">
        <v>241</v>
      </c>
      <c r="AS318" s="5" t="s">
        <v>241</v>
      </c>
      <c r="AT318" s="5" t="s">
        <v>241</v>
      </c>
      <c r="AU318" s="5" t="s">
        <v>241</v>
      </c>
      <c r="AV318" s="5" t="s">
        <v>213</v>
      </c>
      <c r="AW318" s="5" t="s">
        <v>206</v>
      </c>
      <c r="BF318" s="5" t="s">
        <v>204</v>
      </c>
      <c r="BG318" s="5" t="s">
        <v>207</v>
      </c>
      <c r="BH318" s="5" t="s">
        <v>215</v>
      </c>
      <c r="BI318" s="5" t="s">
        <v>242</v>
      </c>
      <c r="BJ318" s="5" t="s">
        <v>271</v>
      </c>
      <c r="BK318" s="5" t="s">
        <v>245</v>
      </c>
      <c r="BL318" s="5" t="s">
        <v>246</v>
      </c>
      <c r="BM318" s="5" t="s">
        <v>243</v>
      </c>
      <c r="BN318" s="5" t="s">
        <v>245</v>
      </c>
      <c r="BO318" s="5" t="s">
        <v>246</v>
      </c>
      <c r="BP318" s="5" t="s">
        <v>243</v>
      </c>
      <c r="BQ318" s="5" t="s">
        <v>243</v>
      </c>
      <c r="BR318" s="5" t="s">
        <v>243</v>
      </c>
      <c r="BS318" s="5" t="s">
        <v>254</v>
      </c>
      <c r="BT318" s="5" t="s">
        <v>232</v>
      </c>
      <c r="BU318" s="5" t="s">
        <v>247</v>
      </c>
      <c r="BV318" s="5" t="s">
        <v>232</v>
      </c>
      <c r="BW318" s="5" t="s">
        <v>247</v>
      </c>
      <c r="BX318" s="5" t="s">
        <v>247</v>
      </c>
      <c r="BY318" s="5" t="s">
        <v>247</v>
      </c>
      <c r="CD318" s="5" t="s">
        <v>206</v>
      </c>
      <c r="CH318" s="5" t="s">
        <v>206</v>
      </c>
      <c r="CI318" s="5" t="s">
        <v>307</v>
      </c>
      <c r="CJ318" s="5">
        <v>6</v>
      </c>
      <c r="CK318" s="5" t="s">
        <v>223</v>
      </c>
      <c r="CU318" s="5" t="s">
        <v>206</v>
      </c>
      <c r="DA318" s="5" t="s">
        <v>229</v>
      </c>
      <c r="DB318" s="5">
        <f>IF(DA318="Mejor que lo habitual",1,
IF(DA318="Igual que lo habitual",2,
IF(DA318="Menos que lo habitual",3,
IF(DA318="Mucho menos que lo habitual",4,""))))</f>
        <v>4</v>
      </c>
      <c r="DC318" s="5" t="s">
        <v>250</v>
      </c>
      <c r="DD318" s="5">
        <f>IF(DC318="No, en absoluto",1,
IF(DC318="No más que lo habitual",2,
IF(DC318="Bastante más que lo habitual",3,
IF(DC318="Mucho más que lo habitual",4,""))))</f>
        <v>3</v>
      </c>
      <c r="DE318" s="5" t="s">
        <v>250</v>
      </c>
      <c r="DF318" s="5">
        <f>IF(DE318="No, en absoluto",1,
IF(DE318="No más que lo habitual",2,
IF(DE318="Bastante más que lo habitual",3,
IF(DE318="Mucho más que lo habitual",4,""))))</f>
        <v>3</v>
      </c>
      <c r="DG318" s="5" t="s">
        <v>250</v>
      </c>
      <c r="DH318" s="5">
        <f>IF(DG318="No, en absoluto",1,
IF(DG318="No más que lo habitual",2,
IF(DG318="Bastante más que lo habitual",3,
IF(DG318="Mucho más que lo habitual",4,""))))</f>
        <v>3</v>
      </c>
      <c r="DI318" s="5" t="s">
        <v>250</v>
      </c>
      <c r="DJ318" s="5">
        <f>IF(DI318="No, en absoluto",1,
IF(DI318="No más que lo habitual",2,
IF(DI318="Bastante más que lo habitual",3,
IF(DI318="Mucho más que lo habitual",4,""))))</f>
        <v>3</v>
      </c>
      <c r="DK318" s="5" t="s">
        <v>230</v>
      </c>
      <c r="DL318" s="5">
        <f>IF(DK318="No, en absoluto",1,
IF(DK318="No más que lo habitual",2,
IF(DK318="Bastante más que lo habitual",3,
IF(DK318="Mucho más que lo habitual",4,""))))</f>
        <v>2</v>
      </c>
      <c r="DM318" s="5" t="s">
        <v>230</v>
      </c>
      <c r="DN318" s="5">
        <f>IF(DM318="No, en absoluto",1,
IF(DM318="No más que lo habitual",2,
IF(DM318="Bastante más que lo habitual",3,
IF(DM318="Mucho más que lo habitual",4,""))))</f>
        <v>2</v>
      </c>
      <c r="DO318" s="5" t="s">
        <v>231</v>
      </c>
      <c r="DP318" s="5">
        <f>IF(DO318="Más que lo habitual",1,
IF(DO318="Igual que lo habitual",2,
IF(DO318="Menos que lo habitual",3,
IF(DO318="Mucho menos que lo habitual",4,""))))</f>
        <v>2</v>
      </c>
      <c r="DQ318" s="5" t="s">
        <v>231</v>
      </c>
      <c r="DR318" s="5">
        <f>IF(DQ318="Más que lo habitual",1,
IF(DQ318="Igual que lo habitual",2,
IF(DQ318="Menos que lo habitual",3,
IF(DQ318="Mucho menos que lo habitual",4,""))))</f>
        <v>2</v>
      </c>
      <c r="DS318" s="5" t="s">
        <v>231</v>
      </c>
      <c r="DT318" s="5">
        <f>IF(DS318="Más que lo habitual",1,
IF(DS318="Igual que lo habitual",2,
IF(DS318="Menos que lo habitual",3,
IF(DS318="Mucho menos que lo habitual",4,""))))</f>
        <v>2</v>
      </c>
      <c r="DU318" s="5" t="s">
        <v>231</v>
      </c>
      <c r="DV318" s="5">
        <f>IF(DU318="Más que lo habitual",1,
IF(DU318="Igual que lo habitual",2,
IF(DU318="Menos que lo habitual",3,
IF(DU318="Mucho menos que lo habitual",4,""))))</f>
        <v>2</v>
      </c>
      <c r="DW318" s="5" t="s">
        <v>252</v>
      </c>
      <c r="DX318" s="5">
        <f>IF(DW318="Más que lo habitual",1,
IF(DW318="Igual que lo habitual",2,
IF(DW318="Menos que lo habitual",3,
IF(DW318="Mucho menos que lo habitual",4,""))))</f>
        <v>3</v>
      </c>
      <c r="DY318" s="5">
        <f>SUM(DB318,DD318,DF318,DH318,DJ318,DL318,DN318,DP318,DR318,DT318,DV318,DX318)</f>
        <v>31</v>
      </c>
      <c r="DZ318" s="5" t="str">
        <f>IF(DY318&lt;=18,"Nivel de riesgo bajo",
IF(DY318&lt;=23,"Nivel de riesgo medio",
"Nivel de riesgo alto"))</f>
        <v>Nivel de riesgo alto</v>
      </c>
      <c r="EA318" s="5" t="s">
        <v>232</v>
      </c>
      <c r="EB318" s="5">
        <f>IF(EA318="Nunca/ casi nunca",0,
IF(EA318="Rara vez",1,
IF(EA318="A veces",2,
IF(EA318="A menudo",3,
IF(EA318="Siempre",4,"")))))</f>
        <v>3</v>
      </c>
      <c r="EC318" s="5" t="s">
        <v>254</v>
      </c>
      <c r="ED318" s="5">
        <f>IF(EC318="Nunca/ casi nunca",0,
IF(EC318="Rara vez",1,
IF(EC318="A veces",2,
IF(EC318="A menudo",3,
IF(EC318="Siempre",4,"")))))</f>
        <v>4</v>
      </c>
      <c r="EE318" s="5" t="s">
        <v>253</v>
      </c>
      <c r="EF318" s="5">
        <f>IF(EE318="Nunca/ casi nunca",0,
IF(EE318="Rara vez",1,
IF(EE318="A veces",2,
IF(EE318="A menudo",3,
IF(EE318="Siempre",4,"")))))</f>
        <v>0</v>
      </c>
      <c r="EG318" s="5">
        <f>SUM(EB318,ED318,EF318)</f>
        <v>7</v>
      </c>
      <c r="EH318" s="5" t="str">
        <f>IF(EG318&lt;=1,"Nivel de riesgo bajo",
IF(EG318&lt;=4,"Nivel de riesgo medio",
"Nivel de riesgo alto"))</f>
        <v>Nivel de riesgo alto</v>
      </c>
      <c r="EI318" s="5" t="s">
        <v>247</v>
      </c>
      <c r="EJ318" s="5">
        <f>IF(EI318="Nunca/ casi nunca",0,
IF(EI318="Rara vez",1,
IF(EI318="A veces",2,
IF(EI318="A menudo",3,
IF(EI318="Siempre",4,"")))))</f>
        <v>2</v>
      </c>
      <c r="EK318" s="5" t="s">
        <v>248</v>
      </c>
      <c r="EL318" s="5">
        <f>IF(EK318="Nunca/ casi nunca",0,
IF(EK318="Rara vez",1,
IF(EK318="A veces",2,
IF(EK318="A menudo",3,
IF(EK318="Siempre",4,"")))))</f>
        <v>1</v>
      </c>
      <c r="EM318" s="5" t="s">
        <v>232</v>
      </c>
      <c r="EN318" s="5">
        <f>IF(EM318="Nunca/ casi nunca",0,
IF(EM318="Rara vez",1,
IF(EM318="A veces",2,
IF(EM318="A menudo",3,
IF(EM318="Siempre",4,"")))))</f>
        <v>3</v>
      </c>
      <c r="EO318" s="5">
        <f>SUM(EJ318,EL318,EN318)</f>
        <v>6</v>
      </c>
      <c r="EP318" s="5" t="str">
        <f>IF(EO318&lt;=1,"Nivel de riesgo bajo",
IF(EO318&lt;=5,"Nivel de riesgo medio",
"Nivel de riesgo alto"))</f>
        <v>Nivel de riesgo alto</v>
      </c>
      <c r="EQ318" s="5" t="s">
        <v>247</v>
      </c>
      <c r="ER318" s="5">
        <f>IF(EQ318="Nunca/ casi nunca",4,
IF(EQ318="Rara vez",3,
IF(EQ318="A veces",2,
IF(EQ318="A menudo",1,
IF(EQ318="Siempre",0,"")))))</f>
        <v>2</v>
      </c>
      <c r="ES318" s="5" t="s">
        <v>247</v>
      </c>
      <c r="ET318" s="5">
        <f>IF(ES318="Nunca/ casi nunca",4,
IF(ES318="Rara vez",3,
IF(ES318="A veces",2,
IF(ES318="A menudo",1,
IF(ES318="Siempre",0,"")))))</f>
        <v>2</v>
      </c>
      <c r="EU318" s="5" t="s">
        <v>232</v>
      </c>
      <c r="EV318" s="5">
        <f>IF(EU318="Nunca/ casi nunca",4,
IF(EU318="Rara vez",3,
IF(EU318="A veces",2,
IF(EU318="A menudo",1,
IF(EU318="Siempre",0,"")))))</f>
        <v>1</v>
      </c>
      <c r="EW318" s="5" t="s">
        <v>247</v>
      </c>
      <c r="EX318" s="5">
        <f>IF(EW318="Nunca/ casi nunca",4,
IF(EW318="Rara vez",3,
IF(EW318="A veces",2,
IF(EW318="A menudo",1,
IF(EW318="Siempre",0,"")))))</f>
        <v>2</v>
      </c>
      <c r="EY318" s="5">
        <f>SUM(ER318,ET318,EV318,EX318)</f>
        <v>7</v>
      </c>
      <c r="EZ318" s="5" t="str">
        <f>IF(EY318&lt;=0,"Nivel de riesgo bajo",
IF(EY318&lt;=4,"Nivel de riesgo medio",
"Nivel de riesgo alto"))</f>
        <v>Nivel de riesgo alto</v>
      </c>
      <c r="FA318" s="5" t="s">
        <v>247</v>
      </c>
      <c r="FB318" s="5">
        <f>IF(FA318="Nunca/ casi nunca",0,
IF(FA318="Rara vez",1,
IF(FA318="A veces",2,
IF(FA318="A menudo",3,
IF(FA318="Siempre",4,"")))))</f>
        <v>2</v>
      </c>
      <c r="FC318" s="5" t="s">
        <v>253</v>
      </c>
      <c r="FD318" s="5">
        <f>IF(FC318="Nunca/ casi nunca",0,
IF(FC318="Rara vez",1,
IF(FC318="A veces",2,
IF(FC318="A menudo",3,
IF(FC318="Siempre",4,"")))))</f>
        <v>0</v>
      </c>
      <c r="FE318" s="5" t="s">
        <v>253</v>
      </c>
      <c r="FF318" s="5">
        <f>IF(FE318="Nunca/ casi nunca",0,
IF(FE318="Rara vez",1,
IF(FE318="A veces",2,
IF(FE318="A menudo",3,
IF(FE318="Siempre",4,"")))))</f>
        <v>0</v>
      </c>
      <c r="FG318" s="5">
        <f>SUM(FB318,FD318,FF318)</f>
        <v>2</v>
      </c>
      <c r="FH318" s="5" t="str">
        <f>IF(FG318&lt;=2,"Nivel de riesgo bajo",
IF(FG318&lt;=5,"Nivel de riesgo medio",
"Nivel de riesgo alto"))</f>
        <v>Nivel de riesgo bajo</v>
      </c>
      <c r="FI318" s="5" t="s">
        <v>247</v>
      </c>
      <c r="FJ318" s="5">
        <f>IF(FI318="Nunca/ casi nunca",0,
IF(FI318="Rara vez",1,
IF(FI318="A veces",2,
IF(FI318="A menudo",3,
IF(FI318="Siempre",4,"")))))</f>
        <v>2</v>
      </c>
      <c r="FK318" s="5" t="s">
        <v>247</v>
      </c>
      <c r="FL318" s="5">
        <f>IF(FK318="Nunca/ casi nunca",0,
IF(FK318="Rara vez",1,
IF(FK318="A veces",2,
IF(FK318="A menudo",3,
IF(FK318="Siempre",4,"")))))</f>
        <v>2</v>
      </c>
      <c r="FM318" s="5" t="s">
        <v>247</v>
      </c>
      <c r="FN318" s="5">
        <f>IF(FM318="Nunca/ casi nunca",0,
IF(FM318="Rara vez",1,
IF(FM318="A veces",2,
IF(FM318="A menudo",3,
IF(FM318="Siempre",4,"")))))</f>
        <v>2</v>
      </c>
      <c r="FO318" s="5">
        <f>SUM(FJ318,FL318,FN318)</f>
        <v>6</v>
      </c>
      <c r="FP318" s="5" t="str">
        <f>IF(FO318&lt;=2,"Nivel de riesgo bajo",
IF(FO318&lt;=5,"Nivel de riesgo medio",
"Nivel de riesgo alto"))</f>
        <v>Nivel de riesgo alto</v>
      </c>
      <c r="FQ318" s="5" t="s">
        <v>206</v>
      </c>
      <c r="FR318" s="5">
        <f>IF(FQ318="No",0,
IF(FQ318="Sí, unas pocas veces",1,
IF(FQ318="Sí, mensualmente",2,
IF(FQ318="Sí, semanalmente",3,
IF(FQ318="Sí, diariamente",4,"")))))</f>
        <v>0</v>
      </c>
      <c r="FS318" s="5" t="s">
        <v>206</v>
      </c>
      <c r="FT318" s="5">
        <f>IF(FS318="No",0,
IF(FS318="Sí, unas pocas veces",1,
IF(FS318="Sí, mensualmente",2,
IF(FS318="Sí, semanalmente",3,
IF(FS318="Sí, diariamente",4,"")))))</f>
        <v>0</v>
      </c>
      <c r="FU318" s="5" t="s">
        <v>206</v>
      </c>
      <c r="FV318" s="5">
        <f>IF(FU318="No",0,
IF(FU318="Sí, unas pocas veces",1,
IF(FU318="Sí, mensualmente",2,
IF(FU318="Sí, semanalmente",3,
IF(FU318="Sí, diariamente",4,"")))))</f>
        <v>0</v>
      </c>
      <c r="FW318" s="5" t="s">
        <v>206</v>
      </c>
      <c r="FX318" s="5">
        <f>IF(FW318="No",0,
IF(FW318="Sí, unas pocas veces",1,
IF(FW318="Sí, mensualmente",2,
IF(FW318="Sí, semanalmente",3,
IF(FW318="Sí, diariamente",4,"")))))</f>
        <v>0</v>
      </c>
      <c r="FY318" s="5" t="s">
        <v>206</v>
      </c>
      <c r="FZ318" s="5">
        <f>IF(FY318="No",0,
IF(FY318="Sí, unas pocas veces",1,
IF(FY318="Sí, mensualmente",2,
IF(FY318="Sí, semanalmente",3,
IF(FY318="Sí, diariamente",4,"")))))</f>
        <v>0</v>
      </c>
      <c r="GA318" s="5" t="s">
        <v>206</v>
      </c>
      <c r="GB318" s="5">
        <f>IF(GA318="No",0,
IF(GA318="Sí, unas pocas veces",1,
IF(GA318="Sí, mensualmente",2,
IF(GA318="Sí, semanalmente",3,
IF(GA318="Sí, diariamente",4,"")))))</f>
        <v>0</v>
      </c>
      <c r="GC318" s="5" t="s">
        <v>206</v>
      </c>
      <c r="GD318" s="5">
        <f>IF(GC318="No",0,
IF(GC318="Sí, unas pocas veces",1,
IF(GC318="Sí, mensualmente",2,
IF(GC318="Sí, semanalmente",3,
IF(GC318="Sí, diariamente",4,"")))))</f>
        <v>0</v>
      </c>
      <c r="GE318" s="5">
        <f>SUM(FR318,FT318,FV318,FX318,FZ318,GB318,GD318)</f>
        <v>0</v>
      </c>
      <c r="GF318" s="5" t="str">
        <f>IF(GE318&lt;=0,"Nivel de riesgo bajo",
IF(GE318&lt;=14,"Nivel de riesgo medio",
"Nivel de riesgo alto"))</f>
        <v>Nivel de riesgo bajo</v>
      </c>
      <c r="GG318" s="5" t="s">
        <v>255</v>
      </c>
      <c r="GH318" s="5" t="s">
        <v>255</v>
      </c>
      <c r="GI318" s="5" t="s">
        <v>255</v>
      </c>
      <c r="GJ318" s="5" t="s">
        <v>233</v>
      </c>
      <c r="GK318" s="5" t="s">
        <v>233</v>
      </c>
      <c r="GL318" s="5" t="s">
        <v>255</v>
      </c>
      <c r="GM318" s="5" t="s">
        <v>298</v>
      </c>
      <c r="GN318" s="5" t="s">
        <v>243</v>
      </c>
      <c r="GO318" s="5" t="s">
        <v>257</v>
      </c>
      <c r="GP318" s="5" t="s">
        <v>243</v>
      </c>
      <c r="GQ318" s="5" t="s">
        <v>244</v>
      </c>
      <c r="GR318" s="5" t="s">
        <v>257</v>
      </c>
      <c r="GS318" s="5" t="s">
        <v>243</v>
      </c>
      <c r="GT318" s="5" t="s">
        <v>256</v>
      </c>
      <c r="GU318" s="5" t="s">
        <v>679</v>
      </c>
      <c r="GV318" s="5" t="str">
        <f>TEXT("6280148773121408844","0")</f>
        <v>6280148773121400000</v>
      </c>
    </row>
    <row r="319" spans="1:204" ht="15.75" hidden="1" customHeight="1" x14ac:dyDescent="0.15">
      <c r="B319" s="4">
        <v>45849.014432870368</v>
      </c>
      <c r="C319" s="5" t="s">
        <v>204</v>
      </c>
      <c r="D319" s="5" t="s">
        <v>206</v>
      </c>
      <c r="F319" s="5" t="s">
        <v>206</v>
      </c>
      <c r="G319" s="5" t="s">
        <v>206</v>
      </c>
      <c r="H319" s="5" t="s">
        <v>206</v>
      </c>
      <c r="J319" s="5" t="s">
        <v>209</v>
      </c>
      <c r="P319" s="5" t="s">
        <v>237</v>
      </c>
      <c r="S319" s="5" t="s">
        <v>208</v>
      </c>
      <c r="Y319" s="5" t="s">
        <v>209</v>
      </c>
      <c r="AE319" s="5" t="s">
        <v>237</v>
      </c>
      <c r="AH319" s="5" t="s">
        <v>210</v>
      </c>
      <c r="AI319" s="5">
        <v>2024</v>
      </c>
      <c r="AJ319" s="5" t="s">
        <v>304</v>
      </c>
      <c r="AK319" s="5"/>
      <c r="AR319" s="5" t="s">
        <v>294</v>
      </c>
      <c r="AS319" s="5" t="s">
        <v>261</v>
      </c>
      <c r="AT319" s="5" t="s">
        <v>241</v>
      </c>
      <c r="AU319" s="5" t="s">
        <v>241</v>
      </c>
      <c r="AV319" s="5" t="s">
        <v>269</v>
      </c>
      <c r="AW319" s="5" t="s">
        <v>204</v>
      </c>
      <c r="AX319" s="5" t="s">
        <v>206</v>
      </c>
      <c r="BF319" s="5" t="s">
        <v>204</v>
      </c>
      <c r="BG319" s="5" t="s">
        <v>215</v>
      </c>
      <c r="BH319" s="5" t="s">
        <v>215</v>
      </c>
      <c r="BI319" s="5" t="s">
        <v>215</v>
      </c>
      <c r="BJ319" s="5" t="s">
        <v>215</v>
      </c>
      <c r="BK319" s="5" t="s">
        <v>244</v>
      </c>
      <c r="BL319" s="5" t="s">
        <v>244</v>
      </c>
      <c r="BM319" s="5" t="s">
        <v>244</v>
      </c>
      <c r="BN319" s="5" t="s">
        <v>244</v>
      </c>
      <c r="BO319" s="5" t="s">
        <v>244</v>
      </c>
      <c r="BP319" s="5" t="s">
        <v>244</v>
      </c>
      <c r="BQ319" s="5" t="s">
        <v>244</v>
      </c>
      <c r="BR319" s="5" t="s">
        <v>244</v>
      </c>
      <c r="BS319" s="5" t="s">
        <v>247</v>
      </c>
      <c r="BT319" s="5" t="s">
        <v>247</v>
      </c>
      <c r="BU319" s="5" t="s">
        <v>248</v>
      </c>
      <c r="BV319" s="5" t="s">
        <v>247</v>
      </c>
      <c r="BW319" s="5" t="s">
        <v>247</v>
      </c>
      <c r="BX319" s="5" t="s">
        <v>247</v>
      </c>
      <c r="BY319" s="5" t="s">
        <v>247</v>
      </c>
      <c r="BZ319" s="5" t="s">
        <v>244</v>
      </c>
      <c r="CA319" s="5" t="s">
        <v>244</v>
      </c>
      <c r="CB319" s="5" t="s">
        <v>244</v>
      </c>
      <c r="CC319" s="5" t="s">
        <v>244</v>
      </c>
      <c r="CD319" s="5" t="s">
        <v>204</v>
      </c>
      <c r="CE319" s="5" t="s">
        <v>286</v>
      </c>
      <c r="CF319" s="5" t="s">
        <v>279</v>
      </c>
      <c r="CG319" s="5" t="s">
        <v>680</v>
      </c>
      <c r="CH319" s="5" t="s">
        <v>331</v>
      </c>
      <c r="CI319" s="5" t="s">
        <v>206</v>
      </c>
      <c r="CJ319" s="5">
        <v>1</v>
      </c>
      <c r="CK319" s="5" t="s">
        <v>223</v>
      </c>
      <c r="CU319" s="5" t="s">
        <v>206</v>
      </c>
      <c r="DA319" s="5" t="s">
        <v>252</v>
      </c>
      <c r="DB319" s="5"/>
      <c r="DC319" s="5" t="s">
        <v>250</v>
      </c>
      <c r="DD319" s="5"/>
      <c r="DE319" s="5" t="s">
        <v>230</v>
      </c>
      <c r="DF319" s="5"/>
      <c r="DG319" s="5" t="s">
        <v>230</v>
      </c>
      <c r="DH319" s="5"/>
      <c r="DI319" s="5" t="s">
        <v>230</v>
      </c>
      <c r="DJ319" s="5"/>
      <c r="DK319" s="5" t="s">
        <v>250</v>
      </c>
      <c r="DL319" s="5"/>
      <c r="DM319" s="5" t="s">
        <v>230</v>
      </c>
      <c r="DN319" s="5"/>
      <c r="DO319" s="5" t="s">
        <v>252</v>
      </c>
      <c r="DP319" s="5"/>
      <c r="DQ319" s="5" t="s">
        <v>231</v>
      </c>
      <c r="DR319" s="5"/>
      <c r="DS319" s="5" t="s">
        <v>231</v>
      </c>
      <c r="DT319" s="5"/>
      <c r="DU319" s="5" t="s">
        <v>252</v>
      </c>
      <c r="DV319" s="5"/>
      <c r="DW319" s="5" t="s">
        <v>231</v>
      </c>
      <c r="DX319" s="5"/>
      <c r="DY319" s="5"/>
      <c r="DZ319" s="5"/>
      <c r="EA319" s="5" t="s">
        <v>247</v>
      </c>
      <c r="EB319" s="5"/>
      <c r="EC319" s="5" t="s">
        <v>247</v>
      </c>
      <c r="ED319" s="5"/>
      <c r="EE319" s="5" t="s">
        <v>247</v>
      </c>
      <c r="EF319" s="5"/>
      <c r="EG319" s="5"/>
      <c r="EH319" s="5"/>
      <c r="EI319" s="5" t="s">
        <v>247</v>
      </c>
      <c r="EJ319" s="5"/>
      <c r="EK319" s="5" t="s">
        <v>247</v>
      </c>
      <c r="EL319" s="5"/>
      <c r="EM319" s="5" t="s">
        <v>247</v>
      </c>
      <c r="EN319" s="5"/>
      <c r="EO319" s="5"/>
      <c r="EP319" s="5"/>
      <c r="EQ319" s="5" t="s">
        <v>247</v>
      </c>
      <c r="ER319" s="5"/>
      <c r="ES319" s="5" t="s">
        <v>247</v>
      </c>
      <c r="ET319" s="5"/>
      <c r="EU319" s="5" t="s">
        <v>247</v>
      </c>
      <c r="EV319" s="5"/>
      <c r="EW319" s="5" t="s">
        <v>247</v>
      </c>
      <c r="EX319" s="5"/>
      <c r="EY319" s="5"/>
      <c r="EZ319" s="5"/>
      <c r="FA319" s="5" t="s">
        <v>247</v>
      </c>
      <c r="FB319" s="5"/>
      <c r="FC319" s="5" t="s">
        <v>247</v>
      </c>
      <c r="FD319" s="5"/>
      <c r="FE319" s="5" t="s">
        <v>247</v>
      </c>
      <c r="FF319" s="5"/>
      <c r="FG319" s="5"/>
      <c r="FH319" s="5"/>
      <c r="FI319" s="5" t="s">
        <v>247</v>
      </c>
      <c r="FJ319" s="5"/>
      <c r="FK319" s="5" t="s">
        <v>247</v>
      </c>
      <c r="FL319" s="5"/>
      <c r="FM319" s="5" t="s">
        <v>247</v>
      </c>
      <c r="FN319" s="5"/>
      <c r="FO319" s="5"/>
      <c r="FP319" s="5"/>
      <c r="FQ319" s="5" t="s">
        <v>325</v>
      </c>
      <c r="FR319" s="5"/>
      <c r="FS319" s="5" t="s">
        <v>265</v>
      </c>
      <c r="FT319" s="5"/>
      <c r="FU319" s="5" t="s">
        <v>325</v>
      </c>
      <c r="FV319" s="5"/>
      <c r="FW319" s="5" t="s">
        <v>325</v>
      </c>
      <c r="FX319" s="5"/>
      <c r="FY319" s="5" t="s">
        <v>265</v>
      </c>
      <c r="FZ319" s="5"/>
      <c r="GA319" s="5" t="s">
        <v>325</v>
      </c>
      <c r="GB319" s="5"/>
      <c r="GC319" s="5" t="s">
        <v>325</v>
      </c>
      <c r="GD319" s="5"/>
      <c r="GE319" s="5"/>
      <c r="GF319" s="5"/>
      <c r="GG319" s="5" t="s">
        <v>266</v>
      </c>
      <c r="GH319" s="5" t="s">
        <v>266</v>
      </c>
      <c r="GI319" s="5" t="s">
        <v>266</v>
      </c>
      <c r="GJ319" s="5" t="s">
        <v>266</v>
      </c>
      <c r="GK319" s="5" t="s">
        <v>266</v>
      </c>
      <c r="GL319" s="5" t="s">
        <v>266</v>
      </c>
      <c r="GM319" s="5" t="s">
        <v>266</v>
      </c>
      <c r="GN319" s="5" t="s">
        <v>234</v>
      </c>
      <c r="GO319" s="5" t="s">
        <v>234</v>
      </c>
      <c r="GP319" s="5" t="s">
        <v>234</v>
      </c>
      <c r="GQ319" s="5" t="s">
        <v>234</v>
      </c>
      <c r="GR319" s="5" t="s">
        <v>234</v>
      </c>
      <c r="GS319" s="5" t="s">
        <v>234</v>
      </c>
      <c r="GT319" s="5" t="s">
        <v>234</v>
      </c>
      <c r="GU319" s="5" t="s">
        <v>681</v>
      </c>
      <c r="GV319" s="5" t="str">
        <f>TEXT("6280168477795682466","0")</f>
        <v>6280168477795680000</v>
      </c>
    </row>
    <row r="320" spans="1:204" ht="15.75" customHeight="1" x14ac:dyDescent="0.15">
      <c r="A320" s="1">
        <f t="shared" ref="A320:A330" si="918">ROW(A320)</f>
        <v>320</v>
      </c>
      <c r="B320" s="4">
        <v>45849.021284722221</v>
      </c>
      <c r="C320" s="5" t="s">
        <v>204</v>
      </c>
      <c r="D320" s="5" t="s">
        <v>206</v>
      </c>
      <c r="F320" s="5" t="s">
        <v>206</v>
      </c>
      <c r="G320" s="5" t="s">
        <v>206</v>
      </c>
      <c r="H320" s="5" t="s">
        <v>206</v>
      </c>
      <c r="L320" s="5" t="s">
        <v>236</v>
      </c>
      <c r="O320" s="5" t="s">
        <v>209</v>
      </c>
      <c r="T320" s="5" t="s">
        <v>209</v>
      </c>
      <c r="X320" s="5" t="s">
        <v>208</v>
      </c>
      <c r="AE320" s="5" t="s">
        <v>237</v>
      </c>
      <c r="AH320" s="5" t="s">
        <v>259</v>
      </c>
      <c r="AI320" s="5">
        <v>2019</v>
      </c>
      <c r="AJ320" s="5" t="s">
        <v>238</v>
      </c>
      <c r="AK320" s="5" t="str">
        <f t="shared" ref="AK320:AK330" si="919">IF(OR(AJ320="Empleada del sector privado",AJ320="Empleada del sector público"),"Asalariada",
IF(AJ320="Trabajadora por cuenta propia","Trabajadora por cuenta propia",""))</f>
        <v>Trabajadora por cuenta propia</v>
      </c>
      <c r="AL320" s="5" t="s">
        <v>239</v>
      </c>
      <c r="AP320" s="5" t="s">
        <v>297</v>
      </c>
      <c r="AR320" s="5" t="s">
        <v>261</v>
      </c>
      <c r="AS320" s="5" t="s">
        <v>241</v>
      </c>
      <c r="AT320" s="5" t="s">
        <v>241</v>
      </c>
      <c r="AU320" s="5" t="s">
        <v>241</v>
      </c>
      <c r="AV320" s="5" t="s">
        <v>213</v>
      </c>
      <c r="AW320" s="5" t="s">
        <v>206</v>
      </c>
      <c r="BF320" s="5" t="s">
        <v>204</v>
      </c>
      <c r="BG320" s="5" t="s">
        <v>278</v>
      </c>
      <c r="BH320" s="5" t="s">
        <v>278</v>
      </c>
      <c r="BI320" s="5" t="s">
        <v>278</v>
      </c>
      <c r="BJ320" s="5" t="s">
        <v>271</v>
      </c>
      <c r="BK320" s="5" t="s">
        <v>245</v>
      </c>
      <c r="BL320" s="5" t="s">
        <v>245</v>
      </c>
      <c r="BM320" s="5" t="s">
        <v>245</v>
      </c>
      <c r="BN320" s="5" t="s">
        <v>245</v>
      </c>
      <c r="BO320" s="5" t="s">
        <v>245</v>
      </c>
      <c r="BP320" s="5" t="s">
        <v>245</v>
      </c>
      <c r="BQ320" s="5" t="s">
        <v>245</v>
      </c>
      <c r="BR320" s="5" t="s">
        <v>245</v>
      </c>
      <c r="BS320" s="5" t="s">
        <v>248</v>
      </c>
      <c r="BT320" s="5" t="s">
        <v>232</v>
      </c>
      <c r="BU320" s="5" t="s">
        <v>232</v>
      </c>
      <c r="BV320" s="5" t="s">
        <v>247</v>
      </c>
      <c r="BW320" s="5" t="s">
        <v>232</v>
      </c>
      <c r="BX320" s="5" t="s">
        <v>254</v>
      </c>
      <c r="BY320" s="5" t="s">
        <v>247</v>
      </c>
      <c r="CD320" s="5" t="s">
        <v>206</v>
      </c>
      <c r="CH320" s="5" t="s">
        <v>206</v>
      </c>
      <c r="CI320" s="5" t="s">
        <v>206</v>
      </c>
      <c r="CJ320" s="5">
        <v>0</v>
      </c>
      <c r="CK320" s="5" t="s">
        <v>223</v>
      </c>
      <c r="CU320" s="5" t="s">
        <v>206</v>
      </c>
      <c r="DA320" s="5" t="s">
        <v>252</v>
      </c>
      <c r="DB320" s="5">
        <f t="shared" ref="DB320:DB330" si="920">IF(DA320="Mejor que lo habitual",1,
IF(DA320="Igual que lo habitual",2,
IF(DA320="Menos que lo habitual",3,
IF(DA320="Mucho menos que lo habitual",4,""))))</f>
        <v>3</v>
      </c>
      <c r="DC320" s="5" t="s">
        <v>250</v>
      </c>
      <c r="DD320" s="5">
        <f t="shared" ref="DD320:DD330" si="921">IF(DC320="No, en absoluto",1,
IF(DC320="No más que lo habitual",2,
IF(DC320="Bastante más que lo habitual",3,
IF(DC320="Mucho más que lo habitual",4,""))))</f>
        <v>3</v>
      </c>
      <c r="DE320" s="5" t="s">
        <v>280</v>
      </c>
      <c r="DF320" s="5">
        <f t="shared" ref="DF320:DF330" si="922">IF(DE320="No, en absoluto",1,
IF(DE320="No más que lo habitual",2,
IF(DE320="Bastante más que lo habitual",3,
IF(DE320="Mucho más que lo habitual",4,""))))</f>
        <v>4</v>
      </c>
      <c r="DG320" s="5" t="s">
        <v>250</v>
      </c>
      <c r="DH320" s="5">
        <f t="shared" ref="DH320:DH330" si="923">IF(DG320="No, en absoluto",1,
IF(DG320="No más que lo habitual",2,
IF(DG320="Bastante más que lo habitual",3,
IF(DG320="Mucho más que lo habitual",4,""))))</f>
        <v>3</v>
      </c>
      <c r="DI320" s="5" t="s">
        <v>280</v>
      </c>
      <c r="DJ320" s="5">
        <f t="shared" ref="DJ320:DJ330" si="924">IF(DI320="No, en absoluto",1,
IF(DI320="No más que lo habitual",2,
IF(DI320="Bastante más que lo habitual",3,
IF(DI320="Mucho más que lo habitual",4,""))))</f>
        <v>4</v>
      </c>
      <c r="DK320" s="5" t="s">
        <v>250</v>
      </c>
      <c r="DL320" s="5">
        <f t="shared" ref="DL320:DL330" si="925">IF(DK320="No, en absoluto",1,
IF(DK320="No más que lo habitual",2,
IF(DK320="Bastante más que lo habitual",3,
IF(DK320="Mucho más que lo habitual",4,""))))</f>
        <v>3</v>
      </c>
      <c r="DM320" s="5" t="s">
        <v>250</v>
      </c>
      <c r="DN320" s="5">
        <f t="shared" ref="DN320:DN330" si="926">IF(DM320="No, en absoluto",1,
IF(DM320="No más que lo habitual",2,
IF(DM320="Bastante más que lo habitual",3,
IF(DM320="Mucho más que lo habitual",4,""))))</f>
        <v>3</v>
      </c>
      <c r="DO320" s="5" t="s">
        <v>252</v>
      </c>
      <c r="DP320" s="5">
        <f t="shared" ref="DP320:DP330" si="927">IF(DO320="Más que lo habitual",1,
IF(DO320="Igual que lo habitual",2,
IF(DO320="Menos que lo habitual",3,
IF(DO320="Mucho menos que lo habitual",4,""))))</f>
        <v>3</v>
      </c>
      <c r="DQ320" s="5" t="s">
        <v>252</v>
      </c>
      <c r="DR320" s="5">
        <f t="shared" ref="DR320:DR330" si="928">IF(DQ320="Más que lo habitual",1,
IF(DQ320="Igual que lo habitual",2,
IF(DQ320="Menos que lo habitual",3,
IF(DQ320="Mucho menos que lo habitual",4,""))))</f>
        <v>3</v>
      </c>
      <c r="DS320" s="5" t="s">
        <v>252</v>
      </c>
      <c r="DT320" s="5">
        <f t="shared" ref="DT320:DT330" si="929">IF(DS320="Más que lo habitual",1,
IF(DS320="Igual que lo habitual",2,
IF(DS320="Menos que lo habitual",3,
IF(DS320="Mucho menos que lo habitual",4,""))))</f>
        <v>3</v>
      </c>
      <c r="DU320" s="5" t="s">
        <v>252</v>
      </c>
      <c r="DV320" s="5">
        <f t="shared" ref="DV320:DV330" si="930">IF(DU320="Más que lo habitual",1,
IF(DU320="Igual que lo habitual",2,
IF(DU320="Menos que lo habitual",3,
IF(DU320="Mucho menos que lo habitual",4,""))))</f>
        <v>3</v>
      </c>
      <c r="DW320" s="5" t="s">
        <v>252</v>
      </c>
      <c r="DX320" s="5">
        <f t="shared" ref="DX320:DX330" si="931">IF(DW320="Más que lo habitual",1,
IF(DW320="Igual que lo habitual",2,
IF(DW320="Menos que lo habitual",3,
IF(DW320="Mucho menos que lo habitual",4,""))))</f>
        <v>3</v>
      </c>
      <c r="DY320" s="5">
        <f t="shared" ref="DY320:DY330" si="932">SUM(DB320,DD320,DF320,DH320,DJ320,DL320,DN320,DP320,DR320,DT320,DV320,DX320)</f>
        <v>38</v>
      </c>
      <c r="DZ320" s="5" t="str">
        <f t="shared" ref="DZ320:DZ330" si="933">IF(DY320&lt;=18,"Nivel de riesgo bajo",
IF(DY320&lt;=23,"Nivel de riesgo medio",
"Nivel de riesgo alto"))</f>
        <v>Nivel de riesgo alto</v>
      </c>
      <c r="EA320" s="5" t="s">
        <v>248</v>
      </c>
      <c r="EB320" s="5">
        <f t="shared" ref="EB320:EB330" si="934">IF(EA320="Nunca/ casi nunca",0,
IF(EA320="Rara vez",1,
IF(EA320="A veces",2,
IF(EA320="A menudo",3,
IF(EA320="Siempre",4,"")))))</f>
        <v>1</v>
      </c>
      <c r="EC320" s="5" t="s">
        <v>247</v>
      </c>
      <c r="ED320" s="5">
        <f t="shared" ref="ED320:ED330" si="935">IF(EC320="Nunca/ casi nunca",0,
IF(EC320="Rara vez",1,
IF(EC320="A veces",2,
IF(EC320="A menudo",3,
IF(EC320="Siempre",4,"")))))</f>
        <v>2</v>
      </c>
      <c r="EE320" s="5" t="s">
        <v>248</v>
      </c>
      <c r="EF320" s="5">
        <f t="shared" ref="EF320:EF330" si="936">IF(EE320="Nunca/ casi nunca",0,
IF(EE320="Rara vez",1,
IF(EE320="A veces",2,
IF(EE320="A menudo",3,
IF(EE320="Siempre",4,"")))))</f>
        <v>1</v>
      </c>
      <c r="EG320" s="5">
        <f t="shared" ref="EG320:EG330" si="937">SUM(EB320,ED320,EF320)</f>
        <v>4</v>
      </c>
      <c r="EH320" s="5" t="str">
        <f t="shared" ref="EH320:EH330" si="938">IF(EG320&lt;=1,"Nivel de riesgo bajo",
IF(EG320&lt;=4,"Nivel de riesgo medio",
"Nivel de riesgo alto"))</f>
        <v>Nivel de riesgo medio</v>
      </c>
      <c r="EI320" s="5" t="s">
        <v>232</v>
      </c>
      <c r="EJ320" s="5">
        <f t="shared" ref="EJ320:EJ330" si="939">IF(EI320="Nunca/ casi nunca",0,
IF(EI320="Rara vez",1,
IF(EI320="A veces",2,
IF(EI320="A menudo",3,
IF(EI320="Siempre",4,"")))))</f>
        <v>3</v>
      </c>
      <c r="EK320" s="5" t="s">
        <v>247</v>
      </c>
      <c r="EL320" s="5">
        <f t="shared" ref="EL320:EL330" si="940">IF(EK320="Nunca/ casi nunca",0,
IF(EK320="Rara vez",1,
IF(EK320="A veces",2,
IF(EK320="A menudo",3,
IF(EK320="Siempre",4,"")))))</f>
        <v>2</v>
      </c>
      <c r="EM320" s="5" t="s">
        <v>248</v>
      </c>
      <c r="EN320" s="5">
        <f t="shared" ref="EN320:EN330" si="941">IF(EM320="Nunca/ casi nunca",0,
IF(EM320="Rara vez",1,
IF(EM320="A veces",2,
IF(EM320="A menudo",3,
IF(EM320="Siempre",4,"")))))</f>
        <v>1</v>
      </c>
      <c r="EO320" s="5">
        <f t="shared" ref="EO320:EO330" si="942">SUM(EJ320,EL320,EN320)</f>
        <v>6</v>
      </c>
      <c r="EP320" s="5" t="str">
        <f t="shared" ref="EP320:EP330" si="943">IF(EO320&lt;=1,"Nivel de riesgo bajo",
IF(EO320&lt;=5,"Nivel de riesgo medio",
"Nivel de riesgo alto"))</f>
        <v>Nivel de riesgo alto</v>
      </c>
      <c r="EQ320" s="5" t="s">
        <v>247</v>
      </c>
      <c r="ER320" s="5">
        <f t="shared" ref="ER320:ER330" si="944">IF(EQ320="Nunca/ casi nunca",4,
IF(EQ320="Rara vez",3,
IF(EQ320="A veces",2,
IF(EQ320="A menudo",1,
IF(EQ320="Siempre",0,"")))))</f>
        <v>2</v>
      </c>
      <c r="ES320" s="5" t="s">
        <v>248</v>
      </c>
      <c r="ET320" s="5">
        <f t="shared" ref="ET320:ET330" si="945">IF(ES320="Nunca/ casi nunca",4,
IF(ES320="Rara vez",3,
IF(ES320="A veces",2,
IF(ES320="A menudo",1,
IF(ES320="Siempre",0,"")))))</f>
        <v>3</v>
      </c>
      <c r="EU320" s="5" t="s">
        <v>232</v>
      </c>
      <c r="EV320" s="5">
        <f t="shared" ref="EV320:EV330" si="946">IF(EU320="Nunca/ casi nunca",4,
IF(EU320="Rara vez",3,
IF(EU320="A veces",2,
IF(EU320="A menudo",1,
IF(EU320="Siempre",0,"")))))</f>
        <v>1</v>
      </c>
      <c r="EW320" s="5" t="s">
        <v>232</v>
      </c>
      <c r="EX320" s="5">
        <f t="shared" ref="EX320:EX330" si="947">IF(EW320="Nunca/ casi nunca",4,
IF(EW320="Rara vez",3,
IF(EW320="A veces",2,
IF(EW320="A menudo",1,
IF(EW320="Siempre",0,"")))))</f>
        <v>1</v>
      </c>
      <c r="EY320" s="5">
        <f t="shared" ref="EY320:EY330" si="948">SUM(ER320,ET320,EV320,EX320)</f>
        <v>7</v>
      </c>
      <c r="EZ320" s="5" t="str">
        <f t="shared" ref="EZ320:EZ330" si="949">IF(EY320&lt;=0,"Nivel de riesgo bajo",
IF(EY320&lt;=4,"Nivel de riesgo medio",
"Nivel de riesgo alto"))</f>
        <v>Nivel de riesgo alto</v>
      </c>
      <c r="FA320" s="5" t="s">
        <v>248</v>
      </c>
      <c r="FB320" s="5">
        <f t="shared" ref="FB320:FB330" si="950">IF(FA320="Nunca/ casi nunca",0,
IF(FA320="Rara vez",1,
IF(FA320="A veces",2,
IF(FA320="A menudo",3,
IF(FA320="Siempre",4,"")))))</f>
        <v>1</v>
      </c>
      <c r="FC320" s="5" t="s">
        <v>248</v>
      </c>
      <c r="FD320" s="5">
        <f t="shared" ref="FD320:FD330" si="951">IF(FC320="Nunca/ casi nunca",0,
IF(FC320="Rara vez",1,
IF(FC320="A veces",2,
IF(FC320="A menudo",3,
IF(FC320="Siempre",4,"")))))</f>
        <v>1</v>
      </c>
      <c r="FE320" s="5" t="s">
        <v>248</v>
      </c>
      <c r="FF320" s="5">
        <f t="shared" ref="FF320:FF330" si="952">IF(FE320="Nunca/ casi nunca",0,
IF(FE320="Rara vez",1,
IF(FE320="A veces",2,
IF(FE320="A menudo",3,
IF(FE320="Siempre",4,"")))))</f>
        <v>1</v>
      </c>
      <c r="FG320" s="5">
        <f t="shared" ref="FG320:FG330" si="953">SUM(FB320,FD320,FF320)</f>
        <v>3</v>
      </c>
      <c r="FH320" s="5" t="str">
        <f t="shared" ref="FH320:FH330" si="954">IF(FG320&lt;=2,"Nivel de riesgo bajo",
IF(FG320&lt;=5,"Nivel de riesgo medio",
"Nivel de riesgo alto"))</f>
        <v>Nivel de riesgo medio</v>
      </c>
      <c r="FI320" s="5" t="s">
        <v>232</v>
      </c>
      <c r="FJ320" s="5">
        <f t="shared" ref="FJ320:FJ330" si="955">IF(FI320="Nunca/ casi nunca",0,
IF(FI320="Rara vez",1,
IF(FI320="A veces",2,
IF(FI320="A menudo",3,
IF(FI320="Siempre",4,"")))))</f>
        <v>3</v>
      </c>
      <c r="FK320" s="5" t="s">
        <v>232</v>
      </c>
      <c r="FL320" s="5">
        <f t="shared" ref="FL320:FL330" si="956">IF(FK320="Nunca/ casi nunca",0,
IF(FK320="Rara vez",1,
IF(FK320="A veces",2,
IF(FK320="A menudo",3,
IF(FK320="Siempre",4,"")))))</f>
        <v>3</v>
      </c>
      <c r="FM320" s="5" t="s">
        <v>247</v>
      </c>
      <c r="FN320" s="5">
        <f t="shared" ref="FN320:FN330" si="957">IF(FM320="Nunca/ casi nunca",0,
IF(FM320="Rara vez",1,
IF(FM320="A veces",2,
IF(FM320="A menudo",3,
IF(FM320="Siempre",4,"")))))</f>
        <v>2</v>
      </c>
      <c r="FO320" s="5">
        <f t="shared" ref="FO320:FO330" si="958">SUM(FJ320,FL320,FN320)</f>
        <v>8</v>
      </c>
      <c r="FP320" s="5" t="str">
        <f t="shared" ref="FP320:FP330" si="959">IF(FO320&lt;=2,"Nivel de riesgo bajo",
IF(FO320&lt;=5,"Nivel de riesgo medio",
"Nivel de riesgo alto"))</f>
        <v>Nivel de riesgo alto</v>
      </c>
      <c r="FQ320" s="5" t="s">
        <v>206</v>
      </c>
      <c r="FR320" s="5">
        <f t="shared" ref="FR320:FR330" si="960">IF(FQ320="No",0,
IF(FQ320="Sí, unas pocas veces",1,
IF(FQ320="Sí, mensualmente",2,
IF(FQ320="Sí, semanalmente",3,
IF(FQ320="Sí, diariamente",4,"")))))</f>
        <v>0</v>
      </c>
      <c r="FS320" s="5" t="s">
        <v>206</v>
      </c>
      <c r="FT320" s="5">
        <f t="shared" ref="FT320:FT330" si="961">IF(FS320="No",0,
IF(FS320="Sí, unas pocas veces",1,
IF(FS320="Sí, mensualmente",2,
IF(FS320="Sí, semanalmente",3,
IF(FS320="Sí, diariamente",4,"")))))</f>
        <v>0</v>
      </c>
      <c r="FU320" s="5" t="s">
        <v>206</v>
      </c>
      <c r="FV320" s="5">
        <f t="shared" ref="FV320:FV330" si="962">IF(FU320="No",0,
IF(FU320="Sí, unas pocas veces",1,
IF(FU320="Sí, mensualmente",2,
IF(FU320="Sí, semanalmente",3,
IF(FU320="Sí, diariamente",4,"")))))</f>
        <v>0</v>
      </c>
      <c r="FW320" s="5" t="s">
        <v>206</v>
      </c>
      <c r="FX320" s="5">
        <f t="shared" ref="FX320:FX330" si="963">IF(FW320="No",0,
IF(FW320="Sí, unas pocas veces",1,
IF(FW320="Sí, mensualmente",2,
IF(FW320="Sí, semanalmente",3,
IF(FW320="Sí, diariamente",4,"")))))</f>
        <v>0</v>
      </c>
      <c r="FY320" s="5" t="s">
        <v>206</v>
      </c>
      <c r="FZ320" s="5">
        <f t="shared" ref="FZ320:FZ330" si="964">IF(FY320="No",0,
IF(FY320="Sí, unas pocas veces",1,
IF(FY320="Sí, mensualmente",2,
IF(FY320="Sí, semanalmente",3,
IF(FY320="Sí, diariamente",4,"")))))</f>
        <v>0</v>
      </c>
      <c r="GA320" s="5" t="s">
        <v>206</v>
      </c>
      <c r="GB320" s="5">
        <f t="shared" ref="GB320:GB330" si="965">IF(GA320="No",0,
IF(GA320="Sí, unas pocas veces",1,
IF(GA320="Sí, mensualmente",2,
IF(GA320="Sí, semanalmente",3,
IF(GA320="Sí, diariamente",4,"")))))</f>
        <v>0</v>
      </c>
      <c r="GC320" s="5" t="s">
        <v>206</v>
      </c>
      <c r="GD320" s="5">
        <f t="shared" ref="GD320:GD330" si="966">IF(GC320="No",0,
IF(GC320="Sí, unas pocas veces",1,
IF(GC320="Sí, mensualmente",2,
IF(GC320="Sí, semanalmente",3,
IF(GC320="Sí, diariamente",4,"")))))</f>
        <v>0</v>
      </c>
      <c r="GE320" s="5">
        <f t="shared" ref="GE320:GE330" si="967">SUM(FR320,FT320,FV320,FX320,FZ320,GB320,GD320)</f>
        <v>0</v>
      </c>
      <c r="GF320" s="5" t="str">
        <f t="shared" ref="GF320:GF330" si="968">IF(GE320&lt;=0,"Nivel de riesgo bajo",
IF(GE320&lt;=14,"Nivel de riesgo medio",
"Nivel de riesgo alto"))</f>
        <v>Nivel de riesgo bajo</v>
      </c>
      <c r="GG320" s="5" t="s">
        <v>255</v>
      </c>
      <c r="GH320" s="5" t="s">
        <v>255</v>
      </c>
      <c r="GI320" s="5" t="s">
        <v>255</v>
      </c>
      <c r="GJ320" s="5" t="s">
        <v>273</v>
      </c>
      <c r="GK320" s="5" t="s">
        <v>233</v>
      </c>
      <c r="GL320" s="5" t="s">
        <v>273</v>
      </c>
      <c r="GM320" s="5" t="s">
        <v>273</v>
      </c>
      <c r="GN320" s="5" t="s">
        <v>256</v>
      </c>
      <c r="GO320" s="5" t="s">
        <v>256</v>
      </c>
      <c r="GP320" s="5" t="s">
        <v>256</v>
      </c>
      <c r="GQ320" s="5" t="s">
        <v>256</v>
      </c>
      <c r="GR320" s="5" t="s">
        <v>256</v>
      </c>
      <c r="GS320" s="5" t="s">
        <v>256</v>
      </c>
      <c r="GT320" s="5" t="s">
        <v>256</v>
      </c>
      <c r="GU320" s="5" t="s">
        <v>682</v>
      </c>
      <c r="GV320" s="5" t="str">
        <f>TEXT("6280174396987043235","0")</f>
        <v>6280174396987040000</v>
      </c>
    </row>
    <row r="321" spans="1:204" ht="15.75" customHeight="1" x14ac:dyDescent="0.15">
      <c r="A321" s="1">
        <f t="shared" si="918"/>
        <v>321</v>
      </c>
      <c r="B321" s="4">
        <v>45849.049178240741</v>
      </c>
      <c r="C321" s="5" t="s">
        <v>204</v>
      </c>
      <c r="D321" s="5" t="s">
        <v>206</v>
      </c>
      <c r="F321" s="5" t="s">
        <v>206</v>
      </c>
      <c r="G321" s="5" t="s">
        <v>204</v>
      </c>
      <c r="H321" s="5" t="s">
        <v>206</v>
      </c>
      <c r="J321" s="5" t="s">
        <v>209</v>
      </c>
      <c r="N321" s="5" t="s">
        <v>208</v>
      </c>
      <c r="S321" s="5" t="s">
        <v>208</v>
      </c>
      <c r="Y321" s="5" t="s">
        <v>209</v>
      </c>
      <c r="AD321" s="5" t="s">
        <v>209</v>
      </c>
      <c r="AH321" s="5" t="s">
        <v>210</v>
      </c>
      <c r="AI321" s="5">
        <v>2021</v>
      </c>
      <c r="AJ321" s="5" t="s">
        <v>238</v>
      </c>
      <c r="AK321" s="5" t="str">
        <f t="shared" si="919"/>
        <v>Trabajadora por cuenta propia</v>
      </c>
      <c r="AL321" s="5" t="s">
        <v>239</v>
      </c>
      <c r="AP321" s="5" t="s">
        <v>297</v>
      </c>
      <c r="AR321" s="5" t="s">
        <v>241</v>
      </c>
      <c r="AS321" s="5" t="s">
        <v>241</v>
      </c>
      <c r="AT321" s="5" t="s">
        <v>241</v>
      </c>
      <c r="AU321" s="5" t="s">
        <v>241</v>
      </c>
      <c r="AV321" s="5" t="s">
        <v>213</v>
      </c>
      <c r="AW321" s="5" t="s">
        <v>206</v>
      </c>
      <c r="BF321" s="5" t="s">
        <v>204</v>
      </c>
      <c r="BG321" s="5" t="s">
        <v>207</v>
      </c>
      <c r="BH321" s="5" t="s">
        <v>207</v>
      </c>
      <c r="BI321" s="5" t="s">
        <v>264</v>
      </c>
      <c r="BJ321" s="5" t="s">
        <v>207</v>
      </c>
      <c r="BK321" s="5" t="s">
        <v>216</v>
      </c>
      <c r="BL321" s="5" t="s">
        <v>216</v>
      </c>
      <c r="BM321" s="5" t="s">
        <v>216</v>
      </c>
      <c r="BN321" s="5" t="s">
        <v>216</v>
      </c>
      <c r="BO321" s="5" t="s">
        <v>216</v>
      </c>
      <c r="BP321" s="5" t="s">
        <v>216</v>
      </c>
      <c r="BQ321" s="5" t="s">
        <v>216</v>
      </c>
      <c r="BR321" s="5" t="s">
        <v>216</v>
      </c>
      <c r="BS321" s="5" t="s">
        <v>217</v>
      </c>
      <c r="BT321" s="5" t="s">
        <v>217</v>
      </c>
      <c r="BU321" s="5" t="s">
        <v>217</v>
      </c>
      <c r="BV321" s="5" t="s">
        <v>217</v>
      </c>
      <c r="BW321" s="5" t="s">
        <v>217</v>
      </c>
      <c r="BX321" s="5" t="s">
        <v>217</v>
      </c>
      <c r="BY321" s="5" t="s">
        <v>217</v>
      </c>
      <c r="CD321" s="5" t="s">
        <v>204</v>
      </c>
      <c r="CE321" s="5" t="s">
        <v>286</v>
      </c>
      <c r="CF321" s="5" t="s">
        <v>219</v>
      </c>
      <c r="CG321" s="5" t="s">
        <v>220</v>
      </c>
      <c r="CH321" s="5" t="s">
        <v>367</v>
      </c>
      <c r="CI321" s="5" t="s">
        <v>206</v>
      </c>
      <c r="CJ321" s="5">
        <v>0</v>
      </c>
      <c r="CQ321" s="5" t="s">
        <v>349</v>
      </c>
      <c r="CU321" s="5" t="s">
        <v>204</v>
      </c>
      <c r="CV321" s="5" t="s">
        <v>350</v>
      </c>
      <c r="CW321" s="5" t="s">
        <v>434</v>
      </c>
      <c r="CX321" s="5" t="s">
        <v>683</v>
      </c>
      <c r="CY321" s="5" t="s">
        <v>353</v>
      </c>
      <c r="CZ321" s="5" t="s">
        <v>206</v>
      </c>
      <c r="DA321" s="5" t="s">
        <v>252</v>
      </c>
      <c r="DB321" s="5">
        <f t="shared" si="920"/>
        <v>3</v>
      </c>
      <c r="DC321" s="5" t="s">
        <v>250</v>
      </c>
      <c r="DD321" s="5">
        <f t="shared" si="921"/>
        <v>3</v>
      </c>
      <c r="DE321" s="5" t="s">
        <v>250</v>
      </c>
      <c r="DF321" s="5">
        <f t="shared" si="922"/>
        <v>3</v>
      </c>
      <c r="DG321" s="5" t="s">
        <v>250</v>
      </c>
      <c r="DH321" s="5">
        <f t="shared" si="923"/>
        <v>3</v>
      </c>
      <c r="DI321" s="5" t="s">
        <v>251</v>
      </c>
      <c r="DJ321" s="5">
        <f t="shared" si="924"/>
        <v>1</v>
      </c>
      <c r="DK321" s="5" t="s">
        <v>251</v>
      </c>
      <c r="DL321" s="5">
        <f t="shared" si="925"/>
        <v>1</v>
      </c>
      <c r="DM321" s="5" t="s">
        <v>251</v>
      </c>
      <c r="DN321" s="5">
        <f t="shared" si="926"/>
        <v>1</v>
      </c>
      <c r="DO321" s="5" t="s">
        <v>252</v>
      </c>
      <c r="DP321" s="5">
        <f t="shared" si="927"/>
        <v>3</v>
      </c>
      <c r="DQ321" s="5" t="s">
        <v>252</v>
      </c>
      <c r="DR321" s="5">
        <f t="shared" si="928"/>
        <v>3</v>
      </c>
      <c r="DS321" s="5" t="s">
        <v>252</v>
      </c>
      <c r="DT321" s="5">
        <f t="shared" si="929"/>
        <v>3</v>
      </c>
      <c r="DU321" s="5" t="s">
        <v>252</v>
      </c>
      <c r="DV321" s="5">
        <f t="shared" si="930"/>
        <v>3</v>
      </c>
      <c r="DW321" s="5" t="s">
        <v>252</v>
      </c>
      <c r="DX321" s="5">
        <f t="shared" si="931"/>
        <v>3</v>
      </c>
      <c r="DY321" s="5">
        <f t="shared" si="932"/>
        <v>30</v>
      </c>
      <c r="DZ321" s="5" t="str">
        <f t="shared" si="933"/>
        <v>Nivel de riesgo alto</v>
      </c>
      <c r="EA321" s="5" t="s">
        <v>247</v>
      </c>
      <c r="EB321" s="5">
        <f t="shared" si="934"/>
        <v>2</v>
      </c>
      <c r="EC321" s="5" t="s">
        <v>247</v>
      </c>
      <c r="ED321" s="5">
        <f t="shared" si="935"/>
        <v>2</v>
      </c>
      <c r="EE321" s="5" t="s">
        <v>247</v>
      </c>
      <c r="EF321" s="5">
        <f t="shared" si="936"/>
        <v>2</v>
      </c>
      <c r="EG321" s="5">
        <f t="shared" si="937"/>
        <v>6</v>
      </c>
      <c r="EH321" s="5" t="str">
        <f t="shared" si="938"/>
        <v>Nivel de riesgo alto</v>
      </c>
      <c r="EI321" s="5" t="s">
        <v>247</v>
      </c>
      <c r="EJ321" s="5">
        <f t="shared" si="939"/>
        <v>2</v>
      </c>
      <c r="EK321" s="5" t="s">
        <v>247</v>
      </c>
      <c r="EL321" s="5">
        <f t="shared" si="940"/>
        <v>2</v>
      </c>
      <c r="EM321" s="5" t="s">
        <v>247</v>
      </c>
      <c r="EN321" s="5">
        <f t="shared" si="941"/>
        <v>2</v>
      </c>
      <c r="EO321" s="5">
        <f t="shared" si="942"/>
        <v>6</v>
      </c>
      <c r="EP321" s="5" t="str">
        <f t="shared" si="943"/>
        <v>Nivel de riesgo alto</v>
      </c>
      <c r="EQ321" s="5" t="s">
        <v>247</v>
      </c>
      <c r="ER321" s="5">
        <f t="shared" si="944"/>
        <v>2</v>
      </c>
      <c r="ES321" s="5" t="s">
        <v>247</v>
      </c>
      <c r="ET321" s="5">
        <f t="shared" si="945"/>
        <v>2</v>
      </c>
      <c r="EU321" s="5" t="s">
        <v>247</v>
      </c>
      <c r="EV321" s="5">
        <f t="shared" si="946"/>
        <v>2</v>
      </c>
      <c r="EW321" s="5" t="s">
        <v>247</v>
      </c>
      <c r="EX321" s="5">
        <f t="shared" si="947"/>
        <v>2</v>
      </c>
      <c r="EY321" s="5">
        <f t="shared" si="948"/>
        <v>8</v>
      </c>
      <c r="EZ321" s="5" t="str">
        <f t="shared" si="949"/>
        <v>Nivel de riesgo alto</v>
      </c>
      <c r="FA321" s="5" t="s">
        <v>247</v>
      </c>
      <c r="FB321" s="5">
        <f t="shared" si="950"/>
        <v>2</v>
      </c>
      <c r="FC321" s="5" t="s">
        <v>247</v>
      </c>
      <c r="FD321" s="5">
        <f t="shared" si="951"/>
        <v>2</v>
      </c>
      <c r="FE321" s="5" t="s">
        <v>247</v>
      </c>
      <c r="FF321" s="5">
        <f t="shared" si="952"/>
        <v>2</v>
      </c>
      <c r="FG321" s="5">
        <f t="shared" si="953"/>
        <v>6</v>
      </c>
      <c r="FH321" s="5" t="str">
        <f t="shared" si="954"/>
        <v>Nivel de riesgo alto</v>
      </c>
      <c r="FI321" s="5" t="s">
        <v>247</v>
      </c>
      <c r="FJ321" s="5">
        <f t="shared" si="955"/>
        <v>2</v>
      </c>
      <c r="FK321" s="5" t="s">
        <v>247</v>
      </c>
      <c r="FL321" s="5">
        <f t="shared" si="956"/>
        <v>2</v>
      </c>
      <c r="FM321" s="5" t="s">
        <v>247</v>
      </c>
      <c r="FN321" s="5">
        <f t="shared" si="957"/>
        <v>2</v>
      </c>
      <c r="FO321" s="5">
        <f t="shared" si="958"/>
        <v>6</v>
      </c>
      <c r="FP321" s="5" t="str">
        <f t="shared" si="959"/>
        <v>Nivel de riesgo alto</v>
      </c>
      <c r="FQ321" s="5" t="s">
        <v>206</v>
      </c>
      <c r="FR321" s="5">
        <f t="shared" si="960"/>
        <v>0</v>
      </c>
      <c r="FS321" s="5" t="s">
        <v>206</v>
      </c>
      <c r="FT321" s="5">
        <f t="shared" si="961"/>
        <v>0</v>
      </c>
      <c r="FU321" s="5" t="s">
        <v>206</v>
      </c>
      <c r="FV321" s="5">
        <f t="shared" si="962"/>
        <v>0</v>
      </c>
      <c r="FW321" s="5" t="s">
        <v>206</v>
      </c>
      <c r="FX321" s="5">
        <f t="shared" si="963"/>
        <v>0</v>
      </c>
      <c r="FY321" s="5" t="s">
        <v>206</v>
      </c>
      <c r="FZ321" s="5">
        <f t="shared" si="964"/>
        <v>0</v>
      </c>
      <c r="GA321" s="5" t="s">
        <v>206</v>
      </c>
      <c r="GB321" s="5">
        <f t="shared" si="965"/>
        <v>0</v>
      </c>
      <c r="GC321" s="5" t="s">
        <v>206</v>
      </c>
      <c r="GD321" s="5">
        <f t="shared" si="966"/>
        <v>0</v>
      </c>
      <c r="GE321" s="5">
        <f t="shared" si="967"/>
        <v>0</v>
      </c>
      <c r="GF321" s="5" t="str">
        <f t="shared" si="968"/>
        <v>Nivel de riesgo bajo</v>
      </c>
      <c r="GG321" s="5" t="s">
        <v>255</v>
      </c>
      <c r="GH321" s="5" t="s">
        <v>255</v>
      </c>
      <c r="GI321" s="5" t="s">
        <v>255</v>
      </c>
      <c r="GJ321" s="5" t="s">
        <v>255</v>
      </c>
      <c r="GK321" s="5" t="s">
        <v>255</v>
      </c>
      <c r="GL321" s="5" t="s">
        <v>255</v>
      </c>
      <c r="GM321" s="5" t="s">
        <v>255</v>
      </c>
      <c r="GN321" s="5" t="s">
        <v>234</v>
      </c>
      <c r="GO321" s="5" t="s">
        <v>234</v>
      </c>
      <c r="GP321" s="5" t="s">
        <v>234</v>
      </c>
      <c r="GQ321" s="5" t="s">
        <v>234</v>
      </c>
      <c r="GR321" s="5" t="s">
        <v>234</v>
      </c>
      <c r="GS321" s="5" t="s">
        <v>234</v>
      </c>
      <c r="GT321" s="5" t="s">
        <v>234</v>
      </c>
      <c r="GU321" s="5" t="s">
        <v>684</v>
      </c>
      <c r="GV321" s="5" t="str">
        <f>TEXT("6280198493416450180","0")</f>
        <v>6280198493416450000</v>
      </c>
    </row>
    <row r="322" spans="1:204" ht="15.75" customHeight="1" x14ac:dyDescent="0.15">
      <c r="A322" s="1">
        <f t="shared" si="918"/>
        <v>322</v>
      </c>
      <c r="B322" s="4">
        <v>45849.064780092594</v>
      </c>
      <c r="C322" s="5" t="s">
        <v>204</v>
      </c>
      <c r="D322" s="5" t="s">
        <v>206</v>
      </c>
      <c r="F322" s="5" t="s">
        <v>206</v>
      </c>
      <c r="G322" s="5" t="s">
        <v>204</v>
      </c>
      <c r="H322" s="5" t="s">
        <v>206</v>
      </c>
      <c r="K322" s="5" t="s">
        <v>237</v>
      </c>
      <c r="P322" s="5" t="s">
        <v>237</v>
      </c>
      <c r="T322" s="5" t="s">
        <v>209</v>
      </c>
      <c r="Z322" s="5" t="s">
        <v>237</v>
      </c>
      <c r="AE322" s="5" t="s">
        <v>237</v>
      </c>
      <c r="AH322" s="5" t="s">
        <v>275</v>
      </c>
      <c r="AI322" s="5">
        <v>2019</v>
      </c>
      <c r="AJ322" s="5" t="s">
        <v>238</v>
      </c>
      <c r="AK322" s="5" t="str">
        <f t="shared" si="919"/>
        <v>Trabajadora por cuenta propia</v>
      </c>
      <c r="AM322" s="5" t="s">
        <v>309</v>
      </c>
      <c r="AP322" s="5" t="s">
        <v>284</v>
      </c>
      <c r="AR322" s="5" t="s">
        <v>301</v>
      </c>
      <c r="AS322" s="5" t="s">
        <v>241</v>
      </c>
      <c r="AT322" s="5" t="s">
        <v>241</v>
      </c>
      <c r="AU322" s="5" t="s">
        <v>301</v>
      </c>
      <c r="AV322" s="5" t="s">
        <v>285</v>
      </c>
      <c r="AW322" s="5" t="s">
        <v>204</v>
      </c>
      <c r="AX322" s="5" t="s">
        <v>206</v>
      </c>
      <c r="BF322" s="5" t="s">
        <v>204</v>
      </c>
      <c r="BG322" s="5" t="s">
        <v>271</v>
      </c>
      <c r="BH322" s="5" t="s">
        <v>278</v>
      </c>
      <c r="BI322" s="5" t="s">
        <v>278</v>
      </c>
      <c r="BJ322" s="5" t="s">
        <v>278</v>
      </c>
      <c r="BK322" s="5" t="s">
        <v>246</v>
      </c>
      <c r="BL322" s="5" t="s">
        <v>246</v>
      </c>
      <c r="BM322" s="5" t="s">
        <v>245</v>
      </c>
      <c r="BN322" s="5" t="s">
        <v>246</v>
      </c>
      <c r="BO322" s="5" t="s">
        <v>246</v>
      </c>
      <c r="BP322" s="5" t="s">
        <v>246</v>
      </c>
      <c r="BQ322" s="5" t="s">
        <v>246</v>
      </c>
      <c r="BR322" s="5" t="s">
        <v>246</v>
      </c>
      <c r="BS322" s="5" t="s">
        <v>254</v>
      </c>
      <c r="BT322" s="5" t="s">
        <v>254</v>
      </c>
      <c r="BU322" s="5" t="s">
        <v>217</v>
      </c>
      <c r="BV322" s="5" t="s">
        <v>248</v>
      </c>
      <c r="BW322" s="5" t="s">
        <v>248</v>
      </c>
      <c r="BX322" s="5" t="s">
        <v>248</v>
      </c>
      <c r="BY322" s="5" t="s">
        <v>217</v>
      </c>
      <c r="BZ322" s="5" t="s">
        <v>244</v>
      </c>
      <c r="CA322" s="5" t="s">
        <v>244</v>
      </c>
      <c r="CB322" s="5" t="s">
        <v>246</v>
      </c>
      <c r="CC322" s="5" t="s">
        <v>246</v>
      </c>
      <c r="CD322" s="5" t="s">
        <v>206</v>
      </c>
      <c r="CH322" s="5" t="s">
        <v>206</v>
      </c>
      <c r="CI322" s="5" t="s">
        <v>206</v>
      </c>
      <c r="CJ322" s="5">
        <v>0</v>
      </c>
      <c r="CK322" s="5" t="s">
        <v>223</v>
      </c>
      <c r="CU322" s="5" t="s">
        <v>206</v>
      </c>
      <c r="DA322" s="5" t="s">
        <v>272</v>
      </c>
      <c r="DB322" s="5">
        <f t="shared" si="920"/>
        <v>1</v>
      </c>
      <c r="DC322" s="5" t="s">
        <v>230</v>
      </c>
      <c r="DD322" s="5">
        <f t="shared" si="921"/>
        <v>2</v>
      </c>
      <c r="DE322" s="5" t="s">
        <v>251</v>
      </c>
      <c r="DF322" s="5">
        <f t="shared" si="922"/>
        <v>1</v>
      </c>
      <c r="DG322" s="5" t="s">
        <v>251</v>
      </c>
      <c r="DH322" s="5">
        <f t="shared" si="923"/>
        <v>1</v>
      </c>
      <c r="DI322" s="5" t="s">
        <v>250</v>
      </c>
      <c r="DJ322" s="5">
        <f t="shared" si="924"/>
        <v>3</v>
      </c>
      <c r="DK322" s="5" t="s">
        <v>251</v>
      </c>
      <c r="DL322" s="5">
        <f t="shared" si="925"/>
        <v>1</v>
      </c>
      <c r="DM322" s="5" t="s">
        <v>251</v>
      </c>
      <c r="DN322" s="5">
        <f t="shared" si="926"/>
        <v>1</v>
      </c>
      <c r="DO322" s="5" t="s">
        <v>281</v>
      </c>
      <c r="DP322" s="5">
        <f t="shared" si="927"/>
        <v>1</v>
      </c>
      <c r="DQ322" s="5" t="s">
        <v>281</v>
      </c>
      <c r="DR322" s="5">
        <f t="shared" si="928"/>
        <v>1</v>
      </c>
      <c r="DS322" s="5" t="s">
        <v>281</v>
      </c>
      <c r="DT322" s="5">
        <f t="shared" si="929"/>
        <v>1</v>
      </c>
      <c r="DU322" s="5" t="s">
        <v>281</v>
      </c>
      <c r="DV322" s="5">
        <f t="shared" si="930"/>
        <v>1</v>
      </c>
      <c r="DW322" s="5" t="s">
        <v>281</v>
      </c>
      <c r="DX322" s="5">
        <f t="shared" si="931"/>
        <v>1</v>
      </c>
      <c r="DY322" s="5">
        <f t="shared" si="932"/>
        <v>15</v>
      </c>
      <c r="DZ322" s="5" t="str">
        <f t="shared" si="933"/>
        <v>Nivel de riesgo bajo</v>
      </c>
      <c r="EA322" s="5" t="s">
        <v>253</v>
      </c>
      <c r="EB322" s="5">
        <f t="shared" si="934"/>
        <v>0</v>
      </c>
      <c r="EC322" s="5" t="s">
        <v>253</v>
      </c>
      <c r="ED322" s="5">
        <f t="shared" si="935"/>
        <v>0</v>
      </c>
      <c r="EE322" s="5" t="s">
        <v>253</v>
      </c>
      <c r="EF322" s="5">
        <f t="shared" si="936"/>
        <v>0</v>
      </c>
      <c r="EG322" s="5">
        <f t="shared" si="937"/>
        <v>0</v>
      </c>
      <c r="EH322" s="5" t="str">
        <f t="shared" si="938"/>
        <v>Nivel de riesgo bajo</v>
      </c>
      <c r="EI322" s="5" t="s">
        <v>248</v>
      </c>
      <c r="EJ322" s="5">
        <f t="shared" si="939"/>
        <v>1</v>
      </c>
      <c r="EK322" s="5" t="s">
        <v>253</v>
      </c>
      <c r="EL322" s="5">
        <f t="shared" si="940"/>
        <v>0</v>
      </c>
      <c r="EM322" s="5" t="s">
        <v>247</v>
      </c>
      <c r="EN322" s="5">
        <f t="shared" si="941"/>
        <v>2</v>
      </c>
      <c r="EO322" s="5">
        <f t="shared" si="942"/>
        <v>3</v>
      </c>
      <c r="EP322" s="5" t="str">
        <f t="shared" si="943"/>
        <v>Nivel de riesgo medio</v>
      </c>
      <c r="EQ322" s="5" t="s">
        <v>253</v>
      </c>
      <c r="ER322" s="5">
        <f t="shared" si="944"/>
        <v>4</v>
      </c>
      <c r="ES322" s="5" t="s">
        <v>254</v>
      </c>
      <c r="ET322" s="5">
        <f t="shared" si="945"/>
        <v>0</v>
      </c>
      <c r="EU322" s="5" t="s">
        <v>254</v>
      </c>
      <c r="EV322" s="5">
        <f t="shared" si="946"/>
        <v>0</v>
      </c>
      <c r="EW322" s="5" t="s">
        <v>254</v>
      </c>
      <c r="EX322" s="5">
        <f t="shared" si="947"/>
        <v>0</v>
      </c>
      <c r="EY322" s="5">
        <f t="shared" si="948"/>
        <v>4</v>
      </c>
      <c r="EZ322" s="5" t="str">
        <f t="shared" si="949"/>
        <v>Nivel de riesgo medio</v>
      </c>
      <c r="FA322" s="5" t="s">
        <v>247</v>
      </c>
      <c r="FB322" s="5">
        <f t="shared" si="950"/>
        <v>2</v>
      </c>
      <c r="FC322" s="5" t="s">
        <v>248</v>
      </c>
      <c r="FD322" s="5">
        <f t="shared" si="951"/>
        <v>1</v>
      </c>
      <c r="FE322" s="5" t="s">
        <v>254</v>
      </c>
      <c r="FF322" s="5">
        <f t="shared" si="952"/>
        <v>4</v>
      </c>
      <c r="FG322" s="5">
        <f t="shared" si="953"/>
        <v>7</v>
      </c>
      <c r="FH322" s="5" t="str">
        <f t="shared" si="954"/>
        <v>Nivel de riesgo alto</v>
      </c>
      <c r="FI322" s="5" t="s">
        <v>248</v>
      </c>
      <c r="FJ322" s="5">
        <f t="shared" si="955"/>
        <v>1</v>
      </c>
      <c r="FK322" s="5" t="s">
        <v>248</v>
      </c>
      <c r="FL322" s="5">
        <f t="shared" si="956"/>
        <v>1</v>
      </c>
      <c r="FM322" s="5" t="s">
        <v>248</v>
      </c>
      <c r="FN322" s="5">
        <f t="shared" si="957"/>
        <v>1</v>
      </c>
      <c r="FO322" s="5">
        <f t="shared" si="958"/>
        <v>3</v>
      </c>
      <c r="FP322" s="5" t="str">
        <f t="shared" si="959"/>
        <v>Nivel de riesgo medio</v>
      </c>
      <c r="FQ322" s="5" t="s">
        <v>206</v>
      </c>
      <c r="FR322" s="5">
        <f t="shared" si="960"/>
        <v>0</v>
      </c>
      <c r="FS322" s="5" t="s">
        <v>206</v>
      </c>
      <c r="FT322" s="5">
        <f t="shared" si="961"/>
        <v>0</v>
      </c>
      <c r="FU322" s="5" t="s">
        <v>206</v>
      </c>
      <c r="FV322" s="5">
        <f t="shared" si="962"/>
        <v>0</v>
      </c>
      <c r="FW322" s="5" t="s">
        <v>206</v>
      </c>
      <c r="FX322" s="5">
        <f t="shared" si="963"/>
        <v>0</v>
      </c>
      <c r="FY322" s="5" t="s">
        <v>206</v>
      </c>
      <c r="FZ322" s="5">
        <f t="shared" si="964"/>
        <v>0</v>
      </c>
      <c r="GA322" s="5" t="s">
        <v>206</v>
      </c>
      <c r="GB322" s="5">
        <f t="shared" si="965"/>
        <v>0</v>
      </c>
      <c r="GC322" s="5" t="s">
        <v>206</v>
      </c>
      <c r="GD322" s="5">
        <f t="shared" si="966"/>
        <v>0</v>
      </c>
      <c r="GE322" s="5">
        <f t="shared" si="967"/>
        <v>0</v>
      </c>
      <c r="GF322" s="5" t="str">
        <f t="shared" si="968"/>
        <v>Nivel de riesgo bajo</v>
      </c>
      <c r="GG322" s="5" t="s">
        <v>255</v>
      </c>
      <c r="GH322" s="5" t="s">
        <v>255</v>
      </c>
      <c r="GI322" s="5" t="s">
        <v>255</v>
      </c>
      <c r="GJ322" s="5" t="s">
        <v>255</v>
      </c>
      <c r="GK322" s="5" t="s">
        <v>255</v>
      </c>
      <c r="GL322" s="5" t="s">
        <v>255</v>
      </c>
      <c r="GM322" s="5" t="s">
        <v>255</v>
      </c>
      <c r="GN322" s="5" t="s">
        <v>256</v>
      </c>
      <c r="GO322" s="5" t="s">
        <v>257</v>
      </c>
      <c r="GP322" s="5" t="s">
        <v>257</v>
      </c>
      <c r="GQ322" s="5" t="s">
        <v>257</v>
      </c>
      <c r="GR322" s="5" t="s">
        <v>243</v>
      </c>
      <c r="GS322" s="5" t="s">
        <v>257</v>
      </c>
      <c r="GT322" s="5" t="s">
        <v>256</v>
      </c>
      <c r="GU322" s="5" t="s">
        <v>685</v>
      </c>
      <c r="GV322" s="5" t="str">
        <f>TEXT("6280211974617957089","0")</f>
        <v>6280211974617950000</v>
      </c>
    </row>
    <row r="323" spans="1:204" ht="15.75" customHeight="1" x14ac:dyDescent="0.15">
      <c r="A323" s="1">
        <f t="shared" si="918"/>
        <v>323</v>
      </c>
      <c r="B323" s="4">
        <v>45849.090671296297</v>
      </c>
      <c r="C323" s="5" t="s">
        <v>204</v>
      </c>
      <c r="D323" s="5" t="s">
        <v>206</v>
      </c>
      <c r="F323" s="5" t="s">
        <v>206</v>
      </c>
      <c r="G323" s="5" t="s">
        <v>204</v>
      </c>
      <c r="H323" s="5" t="s">
        <v>206</v>
      </c>
      <c r="K323" s="5" t="s">
        <v>237</v>
      </c>
      <c r="O323" s="5" t="s">
        <v>209</v>
      </c>
      <c r="T323" s="5" t="s">
        <v>209</v>
      </c>
      <c r="X323" s="5" t="s">
        <v>208</v>
      </c>
      <c r="AC323" s="5" t="s">
        <v>208</v>
      </c>
      <c r="AH323" s="5" t="s">
        <v>210</v>
      </c>
      <c r="AI323" s="5">
        <v>2002</v>
      </c>
      <c r="AJ323" s="5" t="s">
        <v>238</v>
      </c>
      <c r="AK323" s="5" t="str">
        <f t="shared" si="919"/>
        <v>Trabajadora por cuenta propia</v>
      </c>
      <c r="AM323" s="5" t="s">
        <v>309</v>
      </c>
      <c r="AP323" s="5" t="s">
        <v>365</v>
      </c>
      <c r="AR323" s="5" t="s">
        <v>301</v>
      </c>
      <c r="AS323" s="5" t="s">
        <v>241</v>
      </c>
      <c r="AT323" s="5" t="s">
        <v>241</v>
      </c>
      <c r="AU323" s="5" t="s">
        <v>261</v>
      </c>
      <c r="AV323" s="5" t="s">
        <v>269</v>
      </c>
      <c r="AW323" s="5" t="s">
        <v>204</v>
      </c>
      <c r="AX323" s="5" t="s">
        <v>206</v>
      </c>
      <c r="BF323" s="5" t="s">
        <v>204</v>
      </c>
      <c r="BG323" s="5" t="s">
        <v>278</v>
      </c>
      <c r="BH323" s="5" t="s">
        <v>215</v>
      </c>
      <c r="BI323" s="5" t="s">
        <v>278</v>
      </c>
      <c r="BJ323" s="5" t="s">
        <v>215</v>
      </c>
      <c r="BK323" s="5" t="s">
        <v>246</v>
      </c>
      <c r="BL323" s="5" t="s">
        <v>244</v>
      </c>
      <c r="BM323" s="5" t="s">
        <v>244</v>
      </c>
      <c r="BN323" s="5" t="s">
        <v>244</v>
      </c>
      <c r="BO323" s="5" t="s">
        <v>244</v>
      </c>
      <c r="BP323" s="5" t="s">
        <v>246</v>
      </c>
      <c r="BQ323" s="5" t="s">
        <v>244</v>
      </c>
      <c r="BR323" s="5" t="s">
        <v>244</v>
      </c>
      <c r="BS323" s="5" t="s">
        <v>247</v>
      </c>
      <c r="BT323" s="5" t="s">
        <v>248</v>
      </c>
      <c r="BU323" s="5" t="s">
        <v>247</v>
      </c>
      <c r="BV323" s="5" t="s">
        <v>248</v>
      </c>
      <c r="BW323" s="5" t="s">
        <v>247</v>
      </c>
      <c r="BX323" s="5" t="s">
        <v>248</v>
      </c>
      <c r="BY323" s="5" t="s">
        <v>248</v>
      </c>
      <c r="BZ323" s="5" t="s">
        <v>244</v>
      </c>
      <c r="CA323" s="5" t="s">
        <v>244</v>
      </c>
      <c r="CB323" s="5" t="s">
        <v>244</v>
      </c>
      <c r="CC323" s="5" t="s">
        <v>246</v>
      </c>
      <c r="CD323" s="5" t="s">
        <v>204</v>
      </c>
      <c r="CE323" s="5" t="s">
        <v>218</v>
      </c>
      <c r="CF323" s="5" t="s">
        <v>219</v>
      </c>
      <c r="CG323" s="5" t="s">
        <v>206</v>
      </c>
      <c r="CH323" s="5" t="s">
        <v>206</v>
      </c>
      <c r="CI323" s="5" t="s">
        <v>206</v>
      </c>
      <c r="CJ323" s="5">
        <v>0</v>
      </c>
      <c r="CK323" s="5" t="s">
        <v>223</v>
      </c>
      <c r="CU323" s="5" t="s">
        <v>206</v>
      </c>
      <c r="DA323" s="5" t="s">
        <v>231</v>
      </c>
      <c r="DB323" s="5">
        <f t="shared" si="920"/>
        <v>2</v>
      </c>
      <c r="DC323" s="5" t="s">
        <v>251</v>
      </c>
      <c r="DD323" s="5">
        <f t="shared" si="921"/>
        <v>1</v>
      </c>
      <c r="DE323" s="5" t="s">
        <v>251</v>
      </c>
      <c r="DF323" s="5">
        <f t="shared" si="922"/>
        <v>1</v>
      </c>
      <c r="DG323" s="5" t="s">
        <v>251</v>
      </c>
      <c r="DH323" s="5">
        <f t="shared" si="923"/>
        <v>1</v>
      </c>
      <c r="DI323" s="5" t="s">
        <v>251</v>
      </c>
      <c r="DJ323" s="5">
        <f t="shared" si="924"/>
        <v>1</v>
      </c>
      <c r="DK323" s="5" t="s">
        <v>251</v>
      </c>
      <c r="DL323" s="5">
        <f t="shared" si="925"/>
        <v>1</v>
      </c>
      <c r="DM323" s="5" t="s">
        <v>251</v>
      </c>
      <c r="DN323" s="5">
        <f t="shared" si="926"/>
        <v>1</v>
      </c>
      <c r="DO323" s="5" t="s">
        <v>231</v>
      </c>
      <c r="DP323" s="5">
        <f t="shared" si="927"/>
        <v>2</v>
      </c>
      <c r="DQ323" s="5" t="s">
        <v>231</v>
      </c>
      <c r="DR323" s="5">
        <f t="shared" si="928"/>
        <v>2</v>
      </c>
      <c r="DS323" s="5" t="s">
        <v>231</v>
      </c>
      <c r="DT323" s="5">
        <f t="shared" si="929"/>
        <v>2</v>
      </c>
      <c r="DU323" s="5" t="s">
        <v>231</v>
      </c>
      <c r="DV323" s="5">
        <f t="shared" si="930"/>
        <v>2</v>
      </c>
      <c r="DW323" s="5" t="s">
        <v>231</v>
      </c>
      <c r="DX323" s="5">
        <f t="shared" si="931"/>
        <v>2</v>
      </c>
      <c r="DY323" s="5">
        <f t="shared" si="932"/>
        <v>18</v>
      </c>
      <c r="DZ323" s="5" t="str">
        <f t="shared" si="933"/>
        <v>Nivel de riesgo bajo</v>
      </c>
      <c r="EA323" s="5" t="s">
        <v>253</v>
      </c>
      <c r="EB323" s="5">
        <f t="shared" si="934"/>
        <v>0</v>
      </c>
      <c r="EC323" s="5" t="s">
        <v>248</v>
      </c>
      <c r="ED323" s="5">
        <f t="shared" si="935"/>
        <v>1</v>
      </c>
      <c r="EE323" s="5" t="s">
        <v>248</v>
      </c>
      <c r="EF323" s="5">
        <f t="shared" si="936"/>
        <v>1</v>
      </c>
      <c r="EG323" s="5">
        <f t="shared" si="937"/>
        <v>2</v>
      </c>
      <c r="EH323" s="5" t="str">
        <f t="shared" si="938"/>
        <v>Nivel de riesgo medio</v>
      </c>
      <c r="EI323" s="5" t="s">
        <v>248</v>
      </c>
      <c r="EJ323" s="5">
        <f t="shared" si="939"/>
        <v>1</v>
      </c>
      <c r="EK323" s="5" t="s">
        <v>247</v>
      </c>
      <c r="EL323" s="5">
        <f t="shared" si="940"/>
        <v>2</v>
      </c>
      <c r="EM323" s="5" t="s">
        <v>232</v>
      </c>
      <c r="EN323" s="5">
        <f t="shared" si="941"/>
        <v>3</v>
      </c>
      <c r="EO323" s="5">
        <f t="shared" si="942"/>
        <v>6</v>
      </c>
      <c r="EP323" s="5" t="str">
        <f t="shared" si="943"/>
        <v>Nivel de riesgo alto</v>
      </c>
      <c r="EQ323" s="5" t="s">
        <v>254</v>
      </c>
      <c r="ER323" s="5">
        <f t="shared" si="944"/>
        <v>0</v>
      </c>
      <c r="ES323" s="5" t="s">
        <v>248</v>
      </c>
      <c r="ET323" s="5">
        <f t="shared" si="945"/>
        <v>3</v>
      </c>
      <c r="EU323" s="5" t="s">
        <v>254</v>
      </c>
      <c r="EV323" s="5">
        <f t="shared" si="946"/>
        <v>0</v>
      </c>
      <c r="EW323" s="5" t="s">
        <v>254</v>
      </c>
      <c r="EX323" s="5">
        <f t="shared" si="947"/>
        <v>0</v>
      </c>
      <c r="EY323" s="5">
        <f t="shared" si="948"/>
        <v>3</v>
      </c>
      <c r="EZ323" s="5" t="str">
        <f t="shared" si="949"/>
        <v>Nivel de riesgo medio</v>
      </c>
      <c r="FA323" s="5" t="s">
        <v>253</v>
      </c>
      <c r="FB323" s="5">
        <f t="shared" si="950"/>
        <v>0</v>
      </c>
      <c r="FC323" s="5" t="s">
        <v>253</v>
      </c>
      <c r="FD323" s="5">
        <f t="shared" si="951"/>
        <v>0</v>
      </c>
      <c r="FE323" s="5" t="s">
        <v>253</v>
      </c>
      <c r="FF323" s="5">
        <f t="shared" si="952"/>
        <v>0</v>
      </c>
      <c r="FG323" s="5">
        <f t="shared" si="953"/>
        <v>0</v>
      </c>
      <c r="FH323" s="5" t="str">
        <f t="shared" si="954"/>
        <v>Nivel de riesgo bajo</v>
      </c>
      <c r="FI323" s="5" t="s">
        <v>253</v>
      </c>
      <c r="FJ323" s="5">
        <f t="shared" si="955"/>
        <v>0</v>
      </c>
      <c r="FK323" s="5" t="s">
        <v>253</v>
      </c>
      <c r="FL323" s="5">
        <f t="shared" si="956"/>
        <v>0</v>
      </c>
      <c r="FM323" s="5" t="s">
        <v>248</v>
      </c>
      <c r="FN323" s="5">
        <f t="shared" si="957"/>
        <v>1</v>
      </c>
      <c r="FO323" s="5">
        <f t="shared" si="958"/>
        <v>1</v>
      </c>
      <c r="FP323" s="5" t="str">
        <f t="shared" si="959"/>
        <v>Nivel de riesgo bajo</v>
      </c>
      <c r="FQ323" s="5" t="s">
        <v>206</v>
      </c>
      <c r="FR323" s="5">
        <f t="shared" si="960"/>
        <v>0</v>
      </c>
      <c r="FS323" s="5" t="s">
        <v>206</v>
      </c>
      <c r="FT323" s="5">
        <f t="shared" si="961"/>
        <v>0</v>
      </c>
      <c r="FU323" s="5" t="s">
        <v>206</v>
      </c>
      <c r="FV323" s="5">
        <f t="shared" si="962"/>
        <v>0</v>
      </c>
      <c r="FW323" s="5" t="s">
        <v>206</v>
      </c>
      <c r="FX323" s="5">
        <f t="shared" si="963"/>
        <v>0</v>
      </c>
      <c r="FY323" s="5" t="s">
        <v>206</v>
      </c>
      <c r="FZ323" s="5">
        <f t="shared" si="964"/>
        <v>0</v>
      </c>
      <c r="GA323" s="5" t="s">
        <v>206</v>
      </c>
      <c r="GB323" s="5">
        <f t="shared" si="965"/>
        <v>0</v>
      </c>
      <c r="GC323" s="5" t="s">
        <v>206</v>
      </c>
      <c r="GD323" s="5">
        <f t="shared" si="966"/>
        <v>0</v>
      </c>
      <c r="GE323" s="5">
        <f t="shared" si="967"/>
        <v>0</v>
      </c>
      <c r="GF323" s="5" t="str">
        <f t="shared" si="968"/>
        <v>Nivel de riesgo bajo</v>
      </c>
      <c r="GG323" s="5" t="s">
        <v>273</v>
      </c>
      <c r="GH323" s="5" t="s">
        <v>273</v>
      </c>
      <c r="GI323" s="5" t="s">
        <v>266</v>
      </c>
      <c r="GJ323" s="5" t="s">
        <v>266</v>
      </c>
      <c r="GK323" s="5" t="s">
        <v>233</v>
      </c>
      <c r="GL323" s="5" t="s">
        <v>273</v>
      </c>
      <c r="GM323" s="5" t="s">
        <v>266</v>
      </c>
      <c r="GN323" s="5" t="s">
        <v>256</v>
      </c>
      <c r="GO323" s="5" t="s">
        <v>257</v>
      </c>
      <c r="GP323" s="5" t="s">
        <v>243</v>
      </c>
      <c r="GQ323" s="5" t="s">
        <v>234</v>
      </c>
      <c r="GR323" s="5" t="s">
        <v>234</v>
      </c>
      <c r="GS323" s="5" t="s">
        <v>234</v>
      </c>
      <c r="GT323" s="5" t="s">
        <v>243</v>
      </c>
      <c r="GU323" s="5" t="s">
        <v>686</v>
      </c>
      <c r="GV323" s="5" t="str">
        <f>TEXT("6280234347218226113","0")</f>
        <v>6280234347218220000</v>
      </c>
    </row>
    <row r="324" spans="1:204" ht="15.75" customHeight="1" x14ac:dyDescent="0.15">
      <c r="A324" s="1">
        <f t="shared" si="918"/>
        <v>324</v>
      </c>
      <c r="B324" s="4">
        <v>45849.095347222225</v>
      </c>
      <c r="C324" s="5" t="s">
        <v>204</v>
      </c>
      <c r="D324" s="5" t="s">
        <v>206</v>
      </c>
      <c r="F324" s="5" t="s">
        <v>206</v>
      </c>
      <c r="G324" s="5" t="s">
        <v>206</v>
      </c>
      <c r="H324" s="5" t="s">
        <v>204</v>
      </c>
      <c r="J324" s="5" t="s">
        <v>209</v>
      </c>
      <c r="O324" s="5" t="s">
        <v>209</v>
      </c>
      <c r="S324" s="5" t="s">
        <v>208</v>
      </c>
      <c r="Z324" s="5" t="s">
        <v>237</v>
      </c>
      <c r="AD324" s="5" t="s">
        <v>209</v>
      </c>
      <c r="AH324" s="5" t="s">
        <v>259</v>
      </c>
      <c r="AI324" s="5">
        <v>2024</v>
      </c>
      <c r="AJ324" s="5" t="s">
        <v>238</v>
      </c>
      <c r="AK324" s="5" t="str">
        <f t="shared" si="919"/>
        <v>Trabajadora por cuenta propia</v>
      </c>
      <c r="AN324" s="5" t="s">
        <v>288</v>
      </c>
      <c r="AP324" s="5" t="s">
        <v>321</v>
      </c>
      <c r="AR324" s="5" t="s">
        <v>294</v>
      </c>
      <c r="AS324" s="5" t="s">
        <v>294</v>
      </c>
      <c r="AT324" s="5" t="s">
        <v>294</v>
      </c>
      <c r="AU324" s="5" t="s">
        <v>294</v>
      </c>
      <c r="AV324" s="5" t="s">
        <v>213</v>
      </c>
      <c r="AW324" s="5" t="s">
        <v>206</v>
      </c>
      <c r="BF324" s="5" t="s">
        <v>204</v>
      </c>
      <c r="BG324" s="5" t="s">
        <v>278</v>
      </c>
      <c r="BH324" s="5" t="s">
        <v>278</v>
      </c>
      <c r="BI324" s="5" t="s">
        <v>242</v>
      </c>
      <c r="BJ324" s="5" t="s">
        <v>242</v>
      </c>
      <c r="BK324" s="5" t="s">
        <v>245</v>
      </c>
      <c r="BL324" s="5" t="s">
        <v>245</v>
      </c>
      <c r="BM324" s="5" t="s">
        <v>245</v>
      </c>
      <c r="BN324" s="5" t="s">
        <v>245</v>
      </c>
      <c r="BO324" s="5" t="s">
        <v>245</v>
      </c>
      <c r="BP324" s="5" t="s">
        <v>245</v>
      </c>
      <c r="BQ324" s="5" t="s">
        <v>245</v>
      </c>
      <c r="BR324" s="5" t="s">
        <v>245</v>
      </c>
      <c r="BS324" s="5" t="s">
        <v>232</v>
      </c>
      <c r="BT324" s="5" t="s">
        <v>232</v>
      </c>
      <c r="BU324" s="5" t="s">
        <v>247</v>
      </c>
      <c r="BV324" s="5" t="s">
        <v>247</v>
      </c>
      <c r="BW324" s="5" t="s">
        <v>247</v>
      </c>
      <c r="BX324" s="5" t="s">
        <v>247</v>
      </c>
      <c r="BY324" s="5" t="s">
        <v>247</v>
      </c>
      <c r="CD324" s="5" t="s">
        <v>204</v>
      </c>
      <c r="CE324" s="5" t="s">
        <v>218</v>
      </c>
      <c r="CF324" s="5" t="s">
        <v>219</v>
      </c>
      <c r="CG324" s="5" t="s">
        <v>220</v>
      </c>
      <c r="CH324" s="5" t="s">
        <v>206</v>
      </c>
      <c r="CI324" s="5" t="s">
        <v>307</v>
      </c>
      <c r="CJ324" s="5">
        <v>1</v>
      </c>
      <c r="CM324" s="5" t="s">
        <v>358</v>
      </c>
      <c r="CU324" s="5" t="s">
        <v>204</v>
      </c>
      <c r="CV324" s="5" t="s">
        <v>224</v>
      </c>
      <c r="CW324" s="5" t="s">
        <v>351</v>
      </c>
      <c r="CX324" s="5" t="s">
        <v>352</v>
      </c>
      <c r="CY324" s="5" t="s">
        <v>359</v>
      </c>
      <c r="CZ324" s="5" t="s">
        <v>228</v>
      </c>
      <c r="DA324" s="5" t="s">
        <v>231</v>
      </c>
      <c r="DB324" s="5">
        <f t="shared" si="920"/>
        <v>2</v>
      </c>
      <c r="DC324" s="5" t="s">
        <v>230</v>
      </c>
      <c r="DD324" s="5">
        <f t="shared" si="921"/>
        <v>2</v>
      </c>
      <c r="DE324" s="5" t="s">
        <v>230</v>
      </c>
      <c r="DF324" s="5">
        <f t="shared" si="922"/>
        <v>2</v>
      </c>
      <c r="DG324" s="5" t="s">
        <v>251</v>
      </c>
      <c r="DH324" s="5">
        <f t="shared" si="923"/>
        <v>1</v>
      </c>
      <c r="DI324" s="5" t="s">
        <v>230</v>
      </c>
      <c r="DJ324" s="5">
        <f t="shared" si="924"/>
        <v>2</v>
      </c>
      <c r="DK324" s="5" t="s">
        <v>230</v>
      </c>
      <c r="DL324" s="5">
        <f t="shared" si="925"/>
        <v>2</v>
      </c>
      <c r="DM324" s="5" t="s">
        <v>251</v>
      </c>
      <c r="DN324" s="5">
        <f t="shared" si="926"/>
        <v>1</v>
      </c>
      <c r="DO324" s="5" t="s">
        <v>231</v>
      </c>
      <c r="DP324" s="5">
        <f t="shared" si="927"/>
        <v>2</v>
      </c>
      <c r="DQ324" s="5" t="s">
        <v>231</v>
      </c>
      <c r="DR324" s="5">
        <f t="shared" si="928"/>
        <v>2</v>
      </c>
      <c r="DS324" s="5" t="s">
        <v>231</v>
      </c>
      <c r="DT324" s="5">
        <f t="shared" si="929"/>
        <v>2</v>
      </c>
      <c r="DU324" s="5" t="s">
        <v>252</v>
      </c>
      <c r="DV324" s="5">
        <f t="shared" si="930"/>
        <v>3</v>
      </c>
      <c r="DW324" s="5" t="s">
        <v>231</v>
      </c>
      <c r="DX324" s="5">
        <f t="shared" si="931"/>
        <v>2</v>
      </c>
      <c r="DY324" s="5">
        <f t="shared" si="932"/>
        <v>23</v>
      </c>
      <c r="DZ324" s="5" t="str">
        <f t="shared" si="933"/>
        <v>Nivel de riesgo medio</v>
      </c>
      <c r="EA324" s="5" t="s">
        <v>247</v>
      </c>
      <c r="EB324" s="5">
        <f t="shared" si="934"/>
        <v>2</v>
      </c>
      <c r="EC324" s="5" t="s">
        <v>247</v>
      </c>
      <c r="ED324" s="5">
        <f t="shared" si="935"/>
        <v>2</v>
      </c>
      <c r="EE324" s="5" t="s">
        <v>247</v>
      </c>
      <c r="EF324" s="5">
        <f t="shared" si="936"/>
        <v>2</v>
      </c>
      <c r="EG324" s="5">
        <f t="shared" si="937"/>
        <v>6</v>
      </c>
      <c r="EH324" s="5" t="str">
        <f t="shared" si="938"/>
        <v>Nivel de riesgo alto</v>
      </c>
      <c r="EI324" s="5" t="s">
        <v>247</v>
      </c>
      <c r="EJ324" s="5">
        <f t="shared" si="939"/>
        <v>2</v>
      </c>
      <c r="EK324" s="5" t="s">
        <v>247</v>
      </c>
      <c r="EL324" s="5">
        <f t="shared" si="940"/>
        <v>2</v>
      </c>
      <c r="EM324" s="5" t="s">
        <v>254</v>
      </c>
      <c r="EN324" s="5">
        <f t="shared" si="941"/>
        <v>4</v>
      </c>
      <c r="EO324" s="5">
        <f t="shared" si="942"/>
        <v>8</v>
      </c>
      <c r="EP324" s="5" t="str">
        <f t="shared" si="943"/>
        <v>Nivel de riesgo alto</v>
      </c>
      <c r="EQ324" s="5" t="s">
        <v>247</v>
      </c>
      <c r="ER324" s="5">
        <f t="shared" si="944"/>
        <v>2</v>
      </c>
      <c r="ES324" s="5" t="s">
        <v>247</v>
      </c>
      <c r="ET324" s="5">
        <f t="shared" si="945"/>
        <v>2</v>
      </c>
      <c r="EU324" s="5" t="s">
        <v>254</v>
      </c>
      <c r="EV324" s="5">
        <f t="shared" si="946"/>
        <v>0</v>
      </c>
      <c r="EW324" s="5" t="s">
        <v>254</v>
      </c>
      <c r="EX324" s="5">
        <f t="shared" si="947"/>
        <v>0</v>
      </c>
      <c r="EY324" s="5">
        <f t="shared" si="948"/>
        <v>4</v>
      </c>
      <c r="EZ324" s="5" t="str">
        <f t="shared" si="949"/>
        <v>Nivel de riesgo medio</v>
      </c>
      <c r="FA324" s="5" t="s">
        <v>248</v>
      </c>
      <c r="FB324" s="5">
        <f t="shared" si="950"/>
        <v>1</v>
      </c>
      <c r="FC324" s="5" t="s">
        <v>248</v>
      </c>
      <c r="FD324" s="5">
        <f t="shared" si="951"/>
        <v>1</v>
      </c>
      <c r="FE324" s="5" t="s">
        <v>248</v>
      </c>
      <c r="FF324" s="5">
        <f t="shared" si="952"/>
        <v>1</v>
      </c>
      <c r="FG324" s="5">
        <f t="shared" si="953"/>
        <v>3</v>
      </c>
      <c r="FH324" s="5" t="str">
        <f t="shared" si="954"/>
        <v>Nivel de riesgo medio</v>
      </c>
      <c r="FI324" s="5" t="s">
        <v>232</v>
      </c>
      <c r="FJ324" s="5">
        <f t="shared" si="955"/>
        <v>3</v>
      </c>
      <c r="FK324" s="5" t="s">
        <v>232</v>
      </c>
      <c r="FL324" s="5">
        <f t="shared" si="956"/>
        <v>3</v>
      </c>
      <c r="FM324" s="5" t="s">
        <v>232</v>
      </c>
      <c r="FN324" s="5">
        <f t="shared" si="957"/>
        <v>3</v>
      </c>
      <c r="FO324" s="5">
        <f t="shared" si="958"/>
        <v>9</v>
      </c>
      <c r="FP324" s="5" t="str">
        <f t="shared" si="959"/>
        <v>Nivel de riesgo alto</v>
      </c>
      <c r="FQ324" s="5" t="s">
        <v>265</v>
      </c>
      <c r="FR324" s="5">
        <f t="shared" si="960"/>
        <v>1</v>
      </c>
      <c r="FS324" s="5" t="s">
        <v>265</v>
      </c>
      <c r="FT324" s="5">
        <f t="shared" si="961"/>
        <v>1</v>
      </c>
      <c r="FU324" s="5" t="s">
        <v>265</v>
      </c>
      <c r="FV324" s="5">
        <f t="shared" si="962"/>
        <v>1</v>
      </c>
      <c r="FW324" s="5" t="s">
        <v>206</v>
      </c>
      <c r="FX324" s="5">
        <f t="shared" si="963"/>
        <v>0</v>
      </c>
      <c r="FY324" s="5" t="s">
        <v>206</v>
      </c>
      <c r="FZ324" s="5">
        <f t="shared" si="964"/>
        <v>0</v>
      </c>
      <c r="GA324" s="5" t="s">
        <v>265</v>
      </c>
      <c r="GB324" s="5">
        <f t="shared" si="965"/>
        <v>1</v>
      </c>
      <c r="GC324" s="5" t="s">
        <v>391</v>
      </c>
      <c r="GD324" s="5">
        <f t="shared" si="966"/>
        <v>4</v>
      </c>
      <c r="GE324" s="5">
        <f t="shared" si="967"/>
        <v>8</v>
      </c>
      <c r="GF324" s="5" t="str">
        <f t="shared" si="968"/>
        <v>Nivel de riesgo medio</v>
      </c>
      <c r="GG324" s="5" t="s">
        <v>273</v>
      </c>
      <c r="GH324" s="5" t="s">
        <v>266</v>
      </c>
      <c r="GI324" s="5" t="s">
        <v>266</v>
      </c>
      <c r="GJ324" s="5" t="s">
        <v>273</v>
      </c>
      <c r="GK324" s="5" t="s">
        <v>233</v>
      </c>
      <c r="GL324" s="5" t="s">
        <v>266</v>
      </c>
      <c r="GM324" s="5" t="s">
        <v>233</v>
      </c>
      <c r="GN324" s="5" t="s">
        <v>256</v>
      </c>
      <c r="GO324" s="5" t="s">
        <v>243</v>
      </c>
      <c r="GP324" s="5" t="s">
        <v>257</v>
      </c>
      <c r="GQ324" s="5" t="s">
        <v>257</v>
      </c>
      <c r="GR324" s="5" t="s">
        <v>257</v>
      </c>
      <c r="GS324" s="5" t="s">
        <v>257</v>
      </c>
      <c r="GT324" s="5" t="s">
        <v>243</v>
      </c>
      <c r="GU324" s="5" t="s">
        <v>687</v>
      </c>
      <c r="GV324" s="5" t="str">
        <f>TEXT("6280238384915136825","0")</f>
        <v>6280238384915130000</v>
      </c>
    </row>
    <row r="325" spans="1:204" ht="15.75" customHeight="1" x14ac:dyDescent="0.15">
      <c r="A325" s="1">
        <f t="shared" si="918"/>
        <v>325</v>
      </c>
      <c r="B325" s="4">
        <v>45849.312407407408</v>
      </c>
      <c r="C325" s="5" t="s">
        <v>204</v>
      </c>
      <c r="D325" s="5" t="s">
        <v>206</v>
      </c>
      <c r="F325" s="5" t="s">
        <v>206</v>
      </c>
      <c r="G325" s="5" t="s">
        <v>206</v>
      </c>
      <c r="H325" s="5" t="s">
        <v>204</v>
      </c>
      <c r="J325" s="5" t="s">
        <v>209</v>
      </c>
      <c r="N325" s="5" t="s">
        <v>208</v>
      </c>
      <c r="S325" s="5" t="s">
        <v>208</v>
      </c>
      <c r="X325" s="5" t="s">
        <v>208</v>
      </c>
      <c r="AD325" s="5" t="s">
        <v>209</v>
      </c>
      <c r="AH325" s="5" t="s">
        <v>275</v>
      </c>
      <c r="AI325" s="5">
        <v>2021</v>
      </c>
      <c r="AJ325" s="5" t="s">
        <v>238</v>
      </c>
      <c r="AK325" s="5" t="str">
        <f t="shared" si="919"/>
        <v>Trabajadora por cuenta propia</v>
      </c>
      <c r="AL325" s="5" t="s">
        <v>239</v>
      </c>
      <c r="AP325" s="5" t="s">
        <v>297</v>
      </c>
      <c r="AR325" s="5" t="s">
        <v>301</v>
      </c>
      <c r="AS325" s="5" t="s">
        <v>301</v>
      </c>
      <c r="AT325" s="5" t="s">
        <v>301</v>
      </c>
      <c r="AU325" s="5" t="s">
        <v>301</v>
      </c>
      <c r="AV325" s="5" t="s">
        <v>285</v>
      </c>
      <c r="AW325" s="5" t="s">
        <v>204</v>
      </c>
      <c r="AX325" s="5" t="s">
        <v>204</v>
      </c>
      <c r="AY325" s="5" t="s">
        <v>406</v>
      </c>
      <c r="AZ325" s="5" t="s">
        <v>204</v>
      </c>
      <c r="BA325" s="5" t="s">
        <v>263</v>
      </c>
      <c r="BF325" s="5" t="s">
        <v>204</v>
      </c>
      <c r="BG325" s="5" t="s">
        <v>242</v>
      </c>
      <c r="BH325" s="5" t="s">
        <v>215</v>
      </c>
      <c r="BI325" s="5" t="s">
        <v>278</v>
      </c>
      <c r="BJ325" s="5" t="s">
        <v>242</v>
      </c>
      <c r="BK325" s="5" t="s">
        <v>246</v>
      </c>
      <c r="BL325" s="5" t="s">
        <v>246</v>
      </c>
      <c r="BM325" s="5" t="s">
        <v>244</v>
      </c>
      <c r="BN325" s="5" t="s">
        <v>244</v>
      </c>
      <c r="BO325" s="5" t="s">
        <v>244</v>
      </c>
      <c r="BP325" s="5" t="s">
        <v>244</v>
      </c>
      <c r="BQ325" s="5" t="s">
        <v>244</v>
      </c>
      <c r="BR325" s="5" t="s">
        <v>244</v>
      </c>
      <c r="BS325" s="5" t="s">
        <v>247</v>
      </c>
      <c r="BT325" s="5" t="s">
        <v>247</v>
      </c>
      <c r="BU325" s="5" t="s">
        <v>248</v>
      </c>
      <c r="BV325" s="5" t="s">
        <v>248</v>
      </c>
      <c r="BW325" s="5" t="s">
        <v>248</v>
      </c>
      <c r="BX325" s="5" t="s">
        <v>217</v>
      </c>
      <c r="BY325" s="5" t="s">
        <v>248</v>
      </c>
      <c r="BZ325" s="5" t="s">
        <v>244</v>
      </c>
      <c r="CA325" s="5" t="s">
        <v>246</v>
      </c>
      <c r="CB325" s="5" t="s">
        <v>244</v>
      </c>
      <c r="CC325" s="5" t="s">
        <v>246</v>
      </c>
      <c r="CD325" s="5" t="s">
        <v>206</v>
      </c>
      <c r="CH325" s="5" t="s">
        <v>206</v>
      </c>
      <c r="CI325" s="5" t="s">
        <v>206</v>
      </c>
      <c r="CJ325" s="5">
        <v>0</v>
      </c>
      <c r="CK325" s="5" t="s">
        <v>223</v>
      </c>
      <c r="CU325" s="5" t="s">
        <v>206</v>
      </c>
      <c r="DA325" s="5" t="s">
        <v>272</v>
      </c>
      <c r="DB325" s="5">
        <f t="shared" si="920"/>
        <v>1</v>
      </c>
      <c r="DC325" s="5" t="s">
        <v>230</v>
      </c>
      <c r="DD325" s="5">
        <f t="shared" si="921"/>
        <v>2</v>
      </c>
      <c r="DE325" s="5" t="s">
        <v>251</v>
      </c>
      <c r="DF325" s="5">
        <f t="shared" si="922"/>
        <v>1</v>
      </c>
      <c r="DG325" s="5" t="s">
        <v>251</v>
      </c>
      <c r="DH325" s="5">
        <f t="shared" si="923"/>
        <v>1</v>
      </c>
      <c r="DI325" s="5" t="s">
        <v>230</v>
      </c>
      <c r="DJ325" s="5">
        <f t="shared" si="924"/>
        <v>2</v>
      </c>
      <c r="DK325" s="5" t="s">
        <v>251</v>
      </c>
      <c r="DL325" s="5">
        <f t="shared" si="925"/>
        <v>1</v>
      </c>
      <c r="DM325" s="5" t="s">
        <v>251</v>
      </c>
      <c r="DN325" s="5">
        <f t="shared" si="926"/>
        <v>1</v>
      </c>
      <c r="DO325" s="5" t="s">
        <v>281</v>
      </c>
      <c r="DP325" s="5">
        <f t="shared" si="927"/>
        <v>1</v>
      </c>
      <c r="DQ325" s="5" t="s">
        <v>281</v>
      </c>
      <c r="DR325" s="5">
        <f t="shared" si="928"/>
        <v>1</v>
      </c>
      <c r="DS325" s="5" t="s">
        <v>281</v>
      </c>
      <c r="DT325" s="5">
        <f t="shared" si="929"/>
        <v>1</v>
      </c>
      <c r="DU325" s="5" t="s">
        <v>281</v>
      </c>
      <c r="DV325" s="5">
        <f t="shared" si="930"/>
        <v>1</v>
      </c>
      <c r="DW325" s="5" t="s">
        <v>281</v>
      </c>
      <c r="DX325" s="5">
        <f t="shared" si="931"/>
        <v>1</v>
      </c>
      <c r="DY325" s="5">
        <f t="shared" si="932"/>
        <v>14</v>
      </c>
      <c r="DZ325" s="5" t="str">
        <f t="shared" si="933"/>
        <v>Nivel de riesgo bajo</v>
      </c>
      <c r="EA325" s="5" t="s">
        <v>248</v>
      </c>
      <c r="EB325" s="5">
        <f t="shared" si="934"/>
        <v>1</v>
      </c>
      <c r="EC325" s="5" t="s">
        <v>247</v>
      </c>
      <c r="ED325" s="5">
        <f t="shared" si="935"/>
        <v>2</v>
      </c>
      <c r="EE325" s="5" t="s">
        <v>248</v>
      </c>
      <c r="EF325" s="5">
        <f t="shared" si="936"/>
        <v>1</v>
      </c>
      <c r="EG325" s="5">
        <f t="shared" si="937"/>
        <v>4</v>
      </c>
      <c r="EH325" s="5" t="str">
        <f t="shared" si="938"/>
        <v>Nivel de riesgo medio</v>
      </c>
      <c r="EI325" s="5" t="s">
        <v>248</v>
      </c>
      <c r="EJ325" s="5">
        <f t="shared" si="939"/>
        <v>1</v>
      </c>
      <c r="EK325" s="5" t="s">
        <v>248</v>
      </c>
      <c r="EL325" s="5">
        <f t="shared" si="940"/>
        <v>1</v>
      </c>
      <c r="EM325" s="5" t="s">
        <v>247</v>
      </c>
      <c r="EN325" s="5">
        <f t="shared" si="941"/>
        <v>2</v>
      </c>
      <c r="EO325" s="5">
        <f t="shared" si="942"/>
        <v>4</v>
      </c>
      <c r="EP325" s="5" t="str">
        <f t="shared" si="943"/>
        <v>Nivel de riesgo medio</v>
      </c>
      <c r="EQ325" s="5" t="s">
        <v>247</v>
      </c>
      <c r="ER325" s="5">
        <f t="shared" si="944"/>
        <v>2</v>
      </c>
      <c r="ES325" s="5" t="s">
        <v>232</v>
      </c>
      <c r="ET325" s="5">
        <f t="shared" si="945"/>
        <v>1</v>
      </c>
      <c r="EU325" s="5" t="s">
        <v>254</v>
      </c>
      <c r="EV325" s="5">
        <f t="shared" si="946"/>
        <v>0</v>
      </c>
      <c r="EW325" s="5" t="s">
        <v>254</v>
      </c>
      <c r="EX325" s="5">
        <f t="shared" si="947"/>
        <v>0</v>
      </c>
      <c r="EY325" s="5">
        <f t="shared" si="948"/>
        <v>3</v>
      </c>
      <c r="EZ325" s="5" t="str">
        <f t="shared" si="949"/>
        <v>Nivel de riesgo medio</v>
      </c>
      <c r="FA325" s="5" t="s">
        <v>248</v>
      </c>
      <c r="FB325" s="5">
        <f t="shared" si="950"/>
        <v>1</v>
      </c>
      <c r="FC325" s="5" t="s">
        <v>248</v>
      </c>
      <c r="FD325" s="5">
        <f t="shared" si="951"/>
        <v>1</v>
      </c>
      <c r="FE325" s="5" t="s">
        <v>248</v>
      </c>
      <c r="FF325" s="5">
        <f t="shared" si="952"/>
        <v>1</v>
      </c>
      <c r="FG325" s="5">
        <f t="shared" si="953"/>
        <v>3</v>
      </c>
      <c r="FH325" s="5" t="str">
        <f t="shared" si="954"/>
        <v>Nivel de riesgo medio</v>
      </c>
      <c r="FI325" s="5" t="s">
        <v>248</v>
      </c>
      <c r="FJ325" s="5">
        <f t="shared" si="955"/>
        <v>1</v>
      </c>
      <c r="FK325" s="5" t="s">
        <v>248</v>
      </c>
      <c r="FL325" s="5">
        <f t="shared" si="956"/>
        <v>1</v>
      </c>
      <c r="FM325" s="5" t="s">
        <v>248</v>
      </c>
      <c r="FN325" s="5">
        <f t="shared" si="957"/>
        <v>1</v>
      </c>
      <c r="FO325" s="5">
        <f t="shared" si="958"/>
        <v>3</v>
      </c>
      <c r="FP325" s="5" t="str">
        <f t="shared" si="959"/>
        <v>Nivel de riesgo medio</v>
      </c>
      <c r="FQ325" s="5" t="s">
        <v>206</v>
      </c>
      <c r="FR325" s="5">
        <f t="shared" si="960"/>
        <v>0</v>
      </c>
      <c r="FS325" s="5" t="s">
        <v>206</v>
      </c>
      <c r="FT325" s="5">
        <f t="shared" si="961"/>
        <v>0</v>
      </c>
      <c r="FU325" s="5" t="s">
        <v>206</v>
      </c>
      <c r="FV325" s="5">
        <f t="shared" si="962"/>
        <v>0</v>
      </c>
      <c r="FW325" s="5" t="s">
        <v>206</v>
      </c>
      <c r="FX325" s="5">
        <f t="shared" si="963"/>
        <v>0</v>
      </c>
      <c r="FY325" s="5" t="s">
        <v>206</v>
      </c>
      <c r="FZ325" s="5">
        <f t="shared" si="964"/>
        <v>0</v>
      </c>
      <c r="GA325" s="5" t="s">
        <v>206</v>
      </c>
      <c r="GB325" s="5">
        <f t="shared" si="965"/>
        <v>0</v>
      </c>
      <c r="GC325" s="5" t="s">
        <v>206</v>
      </c>
      <c r="GD325" s="5">
        <f t="shared" si="966"/>
        <v>0</v>
      </c>
      <c r="GE325" s="5">
        <f t="shared" si="967"/>
        <v>0</v>
      </c>
      <c r="GF325" s="5" t="str">
        <f t="shared" si="968"/>
        <v>Nivel de riesgo bajo</v>
      </c>
      <c r="GG325" s="5" t="s">
        <v>255</v>
      </c>
      <c r="GH325" s="5" t="s">
        <v>255</v>
      </c>
      <c r="GI325" s="5" t="s">
        <v>255</v>
      </c>
      <c r="GJ325" s="5" t="s">
        <v>255</v>
      </c>
      <c r="GK325" s="5" t="s">
        <v>233</v>
      </c>
      <c r="GL325" s="5" t="s">
        <v>266</v>
      </c>
      <c r="GM325" s="5" t="s">
        <v>255</v>
      </c>
      <c r="GN325" s="5" t="s">
        <v>256</v>
      </c>
      <c r="GO325" s="5" t="s">
        <v>256</v>
      </c>
      <c r="GP325" s="5" t="s">
        <v>256</v>
      </c>
      <c r="GQ325" s="5" t="s">
        <v>256</v>
      </c>
      <c r="GR325" s="5" t="s">
        <v>256</v>
      </c>
      <c r="GS325" s="5" t="s">
        <v>256</v>
      </c>
      <c r="GT325" s="5" t="s">
        <v>256</v>
      </c>
      <c r="GU325" s="5" t="s">
        <v>688</v>
      </c>
      <c r="GV325" s="5" t="str">
        <f>TEXT("6280425922617578307","0")</f>
        <v>6280425922617570000</v>
      </c>
    </row>
    <row r="326" spans="1:204" ht="15.75" customHeight="1" x14ac:dyDescent="0.15">
      <c r="A326" s="1">
        <f t="shared" si="918"/>
        <v>326</v>
      </c>
      <c r="B326" s="4">
        <v>45849.337118055555</v>
      </c>
      <c r="C326" s="5" t="s">
        <v>204</v>
      </c>
      <c r="D326" s="5" t="s">
        <v>206</v>
      </c>
      <c r="F326" s="5" t="s">
        <v>204</v>
      </c>
      <c r="G326" s="5" t="s">
        <v>206</v>
      </c>
      <c r="H326" s="5" t="s">
        <v>206</v>
      </c>
      <c r="L326" s="5" t="s">
        <v>236</v>
      </c>
      <c r="P326" s="5" t="s">
        <v>237</v>
      </c>
      <c r="T326" s="5" t="s">
        <v>209</v>
      </c>
      <c r="Y326" s="5" t="s">
        <v>209</v>
      </c>
      <c r="AC326" s="5" t="s">
        <v>208</v>
      </c>
      <c r="AH326" s="5" t="s">
        <v>689</v>
      </c>
      <c r="AI326" s="5">
        <v>2021</v>
      </c>
      <c r="AJ326" s="5" t="s">
        <v>238</v>
      </c>
      <c r="AK326" s="5" t="str">
        <f t="shared" si="919"/>
        <v>Trabajadora por cuenta propia</v>
      </c>
      <c r="AO326" s="5" t="s">
        <v>323</v>
      </c>
      <c r="AP326" s="5" t="s">
        <v>690</v>
      </c>
      <c r="AR326" s="5" t="s">
        <v>301</v>
      </c>
      <c r="AS326" s="5" t="s">
        <v>301</v>
      </c>
      <c r="AT326" s="5" t="s">
        <v>301</v>
      </c>
      <c r="AU326" s="5" t="s">
        <v>301</v>
      </c>
      <c r="AV326" s="5" t="s">
        <v>285</v>
      </c>
      <c r="AW326" s="5" t="s">
        <v>204</v>
      </c>
      <c r="AX326" s="5" t="s">
        <v>204</v>
      </c>
      <c r="AY326" s="5" t="s">
        <v>214</v>
      </c>
      <c r="AZ326" s="5" t="s">
        <v>204</v>
      </c>
      <c r="BA326" s="5" t="s">
        <v>263</v>
      </c>
      <c r="BF326" s="5" t="s">
        <v>204</v>
      </c>
      <c r="BG326" s="5" t="s">
        <v>242</v>
      </c>
      <c r="BH326" s="5" t="s">
        <v>242</v>
      </c>
      <c r="BI326" s="5" t="s">
        <v>271</v>
      </c>
      <c r="BJ326" s="5" t="s">
        <v>271</v>
      </c>
      <c r="BK326" s="5" t="s">
        <v>246</v>
      </c>
      <c r="BL326" s="5" t="s">
        <v>244</v>
      </c>
      <c r="BM326" s="5" t="s">
        <v>246</v>
      </c>
      <c r="BN326" s="5" t="s">
        <v>244</v>
      </c>
      <c r="BO326" s="5" t="s">
        <v>244</v>
      </c>
      <c r="BP326" s="5" t="s">
        <v>244</v>
      </c>
      <c r="BQ326" s="5" t="s">
        <v>244</v>
      </c>
      <c r="BR326" s="5" t="s">
        <v>244</v>
      </c>
      <c r="BS326" s="5" t="s">
        <v>247</v>
      </c>
      <c r="BT326" s="5" t="s">
        <v>248</v>
      </c>
      <c r="BU326" s="5" t="s">
        <v>217</v>
      </c>
      <c r="BV326" s="5" t="s">
        <v>217</v>
      </c>
      <c r="BW326" s="5" t="s">
        <v>217</v>
      </c>
      <c r="BX326" s="5" t="s">
        <v>217</v>
      </c>
      <c r="BY326" s="5" t="s">
        <v>217</v>
      </c>
      <c r="BZ326" s="5" t="s">
        <v>216</v>
      </c>
      <c r="CA326" s="5" t="s">
        <v>244</v>
      </c>
      <c r="CB326" s="5" t="s">
        <v>216</v>
      </c>
      <c r="CC326" s="5" t="s">
        <v>244</v>
      </c>
      <c r="CD326" s="5" t="s">
        <v>206</v>
      </c>
      <c r="CH326" s="5" t="s">
        <v>206</v>
      </c>
      <c r="CI326" s="5" t="s">
        <v>206</v>
      </c>
      <c r="CJ326" s="5">
        <v>0</v>
      </c>
      <c r="CK326" s="5" t="s">
        <v>223</v>
      </c>
      <c r="CU326" s="5" t="s">
        <v>206</v>
      </c>
      <c r="DA326" s="5" t="s">
        <v>231</v>
      </c>
      <c r="DB326" s="5">
        <f t="shared" si="920"/>
        <v>2</v>
      </c>
      <c r="DC326" s="5" t="s">
        <v>230</v>
      </c>
      <c r="DD326" s="5">
        <f t="shared" si="921"/>
        <v>2</v>
      </c>
      <c r="DE326" s="5" t="s">
        <v>230</v>
      </c>
      <c r="DF326" s="5">
        <f t="shared" si="922"/>
        <v>2</v>
      </c>
      <c r="DG326" s="5" t="s">
        <v>251</v>
      </c>
      <c r="DH326" s="5">
        <f t="shared" si="923"/>
        <v>1</v>
      </c>
      <c r="DI326" s="5" t="s">
        <v>251</v>
      </c>
      <c r="DJ326" s="5">
        <f t="shared" si="924"/>
        <v>1</v>
      </c>
      <c r="DK326" s="5" t="s">
        <v>251</v>
      </c>
      <c r="DL326" s="5">
        <f t="shared" si="925"/>
        <v>1</v>
      </c>
      <c r="DM326" s="5" t="s">
        <v>251</v>
      </c>
      <c r="DN326" s="5">
        <f t="shared" si="926"/>
        <v>1</v>
      </c>
      <c r="DO326" s="5" t="s">
        <v>229</v>
      </c>
      <c r="DP326" s="5">
        <f t="shared" si="927"/>
        <v>4</v>
      </c>
      <c r="DQ326" s="5" t="s">
        <v>281</v>
      </c>
      <c r="DR326" s="5">
        <f t="shared" si="928"/>
        <v>1</v>
      </c>
      <c r="DS326" s="5" t="s">
        <v>231</v>
      </c>
      <c r="DT326" s="5">
        <f t="shared" si="929"/>
        <v>2</v>
      </c>
      <c r="DU326" s="5" t="s">
        <v>281</v>
      </c>
      <c r="DV326" s="5">
        <f t="shared" si="930"/>
        <v>1</v>
      </c>
      <c r="DW326" s="5" t="s">
        <v>281</v>
      </c>
      <c r="DX326" s="5">
        <f t="shared" si="931"/>
        <v>1</v>
      </c>
      <c r="DY326" s="5">
        <f t="shared" si="932"/>
        <v>19</v>
      </c>
      <c r="DZ326" s="5" t="str">
        <f t="shared" si="933"/>
        <v>Nivel de riesgo medio</v>
      </c>
      <c r="EA326" s="5" t="s">
        <v>248</v>
      </c>
      <c r="EB326" s="5">
        <f t="shared" si="934"/>
        <v>1</v>
      </c>
      <c r="EC326" s="5" t="s">
        <v>247</v>
      </c>
      <c r="ED326" s="5">
        <f t="shared" si="935"/>
        <v>2</v>
      </c>
      <c r="EE326" s="5" t="s">
        <v>253</v>
      </c>
      <c r="EF326" s="5">
        <f t="shared" si="936"/>
        <v>0</v>
      </c>
      <c r="EG326" s="5">
        <f t="shared" si="937"/>
        <v>3</v>
      </c>
      <c r="EH326" s="5" t="str">
        <f t="shared" si="938"/>
        <v>Nivel de riesgo medio</v>
      </c>
      <c r="EI326" s="5" t="s">
        <v>253</v>
      </c>
      <c r="EJ326" s="5">
        <f t="shared" si="939"/>
        <v>0</v>
      </c>
      <c r="EK326" s="5" t="s">
        <v>248</v>
      </c>
      <c r="EL326" s="5">
        <f t="shared" si="940"/>
        <v>1</v>
      </c>
      <c r="EM326" s="5" t="s">
        <v>248</v>
      </c>
      <c r="EN326" s="5">
        <f t="shared" si="941"/>
        <v>1</v>
      </c>
      <c r="EO326" s="5">
        <f t="shared" si="942"/>
        <v>2</v>
      </c>
      <c r="EP326" s="5" t="str">
        <f t="shared" si="943"/>
        <v>Nivel de riesgo medio</v>
      </c>
      <c r="EQ326" s="5" t="s">
        <v>254</v>
      </c>
      <c r="ER326" s="5">
        <f t="shared" si="944"/>
        <v>0</v>
      </c>
      <c r="ES326" s="5" t="s">
        <v>254</v>
      </c>
      <c r="ET326" s="5">
        <f t="shared" si="945"/>
        <v>0</v>
      </c>
      <c r="EU326" s="5" t="s">
        <v>254</v>
      </c>
      <c r="EV326" s="5">
        <f t="shared" si="946"/>
        <v>0</v>
      </c>
      <c r="EW326" s="5" t="s">
        <v>254</v>
      </c>
      <c r="EX326" s="5">
        <f t="shared" si="947"/>
        <v>0</v>
      </c>
      <c r="EY326" s="5">
        <f t="shared" si="948"/>
        <v>0</v>
      </c>
      <c r="EZ326" s="5" t="str">
        <f t="shared" si="949"/>
        <v>Nivel de riesgo bajo</v>
      </c>
      <c r="FA326" s="5" t="s">
        <v>253</v>
      </c>
      <c r="FB326" s="5">
        <f t="shared" si="950"/>
        <v>0</v>
      </c>
      <c r="FC326" s="5" t="s">
        <v>253</v>
      </c>
      <c r="FD326" s="5">
        <f t="shared" si="951"/>
        <v>0</v>
      </c>
      <c r="FE326" s="5" t="s">
        <v>253</v>
      </c>
      <c r="FF326" s="5">
        <f t="shared" si="952"/>
        <v>0</v>
      </c>
      <c r="FG326" s="5">
        <f t="shared" si="953"/>
        <v>0</v>
      </c>
      <c r="FH326" s="5" t="str">
        <f t="shared" si="954"/>
        <v>Nivel de riesgo bajo</v>
      </c>
      <c r="FI326" s="5" t="s">
        <v>253</v>
      </c>
      <c r="FJ326" s="5">
        <f t="shared" si="955"/>
        <v>0</v>
      </c>
      <c r="FK326" s="5" t="s">
        <v>253</v>
      </c>
      <c r="FL326" s="5">
        <f t="shared" si="956"/>
        <v>0</v>
      </c>
      <c r="FM326" s="5" t="s">
        <v>253</v>
      </c>
      <c r="FN326" s="5">
        <f t="shared" si="957"/>
        <v>0</v>
      </c>
      <c r="FO326" s="5">
        <f t="shared" si="958"/>
        <v>0</v>
      </c>
      <c r="FP326" s="5" t="str">
        <f t="shared" si="959"/>
        <v>Nivel de riesgo bajo</v>
      </c>
      <c r="FQ326" s="5" t="s">
        <v>206</v>
      </c>
      <c r="FR326" s="5">
        <f t="shared" si="960"/>
        <v>0</v>
      </c>
      <c r="FS326" s="5" t="s">
        <v>206</v>
      </c>
      <c r="FT326" s="5">
        <f t="shared" si="961"/>
        <v>0</v>
      </c>
      <c r="FU326" s="5" t="s">
        <v>206</v>
      </c>
      <c r="FV326" s="5">
        <f t="shared" si="962"/>
        <v>0</v>
      </c>
      <c r="FW326" s="5" t="s">
        <v>206</v>
      </c>
      <c r="FX326" s="5">
        <f t="shared" si="963"/>
        <v>0</v>
      </c>
      <c r="FY326" s="5" t="s">
        <v>206</v>
      </c>
      <c r="FZ326" s="5">
        <f t="shared" si="964"/>
        <v>0</v>
      </c>
      <c r="GA326" s="5" t="s">
        <v>206</v>
      </c>
      <c r="GB326" s="5">
        <f t="shared" si="965"/>
        <v>0</v>
      </c>
      <c r="GC326" s="5" t="s">
        <v>206</v>
      </c>
      <c r="GD326" s="5">
        <f t="shared" si="966"/>
        <v>0</v>
      </c>
      <c r="GE326" s="5">
        <f t="shared" si="967"/>
        <v>0</v>
      </c>
      <c r="GF326" s="5" t="str">
        <f t="shared" si="968"/>
        <v>Nivel de riesgo bajo</v>
      </c>
      <c r="GG326" s="5" t="s">
        <v>255</v>
      </c>
      <c r="GH326" s="5" t="s">
        <v>255</v>
      </c>
      <c r="GI326" s="5" t="s">
        <v>255</v>
      </c>
      <c r="GJ326" s="5" t="s">
        <v>273</v>
      </c>
      <c r="GK326" s="5" t="s">
        <v>233</v>
      </c>
      <c r="GL326" s="5" t="s">
        <v>233</v>
      </c>
      <c r="GM326" s="5" t="s">
        <v>233</v>
      </c>
      <c r="GN326" s="5" t="s">
        <v>234</v>
      </c>
      <c r="GO326" s="5" t="s">
        <v>234</v>
      </c>
      <c r="GP326" s="5" t="s">
        <v>234</v>
      </c>
      <c r="GQ326" s="5" t="s">
        <v>234</v>
      </c>
      <c r="GR326" s="5" t="s">
        <v>234</v>
      </c>
      <c r="GS326" s="5" t="s">
        <v>234</v>
      </c>
      <c r="GT326" s="5" t="s">
        <v>234</v>
      </c>
      <c r="GU326" s="5" t="s">
        <v>691</v>
      </c>
      <c r="GV326" s="5" t="str">
        <f>TEXT("6280447272027892380","0")</f>
        <v>6280447272027890000</v>
      </c>
    </row>
    <row r="327" spans="1:204" ht="15.75" customHeight="1" x14ac:dyDescent="0.15">
      <c r="A327" s="1">
        <f t="shared" si="918"/>
        <v>327</v>
      </c>
      <c r="B327" s="4">
        <v>45849.346446759257</v>
      </c>
      <c r="C327" s="5" t="s">
        <v>204</v>
      </c>
      <c r="D327" s="5" t="s">
        <v>206</v>
      </c>
      <c r="F327" s="5" t="s">
        <v>206</v>
      </c>
      <c r="G327" s="5" t="s">
        <v>206</v>
      </c>
      <c r="H327" s="5" t="s">
        <v>206</v>
      </c>
      <c r="K327" s="5" t="s">
        <v>237</v>
      </c>
      <c r="P327" s="5" t="s">
        <v>237</v>
      </c>
      <c r="T327" s="5" t="s">
        <v>209</v>
      </c>
      <c r="X327" s="5" t="s">
        <v>208</v>
      </c>
      <c r="AC327" s="5" t="s">
        <v>208</v>
      </c>
      <c r="AH327" s="5" t="s">
        <v>275</v>
      </c>
      <c r="AI327" s="5">
        <v>2015</v>
      </c>
      <c r="AJ327" s="5" t="s">
        <v>238</v>
      </c>
      <c r="AK327" s="5" t="str">
        <f t="shared" si="919"/>
        <v>Trabajadora por cuenta propia</v>
      </c>
      <c r="AM327" s="5" t="s">
        <v>309</v>
      </c>
      <c r="AP327" s="5" t="s">
        <v>240</v>
      </c>
      <c r="AR327" s="5" t="s">
        <v>261</v>
      </c>
      <c r="AS327" s="5" t="s">
        <v>301</v>
      </c>
      <c r="AT327" s="5" t="s">
        <v>241</v>
      </c>
      <c r="AU327" s="5" t="s">
        <v>301</v>
      </c>
      <c r="AV327" s="5" t="s">
        <v>277</v>
      </c>
      <c r="AW327" s="5" t="s">
        <v>204</v>
      </c>
      <c r="AX327" s="5" t="s">
        <v>206</v>
      </c>
      <c r="BF327" s="5" t="s">
        <v>206</v>
      </c>
      <c r="CK327" s="5" t="s">
        <v>223</v>
      </c>
      <c r="CU327" s="5" t="s">
        <v>206</v>
      </c>
      <c r="DA327" s="5" t="s">
        <v>272</v>
      </c>
      <c r="DB327" s="5">
        <f t="shared" si="920"/>
        <v>1</v>
      </c>
      <c r="DC327" s="5" t="s">
        <v>280</v>
      </c>
      <c r="DD327" s="5">
        <f t="shared" si="921"/>
        <v>4</v>
      </c>
      <c r="DE327" s="5" t="s">
        <v>230</v>
      </c>
      <c r="DF327" s="5">
        <f t="shared" si="922"/>
        <v>2</v>
      </c>
      <c r="DG327" s="5" t="s">
        <v>251</v>
      </c>
      <c r="DH327" s="5">
        <f t="shared" si="923"/>
        <v>1</v>
      </c>
      <c r="DI327" s="5" t="s">
        <v>230</v>
      </c>
      <c r="DJ327" s="5">
        <f t="shared" si="924"/>
        <v>2</v>
      </c>
      <c r="DK327" s="5" t="s">
        <v>251</v>
      </c>
      <c r="DL327" s="5">
        <f t="shared" si="925"/>
        <v>1</v>
      </c>
      <c r="DM327" s="5" t="s">
        <v>251</v>
      </c>
      <c r="DN327" s="5">
        <f t="shared" si="926"/>
        <v>1</v>
      </c>
      <c r="DO327" s="5" t="s">
        <v>281</v>
      </c>
      <c r="DP327" s="5">
        <f t="shared" si="927"/>
        <v>1</v>
      </c>
      <c r="DQ327" s="5" t="s">
        <v>281</v>
      </c>
      <c r="DR327" s="5">
        <f t="shared" si="928"/>
        <v>1</v>
      </c>
      <c r="DS327" s="5" t="s">
        <v>252</v>
      </c>
      <c r="DT327" s="5">
        <f t="shared" si="929"/>
        <v>3</v>
      </c>
      <c r="DU327" s="5" t="s">
        <v>252</v>
      </c>
      <c r="DV327" s="5">
        <f t="shared" si="930"/>
        <v>3</v>
      </c>
      <c r="DW327" s="5" t="s">
        <v>231</v>
      </c>
      <c r="DX327" s="5">
        <f t="shared" si="931"/>
        <v>2</v>
      </c>
      <c r="DY327" s="5">
        <f t="shared" si="932"/>
        <v>22</v>
      </c>
      <c r="DZ327" s="5" t="str">
        <f t="shared" si="933"/>
        <v>Nivel de riesgo medio</v>
      </c>
      <c r="EA327" s="5" t="s">
        <v>247</v>
      </c>
      <c r="EB327" s="5">
        <f t="shared" si="934"/>
        <v>2</v>
      </c>
      <c r="EC327" s="5" t="s">
        <v>232</v>
      </c>
      <c r="ED327" s="5">
        <f t="shared" si="935"/>
        <v>3</v>
      </c>
      <c r="EE327" s="5" t="s">
        <v>247</v>
      </c>
      <c r="EF327" s="5">
        <f t="shared" si="936"/>
        <v>2</v>
      </c>
      <c r="EG327" s="5">
        <f t="shared" si="937"/>
        <v>7</v>
      </c>
      <c r="EH327" s="5" t="str">
        <f t="shared" si="938"/>
        <v>Nivel de riesgo alto</v>
      </c>
      <c r="EI327" s="5" t="s">
        <v>247</v>
      </c>
      <c r="EJ327" s="5">
        <f t="shared" si="939"/>
        <v>2</v>
      </c>
      <c r="EK327" s="5" t="s">
        <v>247</v>
      </c>
      <c r="EL327" s="5">
        <f t="shared" si="940"/>
        <v>2</v>
      </c>
      <c r="EM327" s="5" t="s">
        <v>232</v>
      </c>
      <c r="EN327" s="5">
        <f t="shared" si="941"/>
        <v>3</v>
      </c>
      <c r="EO327" s="5">
        <f t="shared" si="942"/>
        <v>7</v>
      </c>
      <c r="EP327" s="5" t="str">
        <f t="shared" si="943"/>
        <v>Nivel de riesgo alto</v>
      </c>
      <c r="EQ327" s="5" t="s">
        <v>247</v>
      </c>
      <c r="ER327" s="5">
        <f t="shared" si="944"/>
        <v>2</v>
      </c>
      <c r="ES327" s="5" t="s">
        <v>248</v>
      </c>
      <c r="ET327" s="5">
        <f t="shared" si="945"/>
        <v>3</v>
      </c>
      <c r="EU327" s="5" t="s">
        <v>248</v>
      </c>
      <c r="EV327" s="5">
        <f t="shared" si="946"/>
        <v>3</v>
      </c>
      <c r="EW327" s="5" t="s">
        <v>254</v>
      </c>
      <c r="EX327" s="5">
        <f t="shared" si="947"/>
        <v>0</v>
      </c>
      <c r="EY327" s="5">
        <f t="shared" si="948"/>
        <v>8</v>
      </c>
      <c r="EZ327" s="5" t="str">
        <f t="shared" si="949"/>
        <v>Nivel de riesgo alto</v>
      </c>
      <c r="FA327" s="5" t="s">
        <v>247</v>
      </c>
      <c r="FB327" s="5">
        <f t="shared" si="950"/>
        <v>2</v>
      </c>
      <c r="FC327" s="5" t="s">
        <v>247</v>
      </c>
      <c r="FD327" s="5">
        <f t="shared" si="951"/>
        <v>2</v>
      </c>
      <c r="FE327" s="5" t="s">
        <v>232</v>
      </c>
      <c r="FF327" s="5">
        <f t="shared" si="952"/>
        <v>3</v>
      </c>
      <c r="FG327" s="5">
        <f t="shared" si="953"/>
        <v>7</v>
      </c>
      <c r="FH327" s="5" t="str">
        <f t="shared" si="954"/>
        <v>Nivel de riesgo alto</v>
      </c>
      <c r="FI327" s="5" t="s">
        <v>247</v>
      </c>
      <c r="FJ327" s="5">
        <f t="shared" si="955"/>
        <v>2</v>
      </c>
      <c r="FK327" s="5" t="s">
        <v>232</v>
      </c>
      <c r="FL327" s="5">
        <f t="shared" si="956"/>
        <v>3</v>
      </c>
      <c r="FM327" s="5" t="s">
        <v>232</v>
      </c>
      <c r="FN327" s="5">
        <f t="shared" si="957"/>
        <v>3</v>
      </c>
      <c r="FO327" s="5">
        <f t="shared" si="958"/>
        <v>8</v>
      </c>
      <c r="FP327" s="5" t="str">
        <f t="shared" si="959"/>
        <v>Nivel de riesgo alto</v>
      </c>
      <c r="FQ327" s="5" t="s">
        <v>265</v>
      </c>
      <c r="FR327" s="5">
        <f t="shared" si="960"/>
        <v>1</v>
      </c>
      <c r="FS327" s="5" t="s">
        <v>206</v>
      </c>
      <c r="FT327" s="5">
        <f t="shared" si="961"/>
        <v>0</v>
      </c>
      <c r="FU327" s="5" t="s">
        <v>265</v>
      </c>
      <c r="FV327" s="5">
        <f t="shared" si="962"/>
        <v>1</v>
      </c>
      <c r="FW327" s="5" t="s">
        <v>206</v>
      </c>
      <c r="FX327" s="5">
        <f t="shared" si="963"/>
        <v>0</v>
      </c>
      <c r="FY327" s="5" t="s">
        <v>206</v>
      </c>
      <c r="FZ327" s="5">
        <f t="shared" si="964"/>
        <v>0</v>
      </c>
      <c r="GA327" s="5" t="s">
        <v>206</v>
      </c>
      <c r="GB327" s="5">
        <f t="shared" si="965"/>
        <v>0</v>
      </c>
      <c r="GC327" s="5" t="s">
        <v>206</v>
      </c>
      <c r="GD327" s="5">
        <f t="shared" si="966"/>
        <v>0</v>
      </c>
      <c r="GE327" s="5">
        <f t="shared" si="967"/>
        <v>2</v>
      </c>
      <c r="GF327" s="5" t="str">
        <f t="shared" si="968"/>
        <v>Nivel de riesgo medio</v>
      </c>
      <c r="GG327" s="5" t="s">
        <v>255</v>
      </c>
      <c r="GH327" s="5" t="s">
        <v>255</v>
      </c>
      <c r="GI327" s="5" t="s">
        <v>255</v>
      </c>
      <c r="GJ327" s="5" t="s">
        <v>266</v>
      </c>
      <c r="GK327" s="5" t="s">
        <v>233</v>
      </c>
      <c r="GL327" s="5" t="s">
        <v>255</v>
      </c>
      <c r="GM327" s="5" t="s">
        <v>255</v>
      </c>
      <c r="GN327" s="5" t="s">
        <v>256</v>
      </c>
      <c r="GO327" s="5" t="s">
        <v>256</v>
      </c>
      <c r="GP327" s="5" t="s">
        <v>256</v>
      </c>
      <c r="GQ327" s="5" t="s">
        <v>256</v>
      </c>
      <c r="GR327" s="5" t="s">
        <v>257</v>
      </c>
      <c r="GS327" s="5" t="s">
        <v>257</v>
      </c>
      <c r="GT327" s="5" t="s">
        <v>256</v>
      </c>
      <c r="GU327" s="5" t="s">
        <v>692</v>
      </c>
      <c r="GV327" s="5" t="str">
        <f>TEXT("6280455333613603647","0")</f>
        <v>6280455333613600000</v>
      </c>
    </row>
    <row r="328" spans="1:204" ht="15.75" customHeight="1" x14ac:dyDescent="0.15">
      <c r="A328" s="1">
        <f t="shared" si="918"/>
        <v>328</v>
      </c>
      <c r="B328" s="4">
        <v>45849.367372685185</v>
      </c>
      <c r="C328" s="5" t="s">
        <v>204</v>
      </c>
      <c r="D328" s="5" t="s">
        <v>206</v>
      </c>
      <c r="F328" s="5" t="s">
        <v>206</v>
      </c>
      <c r="G328" s="5" t="s">
        <v>206</v>
      </c>
      <c r="H328" s="5" t="s">
        <v>206</v>
      </c>
      <c r="K328" s="5" t="s">
        <v>237</v>
      </c>
      <c r="O328" s="5" t="s">
        <v>209</v>
      </c>
      <c r="S328" s="5" t="s">
        <v>208</v>
      </c>
      <c r="X328" s="5" t="s">
        <v>208</v>
      </c>
      <c r="AC328" s="5" t="s">
        <v>208</v>
      </c>
      <c r="AH328" s="5" t="s">
        <v>275</v>
      </c>
      <c r="AI328" s="5">
        <v>2023</v>
      </c>
      <c r="AJ328" s="5" t="s">
        <v>238</v>
      </c>
      <c r="AK328" s="5" t="str">
        <f t="shared" si="919"/>
        <v>Trabajadora por cuenta propia</v>
      </c>
      <c r="AM328" s="5" t="s">
        <v>309</v>
      </c>
      <c r="AP328" s="5" t="s">
        <v>297</v>
      </c>
      <c r="AR328" s="5" t="s">
        <v>276</v>
      </c>
      <c r="AS328" s="5" t="s">
        <v>276</v>
      </c>
      <c r="AT328" s="5" t="s">
        <v>276</v>
      </c>
      <c r="AU328" s="5" t="s">
        <v>276</v>
      </c>
      <c r="AV328" s="5" t="s">
        <v>285</v>
      </c>
      <c r="AW328" s="5" t="s">
        <v>204</v>
      </c>
      <c r="AX328" s="5" t="s">
        <v>204</v>
      </c>
      <c r="AY328" s="5" t="s">
        <v>339</v>
      </c>
      <c r="AZ328" s="5" t="s">
        <v>204</v>
      </c>
      <c r="BA328" s="5" t="s">
        <v>344</v>
      </c>
      <c r="BF328" s="5" t="s">
        <v>204</v>
      </c>
      <c r="BG328" s="5" t="s">
        <v>207</v>
      </c>
      <c r="BH328" s="5" t="s">
        <v>278</v>
      </c>
      <c r="BI328" s="5" t="s">
        <v>207</v>
      </c>
      <c r="BJ328" s="5" t="s">
        <v>278</v>
      </c>
      <c r="BK328" s="5" t="s">
        <v>243</v>
      </c>
      <c r="BL328" s="5" t="s">
        <v>246</v>
      </c>
      <c r="BM328" s="5" t="s">
        <v>244</v>
      </c>
      <c r="BN328" s="5" t="s">
        <v>244</v>
      </c>
      <c r="BO328" s="5" t="s">
        <v>244</v>
      </c>
      <c r="BP328" s="5" t="s">
        <v>244</v>
      </c>
      <c r="BQ328" s="5" t="s">
        <v>244</v>
      </c>
      <c r="BR328" s="5" t="s">
        <v>243</v>
      </c>
      <c r="BS328" s="5" t="s">
        <v>247</v>
      </c>
      <c r="BT328" s="5" t="s">
        <v>247</v>
      </c>
      <c r="BU328" s="5" t="s">
        <v>217</v>
      </c>
      <c r="BV328" s="5" t="s">
        <v>217</v>
      </c>
      <c r="BW328" s="5" t="s">
        <v>217</v>
      </c>
      <c r="BX328" s="5" t="s">
        <v>248</v>
      </c>
      <c r="BY328" s="5" t="s">
        <v>217</v>
      </c>
      <c r="BZ328" s="5" t="s">
        <v>244</v>
      </c>
      <c r="CA328" s="5" t="s">
        <v>244</v>
      </c>
      <c r="CB328" s="5" t="s">
        <v>216</v>
      </c>
      <c r="CC328" s="5" t="s">
        <v>216</v>
      </c>
      <c r="CD328" s="5" t="s">
        <v>206</v>
      </c>
      <c r="CH328" s="5" t="s">
        <v>206</v>
      </c>
      <c r="CI328" s="5" t="s">
        <v>206</v>
      </c>
      <c r="CJ328" s="5">
        <v>4</v>
      </c>
      <c r="CK328" s="5" t="s">
        <v>223</v>
      </c>
      <c r="CU328" s="5" t="s">
        <v>206</v>
      </c>
      <c r="DA328" s="5" t="s">
        <v>272</v>
      </c>
      <c r="DB328" s="5">
        <f t="shared" si="920"/>
        <v>1</v>
      </c>
      <c r="DC328" s="5" t="s">
        <v>251</v>
      </c>
      <c r="DD328" s="5">
        <f t="shared" si="921"/>
        <v>1</v>
      </c>
      <c r="DE328" s="5" t="s">
        <v>230</v>
      </c>
      <c r="DF328" s="5">
        <f t="shared" si="922"/>
        <v>2</v>
      </c>
      <c r="DG328" s="5" t="s">
        <v>251</v>
      </c>
      <c r="DH328" s="5">
        <f t="shared" si="923"/>
        <v>1</v>
      </c>
      <c r="DI328" s="5" t="s">
        <v>230</v>
      </c>
      <c r="DJ328" s="5">
        <f t="shared" si="924"/>
        <v>2</v>
      </c>
      <c r="DK328" s="5" t="s">
        <v>251</v>
      </c>
      <c r="DL328" s="5">
        <f t="shared" si="925"/>
        <v>1</v>
      </c>
      <c r="DM328" s="5" t="s">
        <v>251</v>
      </c>
      <c r="DN328" s="5">
        <f t="shared" si="926"/>
        <v>1</v>
      </c>
      <c r="DO328" s="5" t="s">
        <v>281</v>
      </c>
      <c r="DP328" s="5">
        <f t="shared" si="927"/>
        <v>1</v>
      </c>
      <c r="DQ328" s="5" t="s">
        <v>281</v>
      </c>
      <c r="DR328" s="5">
        <f t="shared" si="928"/>
        <v>1</v>
      </c>
      <c r="DS328" s="5" t="s">
        <v>231</v>
      </c>
      <c r="DT328" s="5">
        <f t="shared" si="929"/>
        <v>2</v>
      </c>
      <c r="DU328" s="5" t="s">
        <v>281</v>
      </c>
      <c r="DV328" s="5">
        <f t="shared" si="930"/>
        <v>1</v>
      </c>
      <c r="DW328" s="5" t="s">
        <v>281</v>
      </c>
      <c r="DX328" s="5">
        <f t="shared" si="931"/>
        <v>1</v>
      </c>
      <c r="DY328" s="5">
        <f t="shared" si="932"/>
        <v>15</v>
      </c>
      <c r="DZ328" s="5" t="str">
        <f t="shared" si="933"/>
        <v>Nivel de riesgo bajo</v>
      </c>
      <c r="EA328" s="5" t="s">
        <v>247</v>
      </c>
      <c r="EB328" s="5">
        <f t="shared" si="934"/>
        <v>2</v>
      </c>
      <c r="EC328" s="5" t="s">
        <v>248</v>
      </c>
      <c r="ED328" s="5">
        <f t="shared" si="935"/>
        <v>1</v>
      </c>
      <c r="EE328" s="5" t="s">
        <v>253</v>
      </c>
      <c r="EF328" s="5">
        <f t="shared" si="936"/>
        <v>0</v>
      </c>
      <c r="EG328" s="5">
        <f t="shared" si="937"/>
        <v>3</v>
      </c>
      <c r="EH328" s="5" t="str">
        <f t="shared" si="938"/>
        <v>Nivel de riesgo medio</v>
      </c>
      <c r="EI328" s="5" t="s">
        <v>253</v>
      </c>
      <c r="EJ328" s="5">
        <f t="shared" si="939"/>
        <v>0</v>
      </c>
      <c r="EK328" s="5" t="s">
        <v>253</v>
      </c>
      <c r="EL328" s="5">
        <f t="shared" si="940"/>
        <v>0</v>
      </c>
      <c r="EM328" s="5" t="s">
        <v>247</v>
      </c>
      <c r="EN328" s="5">
        <f t="shared" si="941"/>
        <v>2</v>
      </c>
      <c r="EO328" s="5">
        <f t="shared" si="942"/>
        <v>2</v>
      </c>
      <c r="EP328" s="5" t="str">
        <f t="shared" si="943"/>
        <v>Nivel de riesgo medio</v>
      </c>
      <c r="EQ328" s="5" t="s">
        <v>253</v>
      </c>
      <c r="ER328" s="5">
        <f t="shared" si="944"/>
        <v>4</v>
      </c>
      <c r="ES328" s="5" t="s">
        <v>253</v>
      </c>
      <c r="ET328" s="5">
        <f t="shared" si="945"/>
        <v>4</v>
      </c>
      <c r="EU328" s="5" t="s">
        <v>248</v>
      </c>
      <c r="EV328" s="5">
        <f t="shared" si="946"/>
        <v>3</v>
      </c>
      <c r="EW328" s="5" t="s">
        <v>253</v>
      </c>
      <c r="EX328" s="5">
        <f t="shared" si="947"/>
        <v>4</v>
      </c>
      <c r="EY328" s="5">
        <f t="shared" si="948"/>
        <v>15</v>
      </c>
      <c r="EZ328" s="5" t="str">
        <f t="shared" si="949"/>
        <v>Nivel de riesgo alto</v>
      </c>
      <c r="FA328" s="5" t="s">
        <v>253</v>
      </c>
      <c r="FB328" s="5">
        <f t="shared" si="950"/>
        <v>0</v>
      </c>
      <c r="FC328" s="5" t="s">
        <v>253</v>
      </c>
      <c r="FD328" s="5">
        <f t="shared" si="951"/>
        <v>0</v>
      </c>
      <c r="FE328" s="5" t="s">
        <v>253</v>
      </c>
      <c r="FF328" s="5">
        <f t="shared" si="952"/>
        <v>0</v>
      </c>
      <c r="FG328" s="5">
        <f t="shared" si="953"/>
        <v>0</v>
      </c>
      <c r="FH328" s="5" t="str">
        <f t="shared" si="954"/>
        <v>Nivel de riesgo bajo</v>
      </c>
      <c r="FI328" s="5" t="s">
        <v>253</v>
      </c>
      <c r="FJ328" s="5">
        <f t="shared" si="955"/>
        <v>0</v>
      </c>
      <c r="FK328" s="5" t="s">
        <v>253</v>
      </c>
      <c r="FL328" s="5">
        <f t="shared" si="956"/>
        <v>0</v>
      </c>
      <c r="FM328" s="5" t="s">
        <v>253</v>
      </c>
      <c r="FN328" s="5">
        <f t="shared" si="957"/>
        <v>0</v>
      </c>
      <c r="FO328" s="5">
        <f t="shared" si="958"/>
        <v>0</v>
      </c>
      <c r="FP328" s="5" t="str">
        <f t="shared" si="959"/>
        <v>Nivel de riesgo bajo</v>
      </c>
      <c r="FQ328" s="5" t="s">
        <v>206</v>
      </c>
      <c r="FR328" s="5">
        <f t="shared" si="960"/>
        <v>0</v>
      </c>
      <c r="FS328" s="5" t="s">
        <v>206</v>
      </c>
      <c r="FT328" s="5">
        <f t="shared" si="961"/>
        <v>0</v>
      </c>
      <c r="FU328" s="5" t="s">
        <v>206</v>
      </c>
      <c r="FV328" s="5">
        <f t="shared" si="962"/>
        <v>0</v>
      </c>
      <c r="FW328" s="5" t="s">
        <v>206</v>
      </c>
      <c r="FX328" s="5">
        <f t="shared" si="963"/>
        <v>0</v>
      </c>
      <c r="FY328" s="5" t="s">
        <v>206</v>
      </c>
      <c r="FZ328" s="5">
        <f t="shared" si="964"/>
        <v>0</v>
      </c>
      <c r="GA328" s="5" t="s">
        <v>206</v>
      </c>
      <c r="GB328" s="5">
        <f t="shared" si="965"/>
        <v>0</v>
      </c>
      <c r="GC328" s="5" t="s">
        <v>206</v>
      </c>
      <c r="GD328" s="5">
        <f t="shared" si="966"/>
        <v>0</v>
      </c>
      <c r="GE328" s="5">
        <f t="shared" si="967"/>
        <v>0</v>
      </c>
      <c r="GF328" s="5" t="str">
        <f t="shared" si="968"/>
        <v>Nivel de riesgo bajo</v>
      </c>
      <c r="GG328" s="5" t="s">
        <v>255</v>
      </c>
      <c r="GH328" s="5" t="s">
        <v>273</v>
      </c>
      <c r="GI328" s="5" t="s">
        <v>255</v>
      </c>
      <c r="GJ328" s="5" t="s">
        <v>233</v>
      </c>
      <c r="GK328" s="5" t="s">
        <v>233</v>
      </c>
      <c r="GL328" s="5" t="s">
        <v>255</v>
      </c>
      <c r="GM328" s="5" t="s">
        <v>233</v>
      </c>
      <c r="GN328" s="5" t="s">
        <v>256</v>
      </c>
      <c r="GO328" s="5" t="s">
        <v>244</v>
      </c>
      <c r="GP328" s="5" t="s">
        <v>244</v>
      </c>
      <c r="GQ328" s="5" t="s">
        <v>256</v>
      </c>
      <c r="GR328" s="5" t="s">
        <v>256</v>
      </c>
      <c r="GS328" s="5" t="s">
        <v>256</v>
      </c>
      <c r="GT328" s="5" t="s">
        <v>256</v>
      </c>
      <c r="GU328" s="5" t="s">
        <v>693</v>
      </c>
      <c r="GV328" s="5" t="str">
        <f>TEXT("6280473413816421998","0")</f>
        <v>6280473413816420000</v>
      </c>
    </row>
    <row r="329" spans="1:204" ht="15.75" customHeight="1" x14ac:dyDescent="0.15">
      <c r="A329" s="1">
        <f t="shared" si="918"/>
        <v>329</v>
      </c>
      <c r="B329" s="4">
        <v>45849.403414351851</v>
      </c>
      <c r="C329" s="5" t="s">
        <v>204</v>
      </c>
      <c r="D329" s="5" t="s">
        <v>206</v>
      </c>
      <c r="F329" s="5" t="s">
        <v>204</v>
      </c>
      <c r="G329" s="5" t="s">
        <v>206</v>
      </c>
      <c r="H329" s="5" t="s">
        <v>206</v>
      </c>
      <c r="K329" s="5" t="s">
        <v>237</v>
      </c>
      <c r="O329" s="5" t="s">
        <v>209</v>
      </c>
      <c r="T329" s="5" t="s">
        <v>209</v>
      </c>
      <c r="Y329" s="5" t="s">
        <v>209</v>
      </c>
      <c r="AD329" s="5" t="s">
        <v>209</v>
      </c>
      <c r="AH329" s="5" t="s">
        <v>275</v>
      </c>
      <c r="AI329" s="5">
        <v>2023</v>
      </c>
      <c r="AJ329" s="5" t="s">
        <v>238</v>
      </c>
      <c r="AK329" s="5" t="str">
        <f t="shared" si="919"/>
        <v>Trabajadora por cuenta propia</v>
      </c>
      <c r="AL329" s="5" t="s">
        <v>239</v>
      </c>
      <c r="AP329" s="5" t="s">
        <v>297</v>
      </c>
      <c r="AR329" s="5" t="s">
        <v>301</v>
      </c>
      <c r="AS329" s="5" t="s">
        <v>301</v>
      </c>
      <c r="AT329" s="5" t="s">
        <v>301</v>
      </c>
      <c r="AU329" s="5" t="s">
        <v>301</v>
      </c>
      <c r="AV329" s="5" t="s">
        <v>213</v>
      </c>
      <c r="AW329" s="5" t="s">
        <v>206</v>
      </c>
      <c r="BF329" s="5" t="s">
        <v>204</v>
      </c>
      <c r="BG329" s="5" t="s">
        <v>278</v>
      </c>
      <c r="BH329" s="5" t="s">
        <v>278</v>
      </c>
      <c r="BI329" s="5" t="s">
        <v>278</v>
      </c>
      <c r="BJ329" s="5" t="s">
        <v>278</v>
      </c>
      <c r="BK329" s="5" t="s">
        <v>244</v>
      </c>
      <c r="BL329" s="5" t="s">
        <v>244</v>
      </c>
      <c r="BM329" s="5" t="s">
        <v>216</v>
      </c>
      <c r="BN329" s="5" t="s">
        <v>216</v>
      </c>
      <c r="BO329" s="5" t="s">
        <v>216</v>
      </c>
      <c r="BP329" s="5" t="s">
        <v>216</v>
      </c>
      <c r="BQ329" s="5" t="s">
        <v>216</v>
      </c>
      <c r="BR329" s="5" t="s">
        <v>216</v>
      </c>
      <c r="BS329" s="5" t="s">
        <v>247</v>
      </c>
      <c r="BT329" s="5" t="s">
        <v>248</v>
      </c>
      <c r="BU329" s="5" t="s">
        <v>247</v>
      </c>
      <c r="BV329" s="5" t="s">
        <v>248</v>
      </c>
      <c r="BW329" s="5" t="s">
        <v>217</v>
      </c>
      <c r="BX329" s="5" t="s">
        <v>217</v>
      </c>
      <c r="BY329" s="5" t="s">
        <v>217</v>
      </c>
      <c r="CD329" s="5" t="s">
        <v>206</v>
      </c>
      <c r="CH329" s="5" t="s">
        <v>206</v>
      </c>
      <c r="CI329" s="5" t="s">
        <v>249</v>
      </c>
      <c r="CJ329" s="5">
        <v>2</v>
      </c>
      <c r="CK329" s="5" t="s">
        <v>223</v>
      </c>
      <c r="CU329" s="5" t="s">
        <v>206</v>
      </c>
      <c r="DA329" s="5" t="s">
        <v>231</v>
      </c>
      <c r="DB329" s="5">
        <f t="shared" si="920"/>
        <v>2</v>
      </c>
      <c r="DC329" s="5" t="s">
        <v>251</v>
      </c>
      <c r="DD329" s="5">
        <f t="shared" si="921"/>
        <v>1</v>
      </c>
      <c r="DE329" s="5" t="s">
        <v>251</v>
      </c>
      <c r="DF329" s="5">
        <f t="shared" si="922"/>
        <v>1</v>
      </c>
      <c r="DG329" s="5" t="s">
        <v>251</v>
      </c>
      <c r="DH329" s="5">
        <f t="shared" si="923"/>
        <v>1</v>
      </c>
      <c r="DI329" s="5" t="s">
        <v>251</v>
      </c>
      <c r="DJ329" s="5">
        <f t="shared" si="924"/>
        <v>1</v>
      </c>
      <c r="DK329" s="5" t="s">
        <v>251</v>
      </c>
      <c r="DL329" s="5">
        <f t="shared" si="925"/>
        <v>1</v>
      </c>
      <c r="DM329" s="5" t="s">
        <v>251</v>
      </c>
      <c r="DN329" s="5">
        <f t="shared" si="926"/>
        <v>1</v>
      </c>
      <c r="DO329" s="5" t="s">
        <v>231</v>
      </c>
      <c r="DP329" s="5">
        <f t="shared" si="927"/>
        <v>2</v>
      </c>
      <c r="DQ329" s="5" t="s">
        <v>231</v>
      </c>
      <c r="DR329" s="5">
        <f t="shared" si="928"/>
        <v>2</v>
      </c>
      <c r="DS329" s="5" t="s">
        <v>231</v>
      </c>
      <c r="DT329" s="5">
        <f t="shared" si="929"/>
        <v>2</v>
      </c>
      <c r="DU329" s="5" t="s">
        <v>231</v>
      </c>
      <c r="DV329" s="5">
        <f t="shared" si="930"/>
        <v>2</v>
      </c>
      <c r="DW329" s="5" t="s">
        <v>231</v>
      </c>
      <c r="DX329" s="5">
        <f t="shared" si="931"/>
        <v>2</v>
      </c>
      <c r="DY329" s="5">
        <f t="shared" si="932"/>
        <v>18</v>
      </c>
      <c r="DZ329" s="5" t="str">
        <f t="shared" si="933"/>
        <v>Nivel de riesgo bajo</v>
      </c>
      <c r="EA329" s="5" t="s">
        <v>247</v>
      </c>
      <c r="EB329" s="5">
        <f t="shared" si="934"/>
        <v>2</v>
      </c>
      <c r="EC329" s="5" t="s">
        <v>253</v>
      </c>
      <c r="ED329" s="5">
        <f t="shared" si="935"/>
        <v>0</v>
      </c>
      <c r="EE329" s="5" t="s">
        <v>253</v>
      </c>
      <c r="EF329" s="5">
        <f t="shared" si="936"/>
        <v>0</v>
      </c>
      <c r="EG329" s="5">
        <f t="shared" si="937"/>
        <v>2</v>
      </c>
      <c r="EH329" s="5" t="str">
        <f t="shared" si="938"/>
        <v>Nivel de riesgo medio</v>
      </c>
      <c r="EI329" s="5" t="s">
        <v>253</v>
      </c>
      <c r="EJ329" s="5">
        <f t="shared" si="939"/>
        <v>0</v>
      </c>
      <c r="EK329" s="5" t="s">
        <v>253</v>
      </c>
      <c r="EL329" s="5">
        <f t="shared" si="940"/>
        <v>0</v>
      </c>
      <c r="EM329" s="5" t="s">
        <v>253</v>
      </c>
      <c r="EN329" s="5">
        <f t="shared" si="941"/>
        <v>0</v>
      </c>
      <c r="EO329" s="5">
        <f t="shared" si="942"/>
        <v>0</v>
      </c>
      <c r="EP329" s="5" t="str">
        <f t="shared" si="943"/>
        <v>Nivel de riesgo bajo</v>
      </c>
      <c r="EQ329" s="5" t="s">
        <v>253</v>
      </c>
      <c r="ER329" s="5">
        <f t="shared" si="944"/>
        <v>4</v>
      </c>
      <c r="ES329" s="5" t="s">
        <v>253</v>
      </c>
      <c r="ET329" s="5">
        <f t="shared" si="945"/>
        <v>4</v>
      </c>
      <c r="EU329" s="5" t="s">
        <v>253</v>
      </c>
      <c r="EV329" s="5">
        <f t="shared" si="946"/>
        <v>4</v>
      </c>
      <c r="EW329" s="5" t="s">
        <v>253</v>
      </c>
      <c r="EX329" s="5">
        <f t="shared" si="947"/>
        <v>4</v>
      </c>
      <c r="EY329" s="5">
        <f t="shared" si="948"/>
        <v>16</v>
      </c>
      <c r="EZ329" s="5" t="str">
        <f t="shared" si="949"/>
        <v>Nivel de riesgo alto</v>
      </c>
      <c r="FA329" s="5" t="s">
        <v>253</v>
      </c>
      <c r="FB329" s="5">
        <f t="shared" si="950"/>
        <v>0</v>
      </c>
      <c r="FC329" s="5" t="s">
        <v>253</v>
      </c>
      <c r="FD329" s="5">
        <f t="shared" si="951"/>
        <v>0</v>
      </c>
      <c r="FE329" s="5" t="s">
        <v>253</v>
      </c>
      <c r="FF329" s="5">
        <f t="shared" si="952"/>
        <v>0</v>
      </c>
      <c r="FG329" s="5">
        <f t="shared" si="953"/>
        <v>0</v>
      </c>
      <c r="FH329" s="5" t="str">
        <f t="shared" si="954"/>
        <v>Nivel de riesgo bajo</v>
      </c>
      <c r="FI329" s="5" t="s">
        <v>253</v>
      </c>
      <c r="FJ329" s="5">
        <f t="shared" si="955"/>
        <v>0</v>
      </c>
      <c r="FK329" s="5" t="s">
        <v>253</v>
      </c>
      <c r="FL329" s="5">
        <f t="shared" si="956"/>
        <v>0</v>
      </c>
      <c r="FM329" s="5" t="s">
        <v>253</v>
      </c>
      <c r="FN329" s="5">
        <f t="shared" si="957"/>
        <v>0</v>
      </c>
      <c r="FO329" s="5">
        <f t="shared" si="958"/>
        <v>0</v>
      </c>
      <c r="FP329" s="5" t="str">
        <f t="shared" si="959"/>
        <v>Nivel de riesgo bajo</v>
      </c>
      <c r="FQ329" s="5" t="s">
        <v>206</v>
      </c>
      <c r="FR329" s="5">
        <f t="shared" si="960"/>
        <v>0</v>
      </c>
      <c r="FS329" s="5" t="s">
        <v>206</v>
      </c>
      <c r="FT329" s="5">
        <f t="shared" si="961"/>
        <v>0</v>
      </c>
      <c r="FU329" s="5" t="s">
        <v>206</v>
      </c>
      <c r="FV329" s="5">
        <f t="shared" si="962"/>
        <v>0</v>
      </c>
      <c r="FW329" s="5" t="s">
        <v>206</v>
      </c>
      <c r="FX329" s="5">
        <f t="shared" si="963"/>
        <v>0</v>
      </c>
      <c r="FY329" s="5" t="s">
        <v>206</v>
      </c>
      <c r="FZ329" s="5">
        <f t="shared" si="964"/>
        <v>0</v>
      </c>
      <c r="GA329" s="5" t="s">
        <v>206</v>
      </c>
      <c r="GB329" s="5">
        <f t="shared" si="965"/>
        <v>0</v>
      </c>
      <c r="GC329" s="5" t="s">
        <v>206</v>
      </c>
      <c r="GD329" s="5">
        <f t="shared" si="966"/>
        <v>0</v>
      </c>
      <c r="GE329" s="5">
        <f t="shared" si="967"/>
        <v>0</v>
      </c>
      <c r="GF329" s="5" t="str">
        <f t="shared" si="968"/>
        <v>Nivel de riesgo bajo</v>
      </c>
      <c r="GG329" s="5" t="s">
        <v>266</v>
      </c>
      <c r="GH329" s="5" t="s">
        <v>266</v>
      </c>
      <c r="GI329" s="5" t="s">
        <v>266</v>
      </c>
      <c r="GJ329" s="5" t="s">
        <v>266</v>
      </c>
      <c r="GK329" s="5" t="s">
        <v>266</v>
      </c>
      <c r="GL329" s="5" t="s">
        <v>233</v>
      </c>
      <c r="GM329" s="5" t="s">
        <v>266</v>
      </c>
      <c r="GN329" s="5" t="s">
        <v>243</v>
      </c>
      <c r="GO329" s="5" t="s">
        <v>257</v>
      </c>
      <c r="GP329" s="5" t="s">
        <v>257</v>
      </c>
      <c r="GQ329" s="5" t="s">
        <v>244</v>
      </c>
      <c r="GR329" s="5" t="s">
        <v>256</v>
      </c>
      <c r="GS329" s="5" t="s">
        <v>256</v>
      </c>
      <c r="GT329" s="5" t="s">
        <v>256</v>
      </c>
      <c r="GU329" s="5" t="s">
        <v>694</v>
      </c>
      <c r="GV329" s="5" t="str">
        <f>TEXT("6280504551525726083","0")</f>
        <v>6280504551525720000</v>
      </c>
    </row>
    <row r="330" spans="1:204" ht="15.75" customHeight="1" x14ac:dyDescent="0.15">
      <c r="A330" s="1">
        <f t="shared" si="918"/>
        <v>330</v>
      </c>
      <c r="B330" s="4">
        <v>45849.4062962963</v>
      </c>
      <c r="C330" s="5" t="s">
        <v>204</v>
      </c>
      <c r="D330" s="5" t="s">
        <v>206</v>
      </c>
      <c r="F330" s="5" t="s">
        <v>204</v>
      </c>
      <c r="G330" s="5" t="s">
        <v>204</v>
      </c>
      <c r="H330" s="5" t="s">
        <v>206</v>
      </c>
      <c r="K330" s="5" t="s">
        <v>237</v>
      </c>
      <c r="O330" s="5" t="s">
        <v>209</v>
      </c>
      <c r="S330" s="5" t="s">
        <v>208</v>
      </c>
      <c r="X330" s="5" t="s">
        <v>208</v>
      </c>
      <c r="AC330" s="5" t="s">
        <v>208</v>
      </c>
      <c r="AH330" s="5" t="s">
        <v>259</v>
      </c>
      <c r="AI330" s="5">
        <v>2022</v>
      </c>
      <c r="AJ330" s="5" t="s">
        <v>238</v>
      </c>
      <c r="AK330" s="5" t="str">
        <f t="shared" si="919"/>
        <v>Trabajadora por cuenta propia</v>
      </c>
      <c r="AL330" s="5" t="s">
        <v>239</v>
      </c>
      <c r="AP330" s="5" t="s">
        <v>240</v>
      </c>
      <c r="AR330" s="5" t="s">
        <v>241</v>
      </c>
      <c r="AS330" s="5" t="s">
        <v>241</v>
      </c>
      <c r="AT330" s="5" t="s">
        <v>241</v>
      </c>
      <c r="AU330" s="5" t="s">
        <v>301</v>
      </c>
      <c r="AV330" s="5" t="s">
        <v>269</v>
      </c>
      <c r="AW330" s="5" t="s">
        <v>204</v>
      </c>
      <c r="AX330" s="5" t="s">
        <v>204</v>
      </c>
      <c r="AY330" s="5" t="s">
        <v>214</v>
      </c>
      <c r="AZ330" s="5" t="s">
        <v>206</v>
      </c>
      <c r="BA330" s="5" t="s">
        <v>263</v>
      </c>
      <c r="BF330" s="5" t="s">
        <v>204</v>
      </c>
      <c r="BG330" s="5" t="s">
        <v>271</v>
      </c>
      <c r="BH330" s="5" t="s">
        <v>278</v>
      </c>
      <c r="BI330" s="5" t="s">
        <v>271</v>
      </c>
      <c r="BJ330" s="5" t="s">
        <v>271</v>
      </c>
      <c r="BK330" s="5" t="s">
        <v>243</v>
      </c>
      <c r="BL330" s="5" t="s">
        <v>243</v>
      </c>
      <c r="BM330" s="5" t="s">
        <v>243</v>
      </c>
      <c r="BN330" s="5" t="s">
        <v>243</v>
      </c>
      <c r="BO330" s="5" t="s">
        <v>246</v>
      </c>
      <c r="BP330" s="5" t="s">
        <v>243</v>
      </c>
      <c r="BQ330" s="5" t="s">
        <v>246</v>
      </c>
      <c r="BR330" s="5" t="s">
        <v>246</v>
      </c>
      <c r="BS330" s="5" t="s">
        <v>247</v>
      </c>
      <c r="BT330" s="5" t="s">
        <v>247</v>
      </c>
      <c r="BU330" s="5" t="s">
        <v>247</v>
      </c>
      <c r="BV330" s="5" t="s">
        <v>248</v>
      </c>
      <c r="BW330" s="5" t="s">
        <v>247</v>
      </c>
      <c r="BX330" s="5" t="s">
        <v>248</v>
      </c>
      <c r="BY330" s="5" t="s">
        <v>248</v>
      </c>
      <c r="BZ330" s="5" t="s">
        <v>246</v>
      </c>
      <c r="CA330" s="5" t="s">
        <v>246</v>
      </c>
      <c r="CB330" s="5" t="s">
        <v>244</v>
      </c>
      <c r="CC330" s="5" t="s">
        <v>244</v>
      </c>
      <c r="CD330" s="5" t="s">
        <v>206</v>
      </c>
      <c r="CH330" s="5" t="s">
        <v>206</v>
      </c>
      <c r="CI330" s="5" t="s">
        <v>206</v>
      </c>
      <c r="CJ330" s="5">
        <v>0</v>
      </c>
      <c r="CK330" s="5" t="s">
        <v>223</v>
      </c>
      <c r="CU330" s="5" t="s">
        <v>206</v>
      </c>
      <c r="DA330" s="5" t="s">
        <v>252</v>
      </c>
      <c r="DB330" s="5">
        <f t="shared" si="920"/>
        <v>3</v>
      </c>
      <c r="DC330" s="5" t="s">
        <v>250</v>
      </c>
      <c r="DD330" s="5">
        <f t="shared" si="921"/>
        <v>3</v>
      </c>
      <c r="DE330" s="5" t="s">
        <v>250</v>
      </c>
      <c r="DF330" s="5">
        <f t="shared" si="922"/>
        <v>3</v>
      </c>
      <c r="DG330" s="5" t="s">
        <v>250</v>
      </c>
      <c r="DH330" s="5">
        <f t="shared" si="923"/>
        <v>3</v>
      </c>
      <c r="DI330" s="5" t="s">
        <v>230</v>
      </c>
      <c r="DJ330" s="5">
        <f t="shared" si="924"/>
        <v>2</v>
      </c>
      <c r="DK330" s="5" t="s">
        <v>230</v>
      </c>
      <c r="DL330" s="5">
        <f t="shared" si="925"/>
        <v>2</v>
      </c>
      <c r="DM330" s="5" t="s">
        <v>251</v>
      </c>
      <c r="DN330" s="5">
        <f t="shared" si="926"/>
        <v>1</v>
      </c>
      <c r="DO330" s="5" t="s">
        <v>281</v>
      </c>
      <c r="DP330" s="5">
        <f t="shared" si="927"/>
        <v>1</v>
      </c>
      <c r="DQ330" s="5" t="s">
        <v>281</v>
      </c>
      <c r="DR330" s="5">
        <f t="shared" si="928"/>
        <v>1</v>
      </c>
      <c r="DS330" s="5" t="s">
        <v>231</v>
      </c>
      <c r="DT330" s="5">
        <f t="shared" si="929"/>
        <v>2</v>
      </c>
      <c r="DU330" s="5" t="s">
        <v>231</v>
      </c>
      <c r="DV330" s="5">
        <f t="shared" si="930"/>
        <v>2</v>
      </c>
      <c r="DW330" s="5" t="s">
        <v>231</v>
      </c>
      <c r="DX330" s="5">
        <f t="shared" si="931"/>
        <v>2</v>
      </c>
      <c r="DY330" s="5">
        <f t="shared" si="932"/>
        <v>25</v>
      </c>
      <c r="DZ330" s="5" t="str">
        <f t="shared" si="933"/>
        <v>Nivel de riesgo alto</v>
      </c>
      <c r="EA330" s="5" t="s">
        <v>248</v>
      </c>
      <c r="EB330" s="5">
        <f t="shared" si="934"/>
        <v>1</v>
      </c>
      <c r="EC330" s="5" t="s">
        <v>253</v>
      </c>
      <c r="ED330" s="5">
        <f t="shared" si="935"/>
        <v>0</v>
      </c>
      <c r="EE330" s="5" t="s">
        <v>253</v>
      </c>
      <c r="EF330" s="5">
        <f t="shared" si="936"/>
        <v>0</v>
      </c>
      <c r="EG330" s="5">
        <f t="shared" si="937"/>
        <v>1</v>
      </c>
      <c r="EH330" s="5" t="str">
        <f t="shared" si="938"/>
        <v>Nivel de riesgo bajo</v>
      </c>
      <c r="EI330" s="5" t="s">
        <v>248</v>
      </c>
      <c r="EJ330" s="5">
        <f t="shared" si="939"/>
        <v>1</v>
      </c>
      <c r="EK330" s="5" t="s">
        <v>247</v>
      </c>
      <c r="EL330" s="5">
        <f t="shared" si="940"/>
        <v>2</v>
      </c>
      <c r="EM330" s="5" t="s">
        <v>248</v>
      </c>
      <c r="EN330" s="5">
        <f t="shared" si="941"/>
        <v>1</v>
      </c>
      <c r="EO330" s="5">
        <f t="shared" si="942"/>
        <v>4</v>
      </c>
      <c r="EP330" s="5" t="str">
        <f t="shared" si="943"/>
        <v>Nivel de riesgo medio</v>
      </c>
      <c r="EQ330" s="5" t="s">
        <v>248</v>
      </c>
      <c r="ER330" s="5">
        <f t="shared" si="944"/>
        <v>3</v>
      </c>
      <c r="ES330" s="5" t="s">
        <v>247</v>
      </c>
      <c r="ET330" s="5">
        <f t="shared" si="945"/>
        <v>2</v>
      </c>
      <c r="EU330" s="5" t="s">
        <v>232</v>
      </c>
      <c r="EV330" s="5">
        <f t="shared" si="946"/>
        <v>1</v>
      </c>
      <c r="EW330" s="5" t="s">
        <v>232</v>
      </c>
      <c r="EX330" s="5">
        <f t="shared" si="947"/>
        <v>1</v>
      </c>
      <c r="EY330" s="5">
        <f t="shared" si="948"/>
        <v>7</v>
      </c>
      <c r="EZ330" s="5" t="str">
        <f t="shared" si="949"/>
        <v>Nivel de riesgo alto</v>
      </c>
      <c r="FA330" s="5" t="s">
        <v>253</v>
      </c>
      <c r="FB330" s="5">
        <f t="shared" si="950"/>
        <v>0</v>
      </c>
      <c r="FC330" s="5" t="s">
        <v>253</v>
      </c>
      <c r="FD330" s="5">
        <f t="shared" si="951"/>
        <v>0</v>
      </c>
      <c r="FE330" s="5" t="s">
        <v>253</v>
      </c>
      <c r="FF330" s="5">
        <f t="shared" si="952"/>
        <v>0</v>
      </c>
      <c r="FG330" s="5">
        <f t="shared" si="953"/>
        <v>0</v>
      </c>
      <c r="FH330" s="5" t="str">
        <f t="shared" si="954"/>
        <v>Nivel de riesgo bajo</v>
      </c>
      <c r="FI330" s="5" t="s">
        <v>248</v>
      </c>
      <c r="FJ330" s="5">
        <f t="shared" si="955"/>
        <v>1</v>
      </c>
      <c r="FK330" s="5" t="s">
        <v>247</v>
      </c>
      <c r="FL330" s="5">
        <f t="shared" si="956"/>
        <v>2</v>
      </c>
      <c r="FM330" s="5" t="s">
        <v>248</v>
      </c>
      <c r="FN330" s="5">
        <f t="shared" si="957"/>
        <v>1</v>
      </c>
      <c r="FO330" s="5">
        <f t="shared" si="958"/>
        <v>4</v>
      </c>
      <c r="FP330" s="5" t="str">
        <f t="shared" si="959"/>
        <v>Nivel de riesgo medio</v>
      </c>
      <c r="FQ330" s="5" t="s">
        <v>206</v>
      </c>
      <c r="FR330" s="5">
        <f t="shared" si="960"/>
        <v>0</v>
      </c>
      <c r="FS330" s="5" t="s">
        <v>206</v>
      </c>
      <c r="FT330" s="5">
        <f t="shared" si="961"/>
        <v>0</v>
      </c>
      <c r="FU330" s="5" t="s">
        <v>206</v>
      </c>
      <c r="FV330" s="5">
        <f t="shared" si="962"/>
        <v>0</v>
      </c>
      <c r="FW330" s="5" t="s">
        <v>206</v>
      </c>
      <c r="FX330" s="5">
        <f t="shared" si="963"/>
        <v>0</v>
      </c>
      <c r="FY330" s="5" t="s">
        <v>206</v>
      </c>
      <c r="FZ330" s="5">
        <f t="shared" si="964"/>
        <v>0</v>
      </c>
      <c r="GA330" s="5" t="s">
        <v>206</v>
      </c>
      <c r="GB330" s="5">
        <f t="shared" si="965"/>
        <v>0</v>
      </c>
      <c r="GC330" s="5" t="s">
        <v>206</v>
      </c>
      <c r="GD330" s="5">
        <f t="shared" si="966"/>
        <v>0</v>
      </c>
      <c r="GE330" s="5">
        <f t="shared" si="967"/>
        <v>0</v>
      </c>
      <c r="GF330" s="5" t="str">
        <f t="shared" si="968"/>
        <v>Nivel de riesgo bajo</v>
      </c>
      <c r="GG330" s="5" t="s">
        <v>255</v>
      </c>
      <c r="GH330" s="5" t="s">
        <v>273</v>
      </c>
      <c r="GI330" s="5" t="s">
        <v>273</v>
      </c>
      <c r="GJ330" s="5" t="s">
        <v>298</v>
      </c>
      <c r="GK330" s="5" t="s">
        <v>233</v>
      </c>
      <c r="GL330" s="5" t="s">
        <v>298</v>
      </c>
      <c r="GM330" s="5" t="s">
        <v>255</v>
      </c>
      <c r="GN330" s="5" t="s">
        <v>243</v>
      </c>
      <c r="GO330" s="5" t="s">
        <v>243</v>
      </c>
      <c r="GP330" s="5" t="s">
        <v>243</v>
      </c>
      <c r="GQ330" s="5" t="s">
        <v>243</v>
      </c>
      <c r="GR330" s="5" t="s">
        <v>243</v>
      </c>
      <c r="GS330" s="5" t="s">
        <v>243</v>
      </c>
      <c r="GT330" s="5" t="s">
        <v>243</v>
      </c>
      <c r="GU330" s="5" t="s">
        <v>338</v>
      </c>
      <c r="GV330" s="5" t="str">
        <f>TEXT("6280507042527068791","0")</f>
        <v>6280507042527060000</v>
      </c>
    </row>
    <row r="331" spans="1:204" ht="15.75" hidden="1" customHeight="1" x14ac:dyDescent="0.15">
      <c r="B331" s="4">
        <v>45849.448217592595</v>
      </c>
      <c r="C331" s="5" t="s">
        <v>204</v>
      </c>
      <c r="D331" s="5" t="s">
        <v>206</v>
      </c>
      <c r="F331" s="5" t="s">
        <v>206</v>
      </c>
      <c r="G331" s="5" t="s">
        <v>206</v>
      </c>
      <c r="H331" s="5" t="s">
        <v>206</v>
      </c>
      <c r="L331" s="5" t="s">
        <v>236</v>
      </c>
      <c r="P331" s="5" t="s">
        <v>237</v>
      </c>
      <c r="U331" s="5" t="s">
        <v>237</v>
      </c>
      <c r="X331" s="5" t="s">
        <v>208</v>
      </c>
      <c r="AG331" s="5" t="s">
        <v>207</v>
      </c>
      <c r="AH331" s="5" t="s">
        <v>268</v>
      </c>
      <c r="AI331" s="5">
        <v>2015</v>
      </c>
      <c r="AJ331" s="5" t="s">
        <v>293</v>
      </c>
      <c r="AK331" s="5"/>
      <c r="AR331" s="5" t="s">
        <v>241</v>
      </c>
      <c r="AS331" s="5" t="s">
        <v>301</v>
      </c>
      <c r="AT331" s="5" t="s">
        <v>241</v>
      </c>
      <c r="AU331" s="5" t="s">
        <v>301</v>
      </c>
      <c r="AV331" s="5" t="s">
        <v>269</v>
      </c>
      <c r="AW331" s="5" t="s">
        <v>204</v>
      </c>
      <c r="AX331" s="5" t="s">
        <v>204</v>
      </c>
      <c r="AY331" s="5" t="s">
        <v>339</v>
      </c>
      <c r="AZ331" s="5" t="s">
        <v>204</v>
      </c>
      <c r="BA331" s="5" t="s">
        <v>263</v>
      </c>
      <c r="BF331" s="5" t="s">
        <v>204</v>
      </c>
      <c r="BG331" s="5" t="s">
        <v>207</v>
      </c>
      <c r="BH331" s="5" t="s">
        <v>215</v>
      </c>
      <c r="BI331" s="5" t="s">
        <v>207</v>
      </c>
      <c r="BJ331" s="5" t="s">
        <v>264</v>
      </c>
      <c r="BK331" s="5" t="s">
        <v>243</v>
      </c>
      <c r="BL331" s="5" t="s">
        <v>216</v>
      </c>
      <c r="BM331" s="5" t="s">
        <v>243</v>
      </c>
      <c r="BN331" s="5" t="s">
        <v>246</v>
      </c>
      <c r="BO331" s="5" t="s">
        <v>216</v>
      </c>
      <c r="BP331" s="5" t="s">
        <v>246</v>
      </c>
      <c r="BQ331" s="5" t="s">
        <v>216</v>
      </c>
      <c r="BR331" s="5" t="s">
        <v>244</v>
      </c>
      <c r="BS331" s="5" t="s">
        <v>248</v>
      </c>
      <c r="BT331" s="5" t="s">
        <v>217</v>
      </c>
      <c r="BU331" s="5" t="s">
        <v>217</v>
      </c>
      <c r="BV331" s="5" t="s">
        <v>217</v>
      </c>
      <c r="BW331" s="5" t="s">
        <v>248</v>
      </c>
      <c r="BX331" s="5" t="s">
        <v>247</v>
      </c>
      <c r="BY331" s="5" t="s">
        <v>248</v>
      </c>
      <c r="BZ331" s="5" t="s">
        <v>246</v>
      </c>
      <c r="CA331" s="5" t="s">
        <v>246</v>
      </c>
      <c r="CB331" s="5" t="s">
        <v>244</v>
      </c>
      <c r="CC331" s="5" t="s">
        <v>244</v>
      </c>
      <c r="CD331" s="5" t="s">
        <v>206</v>
      </c>
      <c r="CH331" s="5" t="s">
        <v>206</v>
      </c>
      <c r="CI331" s="5" t="s">
        <v>206</v>
      </c>
      <c r="CJ331" s="5">
        <v>0</v>
      </c>
      <c r="CK331" s="5" t="s">
        <v>223</v>
      </c>
      <c r="CU331" s="5" t="s">
        <v>206</v>
      </c>
      <c r="DA331" s="5" t="s">
        <v>231</v>
      </c>
      <c r="DB331" s="5"/>
      <c r="DC331" s="5" t="s">
        <v>230</v>
      </c>
      <c r="DD331" s="5"/>
      <c r="DE331" s="5" t="s">
        <v>250</v>
      </c>
      <c r="DF331" s="5"/>
      <c r="DG331" s="5" t="s">
        <v>230</v>
      </c>
      <c r="DH331" s="5"/>
      <c r="DI331" s="5" t="s">
        <v>251</v>
      </c>
      <c r="DJ331" s="5"/>
      <c r="DK331" s="5" t="s">
        <v>230</v>
      </c>
      <c r="DL331" s="5"/>
      <c r="DM331" s="5" t="s">
        <v>251</v>
      </c>
      <c r="DN331" s="5"/>
      <c r="DO331" s="5" t="s">
        <v>231</v>
      </c>
      <c r="DP331" s="5"/>
      <c r="DQ331" s="5" t="s">
        <v>281</v>
      </c>
      <c r="DR331" s="5"/>
      <c r="DS331" s="5" t="s">
        <v>281</v>
      </c>
      <c r="DT331" s="5"/>
      <c r="DU331" s="5" t="s">
        <v>281</v>
      </c>
      <c r="DV331" s="5"/>
      <c r="DW331" s="5" t="s">
        <v>281</v>
      </c>
      <c r="DX331" s="5"/>
      <c r="DY331" s="5"/>
      <c r="DZ331" s="5"/>
      <c r="EA331" s="5" t="s">
        <v>248</v>
      </c>
      <c r="EB331" s="5"/>
      <c r="EC331" s="5" t="s">
        <v>248</v>
      </c>
      <c r="ED331" s="5"/>
      <c r="EE331" s="5" t="s">
        <v>253</v>
      </c>
      <c r="EF331" s="5"/>
      <c r="EG331" s="5"/>
      <c r="EH331" s="5"/>
      <c r="EI331" s="5" t="s">
        <v>253</v>
      </c>
      <c r="EJ331" s="5"/>
      <c r="EK331" s="5" t="s">
        <v>253</v>
      </c>
      <c r="EL331" s="5"/>
      <c r="EM331" s="5" t="s">
        <v>248</v>
      </c>
      <c r="EN331" s="5"/>
      <c r="EO331" s="5"/>
      <c r="EP331" s="5"/>
      <c r="EQ331" s="5" t="s">
        <v>232</v>
      </c>
      <c r="ER331" s="5"/>
      <c r="ES331" s="5" t="s">
        <v>247</v>
      </c>
      <c r="ET331" s="5"/>
      <c r="EU331" s="5" t="s">
        <v>254</v>
      </c>
      <c r="EV331" s="5"/>
      <c r="EW331" s="5" t="s">
        <v>254</v>
      </c>
      <c r="EX331" s="5"/>
      <c r="EY331" s="5"/>
      <c r="EZ331" s="5"/>
      <c r="FA331" s="5" t="s">
        <v>248</v>
      </c>
      <c r="FB331" s="5"/>
      <c r="FC331" s="5" t="s">
        <v>253</v>
      </c>
      <c r="FD331" s="5"/>
      <c r="FE331" s="5" t="s">
        <v>253</v>
      </c>
      <c r="FF331" s="5"/>
      <c r="FG331" s="5"/>
      <c r="FH331" s="5"/>
      <c r="FI331" s="5" t="s">
        <v>253</v>
      </c>
      <c r="FJ331" s="5"/>
      <c r="FK331" s="5" t="s">
        <v>253</v>
      </c>
      <c r="FL331" s="5"/>
      <c r="FM331" s="5" t="s">
        <v>253</v>
      </c>
      <c r="FN331" s="5"/>
      <c r="FO331" s="5"/>
      <c r="FP331" s="5"/>
      <c r="FQ331" s="5" t="s">
        <v>206</v>
      </c>
      <c r="FR331" s="5"/>
      <c r="FS331" s="5" t="s">
        <v>206</v>
      </c>
      <c r="FT331" s="5"/>
      <c r="FU331" s="5" t="s">
        <v>206</v>
      </c>
      <c r="FV331" s="5"/>
      <c r="FW331" s="5" t="s">
        <v>206</v>
      </c>
      <c r="FX331" s="5"/>
      <c r="FY331" s="5" t="s">
        <v>206</v>
      </c>
      <c r="FZ331" s="5"/>
      <c r="GA331" s="5" t="s">
        <v>206</v>
      </c>
      <c r="GB331" s="5"/>
      <c r="GC331" s="5" t="s">
        <v>206</v>
      </c>
      <c r="GD331" s="5"/>
      <c r="GE331" s="5"/>
      <c r="GF331" s="5"/>
      <c r="GG331" s="5" t="s">
        <v>255</v>
      </c>
      <c r="GH331" s="5" t="s">
        <v>266</v>
      </c>
      <c r="GI331" s="5" t="s">
        <v>255</v>
      </c>
      <c r="GJ331" s="5" t="s">
        <v>255</v>
      </c>
      <c r="GK331" s="5" t="s">
        <v>233</v>
      </c>
      <c r="GL331" s="5" t="s">
        <v>255</v>
      </c>
      <c r="GM331" s="5" t="s">
        <v>255</v>
      </c>
      <c r="GN331" s="5" t="s">
        <v>256</v>
      </c>
      <c r="GO331" s="5" t="s">
        <v>256</v>
      </c>
      <c r="GP331" s="5" t="s">
        <v>256</v>
      </c>
      <c r="GQ331" s="5" t="s">
        <v>256</v>
      </c>
      <c r="GR331" s="5" t="s">
        <v>256</v>
      </c>
      <c r="GS331" s="5" t="s">
        <v>256</v>
      </c>
      <c r="GT331" s="5" t="s">
        <v>256</v>
      </c>
      <c r="GU331" s="5" t="s">
        <v>695</v>
      </c>
      <c r="GV331" s="5" t="str">
        <f>TEXT("6280543267301022294","0")</f>
        <v>6280543267301020000</v>
      </c>
    </row>
    <row r="332" spans="1:204" ht="15.75" customHeight="1" x14ac:dyDescent="0.15">
      <c r="A332" s="1">
        <f>ROW(A332)</f>
        <v>332</v>
      </c>
      <c r="B332" s="4">
        <v>45849.466180555559</v>
      </c>
      <c r="C332" s="5" t="s">
        <v>204</v>
      </c>
      <c r="D332" s="5" t="s">
        <v>204</v>
      </c>
      <c r="E332" s="5" t="s">
        <v>495</v>
      </c>
      <c r="F332" s="5" t="s">
        <v>206</v>
      </c>
      <c r="G332" s="5" t="s">
        <v>206</v>
      </c>
      <c r="H332" s="5" t="s">
        <v>206</v>
      </c>
      <c r="K332" s="5" t="s">
        <v>237</v>
      </c>
      <c r="O332" s="5" t="s">
        <v>209</v>
      </c>
      <c r="T332" s="5" t="s">
        <v>209</v>
      </c>
      <c r="X332" s="5" t="s">
        <v>208</v>
      </c>
      <c r="AE332" s="5" t="s">
        <v>237</v>
      </c>
      <c r="AH332" s="5" t="s">
        <v>268</v>
      </c>
      <c r="AI332" s="5">
        <v>2011</v>
      </c>
      <c r="AJ332" s="5" t="s">
        <v>330</v>
      </c>
      <c r="AK332" s="5" t="str">
        <f>IF(OR(AJ332="Empleada del sector privado",AJ332="Empleada del sector público"),"Asalariada",
IF(AJ332="Trabajadora por cuenta propia","Trabajadora por cuenta propia",""))</f>
        <v>Asalariada</v>
      </c>
      <c r="AQ332" s="5" t="s">
        <v>204</v>
      </c>
      <c r="AR332" s="5" t="s">
        <v>241</v>
      </c>
      <c r="AS332" s="5" t="s">
        <v>241</v>
      </c>
      <c r="AT332" s="5" t="s">
        <v>241</v>
      </c>
      <c r="AU332" s="5" t="s">
        <v>261</v>
      </c>
      <c r="AV332" s="5" t="s">
        <v>285</v>
      </c>
      <c r="AW332" s="5" t="s">
        <v>204</v>
      </c>
      <c r="AX332" s="5" t="s">
        <v>204</v>
      </c>
      <c r="AY332" s="5" t="s">
        <v>214</v>
      </c>
      <c r="AZ332" s="5" t="s">
        <v>204</v>
      </c>
      <c r="BA332" s="5" t="s">
        <v>263</v>
      </c>
      <c r="BF332" s="5" t="s">
        <v>204</v>
      </c>
      <c r="BG332" s="5" t="s">
        <v>264</v>
      </c>
      <c r="BH332" s="5" t="s">
        <v>264</v>
      </c>
      <c r="BI332" s="5" t="s">
        <v>242</v>
      </c>
      <c r="BJ332" s="5" t="s">
        <v>215</v>
      </c>
      <c r="BK332" s="5" t="s">
        <v>244</v>
      </c>
      <c r="BL332" s="5" t="s">
        <v>244</v>
      </c>
      <c r="BM332" s="5" t="s">
        <v>244</v>
      </c>
      <c r="BN332" s="5" t="s">
        <v>244</v>
      </c>
      <c r="BO332" s="5" t="s">
        <v>216</v>
      </c>
      <c r="BP332" s="5" t="s">
        <v>216</v>
      </c>
      <c r="BQ332" s="5" t="s">
        <v>216</v>
      </c>
      <c r="BR332" s="5" t="s">
        <v>216</v>
      </c>
      <c r="BS332" s="5" t="s">
        <v>247</v>
      </c>
      <c r="BT332" s="5" t="s">
        <v>248</v>
      </c>
      <c r="BU332" s="5" t="s">
        <v>247</v>
      </c>
      <c r="BV332" s="5" t="s">
        <v>248</v>
      </c>
      <c r="BW332" s="5" t="s">
        <v>217</v>
      </c>
      <c r="BX332" s="5" t="s">
        <v>217</v>
      </c>
      <c r="BY332" s="5" t="s">
        <v>217</v>
      </c>
      <c r="BZ332" s="5" t="s">
        <v>244</v>
      </c>
      <c r="CA332" s="5" t="s">
        <v>216</v>
      </c>
      <c r="CB332" s="5" t="s">
        <v>216</v>
      </c>
      <c r="CC332" s="5" t="s">
        <v>244</v>
      </c>
      <c r="CD332" s="5" t="s">
        <v>206</v>
      </c>
      <c r="CH332" s="5" t="s">
        <v>206</v>
      </c>
      <c r="CI332" s="5" t="s">
        <v>206</v>
      </c>
      <c r="CJ332" s="5">
        <v>0</v>
      </c>
      <c r="CK332" s="5" t="s">
        <v>223</v>
      </c>
      <c r="CU332" s="5" t="s">
        <v>206</v>
      </c>
      <c r="DA332" s="5" t="s">
        <v>231</v>
      </c>
      <c r="DB332" s="5">
        <f>IF(DA332="Mejor que lo habitual",1,
IF(DA332="Igual que lo habitual",2,
IF(DA332="Menos que lo habitual",3,
IF(DA332="Mucho menos que lo habitual",4,""))))</f>
        <v>2</v>
      </c>
      <c r="DC332" s="5" t="s">
        <v>230</v>
      </c>
      <c r="DD332" s="5">
        <f>IF(DC332="No, en absoluto",1,
IF(DC332="No más que lo habitual",2,
IF(DC332="Bastante más que lo habitual",3,
IF(DC332="Mucho más que lo habitual",4,""))))</f>
        <v>2</v>
      </c>
      <c r="DE332" s="5" t="s">
        <v>230</v>
      </c>
      <c r="DF332" s="5">
        <f>IF(DE332="No, en absoluto",1,
IF(DE332="No más que lo habitual",2,
IF(DE332="Bastante más que lo habitual",3,
IF(DE332="Mucho más que lo habitual",4,""))))</f>
        <v>2</v>
      </c>
      <c r="DG332" s="5" t="s">
        <v>251</v>
      </c>
      <c r="DH332" s="5">
        <f>IF(DG332="No, en absoluto",1,
IF(DG332="No más que lo habitual",2,
IF(DG332="Bastante más que lo habitual",3,
IF(DG332="Mucho más que lo habitual",4,""))))</f>
        <v>1</v>
      </c>
      <c r="DI332" s="5" t="s">
        <v>230</v>
      </c>
      <c r="DJ332" s="5">
        <f>IF(DI332="No, en absoluto",1,
IF(DI332="No más que lo habitual",2,
IF(DI332="Bastante más que lo habitual",3,
IF(DI332="Mucho más que lo habitual",4,""))))</f>
        <v>2</v>
      </c>
      <c r="DK332" s="5" t="s">
        <v>251</v>
      </c>
      <c r="DL332" s="5">
        <f>IF(DK332="No, en absoluto",1,
IF(DK332="No más que lo habitual",2,
IF(DK332="Bastante más que lo habitual",3,
IF(DK332="Mucho más que lo habitual",4,""))))</f>
        <v>1</v>
      </c>
      <c r="DM332" s="5" t="s">
        <v>251</v>
      </c>
      <c r="DN332" s="5">
        <f>IF(DM332="No, en absoluto",1,
IF(DM332="No más que lo habitual",2,
IF(DM332="Bastante más que lo habitual",3,
IF(DM332="Mucho más que lo habitual",4,""))))</f>
        <v>1</v>
      </c>
      <c r="DO332" s="5" t="s">
        <v>281</v>
      </c>
      <c r="DP332" s="5">
        <f>IF(DO332="Más que lo habitual",1,
IF(DO332="Igual que lo habitual",2,
IF(DO332="Menos que lo habitual",3,
IF(DO332="Mucho menos que lo habitual",4,""))))</f>
        <v>1</v>
      </c>
      <c r="DQ332" s="5" t="s">
        <v>281</v>
      </c>
      <c r="DR332" s="5">
        <f>IF(DQ332="Más que lo habitual",1,
IF(DQ332="Igual que lo habitual",2,
IF(DQ332="Menos que lo habitual",3,
IF(DQ332="Mucho menos que lo habitual",4,""))))</f>
        <v>1</v>
      </c>
      <c r="DS332" s="5" t="s">
        <v>281</v>
      </c>
      <c r="DT332" s="5">
        <f>IF(DS332="Más que lo habitual",1,
IF(DS332="Igual que lo habitual",2,
IF(DS332="Menos que lo habitual",3,
IF(DS332="Mucho menos que lo habitual",4,""))))</f>
        <v>1</v>
      </c>
      <c r="DU332" s="5" t="s">
        <v>231</v>
      </c>
      <c r="DV332" s="5">
        <f>IF(DU332="Más que lo habitual",1,
IF(DU332="Igual que lo habitual",2,
IF(DU332="Menos que lo habitual",3,
IF(DU332="Mucho menos que lo habitual",4,""))))</f>
        <v>2</v>
      </c>
      <c r="DW332" s="5" t="s">
        <v>231</v>
      </c>
      <c r="DX332" s="5">
        <f>IF(DW332="Más que lo habitual",1,
IF(DW332="Igual que lo habitual",2,
IF(DW332="Menos que lo habitual",3,
IF(DW332="Mucho menos que lo habitual",4,""))))</f>
        <v>2</v>
      </c>
      <c r="DY332" s="5">
        <f>SUM(DB332,DD332,DF332,DH332,DJ332,DL332,DN332,DP332,DR332,DT332,DV332,DX332)</f>
        <v>18</v>
      </c>
      <c r="DZ332" s="5" t="str">
        <f>IF(DY332&lt;=18,"Nivel de riesgo bajo",
IF(DY332&lt;=23,"Nivel de riesgo medio",
"Nivel de riesgo alto"))</f>
        <v>Nivel de riesgo bajo</v>
      </c>
      <c r="EA332" s="5" t="s">
        <v>253</v>
      </c>
      <c r="EB332" s="5">
        <f>IF(EA332="Nunca/ casi nunca",0,
IF(EA332="Rara vez",1,
IF(EA332="A veces",2,
IF(EA332="A menudo",3,
IF(EA332="Siempre",4,"")))))</f>
        <v>0</v>
      </c>
      <c r="EC332" s="5" t="s">
        <v>248</v>
      </c>
      <c r="ED332" s="5">
        <f>IF(EC332="Nunca/ casi nunca",0,
IF(EC332="Rara vez",1,
IF(EC332="A veces",2,
IF(EC332="A menudo",3,
IF(EC332="Siempre",4,"")))))</f>
        <v>1</v>
      </c>
      <c r="EE332" s="5" t="s">
        <v>253</v>
      </c>
      <c r="EF332" s="5">
        <f>IF(EE332="Nunca/ casi nunca",0,
IF(EE332="Rara vez",1,
IF(EE332="A veces",2,
IF(EE332="A menudo",3,
IF(EE332="Siempre",4,"")))))</f>
        <v>0</v>
      </c>
      <c r="EG332" s="5">
        <f>SUM(EB332,ED332,EF332)</f>
        <v>1</v>
      </c>
      <c r="EH332" s="5" t="str">
        <f>IF(EG332&lt;=1,"Nivel de riesgo bajo",
IF(EG332&lt;=4,"Nivel de riesgo medio",
"Nivel de riesgo alto"))</f>
        <v>Nivel de riesgo bajo</v>
      </c>
      <c r="EI332" s="5" t="s">
        <v>248</v>
      </c>
      <c r="EJ332" s="5">
        <f>IF(EI332="Nunca/ casi nunca",0,
IF(EI332="Rara vez",1,
IF(EI332="A veces",2,
IF(EI332="A menudo",3,
IF(EI332="Siempre",4,"")))))</f>
        <v>1</v>
      </c>
      <c r="EK332" s="5" t="s">
        <v>248</v>
      </c>
      <c r="EL332" s="5">
        <f>IF(EK332="Nunca/ casi nunca",0,
IF(EK332="Rara vez",1,
IF(EK332="A veces",2,
IF(EK332="A menudo",3,
IF(EK332="Siempre",4,"")))))</f>
        <v>1</v>
      </c>
      <c r="EM332" s="5" t="s">
        <v>248</v>
      </c>
      <c r="EN332" s="5">
        <f>IF(EM332="Nunca/ casi nunca",0,
IF(EM332="Rara vez",1,
IF(EM332="A veces",2,
IF(EM332="A menudo",3,
IF(EM332="Siempre",4,"")))))</f>
        <v>1</v>
      </c>
      <c r="EO332" s="5">
        <f>SUM(EJ332,EL332,EN332)</f>
        <v>3</v>
      </c>
      <c r="EP332" s="5" t="str">
        <f>IF(EO332&lt;=1,"Nivel de riesgo bajo",
IF(EO332&lt;=5,"Nivel de riesgo medio",
"Nivel de riesgo alto"))</f>
        <v>Nivel de riesgo medio</v>
      </c>
      <c r="EQ332" s="5" t="s">
        <v>253</v>
      </c>
      <c r="ER332" s="5">
        <f>IF(EQ332="Nunca/ casi nunca",4,
IF(EQ332="Rara vez",3,
IF(EQ332="A veces",2,
IF(EQ332="A menudo",1,
IF(EQ332="Siempre",0,"")))))</f>
        <v>4</v>
      </c>
      <c r="ES332" s="5" t="s">
        <v>253</v>
      </c>
      <c r="ET332" s="5">
        <f>IF(ES332="Nunca/ casi nunca",4,
IF(ES332="Rara vez",3,
IF(ES332="A veces",2,
IF(ES332="A menudo",1,
IF(ES332="Siempre",0,"")))))</f>
        <v>4</v>
      </c>
      <c r="EU332" s="5" t="s">
        <v>253</v>
      </c>
      <c r="EV332" s="5">
        <f>IF(EU332="Nunca/ casi nunca",4,
IF(EU332="Rara vez",3,
IF(EU332="A veces",2,
IF(EU332="A menudo",1,
IF(EU332="Siempre",0,"")))))</f>
        <v>4</v>
      </c>
      <c r="EW332" s="5" t="s">
        <v>253</v>
      </c>
      <c r="EX332" s="5">
        <f>IF(EW332="Nunca/ casi nunca",4,
IF(EW332="Rara vez",3,
IF(EW332="A veces",2,
IF(EW332="A menudo",1,
IF(EW332="Siempre",0,"")))))</f>
        <v>4</v>
      </c>
      <c r="EY332" s="5">
        <f>SUM(ER332,ET332,EV332,EX332)</f>
        <v>16</v>
      </c>
      <c r="EZ332" s="5" t="str">
        <f>IF(EY332&lt;=0,"Nivel de riesgo bajo",
IF(EY332&lt;=4,"Nivel de riesgo medio",
"Nivel de riesgo alto"))</f>
        <v>Nivel de riesgo alto</v>
      </c>
      <c r="FA332" s="5" t="s">
        <v>253</v>
      </c>
      <c r="FB332" s="5">
        <f>IF(FA332="Nunca/ casi nunca",0,
IF(FA332="Rara vez",1,
IF(FA332="A veces",2,
IF(FA332="A menudo",3,
IF(FA332="Siempre",4,"")))))</f>
        <v>0</v>
      </c>
      <c r="FC332" s="5" t="s">
        <v>253</v>
      </c>
      <c r="FD332" s="5">
        <f>IF(FC332="Nunca/ casi nunca",0,
IF(FC332="Rara vez",1,
IF(FC332="A veces",2,
IF(FC332="A menudo",3,
IF(FC332="Siempre",4,"")))))</f>
        <v>0</v>
      </c>
      <c r="FE332" s="5" t="s">
        <v>253</v>
      </c>
      <c r="FF332" s="5">
        <f>IF(FE332="Nunca/ casi nunca",0,
IF(FE332="Rara vez",1,
IF(FE332="A veces",2,
IF(FE332="A menudo",3,
IF(FE332="Siempre",4,"")))))</f>
        <v>0</v>
      </c>
      <c r="FG332" s="5">
        <f>SUM(FB332,FD332,FF332)</f>
        <v>0</v>
      </c>
      <c r="FH332" s="5" t="str">
        <f>IF(FG332&lt;=2,"Nivel de riesgo bajo",
IF(FG332&lt;=5,"Nivel de riesgo medio",
"Nivel de riesgo alto"))</f>
        <v>Nivel de riesgo bajo</v>
      </c>
      <c r="FI332" s="5" t="s">
        <v>253</v>
      </c>
      <c r="FJ332" s="5">
        <f>IF(FI332="Nunca/ casi nunca",0,
IF(FI332="Rara vez",1,
IF(FI332="A veces",2,
IF(FI332="A menudo",3,
IF(FI332="Siempre",4,"")))))</f>
        <v>0</v>
      </c>
      <c r="FK332" s="5" t="s">
        <v>253</v>
      </c>
      <c r="FL332" s="5">
        <f>IF(FK332="Nunca/ casi nunca",0,
IF(FK332="Rara vez",1,
IF(FK332="A veces",2,
IF(FK332="A menudo",3,
IF(FK332="Siempre",4,"")))))</f>
        <v>0</v>
      </c>
      <c r="FM332" s="5" t="s">
        <v>253</v>
      </c>
      <c r="FN332" s="5">
        <f>IF(FM332="Nunca/ casi nunca",0,
IF(FM332="Rara vez",1,
IF(FM332="A veces",2,
IF(FM332="A menudo",3,
IF(FM332="Siempre",4,"")))))</f>
        <v>0</v>
      </c>
      <c r="FO332" s="5">
        <f>SUM(FJ332,FL332,FN332)</f>
        <v>0</v>
      </c>
      <c r="FP332" s="5" t="str">
        <f>IF(FO332&lt;=2,"Nivel de riesgo bajo",
IF(FO332&lt;=5,"Nivel de riesgo medio",
"Nivel de riesgo alto"))</f>
        <v>Nivel de riesgo bajo</v>
      </c>
      <c r="FQ332" s="5" t="s">
        <v>206</v>
      </c>
      <c r="FR332" s="5">
        <f>IF(FQ332="No",0,
IF(FQ332="Sí, unas pocas veces",1,
IF(FQ332="Sí, mensualmente",2,
IF(FQ332="Sí, semanalmente",3,
IF(FQ332="Sí, diariamente",4,"")))))</f>
        <v>0</v>
      </c>
      <c r="FS332" s="5" t="s">
        <v>206</v>
      </c>
      <c r="FT332" s="5">
        <f>IF(FS332="No",0,
IF(FS332="Sí, unas pocas veces",1,
IF(FS332="Sí, mensualmente",2,
IF(FS332="Sí, semanalmente",3,
IF(FS332="Sí, diariamente",4,"")))))</f>
        <v>0</v>
      </c>
      <c r="FU332" s="5" t="s">
        <v>206</v>
      </c>
      <c r="FV332" s="5">
        <f>IF(FU332="No",0,
IF(FU332="Sí, unas pocas veces",1,
IF(FU332="Sí, mensualmente",2,
IF(FU332="Sí, semanalmente",3,
IF(FU332="Sí, diariamente",4,"")))))</f>
        <v>0</v>
      </c>
      <c r="FW332" s="5" t="s">
        <v>206</v>
      </c>
      <c r="FX332" s="5">
        <f>IF(FW332="No",0,
IF(FW332="Sí, unas pocas veces",1,
IF(FW332="Sí, mensualmente",2,
IF(FW332="Sí, semanalmente",3,
IF(FW332="Sí, diariamente",4,"")))))</f>
        <v>0</v>
      </c>
      <c r="FY332" s="5" t="s">
        <v>206</v>
      </c>
      <c r="FZ332" s="5">
        <f>IF(FY332="No",0,
IF(FY332="Sí, unas pocas veces",1,
IF(FY332="Sí, mensualmente",2,
IF(FY332="Sí, semanalmente",3,
IF(FY332="Sí, diariamente",4,"")))))</f>
        <v>0</v>
      </c>
      <c r="GA332" s="5" t="s">
        <v>206</v>
      </c>
      <c r="GB332" s="5">
        <f>IF(GA332="No",0,
IF(GA332="Sí, unas pocas veces",1,
IF(GA332="Sí, mensualmente",2,
IF(GA332="Sí, semanalmente",3,
IF(GA332="Sí, diariamente",4,"")))))</f>
        <v>0</v>
      </c>
      <c r="GC332" s="5" t="s">
        <v>206</v>
      </c>
      <c r="GD332" s="5">
        <f>IF(GC332="No",0,
IF(GC332="Sí, unas pocas veces",1,
IF(GC332="Sí, mensualmente",2,
IF(GC332="Sí, semanalmente",3,
IF(GC332="Sí, diariamente",4,"")))))</f>
        <v>0</v>
      </c>
      <c r="GE332" s="5">
        <f>SUM(FR332,FT332,FV332,FX332,FZ332,GB332,GD332)</f>
        <v>0</v>
      </c>
      <c r="GF332" s="5" t="str">
        <f>IF(GE332&lt;=0,"Nivel de riesgo bajo",
IF(GE332&lt;=14,"Nivel de riesgo medio",
"Nivel de riesgo alto"))</f>
        <v>Nivel de riesgo bajo</v>
      </c>
      <c r="GG332" s="5" t="s">
        <v>273</v>
      </c>
      <c r="GH332" s="5" t="s">
        <v>273</v>
      </c>
      <c r="GI332" s="5" t="s">
        <v>273</v>
      </c>
      <c r="GJ332" s="5" t="s">
        <v>273</v>
      </c>
      <c r="GK332" s="5" t="s">
        <v>273</v>
      </c>
      <c r="GL332" s="5" t="s">
        <v>273</v>
      </c>
      <c r="GM332" s="5" t="s">
        <v>298</v>
      </c>
      <c r="GN332" s="5" t="s">
        <v>243</v>
      </c>
      <c r="GO332" s="5" t="s">
        <v>243</v>
      </c>
      <c r="GP332" s="5" t="s">
        <v>243</v>
      </c>
      <c r="GQ332" s="5" t="s">
        <v>243</v>
      </c>
      <c r="GR332" s="5" t="s">
        <v>243</v>
      </c>
      <c r="GS332" s="5" t="s">
        <v>243</v>
      </c>
      <c r="GT332" s="5" t="s">
        <v>243</v>
      </c>
      <c r="GU332" s="5" t="s">
        <v>696</v>
      </c>
      <c r="GV332" s="5" t="str">
        <f>TEXT("6280558788659907718","0")</f>
        <v>6280558788659900000</v>
      </c>
    </row>
    <row r="333" spans="1:204" ht="15.75" customHeight="1" x14ac:dyDescent="0.15">
      <c r="A333" s="1">
        <f>ROW(A333)</f>
        <v>333</v>
      </c>
      <c r="B333" s="4">
        <v>45849.468090277776</v>
      </c>
      <c r="C333" s="5" t="s">
        <v>204</v>
      </c>
      <c r="D333" s="5" t="s">
        <v>206</v>
      </c>
      <c r="F333" s="5" t="s">
        <v>204</v>
      </c>
      <c r="G333" s="5" t="s">
        <v>204</v>
      </c>
      <c r="H333" s="5" t="s">
        <v>206</v>
      </c>
      <c r="J333" s="5" t="s">
        <v>209</v>
      </c>
      <c r="N333" s="5" t="s">
        <v>208</v>
      </c>
      <c r="S333" s="5" t="s">
        <v>208</v>
      </c>
      <c r="X333" s="5" t="s">
        <v>208</v>
      </c>
      <c r="AD333" s="5" t="s">
        <v>209</v>
      </c>
      <c r="AH333" s="5" t="s">
        <v>697</v>
      </c>
      <c r="AI333" s="5">
        <v>2018</v>
      </c>
      <c r="AJ333" s="5" t="s">
        <v>337</v>
      </c>
      <c r="AK333" s="5" t="str">
        <f>IF(OR(AJ333="Empleada del sector privado",AJ333="Empleada del sector público"),"Asalariada",
IF(AJ333="Trabajadora por cuenta propia","Trabajadora por cuenta propia",""))</f>
        <v>Asalariada</v>
      </c>
      <c r="AQ333" s="5" t="s">
        <v>204</v>
      </c>
      <c r="AR333" s="5" t="s">
        <v>241</v>
      </c>
      <c r="AS333" s="5" t="s">
        <v>241</v>
      </c>
      <c r="AT333" s="5" t="s">
        <v>261</v>
      </c>
      <c r="AU333" s="5" t="s">
        <v>241</v>
      </c>
      <c r="AV333" s="5" t="s">
        <v>213</v>
      </c>
      <c r="AW333" s="5" t="s">
        <v>206</v>
      </c>
      <c r="BF333" s="5" t="s">
        <v>204</v>
      </c>
      <c r="BG333" s="5" t="s">
        <v>278</v>
      </c>
      <c r="BH333" s="5" t="s">
        <v>271</v>
      </c>
      <c r="BI333" s="5" t="s">
        <v>278</v>
      </c>
      <c r="BJ333" s="5" t="s">
        <v>278</v>
      </c>
      <c r="BK333" s="5" t="s">
        <v>245</v>
      </c>
      <c r="BL333" s="5" t="s">
        <v>243</v>
      </c>
      <c r="BM333" s="5" t="s">
        <v>246</v>
      </c>
      <c r="BN333" s="5" t="s">
        <v>245</v>
      </c>
      <c r="BO333" s="5" t="s">
        <v>246</v>
      </c>
      <c r="BP333" s="5" t="s">
        <v>243</v>
      </c>
      <c r="BQ333" s="5" t="s">
        <v>246</v>
      </c>
      <c r="BR333" s="5" t="s">
        <v>246</v>
      </c>
      <c r="BS333" s="5" t="s">
        <v>232</v>
      </c>
      <c r="BT333" s="5" t="s">
        <v>232</v>
      </c>
      <c r="BU333" s="5" t="s">
        <v>232</v>
      </c>
      <c r="BV333" s="5" t="s">
        <v>247</v>
      </c>
      <c r="BW333" s="5" t="s">
        <v>247</v>
      </c>
      <c r="BX333" s="5" t="s">
        <v>247</v>
      </c>
      <c r="BY333" s="5" t="s">
        <v>248</v>
      </c>
      <c r="CD333" s="5" t="s">
        <v>204</v>
      </c>
      <c r="CE333" s="5" t="s">
        <v>218</v>
      </c>
      <c r="CF333" s="5" t="s">
        <v>219</v>
      </c>
      <c r="CG333" s="5" t="s">
        <v>206</v>
      </c>
      <c r="CH333" s="5" t="s">
        <v>206</v>
      </c>
      <c r="CI333" s="5" t="s">
        <v>291</v>
      </c>
      <c r="CJ333" s="5">
        <v>1</v>
      </c>
      <c r="CK333" s="5" t="s">
        <v>223</v>
      </c>
      <c r="CU333" s="5" t="s">
        <v>206</v>
      </c>
      <c r="DA333" s="5" t="s">
        <v>231</v>
      </c>
      <c r="DB333" s="5">
        <f>IF(DA333="Mejor que lo habitual",1,
IF(DA333="Igual que lo habitual",2,
IF(DA333="Menos que lo habitual",3,
IF(DA333="Mucho menos que lo habitual",4,""))))</f>
        <v>2</v>
      </c>
      <c r="DC333" s="5" t="s">
        <v>230</v>
      </c>
      <c r="DD333" s="5">
        <f>IF(DC333="No, en absoluto",1,
IF(DC333="No más que lo habitual",2,
IF(DC333="Bastante más que lo habitual",3,
IF(DC333="Mucho más que lo habitual",4,""))))</f>
        <v>2</v>
      </c>
      <c r="DE333" s="5" t="s">
        <v>230</v>
      </c>
      <c r="DF333" s="5">
        <f>IF(DE333="No, en absoluto",1,
IF(DE333="No más que lo habitual",2,
IF(DE333="Bastante más que lo habitual",3,
IF(DE333="Mucho más que lo habitual",4,""))))</f>
        <v>2</v>
      </c>
      <c r="DG333" s="5" t="s">
        <v>230</v>
      </c>
      <c r="DH333" s="5">
        <f>IF(DG333="No, en absoluto",1,
IF(DG333="No más que lo habitual",2,
IF(DG333="Bastante más que lo habitual",3,
IF(DG333="Mucho más que lo habitual",4,""))))</f>
        <v>2</v>
      </c>
      <c r="DI333" s="5" t="s">
        <v>230</v>
      </c>
      <c r="DJ333" s="5">
        <f>IF(DI333="No, en absoluto",1,
IF(DI333="No más que lo habitual",2,
IF(DI333="Bastante más que lo habitual",3,
IF(DI333="Mucho más que lo habitual",4,""))))</f>
        <v>2</v>
      </c>
      <c r="DK333" s="5" t="s">
        <v>251</v>
      </c>
      <c r="DL333" s="5">
        <f>IF(DK333="No, en absoluto",1,
IF(DK333="No más que lo habitual",2,
IF(DK333="Bastante más que lo habitual",3,
IF(DK333="Mucho más que lo habitual",4,""))))</f>
        <v>1</v>
      </c>
      <c r="DM333" s="5" t="s">
        <v>251</v>
      </c>
      <c r="DN333" s="5">
        <f>IF(DM333="No, en absoluto",1,
IF(DM333="No más que lo habitual",2,
IF(DM333="Bastante más que lo habitual",3,
IF(DM333="Mucho más que lo habitual",4,""))))</f>
        <v>1</v>
      </c>
      <c r="DO333" s="5" t="s">
        <v>231</v>
      </c>
      <c r="DP333" s="5">
        <f>IF(DO333="Más que lo habitual",1,
IF(DO333="Igual que lo habitual",2,
IF(DO333="Menos que lo habitual",3,
IF(DO333="Mucho menos que lo habitual",4,""))))</f>
        <v>2</v>
      </c>
      <c r="DQ333" s="5" t="s">
        <v>231</v>
      </c>
      <c r="DR333" s="5">
        <f>IF(DQ333="Más que lo habitual",1,
IF(DQ333="Igual que lo habitual",2,
IF(DQ333="Menos que lo habitual",3,
IF(DQ333="Mucho menos que lo habitual",4,""))))</f>
        <v>2</v>
      </c>
      <c r="DS333" s="5" t="s">
        <v>252</v>
      </c>
      <c r="DT333" s="5">
        <f>IF(DS333="Más que lo habitual",1,
IF(DS333="Igual que lo habitual",2,
IF(DS333="Menos que lo habitual",3,
IF(DS333="Mucho menos que lo habitual",4,""))))</f>
        <v>3</v>
      </c>
      <c r="DU333" s="5" t="s">
        <v>231</v>
      </c>
      <c r="DV333" s="5">
        <f>IF(DU333="Más que lo habitual",1,
IF(DU333="Igual que lo habitual",2,
IF(DU333="Menos que lo habitual",3,
IF(DU333="Mucho menos que lo habitual",4,""))))</f>
        <v>2</v>
      </c>
      <c r="DW333" s="5" t="s">
        <v>231</v>
      </c>
      <c r="DX333" s="5">
        <f>IF(DW333="Más que lo habitual",1,
IF(DW333="Igual que lo habitual",2,
IF(DW333="Menos que lo habitual",3,
IF(DW333="Mucho menos que lo habitual",4,""))))</f>
        <v>2</v>
      </c>
      <c r="DY333" s="5">
        <f>SUM(DB333,DD333,DF333,DH333,DJ333,DL333,DN333,DP333,DR333,DT333,DV333,DX333)</f>
        <v>23</v>
      </c>
      <c r="DZ333" s="5" t="str">
        <f>IF(DY333&lt;=18,"Nivel de riesgo bajo",
IF(DY333&lt;=23,"Nivel de riesgo medio",
"Nivel de riesgo alto"))</f>
        <v>Nivel de riesgo medio</v>
      </c>
      <c r="EA333" s="5" t="s">
        <v>247</v>
      </c>
      <c r="EB333" s="5">
        <f>IF(EA333="Nunca/ casi nunca",0,
IF(EA333="Rara vez",1,
IF(EA333="A veces",2,
IF(EA333="A menudo",3,
IF(EA333="Siempre",4,"")))))</f>
        <v>2</v>
      </c>
      <c r="EC333" s="5" t="s">
        <v>247</v>
      </c>
      <c r="ED333" s="5">
        <f>IF(EC333="Nunca/ casi nunca",0,
IF(EC333="Rara vez",1,
IF(EC333="A veces",2,
IF(EC333="A menudo",3,
IF(EC333="Siempre",4,"")))))</f>
        <v>2</v>
      </c>
      <c r="EE333" s="5" t="s">
        <v>248</v>
      </c>
      <c r="EF333" s="5">
        <f>IF(EE333="Nunca/ casi nunca",0,
IF(EE333="Rara vez",1,
IF(EE333="A veces",2,
IF(EE333="A menudo",3,
IF(EE333="Siempre",4,"")))))</f>
        <v>1</v>
      </c>
      <c r="EG333" s="5">
        <f>SUM(EB333,ED333,EF333)</f>
        <v>5</v>
      </c>
      <c r="EH333" s="5" t="str">
        <f>IF(EG333&lt;=1,"Nivel de riesgo bajo",
IF(EG333&lt;=4,"Nivel de riesgo medio",
"Nivel de riesgo alto"))</f>
        <v>Nivel de riesgo alto</v>
      </c>
      <c r="EI333" s="5" t="s">
        <v>253</v>
      </c>
      <c r="EJ333" s="5">
        <f>IF(EI333="Nunca/ casi nunca",0,
IF(EI333="Rara vez",1,
IF(EI333="A veces",2,
IF(EI333="A menudo",3,
IF(EI333="Siempre",4,"")))))</f>
        <v>0</v>
      </c>
      <c r="EK333" s="5" t="s">
        <v>253</v>
      </c>
      <c r="EL333" s="5">
        <f>IF(EK333="Nunca/ casi nunca",0,
IF(EK333="Rara vez",1,
IF(EK333="A veces",2,
IF(EK333="A menudo",3,
IF(EK333="Siempre",4,"")))))</f>
        <v>0</v>
      </c>
      <c r="EM333" s="5" t="s">
        <v>248</v>
      </c>
      <c r="EN333" s="5">
        <f>IF(EM333="Nunca/ casi nunca",0,
IF(EM333="Rara vez",1,
IF(EM333="A veces",2,
IF(EM333="A menudo",3,
IF(EM333="Siempre",4,"")))))</f>
        <v>1</v>
      </c>
      <c r="EO333" s="5">
        <f>SUM(EJ333,EL333,EN333)</f>
        <v>1</v>
      </c>
      <c r="EP333" s="5" t="str">
        <f>IF(EO333&lt;=1,"Nivel de riesgo bajo",
IF(EO333&lt;=5,"Nivel de riesgo medio",
"Nivel de riesgo alto"))</f>
        <v>Nivel de riesgo bajo</v>
      </c>
      <c r="EQ333" s="5" t="s">
        <v>248</v>
      </c>
      <c r="ER333" s="5">
        <f>IF(EQ333="Nunca/ casi nunca",4,
IF(EQ333="Rara vez",3,
IF(EQ333="A veces",2,
IF(EQ333="A menudo",1,
IF(EQ333="Siempre",0,"")))))</f>
        <v>3</v>
      </c>
      <c r="ES333" s="5" t="s">
        <v>247</v>
      </c>
      <c r="ET333" s="5">
        <f>IF(ES333="Nunca/ casi nunca",4,
IF(ES333="Rara vez",3,
IF(ES333="A veces",2,
IF(ES333="A menudo",1,
IF(ES333="Siempre",0,"")))))</f>
        <v>2</v>
      </c>
      <c r="EU333" s="5" t="s">
        <v>247</v>
      </c>
      <c r="EV333" s="5">
        <f>IF(EU333="Nunca/ casi nunca",4,
IF(EU333="Rara vez",3,
IF(EU333="A veces",2,
IF(EU333="A menudo",1,
IF(EU333="Siempre",0,"")))))</f>
        <v>2</v>
      </c>
      <c r="EW333" s="5" t="s">
        <v>232</v>
      </c>
      <c r="EX333" s="5">
        <f>IF(EW333="Nunca/ casi nunca",4,
IF(EW333="Rara vez",3,
IF(EW333="A veces",2,
IF(EW333="A menudo",1,
IF(EW333="Siempre",0,"")))))</f>
        <v>1</v>
      </c>
      <c r="EY333" s="5">
        <f>SUM(ER333,ET333,EV333,EX333)</f>
        <v>8</v>
      </c>
      <c r="EZ333" s="5" t="str">
        <f>IF(EY333&lt;=0,"Nivel de riesgo bajo",
IF(EY333&lt;=4,"Nivel de riesgo medio",
"Nivel de riesgo alto"))</f>
        <v>Nivel de riesgo alto</v>
      </c>
      <c r="FA333" s="5" t="s">
        <v>253</v>
      </c>
      <c r="FB333" s="5">
        <f>IF(FA333="Nunca/ casi nunca",0,
IF(FA333="Rara vez",1,
IF(FA333="A veces",2,
IF(FA333="A menudo",3,
IF(FA333="Siempre",4,"")))))</f>
        <v>0</v>
      </c>
      <c r="FC333" s="5" t="s">
        <v>253</v>
      </c>
      <c r="FD333" s="5">
        <f>IF(FC333="Nunca/ casi nunca",0,
IF(FC333="Rara vez",1,
IF(FC333="A veces",2,
IF(FC333="A menudo",3,
IF(FC333="Siempre",4,"")))))</f>
        <v>0</v>
      </c>
      <c r="FE333" s="5" t="s">
        <v>253</v>
      </c>
      <c r="FF333" s="5">
        <f>IF(FE333="Nunca/ casi nunca",0,
IF(FE333="Rara vez",1,
IF(FE333="A veces",2,
IF(FE333="A menudo",3,
IF(FE333="Siempre",4,"")))))</f>
        <v>0</v>
      </c>
      <c r="FG333" s="5">
        <f>SUM(FB333,FD333,FF333)</f>
        <v>0</v>
      </c>
      <c r="FH333" s="5" t="str">
        <f>IF(FG333&lt;=2,"Nivel de riesgo bajo",
IF(FG333&lt;=5,"Nivel de riesgo medio",
"Nivel de riesgo alto"))</f>
        <v>Nivel de riesgo bajo</v>
      </c>
      <c r="FI333" s="5" t="s">
        <v>253</v>
      </c>
      <c r="FJ333" s="5">
        <f>IF(FI333="Nunca/ casi nunca",0,
IF(FI333="Rara vez",1,
IF(FI333="A veces",2,
IF(FI333="A menudo",3,
IF(FI333="Siempre",4,"")))))</f>
        <v>0</v>
      </c>
      <c r="FK333" s="5" t="s">
        <v>253</v>
      </c>
      <c r="FL333" s="5">
        <f>IF(FK333="Nunca/ casi nunca",0,
IF(FK333="Rara vez",1,
IF(FK333="A veces",2,
IF(FK333="A menudo",3,
IF(FK333="Siempre",4,"")))))</f>
        <v>0</v>
      </c>
      <c r="FM333" s="5" t="s">
        <v>253</v>
      </c>
      <c r="FN333" s="5">
        <f>IF(FM333="Nunca/ casi nunca",0,
IF(FM333="Rara vez",1,
IF(FM333="A veces",2,
IF(FM333="A menudo",3,
IF(FM333="Siempre",4,"")))))</f>
        <v>0</v>
      </c>
      <c r="FO333" s="5">
        <f>SUM(FJ333,FL333,FN333)</f>
        <v>0</v>
      </c>
      <c r="FP333" s="5" t="str">
        <f>IF(FO333&lt;=2,"Nivel de riesgo bajo",
IF(FO333&lt;=5,"Nivel de riesgo medio",
"Nivel de riesgo alto"))</f>
        <v>Nivel de riesgo bajo</v>
      </c>
      <c r="FQ333" s="5" t="s">
        <v>206</v>
      </c>
      <c r="FR333" s="5">
        <f>IF(FQ333="No",0,
IF(FQ333="Sí, unas pocas veces",1,
IF(FQ333="Sí, mensualmente",2,
IF(FQ333="Sí, semanalmente",3,
IF(FQ333="Sí, diariamente",4,"")))))</f>
        <v>0</v>
      </c>
      <c r="FS333" s="5" t="s">
        <v>206</v>
      </c>
      <c r="FT333" s="5">
        <f>IF(FS333="No",0,
IF(FS333="Sí, unas pocas veces",1,
IF(FS333="Sí, mensualmente",2,
IF(FS333="Sí, semanalmente",3,
IF(FS333="Sí, diariamente",4,"")))))</f>
        <v>0</v>
      </c>
      <c r="FU333" s="5" t="s">
        <v>206</v>
      </c>
      <c r="FV333" s="5">
        <f>IF(FU333="No",0,
IF(FU333="Sí, unas pocas veces",1,
IF(FU333="Sí, mensualmente",2,
IF(FU333="Sí, semanalmente",3,
IF(FU333="Sí, diariamente",4,"")))))</f>
        <v>0</v>
      </c>
      <c r="FW333" s="5" t="s">
        <v>206</v>
      </c>
      <c r="FX333" s="5">
        <f>IF(FW333="No",0,
IF(FW333="Sí, unas pocas veces",1,
IF(FW333="Sí, mensualmente",2,
IF(FW333="Sí, semanalmente",3,
IF(FW333="Sí, diariamente",4,"")))))</f>
        <v>0</v>
      </c>
      <c r="FY333" s="5" t="s">
        <v>206</v>
      </c>
      <c r="FZ333" s="5">
        <f>IF(FY333="No",0,
IF(FY333="Sí, unas pocas veces",1,
IF(FY333="Sí, mensualmente",2,
IF(FY333="Sí, semanalmente",3,
IF(FY333="Sí, diariamente",4,"")))))</f>
        <v>0</v>
      </c>
      <c r="GA333" s="5" t="s">
        <v>206</v>
      </c>
      <c r="GB333" s="5">
        <f>IF(GA333="No",0,
IF(GA333="Sí, unas pocas veces",1,
IF(GA333="Sí, mensualmente",2,
IF(GA333="Sí, semanalmente",3,
IF(GA333="Sí, diariamente",4,"")))))</f>
        <v>0</v>
      </c>
      <c r="GC333" s="5" t="s">
        <v>206</v>
      </c>
      <c r="GD333" s="5">
        <f>IF(GC333="No",0,
IF(GC333="Sí, unas pocas veces",1,
IF(GC333="Sí, mensualmente",2,
IF(GC333="Sí, semanalmente",3,
IF(GC333="Sí, diariamente",4,"")))))</f>
        <v>0</v>
      </c>
      <c r="GE333" s="5">
        <f>SUM(FR333,FT333,FV333,FX333,FZ333,GB333,GD333)</f>
        <v>0</v>
      </c>
      <c r="GF333" s="5" t="str">
        <f>IF(GE333&lt;=0,"Nivel de riesgo bajo",
IF(GE333&lt;=14,"Nivel de riesgo medio",
"Nivel de riesgo alto"))</f>
        <v>Nivel de riesgo bajo</v>
      </c>
      <c r="GG333" s="5" t="s">
        <v>255</v>
      </c>
      <c r="GH333" s="5" t="s">
        <v>255</v>
      </c>
      <c r="GI333" s="5" t="s">
        <v>255</v>
      </c>
      <c r="GJ333" s="5" t="s">
        <v>255</v>
      </c>
      <c r="GK333" s="5" t="s">
        <v>233</v>
      </c>
      <c r="GL333" s="5" t="s">
        <v>255</v>
      </c>
      <c r="GM333" s="5" t="s">
        <v>255</v>
      </c>
      <c r="GN333" s="5" t="s">
        <v>243</v>
      </c>
      <c r="GO333" s="5" t="s">
        <v>243</v>
      </c>
      <c r="GP333" s="5" t="s">
        <v>243</v>
      </c>
      <c r="GQ333" s="5" t="s">
        <v>243</v>
      </c>
      <c r="GR333" s="5" t="s">
        <v>243</v>
      </c>
      <c r="GS333" s="5" t="s">
        <v>257</v>
      </c>
      <c r="GT333" s="5" t="s">
        <v>243</v>
      </c>
      <c r="GU333" s="5" t="s">
        <v>698</v>
      </c>
      <c r="GV333" s="5" t="str">
        <f>TEXT("6280560438121237629","0")</f>
        <v>6280560438121230000</v>
      </c>
    </row>
    <row r="334" spans="1:204" ht="15.75" hidden="1" customHeight="1" x14ac:dyDescent="0.15">
      <c r="B334" s="4">
        <v>45849.494629629633</v>
      </c>
      <c r="C334" s="5" t="s">
        <v>204</v>
      </c>
      <c r="D334" s="5" t="s">
        <v>206</v>
      </c>
      <c r="F334" s="5" t="s">
        <v>206</v>
      </c>
      <c r="G334" s="5" t="s">
        <v>204</v>
      </c>
      <c r="H334" s="5" t="s">
        <v>206</v>
      </c>
      <c r="K334" s="5" t="s">
        <v>237</v>
      </c>
      <c r="O334" s="5" t="s">
        <v>209</v>
      </c>
      <c r="T334" s="5" t="s">
        <v>209</v>
      </c>
      <c r="Y334" s="5" t="s">
        <v>209</v>
      </c>
      <c r="AC334" s="5" t="s">
        <v>208</v>
      </c>
      <c r="AH334" s="5" t="s">
        <v>268</v>
      </c>
      <c r="AI334" s="5">
        <v>2022</v>
      </c>
      <c r="AJ334" s="5" t="s">
        <v>293</v>
      </c>
      <c r="AK334" s="5"/>
      <c r="AR334" s="5" t="s">
        <v>241</v>
      </c>
      <c r="AS334" s="5" t="s">
        <v>241</v>
      </c>
      <c r="AT334" s="5" t="s">
        <v>241</v>
      </c>
      <c r="AU334" s="5" t="s">
        <v>241</v>
      </c>
      <c r="AV334" s="5" t="s">
        <v>213</v>
      </c>
      <c r="AW334" s="5" t="s">
        <v>206</v>
      </c>
      <c r="BF334" s="5" t="s">
        <v>204</v>
      </c>
      <c r="BG334" s="5" t="s">
        <v>207</v>
      </c>
      <c r="BH334" s="5" t="s">
        <v>242</v>
      </c>
      <c r="BI334" s="5" t="s">
        <v>271</v>
      </c>
      <c r="BJ334" s="5" t="s">
        <v>278</v>
      </c>
      <c r="BK334" s="5" t="s">
        <v>216</v>
      </c>
      <c r="BL334" s="5" t="s">
        <v>216</v>
      </c>
      <c r="BM334" s="5" t="s">
        <v>216</v>
      </c>
      <c r="BN334" s="5" t="s">
        <v>216</v>
      </c>
      <c r="BO334" s="5" t="s">
        <v>216</v>
      </c>
      <c r="BP334" s="5" t="s">
        <v>216</v>
      </c>
      <c r="BQ334" s="5" t="s">
        <v>244</v>
      </c>
      <c r="BR334" s="5" t="s">
        <v>216</v>
      </c>
      <c r="BS334" s="5" t="s">
        <v>254</v>
      </c>
      <c r="BT334" s="5" t="s">
        <v>232</v>
      </c>
      <c r="BU334" s="5" t="s">
        <v>254</v>
      </c>
      <c r="BV334" s="5" t="s">
        <v>232</v>
      </c>
      <c r="BW334" s="5" t="s">
        <v>232</v>
      </c>
      <c r="BX334" s="5" t="s">
        <v>232</v>
      </c>
      <c r="BY334" s="5" t="s">
        <v>248</v>
      </c>
      <c r="CD334" s="5" t="s">
        <v>204</v>
      </c>
      <c r="CE334" s="5" t="s">
        <v>286</v>
      </c>
      <c r="CF334" s="5" t="s">
        <v>279</v>
      </c>
      <c r="CG334" s="5" t="s">
        <v>206</v>
      </c>
      <c r="CH334" s="5" t="s">
        <v>206</v>
      </c>
      <c r="CI334" s="5" t="s">
        <v>291</v>
      </c>
      <c r="CJ334" s="5">
        <v>2</v>
      </c>
      <c r="CK334" s="5" t="s">
        <v>223</v>
      </c>
      <c r="CU334" s="5" t="s">
        <v>206</v>
      </c>
      <c r="DA334" s="5" t="s">
        <v>252</v>
      </c>
      <c r="DB334" s="5"/>
      <c r="DC334" s="5" t="s">
        <v>230</v>
      </c>
      <c r="DD334" s="5"/>
      <c r="DE334" s="5" t="s">
        <v>230</v>
      </c>
      <c r="DF334" s="5"/>
      <c r="DG334" s="5" t="s">
        <v>230</v>
      </c>
      <c r="DH334" s="5"/>
      <c r="DI334" s="5" t="s">
        <v>251</v>
      </c>
      <c r="DJ334" s="5"/>
      <c r="DK334" s="5" t="s">
        <v>251</v>
      </c>
      <c r="DL334" s="5"/>
      <c r="DM334" s="5" t="s">
        <v>251</v>
      </c>
      <c r="DN334" s="5"/>
      <c r="DO334" s="5" t="s">
        <v>229</v>
      </c>
      <c r="DP334" s="5"/>
      <c r="DQ334" s="5" t="s">
        <v>281</v>
      </c>
      <c r="DR334" s="5"/>
      <c r="DS334" s="5" t="s">
        <v>231</v>
      </c>
      <c r="DT334" s="5"/>
      <c r="DU334" s="5" t="s">
        <v>229</v>
      </c>
      <c r="DV334" s="5"/>
      <c r="DW334" s="5" t="s">
        <v>231</v>
      </c>
      <c r="DX334" s="5"/>
      <c r="DY334" s="5"/>
      <c r="DZ334" s="5"/>
      <c r="EA334" s="5" t="s">
        <v>247</v>
      </c>
      <c r="EB334" s="5"/>
      <c r="EC334" s="5" t="s">
        <v>248</v>
      </c>
      <c r="ED334" s="5"/>
      <c r="EE334" s="5" t="s">
        <v>248</v>
      </c>
      <c r="EF334" s="5"/>
      <c r="EG334" s="5"/>
      <c r="EH334" s="5"/>
      <c r="EI334" s="5" t="s">
        <v>253</v>
      </c>
      <c r="EJ334" s="5"/>
      <c r="EK334" s="5" t="s">
        <v>232</v>
      </c>
      <c r="EL334" s="5"/>
      <c r="EM334" s="5" t="s">
        <v>254</v>
      </c>
      <c r="EN334" s="5"/>
      <c r="EO334" s="5"/>
      <c r="EP334" s="5"/>
      <c r="EQ334" s="5" t="s">
        <v>254</v>
      </c>
      <c r="ER334" s="5"/>
      <c r="ES334" s="5" t="s">
        <v>254</v>
      </c>
      <c r="ET334" s="5"/>
      <c r="EU334" s="5" t="s">
        <v>254</v>
      </c>
      <c r="EV334" s="5"/>
      <c r="EW334" s="5" t="s">
        <v>254</v>
      </c>
      <c r="EX334" s="5"/>
      <c r="EY334" s="5"/>
      <c r="EZ334" s="5"/>
      <c r="FA334" s="5" t="s">
        <v>232</v>
      </c>
      <c r="FB334" s="5"/>
      <c r="FC334" s="5" t="s">
        <v>253</v>
      </c>
      <c r="FD334" s="5"/>
      <c r="FE334" s="5" t="s">
        <v>253</v>
      </c>
      <c r="FF334" s="5"/>
      <c r="FG334" s="5"/>
      <c r="FH334" s="5"/>
      <c r="FI334" s="5" t="s">
        <v>248</v>
      </c>
      <c r="FJ334" s="5"/>
      <c r="FK334" s="5" t="s">
        <v>248</v>
      </c>
      <c r="FL334" s="5"/>
      <c r="FM334" s="5" t="s">
        <v>253</v>
      </c>
      <c r="FN334" s="5"/>
      <c r="FO334" s="5"/>
      <c r="FP334" s="5"/>
      <c r="FQ334" s="5" t="s">
        <v>206</v>
      </c>
      <c r="FR334" s="5"/>
      <c r="FS334" s="5" t="s">
        <v>206</v>
      </c>
      <c r="FT334" s="5"/>
      <c r="FU334" s="5" t="s">
        <v>206</v>
      </c>
      <c r="FV334" s="5"/>
      <c r="FW334" s="5" t="s">
        <v>206</v>
      </c>
      <c r="FX334" s="5"/>
      <c r="FY334" s="5" t="s">
        <v>206</v>
      </c>
      <c r="FZ334" s="5"/>
      <c r="GA334" s="5" t="s">
        <v>206</v>
      </c>
      <c r="GB334" s="5"/>
      <c r="GC334" s="5" t="s">
        <v>206</v>
      </c>
      <c r="GD334" s="5"/>
      <c r="GE334" s="5"/>
      <c r="GF334" s="5"/>
      <c r="GG334" s="5" t="s">
        <v>266</v>
      </c>
      <c r="GH334" s="5" t="s">
        <v>266</v>
      </c>
      <c r="GI334" s="5" t="s">
        <v>266</v>
      </c>
      <c r="GJ334" s="5" t="s">
        <v>266</v>
      </c>
      <c r="GK334" s="5" t="s">
        <v>233</v>
      </c>
      <c r="GL334" s="5" t="s">
        <v>266</v>
      </c>
      <c r="GM334" s="5" t="s">
        <v>266</v>
      </c>
      <c r="GN334" s="5" t="s">
        <v>243</v>
      </c>
      <c r="GO334" s="5" t="s">
        <v>243</v>
      </c>
      <c r="GP334" s="5" t="s">
        <v>243</v>
      </c>
      <c r="GQ334" s="5" t="s">
        <v>256</v>
      </c>
      <c r="GR334" s="5" t="s">
        <v>256</v>
      </c>
      <c r="GS334" s="5" t="s">
        <v>256</v>
      </c>
      <c r="GT334" s="5" t="s">
        <v>256</v>
      </c>
      <c r="GU334" s="5" t="s">
        <v>699</v>
      </c>
      <c r="GV334" s="5" t="str">
        <f>TEXT("6280583369842377530","0")</f>
        <v>6280583369842370000</v>
      </c>
    </row>
    <row r="335" spans="1:204" ht="15.75" customHeight="1" x14ac:dyDescent="0.15">
      <c r="A335" s="1">
        <f t="shared" ref="A335:A348" si="969">ROW(A335)</f>
        <v>335</v>
      </c>
      <c r="B335" s="4">
        <v>45849.585046296299</v>
      </c>
      <c r="C335" s="5" t="s">
        <v>204</v>
      </c>
      <c r="D335" s="5" t="s">
        <v>206</v>
      </c>
      <c r="F335" s="5" t="s">
        <v>206</v>
      </c>
      <c r="G335" s="5" t="s">
        <v>206</v>
      </c>
      <c r="H335" s="5" t="s">
        <v>206</v>
      </c>
      <c r="J335" s="5" t="s">
        <v>209</v>
      </c>
      <c r="O335" s="5" t="s">
        <v>209</v>
      </c>
      <c r="T335" s="5" t="s">
        <v>209</v>
      </c>
      <c r="Y335" s="5" t="s">
        <v>209</v>
      </c>
      <c r="AD335" s="5" t="s">
        <v>209</v>
      </c>
      <c r="AH335" s="5" t="s">
        <v>268</v>
      </c>
      <c r="AI335" s="5">
        <v>2000</v>
      </c>
      <c r="AJ335" s="5" t="s">
        <v>238</v>
      </c>
      <c r="AK335" s="5" t="str">
        <f t="shared" ref="AK335:AK348" si="970">IF(OR(AJ335="Empleada del sector privado",AJ335="Empleada del sector público"),"Asalariada",
IF(AJ335="Trabajadora por cuenta propia","Trabajadora por cuenta propia",""))</f>
        <v>Trabajadora por cuenta propia</v>
      </c>
      <c r="AL335" s="5" t="s">
        <v>239</v>
      </c>
      <c r="AP335" s="5" t="s">
        <v>365</v>
      </c>
      <c r="AR335" s="5" t="s">
        <v>301</v>
      </c>
      <c r="AS335" s="5" t="s">
        <v>301</v>
      </c>
      <c r="AT335" s="5" t="s">
        <v>301</v>
      </c>
      <c r="AU335" s="5" t="s">
        <v>301</v>
      </c>
      <c r="AV335" s="5" t="s">
        <v>213</v>
      </c>
      <c r="AW335" s="5" t="s">
        <v>206</v>
      </c>
      <c r="BF335" s="5" t="s">
        <v>204</v>
      </c>
      <c r="BG335" s="5" t="s">
        <v>278</v>
      </c>
      <c r="BH335" s="5" t="s">
        <v>278</v>
      </c>
      <c r="BI335" s="5" t="s">
        <v>278</v>
      </c>
      <c r="BJ335" s="5" t="s">
        <v>278</v>
      </c>
      <c r="BK335" s="5" t="s">
        <v>246</v>
      </c>
      <c r="BL335" s="5" t="s">
        <v>246</v>
      </c>
      <c r="BM335" s="5" t="s">
        <v>246</v>
      </c>
      <c r="BN335" s="5" t="s">
        <v>246</v>
      </c>
      <c r="BO335" s="5" t="s">
        <v>246</v>
      </c>
      <c r="BP335" s="5" t="s">
        <v>246</v>
      </c>
      <c r="BQ335" s="5" t="s">
        <v>246</v>
      </c>
      <c r="BR335" s="5" t="s">
        <v>246</v>
      </c>
      <c r="BS335" s="5" t="s">
        <v>232</v>
      </c>
      <c r="BT335" s="5" t="s">
        <v>232</v>
      </c>
      <c r="BU335" s="5" t="s">
        <v>232</v>
      </c>
      <c r="BV335" s="5" t="s">
        <v>232</v>
      </c>
      <c r="BW335" s="5" t="s">
        <v>232</v>
      </c>
      <c r="BX335" s="5" t="s">
        <v>232</v>
      </c>
      <c r="BY335" s="5" t="s">
        <v>232</v>
      </c>
      <c r="CD335" s="5" t="s">
        <v>206</v>
      </c>
      <c r="CH335" s="5" t="s">
        <v>206</v>
      </c>
      <c r="CI335" s="5" t="s">
        <v>206</v>
      </c>
      <c r="CJ335" s="5">
        <v>0</v>
      </c>
      <c r="CK335" s="5" t="s">
        <v>223</v>
      </c>
      <c r="CU335" s="5" t="s">
        <v>206</v>
      </c>
      <c r="DA335" s="5" t="s">
        <v>272</v>
      </c>
      <c r="DB335" s="5">
        <f t="shared" ref="DB335:DB348" si="971">IF(DA335="Mejor que lo habitual",1,
IF(DA335="Igual que lo habitual",2,
IF(DA335="Menos que lo habitual",3,
IF(DA335="Mucho menos que lo habitual",4,""))))</f>
        <v>1</v>
      </c>
      <c r="DC335" s="5" t="s">
        <v>280</v>
      </c>
      <c r="DD335" s="5">
        <f t="shared" ref="DD335:DD348" si="972">IF(DC335="No, en absoluto",1,
IF(DC335="No más que lo habitual",2,
IF(DC335="Bastante más que lo habitual",3,
IF(DC335="Mucho más que lo habitual",4,""))))</f>
        <v>4</v>
      </c>
      <c r="DE335" s="5" t="s">
        <v>280</v>
      </c>
      <c r="DF335" s="5">
        <f t="shared" ref="DF335:DF348" si="973">IF(DE335="No, en absoluto",1,
IF(DE335="No más que lo habitual",2,
IF(DE335="Bastante más que lo habitual",3,
IF(DE335="Mucho más que lo habitual",4,""))))</f>
        <v>4</v>
      </c>
      <c r="DG335" s="5" t="s">
        <v>280</v>
      </c>
      <c r="DH335" s="5">
        <f t="shared" ref="DH335:DH348" si="974">IF(DG335="No, en absoluto",1,
IF(DG335="No más que lo habitual",2,
IF(DG335="Bastante más que lo habitual",3,
IF(DG335="Mucho más que lo habitual",4,""))))</f>
        <v>4</v>
      </c>
      <c r="DI335" s="5" t="s">
        <v>280</v>
      </c>
      <c r="DJ335" s="5">
        <f t="shared" ref="DJ335:DJ348" si="975">IF(DI335="No, en absoluto",1,
IF(DI335="No más que lo habitual",2,
IF(DI335="Bastante más que lo habitual",3,
IF(DI335="Mucho más que lo habitual",4,""))))</f>
        <v>4</v>
      </c>
      <c r="DK335" s="5" t="s">
        <v>280</v>
      </c>
      <c r="DL335" s="5">
        <f t="shared" ref="DL335:DL348" si="976">IF(DK335="No, en absoluto",1,
IF(DK335="No más que lo habitual",2,
IF(DK335="Bastante más que lo habitual",3,
IF(DK335="Mucho más que lo habitual",4,""))))</f>
        <v>4</v>
      </c>
      <c r="DM335" s="5" t="s">
        <v>280</v>
      </c>
      <c r="DN335" s="5">
        <f t="shared" ref="DN335:DN348" si="977">IF(DM335="No, en absoluto",1,
IF(DM335="No más que lo habitual",2,
IF(DM335="Bastante más que lo habitual",3,
IF(DM335="Mucho más que lo habitual",4,""))))</f>
        <v>4</v>
      </c>
      <c r="DO335" s="5" t="s">
        <v>229</v>
      </c>
      <c r="DP335" s="5">
        <f t="shared" ref="DP335:DP348" si="978">IF(DO335="Más que lo habitual",1,
IF(DO335="Igual que lo habitual",2,
IF(DO335="Menos que lo habitual",3,
IF(DO335="Mucho menos que lo habitual",4,""))))</f>
        <v>4</v>
      </c>
      <c r="DQ335" s="5" t="s">
        <v>229</v>
      </c>
      <c r="DR335" s="5">
        <f t="shared" ref="DR335:DR348" si="979">IF(DQ335="Más que lo habitual",1,
IF(DQ335="Igual que lo habitual",2,
IF(DQ335="Menos que lo habitual",3,
IF(DQ335="Mucho menos que lo habitual",4,""))))</f>
        <v>4</v>
      </c>
      <c r="DS335" s="5" t="s">
        <v>229</v>
      </c>
      <c r="DT335" s="5">
        <f t="shared" ref="DT335:DT348" si="980">IF(DS335="Más que lo habitual",1,
IF(DS335="Igual que lo habitual",2,
IF(DS335="Menos que lo habitual",3,
IF(DS335="Mucho menos que lo habitual",4,""))))</f>
        <v>4</v>
      </c>
      <c r="DU335" s="5" t="s">
        <v>229</v>
      </c>
      <c r="DV335" s="5">
        <f t="shared" ref="DV335:DV348" si="981">IF(DU335="Más que lo habitual",1,
IF(DU335="Igual que lo habitual",2,
IF(DU335="Menos que lo habitual",3,
IF(DU335="Mucho menos que lo habitual",4,""))))</f>
        <v>4</v>
      </c>
      <c r="DW335" s="5" t="s">
        <v>229</v>
      </c>
      <c r="DX335" s="5">
        <f t="shared" ref="DX335:DX348" si="982">IF(DW335="Más que lo habitual",1,
IF(DW335="Igual que lo habitual",2,
IF(DW335="Menos que lo habitual",3,
IF(DW335="Mucho menos que lo habitual",4,""))))</f>
        <v>4</v>
      </c>
      <c r="DY335" s="5">
        <f t="shared" ref="DY335:DY348" si="983">SUM(DB335,DD335,DF335,DH335,DJ335,DL335,DN335,DP335,DR335,DT335,DV335,DX335)</f>
        <v>45</v>
      </c>
      <c r="DZ335" s="5" t="str">
        <f t="shared" ref="DZ335:DZ348" si="984">IF(DY335&lt;=18,"Nivel de riesgo bajo",
IF(DY335&lt;=23,"Nivel de riesgo medio",
"Nivel de riesgo alto"))</f>
        <v>Nivel de riesgo alto</v>
      </c>
      <c r="EA335" s="5" t="s">
        <v>253</v>
      </c>
      <c r="EB335" s="5">
        <f t="shared" ref="EB335:EB348" si="985">IF(EA335="Nunca/ casi nunca",0,
IF(EA335="Rara vez",1,
IF(EA335="A veces",2,
IF(EA335="A menudo",3,
IF(EA335="Siempre",4,"")))))</f>
        <v>0</v>
      </c>
      <c r="EC335" s="5" t="s">
        <v>248</v>
      </c>
      <c r="ED335" s="5">
        <f t="shared" ref="ED335:ED348" si="986">IF(EC335="Nunca/ casi nunca",0,
IF(EC335="Rara vez",1,
IF(EC335="A veces",2,
IF(EC335="A menudo",3,
IF(EC335="Siempre",4,"")))))</f>
        <v>1</v>
      </c>
      <c r="EE335" s="5" t="s">
        <v>248</v>
      </c>
      <c r="EF335" s="5">
        <f t="shared" ref="EF335:EF348" si="987">IF(EE335="Nunca/ casi nunca",0,
IF(EE335="Rara vez",1,
IF(EE335="A veces",2,
IF(EE335="A menudo",3,
IF(EE335="Siempre",4,"")))))</f>
        <v>1</v>
      </c>
      <c r="EG335" s="5">
        <f t="shared" ref="EG335:EG348" si="988">SUM(EB335,ED335,EF335)</f>
        <v>2</v>
      </c>
      <c r="EH335" s="5" t="str">
        <f t="shared" ref="EH335:EH348" si="989">IF(EG335&lt;=1,"Nivel de riesgo bajo",
IF(EG335&lt;=4,"Nivel de riesgo medio",
"Nivel de riesgo alto"))</f>
        <v>Nivel de riesgo medio</v>
      </c>
      <c r="EI335" s="5" t="s">
        <v>248</v>
      </c>
      <c r="EJ335" s="5">
        <f t="shared" ref="EJ335:EJ348" si="990">IF(EI335="Nunca/ casi nunca",0,
IF(EI335="Rara vez",1,
IF(EI335="A veces",2,
IF(EI335="A menudo",3,
IF(EI335="Siempre",4,"")))))</f>
        <v>1</v>
      </c>
      <c r="EK335" s="5" t="s">
        <v>247</v>
      </c>
      <c r="EL335" s="5">
        <f t="shared" ref="EL335:EL348" si="991">IF(EK335="Nunca/ casi nunca",0,
IF(EK335="Rara vez",1,
IF(EK335="A veces",2,
IF(EK335="A menudo",3,
IF(EK335="Siempre",4,"")))))</f>
        <v>2</v>
      </c>
      <c r="EM335" s="5" t="s">
        <v>248</v>
      </c>
      <c r="EN335" s="5">
        <f t="shared" ref="EN335:EN348" si="992">IF(EM335="Nunca/ casi nunca",0,
IF(EM335="Rara vez",1,
IF(EM335="A veces",2,
IF(EM335="A menudo",3,
IF(EM335="Siempre",4,"")))))</f>
        <v>1</v>
      </c>
      <c r="EO335" s="5">
        <f t="shared" ref="EO335:EO348" si="993">SUM(EJ335,EL335,EN335)</f>
        <v>4</v>
      </c>
      <c r="EP335" s="5" t="str">
        <f t="shared" ref="EP335:EP348" si="994">IF(EO335&lt;=1,"Nivel de riesgo bajo",
IF(EO335&lt;=5,"Nivel de riesgo medio",
"Nivel de riesgo alto"))</f>
        <v>Nivel de riesgo medio</v>
      </c>
      <c r="EQ335" s="5" t="s">
        <v>248</v>
      </c>
      <c r="ER335" s="5">
        <f t="shared" ref="ER335:ER348" si="995">IF(EQ335="Nunca/ casi nunca",4,
IF(EQ335="Rara vez",3,
IF(EQ335="A veces",2,
IF(EQ335="A menudo",1,
IF(EQ335="Siempre",0,"")))))</f>
        <v>3</v>
      </c>
      <c r="ES335" s="5" t="s">
        <v>248</v>
      </c>
      <c r="ET335" s="5">
        <f t="shared" ref="ET335:ET348" si="996">IF(ES335="Nunca/ casi nunca",4,
IF(ES335="Rara vez",3,
IF(ES335="A veces",2,
IF(ES335="A menudo",1,
IF(ES335="Siempre",0,"")))))</f>
        <v>3</v>
      </c>
      <c r="EU335" s="5" t="s">
        <v>248</v>
      </c>
      <c r="EV335" s="5">
        <f t="shared" ref="EV335:EV348" si="997">IF(EU335="Nunca/ casi nunca",4,
IF(EU335="Rara vez",3,
IF(EU335="A veces",2,
IF(EU335="A menudo",1,
IF(EU335="Siempre",0,"")))))</f>
        <v>3</v>
      </c>
      <c r="EW335" s="5" t="s">
        <v>253</v>
      </c>
      <c r="EX335" s="5">
        <f t="shared" ref="EX335:EX348" si="998">IF(EW335="Nunca/ casi nunca",4,
IF(EW335="Rara vez",3,
IF(EW335="A veces",2,
IF(EW335="A menudo",1,
IF(EW335="Siempre",0,"")))))</f>
        <v>4</v>
      </c>
      <c r="EY335" s="5">
        <f t="shared" ref="EY335:EY348" si="999">SUM(ER335,ET335,EV335,EX335)</f>
        <v>13</v>
      </c>
      <c r="EZ335" s="5" t="str">
        <f t="shared" ref="EZ335:EZ348" si="1000">IF(EY335&lt;=0,"Nivel de riesgo bajo",
IF(EY335&lt;=4,"Nivel de riesgo medio",
"Nivel de riesgo alto"))</f>
        <v>Nivel de riesgo alto</v>
      </c>
      <c r="FA335" s="5" t="s">
        <v>253</v>
      </c>
      <c r="FB335" s="5">
        <f t="shared" ref="FB335:FB348" si="1001">IF(FA335="Nunca/ casi nunca",0,
IF(FA335="Rara vez",1,
IF(FA335="A veces",2,
IF(FA335="A menudo",3,
IF(FA335="Siempre",4,"")))))</f>
        <v>0</v>
      </c>
      <c r="FC335" s="5" t="s">
        <v>253</v>
      </c>
      <c r="FD335" s="5">
        <f t="shared" ref="FD335:FD348" si="1002">IF(FC335="Nunca/ casi nunca",0,
IF(FC335="Rara vez",1,
IF(FC335="A veces",2,
IF(FC335="A menudo",3,
IF(FC335="Siempre",4,"")))))</f>
        <v>0</v>
      </c>
      <c r="FE335" s="5" t="s">
        <v>248</v>
      </c>
      <c r="FF335" s="5">
        <f t="shared" ref="FF335:FF348" si="1003">IF(FE335="Nunca/ casi nunca",0,
IF(FE335="Rara vez",1,
IF(FE335="A veces",2,
IF(FE335="A menudo",3,
IF(FE335="Siempre",4,"")))))</f>
        <v>1</v>
      </c>
      <c r="FG335" s="5">
        <f t="shared" ref="FG335:FG348" si="1004">SUM(FB335,FD335,FF335)</f>
        <v>1</v>
      </c>
      <c r="FH335" s="5" t="str">
        <f t="shared" ref="FH335:FH348" si="1005">IF(FG335&lt;=2,"Nivel de riesgo bajo",
IF(FG335&lt;=5,"Nivel de riesgo medio",
"Nivel de riesgo alto"))</f>
        <v>Nivel de riesgo bajo</v>
      </c>
      <c r="FI335" s="5" t="s">
        <v>253</v>
      </c>
      <c r="FJ335" s="5">
        <f t="shared" ref="FJ335:FJ348" si="1006">IF(FI335="Nunca/ casi nunca",0,
IF(FI335="Rara vez",1,
IF(FI335="A veces",2,
IF(FI335="A menudo",3,
IF(FI335="Siempre",4,"")))))</f>
        <v>0</v>
      </c>
      <c r="FK335" s="5" t="s">
        <v>253</v>
      </c>
      <c r="FL335" s="5">
        <f t="shared" ref="FL335:FL348" si="1007">IF(FK335="Nunca/ casi nunca",0,
IF(FK335="Rara vez",1,
IF(FK335="A veces",2,
IF(FK335="A menudo",3,
IF(FK335="Siempre",4,"")))))</f>
        <v>0</v>
      </c>
      <c r="FM335" s="5" t="s">
        <v>248</v>
      </c>
      <c r="FN335" s="5">
        <f t="shared" ref="FN335:FN348" si="1008">IF(FM335="Nunca/ casi nunca",0,
IF(FM335="Rara vez",1,
IF(FM335="A veces",2,
IF(FM335="A menudo",3,
IF(FM335="Siempre",4,"")))))</f>
        <v>1</v>
      </c>
      <c r="FO335" s="5">
        <f t="shared" ref="FO335:FO348" si="1009">SUM(FJ335,FL335,FN335)</f>
        <v>1</v>
      </c>
      <c r="FP335" s="5" t="str">
        <f t="shared" ref="FP335:FP348" si="1010">IF(FO335&lt;=2,"Nivel de riesgo bajo",
IF(FO335&lt;=5,"Nivel de riesgo medio",
"Nivel de riesgo alto"))</f>
        <v>Nivel de riesgo bajo</v>
      </c>
      <c r="FQ335" s="5" t="s">
        <v>206</v>
      </c>
      <c r="FR335" s="5">
        <f t="shared" ref="FR335:FR348" si="1011">IF(FQ335="No",0,
IF(FQ335="Sí, unas pocas veces",1,
IF(FQ335="Sí, mensualmente",2,
IF(FQ335="Sí, semanalmente",3,
IF(FQ335="Sí, diariamente",4,"")))))</f>
        <v>0</v>
      </c>
      <c r="FS335" s="5" t="s">
        <v>206</v>
      </c>
      <c r="FT335" s="5">
        <f t="shared" ref="FT335:FT348" si="1012">IF(FS335="No",0,
IF(FS335="Sí, unas pocas veces",1,
IF(FS335="Sí, mensualmente",2,
IF(FS335="Sí, semanalmente",3,
IF(FS335="Sí, diariamente",4,"")))))</f>
        <v>0</v>
      </c>
      <c r="FU335" s="5" t="s">
        <v>206</v>
      </c>
      <c r="FV335" s="5">
        <f t="shared" ref="FV335:FV348" si="1013">IF(FU335="No",0,
IF(FU335="Sí, unas pocas veces",1,
IF(FU335="Sí, mensualmente",2,
IF(FU335="Sí, semanalmente",3,
IF(FU335="Sí, diariamente",4,"")))))</f>
        <v>0</v>
      </c>
      <c r="FW335" s="5" t="s">
        <v>206</v>
      </c>
      <c r="FX335" s="5">
        <f t="shared" ref="FX335:FX348" si="1014">IF(FW335="No",0,
IF(FW335="Sí, unas pocas veces",1,
IF(FW335="Sí, mensualmente",2,
IF(FW335="Sí, semanalmente",3,
IF(FW335="Sí, diariamente",4,"")))))</f>
        <v>0</v>
      </c>
      <c r="FY335" s="5" t="s">
        <v>206</v>
      </c>
      <c r="FZ335" s="5">
        <f t="shared" ref="FZ335:FZ348" si="1015">IF(FY335="No",0,
IF(FY335="Sí, unas pocas veces",1,
IF(FY335="Sí, mensualmente",2,
IF(FY335="Sí, semanalmente",3,
IF(FY335="Sí, diariamente",4,"")))))</f>
        <v>0</v>
      </c>
      <c r="GA335" s="5" t="s">
        <v>206</v>
      </c>
      <c r="GB335" s="5">
        <f t="shared" ref="GB335:GB348" si="1016">IF(GA335="No",0,
IF(GA335="Sí, unas pocas veces",1,
IF(GA335="Sí, mensualmente",2,
IF(GA335="Sí, semanalmente",3,
IF(GA335="Sí, diariamente",4,"")))))</f>
        <v>0</v>
      </c>
      <c r="GC335" s="5" t="s">
        <v>206</v>
      </c>
      <c r="GD335" s="5">
        <f t="shared" ref="GD335:GD348" si="1017">IF(GC335="No",0,
IF(GC335="Sí, unas pocas veces",1,
IF(GC335="Sí, mensualmente",2,
IF(GC335="Sí, semanalmente",3,
IF(GC335="Sí, diariamente",4,"")))))</f>
        <v>0</v>
      </c>
      <c r="GE335" s="5">
        <f t="shared" ref="GE335:GE348" si="1018">SUM(FR335,FT335,FV335,FX335,FZ335,GB335,GD335)</f>
        <v>0</v>
      </c>
      <c r="GF335" s="5" t="str">
        <f t="shared" ref="GF335:GF348" si="1019">IF(GE335&lt;=0,"Nivel de riesgo bajo",
IF(GE335&lt;=14,"Nivel de riesgo medio",
"Nivel de riesgo alto"))</f>
        <v>Nivel de riesgo bajo</v>
      </c>
      <c r="GG335" s="5" t="s">
        <v>255</v>
      </c>
      <c r="GH335" s="5" t="s">
        <v>255</v>
      </c>
      <c r="GI335" s="5" t="s">
        <v>255</v>
      </c>
      <c r="GJ335" s="5" t="s">
        <v>255</v>
      </c>
      <c r="GK335" s="5" t="s">
        <v>255</v>
      </c>
      <c r="GL335" s="5" t="s">
        <v>255</v>
      </c>
      <c r="GM335" s="5" t="s">
        <v>255</v>
      </c>
      <c r="GN335" s="5" t="s">
        <v>256</v>
      </c>
      <c r="GO335" s="5" t="s">
        <v>256</v>
      </c>
      <c r="GP335" s="5" t="s">
        <v>256</v>
      </c>
      <c r="GQ335" s="5" t="s">
        <v>256</v>
      </c>
      <c r="GR335" s="5" t="s">
        <v>256</v>
      </c>
      <c r="GS335" s="5" t="s">
        <v>256</v>
      </c>
      <c r="GT335" s="5" t="s">
        <v>256</v>
      </c>
      <c r="GU335" s="5" t="s">
        <v>700</v>
      </c>
      <c r="GV335" s="5" t="str">
        <f>TEXT("6280661488316622671","0")</f>
        <v>6280661488316620000</v>
      </c>
    </row>
    <row r="336" spans="1:204" ht="15.75" customHeight="1" x14ac:dyDescent="0.15">
      <c r="A336" s="1">
        <f t="shared" si="969"/>
        <v>336</v>
      </c>
      <c r="B336" s="4">
        <v>45849.589178240742</v>
      </c>
      <c r="C336" s="5" t="s">
        <v>204</v>
      </c>
      <c r="D336" s="5" t="s">
        <v>206</v>
      </c>
      <c r="F336" s="5" t="s">
        <v>206</v>
      </c>
      <c r="G336" s="5" t="s">
        <v>204</v>
      </c>
      <c r="H336" s="5" t="s">
        <v>206</v>
      </c>
      <c r="I336" s="5" t="s">
        <v>208</v>
      </c>
      <c r="N336" s="5" t="s">
        <v>208</v>
      </c>
      <c r="S336" s="5" t="s">
        <v>208</v>
      </c>
      <c r="X336" s="5" t="s">
        <v>208</v>
      </c>
      <c r="AC336" s="5" t="s">
        <v>208</v>
      </c>
      <c r="AH336" s="5" t="s">
        <v>275</v>
      </c>
      <c r="AI336" s="5">
        <v>2025</v>
      </c>
      <c r="AJ336" s="5" t="s">
        <v>337</v>
      </c>
      <c r="AK336" s="5" t="str">
        <f t="shared" si="970"/>
        <v>Asalariada</v>
      </c>
      <c r="AQ336" s="5" t="s">
        <v>204</v>
      </c>
      <c r="AR336" s="5" t="s">
        <v>241</v>
      </c>
      <c r="AS336" s="5" t="s">
        <v>241</v>
      </c>
      <c r="AT336" s="5" t="s">
        <v>241</v>
      </c>
      <c r="AU336" s="5" t="s">
        <v>241</v>
      </c>
      <c r="AV336" s="5" t="s">
        <v>213</v>
      </c>
      <c r="AW336" s="5" t="s">
        <v>206</v>
      </c>
      <c r="BF336" s="5" t="s">
        <v>204</v>
      </c>
      <c r="BG336" s="5" t="s">
        <v>278</v>
      </c>
      <c r="BH336" s="5" t="s">
        <v>278</v>
      </c>
      <c r="BI336" s="5" t="s">
        <v>278</v>
      </c>
      <c r="BJ336" s="5" t="s">
        <v>278</v>
      </c>
      <c r="BK336" s="5" t="s">
        <v>245</v>
      </c>
      <c r="BL336" s="5" t="s">
        <v>243</v>
      </c>
      <c r="BM336" s="5" t="s">
        <v>243</v>
      </c>
      <c r="BN336" s="5" t="s">
        <v>245</v>
      </c>
      <c r="BO336" s="5" t="s">
        <v>246</v>
      </c>
      <c r="BP336" s="5" t="s">
        <v>243</v>
      </c>
      <c r="BQ336" s="5" t="s">
        <v>245</v>
      </c>
      <c r="BR336" s="5" t="s">
        <v>243</v>
      </c>
      <c r="BS336" s="5" t="s">
        <v>254</v>
      </c>
      <c r="BT336" s="5" t="s">
        <v>232</v>
      </c>
      <c r="BU336" s="5" t="s">
        <v>254</v>
      </c>
      <c r="BV336" s="5" t="s">
        <v>232</v>
      </c>
      <c r="BW336" s="5" t="s">
        <v>254</v>
      </c>
      <c r="BX336" s="5" t="s">
        <v>232</v>
      </c>
      <c r="BY336" s="5" t="s">
        <v>247</v>
      </c>
      <c r="CD336" s="5" t="s">
        <v>204</v>
      </c>
      <c r="CE336" s="5" t="s">
        <v>218</v>
      </c>
      <c r="CF336" s="5" t="s">
        <v>219</v>
      </c>
      <c r="CG336" s="5" t="s">
        <v>206</v>
      </c>
      <c r="CH336" s="5" t="s">
        <v>367</v>
      </c>
      <c r="CI336" s="5" t="s">
        <v>291</v>
      </c>
      <c r="CJ336" s="5">
        <v>1</v>
      </c>
      <c r="CK336" s="5" t="s">
        <v>223</v>
      </c>
      <c r="CU336" s="5" t="s">
        <v>206</v>
      </c>
      <c r="DA336" s="5" t="s">
        <v>231</v>
      </c>
      <c r="DB336" s="5">
        <f t="shared" si="971"/>
        <v>2</v>
      </c>
      <c r="DC336" s="5" t="s">
        <v>280</v>
      </c>
      <c r="DD336" s="5">
        <f t="shared" si="972"/>
        <v>4</v>
      </c>
      <c r="DE336" s="5" t="s">
        <v>280</v>
      </c>
      <c r="DF336" s="5">
        <f t="shared" si="973"/>
        <v>4</v>
      </c>
      <c r="DG336" s="5" t="s">
        <v>280</v>
      </c>
      <c r="DH336" s="5">
        <f t="shared" si="974"/>
        <v>4</v>
      </c>
      <c r="DI336" s="5" t="s">
        <v>280</v>
      </c>
      <c r="DJ336" s="5">
        <f t="shared" si="975"/>
        <v>4</v>
      </c>
      <c r="DK336" s="5" t="s">
        <v>280</v>
      </c>
      <c r="DL336" s="5">
        <f t="shared" si="976"/>
        <v>4</v>
      </c>
      <c r="DM336" s="5" t="s">
        <v>280</v>
      </c>
      <c r="DN336" s="5">
        <f t="shared" si="977"/>
        <v>4</v>
      </c>
      <c r="DO336" s="5" t="s">
        <v>231</v>
      </c>
      <c r="DP336" s="5">
        <f t="shared" si="978"/>
        <v>2</v>
      </c>
      <c r="DQ336" s="5" t="s">
        <v>281</v>
      </c>
      <c r="DR336" s="5">
        <f t="shared" si="979"/>
        <v>1</v>
      </c>
      <c r="DS336" s="5" t="s">
        <v>229</v>
      </c>
      <c r="DT336" s="5">
        <f t="shared" si="980"/>
        <v>4</v>
      </c>
      <c r="DU336" s="5" t="s">
        <v>281</v>
      </c>
      <c r="DV336" s="5">
        <f t="shared" si="981"/>
        <v>1</v>
      </c>
      <c r="DW336" s="5" t="s">
        <v>231</v>
      </c>
      <c r="DX336" s="5">
        <f t="shared" si="982"/>
        <v>2</v>
      </c>
      <c r="DY336" s="5">
        <f t="shared" si="983"/>
        <v>36</v>
      </c>
      <c r="DZ336" s="5" t="str">
        <f t="shared" si="984"/>
        <v>Nivel de riesgo alto</v>
      </c>
      <c r="EA336" s="5" t="s">
        <v>253</v>
      </c>
      <c r="EB336" s="5">
        <f t="shared" si="985"/>
        <v>0</v>
      </c>
      <c r="EC336" s="5" t="s">
        <v>232</v>
      </c>
      <c r="ED336" s="5">
        <f t="shared" si="986"/>
        <v>3</v>
      </c>
      <c r="EE336" s="5" t="s">
        <v>248</v>
      </c>
      <c r="EF336" s="5">
        <f t="shared" si="987"/>
        <v>1</v>
      </c>
      <c r="EG336" s="5">
        <f t="shared" si="988"/>
        <v>4</v>
      </c>
      <c r="EH336" s="5" t="str">
        <f t="shared" si="989"/>
        <v>Nivel de riesgo medio</v>
      </c>
      <c r="EI336" s="5" t="s">
        <v>253</v>
      </c>
      <c r="EJ336" s="5">
        <f t="shared" si="990"/>
        <v>0</v>
      </c>
      <c r="EK336" s="5" t="s">
        <v>247</v>
      </c>
      <c r="EL336" s="5">
        <f t="shared" si="991"/>
        <v>2</v>
      </c>
      <c r="EM336" s="5" t="s">
        <v>253</v>
      </c>
      <c r="EN336" s="5">
        <f t="shared" si="992"/>
        <v>0</v>
      </c>
      <c r="EO336" s="5">
        <f t="shared" si="993"/>
        <v>2</v>
      </c>
      <c r="EP336" s="5" t="str">
        <f t="shared" si="994"/>
        <v>Nivel de riesgo medio</v>
      </c>
      <c r="EQ336" s="5" t="s">
        <v>232</v>
      </c>
      <c r="ER336" s="5">
        <f t="shared" si="995"/>
        <v>1</v>
      </c>
      <c r="ES336" s="5" t="s">
        <v>232</v>
      </c>
      <c r="ET336" s="5">
        <f t="shared" si="996"/>
        <v>1</v>
      </c>
      <c r="EU336" s="5" t="s">
        <v>232</v>
      </c>
      <c r="EV336" s="5">
        <f t="shared" si="997"/>
        <v>1</v>
      </c>
      <c r="EW336" s="5" t="s">
        <v>232</v>
      </c>
      <c r="EX336" s="5">
        <f t="shared" si="998"/>
        <v>1</v>
      </c>
      <c r="EY336" s="5">
        <f t="shared" si="999"/>
        <v>4</v>
      </c>
      <c r="EZ336" s="5" t="str">
        <f t="shared" si="1000"/>
        <v>Nivel de riesgo medio</v>
      </c>
      <c r="FA336" s="5" t="s">
        <v>248</v>
      </c>
      <c r="FB336" s="5">
        <f t="shared" si="1001"/>
        <v>1</v>
      </c>
      <c r="FC336" s="5" t="s">
        <v>253</v>
      </c>
      <c r="FD336" s="5">
        <f t="shared" si="1002"/>
        <v>0</v>
      </c>
      <c r="FE336" s="5" t="s">
        <v>253</v>
      </c>
      <c r="FF336" s="5">
        <f t="shared" si="1003"/>
        <v>0</v>
      </c>
      <c r="FG336" s="5">
        <f t="shared" si="1004"/>
        <v>1</v>
      </c>
      <c r="FH336" s="5" t="str">
        <f t="shared" si="1005"/>
        <v>Nivel de riesgo bajo</v>
      </c>
      <c r="FI336" s="5" t="s">
        <v>247</v>
      </c>
      <c r="FJ336" s="5">
        <f t="shared" si="1006"/>
        <v>2</v>
      </c>
      <c r="FK336" s="5" t="s">
        <v>247</v>
      </c>
      <c r="FL336" s="5">
        <f t="shared" si="1007"/>
        <v>2</v>
      </c>
      <c r="FM336" s="5" t="s">
        <v>253</v>
      </c>
      <c r="FN336" s="5">
        <f t="shared" si="1008"/>
        <v>0</v>
      </c>
      <c r="FO336" s="5">
        <f t="shared" si="1009"/>
        <v>4</v>
      </c>
      <c r="FP336" s="5" t="str">
        <f t="shared" si="1010"/>
        <v>Nivel de riesgo medio</v>
      </c>
      <c r="FQ336" s="5" t="s">
        <v>206</v>
      </c>
      <c r="FR336" s="5">
        <f t="shared" si="1011"/>
        <v>0</v>
      </c>
      <c r="FS336" s="5" t="s">
        <v>206</v>
      </c>
      <c r="FT336" s="5">
        <f t="shared" si="1012"/>
        <v>0</v>
      </c>
      <c r="FU336" s="5" t="s">
        <v>206</v>
      </c>
      <c r="FV336" s="5">
        <f t="shared" si="1013"/>
        <v>0</v>
      </c>
      <c r="FW336" s="5" t="s">
        <v>206</v>
      </c>
      <c r="FX336" s="5">
        <f t="shared" si="1014"/>
        <v>0</v>
      </c>
      <c r="FY336" s="5" t="s">
        <v>206</v>
      </c>
      <c r="FZ336" s="5">
        <f t="shared" si="1015"/>
        <v>0</v>
      </c>
      <c r="GA336" s="5" t="s">
        <v>206</v>
      </c>
      <c r="GB336" s="5">
        <f t="shared" si="1016"/>
        <v>0</v>
      </c>
      <c r="GC336" s="5" t="s">
        <v>206</v>
      </c>
      <c r="GD336" s="5">
        <f t="shared" si="1017"/>
        <v>0</v>
      </c>
      <c r="GE336" s="5">
        <f t="shared" si="1018"/>
        <v>0</v>
      </c>
      <c r="GF336" s="5" t="str">
        <f t="shared" si="1019"/>
        <v>Nivel de riesgo bajo</v>
      </c>
      <c r="GG336" s="5" t="s">
        <v>266</v>
      </c>
      <c r="GH336" s="5" t="s">
        <v>266</v>
      </c>
      <c r="GI336" s="5" t="s">
        <v>273</v>
      </c>
      <c r="GJ336" s="5" t="s">
        <v>233</v>
      </c>
      <c r="GK336" s="5" t="s">
        <v>233</v>
      </c>
      <c r="GL336" s="5" t="s">
        <v>233</v>
      </c>
      <c r="GM336" s="5" t="s">
        <v>273</v>
      </c>
      <c r="GN336" s="5" t="s">
        <v>234</v>
      </c>
      <c r="GO336" s="5" t="s">
        <v>244</v>
      </c>
      <c r="GP336" s="5" t="s">
        <v>244</v>
      </c>
      <c r="GQ336" s="5" t="s">
        <v>244</v>
      </c>
      <c r="GR336" s="5" t="s">
        <v>244</v>
      </c>
      <c r="GS336" s="5" t="s">
        <v>244</v>
      </c>
      <c r="GT336" s="5" t="s">
        <v>257</v>
      </c>
      <c r="GU336" s="5" t="s">
        <v>701</v>
      </c>
      <c r="GV336" s="5" t="str">
        <f>TEXT("6280665052021283382","0")</f>
        <v>6280665052021280000</v>
      </c>
    </row>
    <row r="337" spans="1:204" ht="15.75" customHeight="1" x14ac:dyDescent="0.15">
      <c r="A337" s="1">
        <f t="shared" si="969"/>
        <v>337</v>
      </c>
      <c r="B337" s="4">
        <v>45849.60864583333</v>
      </c>
      <c r="C337" s="5" t="s">
        <v>204</v>
      </c>
      <c r="D337" s="5" t="s">
        <v>206</v>
      </c>
      <c r="F337" s="5" t="s">
        <v>206</v>
      </c>
      <c r="G337" s="5" t="s">
        <v>206</v>
      </c>
      <c r="H337" s="5" t="s">
        <v>204</v>
      </c>
      <c r="K337" s="5" t="s">
        <v>237</v>
      </c>
      <c r="O337" s="5" t="s">
        <v>209</v>
      </c>
      <c r="S337" s="5" t="s">
        <v>208</v>
      </c>
      <c r="X337" s="5" t="s">
        <v>208</v>
      </c>
      <c r="AC337" s="5" t="s">
        <v>208</v>
      </c>
      <c r="AH337" s="5" t="s">
        <v>210</v>
      </c>
      <c r="AI337" s="5">
        <v>2023</v>
      </c>
      <c r="AJ337" s="5" t="s">
        <v>238</v>
      </c>
      <c r="AK337" s="5" t="str">
        <f t="shared" si="970"/>
        <v>Trabajadora por cuenta propia</v>
      </c>
      <c r="AM337" s="5" t="s">
        <v>309</v>
      </c>
      <c r="AP337" s="5" t="s">
        <v>297</v>
      </c>
      <c r="AR337" s="5" t="s">
        <v>241</v>
      </c>
      <c r="AS337" s="5" t="s">
        <v>241</v>
      </c>
      <c r="AT337" s="5" t="s">
        <v>261</v>
      </c>
      <c r="AU337" s="5" t="s">
        <v>241</v>
      </c>
      <c r="AV337" s="5" t="s">
        <v>213</v>
      </c>
      <c r="AW337" s="5" t="s">
        <v>206</v>
      </c>
      <c r="BF337" s="5" t="s">
        <v>204</v>
      </c>
      <c r="BG337" s="5" t="s">
        <v>207</v>
      </c>
      <c r="BH337" s="5" t="s">
        <v>215</v>
      </c>
      <c r="BI337" s="5" t="s">
        <v>207</v>
      </c>
      <c r="BJ337" s="5" t="s">
        <v>264</v>
      </c>
      <c r="BK337" s="5" t="s">
        <v>246</v>
      </c>
      <c r="BL337" s="5" t="s">
        <v>243</v>
      </c>
      <c r="BM337" s="5" t="s">
        <v>244</v>
      </c>
      <c r="BN337" s="5" t="s">
        <v>244</v>
      </c>
      <c r="BO337" s="5" t="s">
        <v>246</v>
      </c>
      <c r="BP337" s="5" t="s">
        <v>246</v>
      </c>
      <c r="BQ337" s="5" t="s">
        <v>246</v>
      </c>
      <c r="BR337" s="5" t="s">
        <v>244</v>
      </c>
      <c r="BS337" s="5" t="s">
        <v>247</v>
      </c>
      <c r="BT337" s="5" t="s">
        <v>248</v>
      </c>
      <c r="BU337" s="5" t="s">
        <v>247</v>
      </c>
      <c r="BV337" s="5" t="s">
        <v>248</v>
      </c>
      <c r="BW337" s="5" t="s">
        <v>248</v>
      </c>
      <c r="BX337" s="5" t="s">
        <v>247</v>
      </c>
      <c r="BY337" s="5" t="s">
        <v>248</v>
      </c>
      <c r="CD337" s="5" t="s">
        <v>206</v>
      </c>
      <c r="CH337" s="5" t="s">
        <v>206</v>
      </c>
      <c r="CI337" s="5" t="s">
        <v>249</v>
      </c>
      <c r="CJ337" s="5">
        <v>5</v>
      </c>
      <c r="CK337" s="5" t="s">
        <v>223</v>
      </c>
      <c r="CU337" s="5" t="s">
        <v>206</v>
      </c>
      <c r="DA337" s="5" t="s">
        <v>252</v>
      </c>
      <c r="DB337" s="5">
        <f t="shared" si="971"/>
        <v>3</v>
      </c>
      <c r="DC337" s="5" t="s">
        <v>230</v>
      </c>
      <c r="DD337" s="5">
        <f t="shared" si="972"/>
        <v>2</v>
      </c>
      <c r="DE337" s="5" t="s">
        <v>250</v>
      </c>
      <c r="DF337" s="5">
        <f t="shared" si="973"/>
        <v>3</v>
      </c>
      <c r="DG337" s="5" t="s">
        <v>230</v>
      </c>
      <c r="DH337" s="5">
        <f t="shared" si="974"/>
        <v>2</v>
      </c>
      <c r="DI337" s="5" t="s">
        <v>230</v>
      </c>
      <c r="DJ337" s="5">
        <f t="shared" si="975"/>
        <v>2</v>
      </c>
      <c r="DK337" s="5" t="s">
        <v>251</v>
      </c>
      <c r="DL337" s="5">
        <f t="shared" si="976"/>
        <v>1</v>
      </c>
      <c r="DM337" s="5" t="s">
        <v>251</v>
      </c>
      <c r="DN337" s="5">
        <f t="shared" si="977"/>
        <v>1</v>
      </c>
      <c r="DO337" s="5" t="s">
        <v>281</v>
      </c>
      <c r="DP337" s="5">
        <f t="shared" si="978"/>
        <v>1</v>
      </c>
      <c r="DQ337" s="5" t="s">
        <v>281</v>
      </c>
      <c r="DR337" s="5">
        <f t="shared" si="979"/>
        <v>1</v>
      </c>
      <c r="DS337" s="5" t="s">
        <v>231</v>
      </c>
      <c r="DT337" s="5">
        <f t="shared" si="980"/>
        <v>2</v>
      </c>
      <c r="DU337" s="5" t="s">
        <v>231</v>
      </c>
      <c r="DV337" s="5">
        <f t="shared" si="981"/>
        <v>2</v>
      </c>
      <c r="DW337" s="5" t="s">
        <v>231</v>
      </c>
      <c r="DX337" s="5">
        <f t="shared" si="982"/>
        <v>2</v>
      </c>
      <c r="DY337" s="5">
        <f t="shared" si="983"/>
        <v>22</v>
      </c>
      <c r="DZ337" s="5" t="str">
        <f t="shared" si="984"/>
        <v>Nivel de riesgo medio</v>
      </c>
      <c r="EA337" s="5" t="s">
        <v>248</v>
      </c>
      <c r="EB337" s="5">
        <f t="shared" si="985"/>
        <v>1</v>
      </c>
      <c r="EC337" s="5" t="s">
        <v>247</v>
      </c>
      <c r="ED337" s="5">
        <f t="shared" si="986"/>
        <v>2</v>
      </c>
      <c r="EE337" s="5" t="s">
        <v>253</v>
      </c>
      <c r="EF337" s="5">
        <f t="shared" si="987"/>
        <v>0</v>
      </c>
      <c r="EG337" s="5">
        <f t="shared" si="988"/>
        <v>3</v>
      </c>
      <c r="EH337" s="5" t="str">
        <f t="shared" si="989"/>
        <v>Nivel de riesgo medio</v>
      </c>
      <c r="EI337" s="5" t="s">
        <v>248</v>
      </c>
      <c r="EJ337" s="5">
        <f t="shared" si="990"/>
        <v>1</v>
      </c>
      <c r="EK337" s="5" t="s">
        <v>247</v>
      </c>
      <c r="EL337" s="5">
        <f t="shared" si="991"/>
        <v>2</v>
      </c>
      <c r="EM337" s="5" t="s">
        <v>247</v>
      </c>
      <c r="EN337" s="5">
        <f t="shared" si="992"/>
        <v>2</v>
      </c>
      <c r="EO337" s="5">
        <f t="shared" si="993"/>
        <v>5</v>
      </c>
      <c r="EP337" s="5" t="str">
        <f t="shared" si="994"/>
        <v>Nivel de riesgo medio</v>
      </c>
      <c r="EQ337" s="5" t="s">
        <v>254</v>
      </c>
      <c r="ER337" s="5">
        <f t="shared" si="995"/>
        <v>0</v>
      </c>
      <c r="ES337" s="5" t="s">
        <v>254</v>
      </c>
      <c r="ET337" s="5">
        <f t="shared" si="996"/>
        <v>0</v>
      </c>
      <c r="EU337" s="5" t="s">
        <v>254</v>
      </c>
      <c r="EV337" s="5">
        <f t="shared" si="997"/>
        <v>0</v>
      </c>
      <c r="EW337" s="5" t="s">
        <v>254</v>
      </c>
      <c r="EX337" s="5">
        <f t="shared" si="998"/>
        <v>0</v>
      </c>
      <c r="EY337" s="5">
        <f t="shared" si="999"/>
        <v>0</v>
      </c>
      <c r="EZ337" s="5" t="str">
        <f t="shared" si="1000"/>
        <v>Nivel de riesgo bajo</v>
      </c>
      <c r="FA337" s="5" t="s">
        <v>247</v>
      </c>
      <c r="FB337" s="5">
        <f t="shared" si="1001"/>
        <v>2</v>
      </c>
      <c r="FC337" s="5" t="s">
        <v>253</v>
      </c>
      <c r="FD337" s="5">
        <f t="shared" si="1002"/>
        <v>0</v>
      </c>
      <c r="FE337" s="5" t="s">
        <v>253</v>
      </c>
      <c r="FF337" s="5">
        <f t="shared" si="1003"/>
        <v>0</v>
      </c>
      <c r="FG337" s="5">
        <f t="shared" si="1004"/>
        <v>2</v>
      </c>
      <c r="FH337" s="5" t="str">
        <f t="shared" si="1005"/>
        <v>Nivel de riesgo bajo</v>
      </c>
      <c r="FI337" s="5" t="s">
        <v>247</v>
      </c>
      <c r="FJ337" s="5">
        <f t="shared" si="1006"/>
        <v>2</v>
      </c>
      <c r="FK337" s="5" t="s">
        <v>247</v>
      </c>
      <c r="FL337" s="5">
        <f t="shared" si="1007"/>
        <v>2</v>
      </c>
      <c r="FM337" s="5" t="s">
        <v>247</v>
      </c>
      <c r="FN337" s="5">
        <f t="shared" si="1008"/>
        <v>2</v>
      </c>
      <c r="FO337" s="5">
        <f t="shared" si="1009"/>
        <v>6</v>
      </c>
      <c r="FP337" s="5" t="str">
        <f t="shared" si="1010"/>
        <v>Nivel de riesgo alto</v>
      </c>
      <c r="FQ337" s="5" t="s">
        <v>206</v>
      </c>
      <c r="FR337" s="5">
        <f t="shared" si="1011"/>
        <v>0</v>
      </c>
      <c r="FS337" s="5" t="s">
        <v>206</v>
      </c>
      <c r="FT337" s="5">
        <f t="shared" si="1012"/>
        <v>0</v>
      </c>
      <c r="FU337" s="5" t="s">
        <v>206</v>
      </c>
      <c r="FV337" s="5">
        <f t="shared" si="1013"/>
        <v>0</v>
      </c>
      <c r="FW337" s="5" t="s">
        <v>206</v>
      </c>
      <c r="FX337" s="5">
        <f t="shared" si="1014"/>
        <v>0</v>
      </c>
      <c r="FY337" s="5" t="s">
        <v>206</v>
      </c>
      <c r="FZ337" s="5">
        <f t="shared" si="1015"/>
        <v>0</v>
      </c>
      <c r="GA337" s="5" t="s">
        <v>206</v>
      </c>
      <c r="GB337" s="5">
        <f t="shared" si="1016"/>
        <v>0</v>
      </c>
      <c r="GC337" s="5" t="s">
        <v>206</v>
      </c>
      <c r="GD337" s="5">
        <f t="shared" si="1017"/>
        <v>0</v>
      </c>
      <c r="GE337" s="5">
        <f t="shared" si="1018"/>
        <v>0</v>
      </c>
      <c r="GF337" s="5" t="str">
        <f t="shared" si="1019"/>
        <v>Nivel de riesgo bajo</v>
      </c>
      <c r="GG337" s="5" t="s">
        <v>255</v>
      </c>
      <c r="GH337" s="5" t="s">
        <v>255</v>
      </c>
      <c r="GI337" s="5" t="s">
        <v>255</v>
      </c>
      <c r="GJ337" s="5" t="s">
        <v>255</v>
      </c>
      <c r="GK337" s="5" t="s">
        <v>233</v>
      </c>
      <c r="GL337" s="5" t="s">
        <v>266</v>
      </c>
      <c r="GM337" s="5" t="s">
        <v>266</v>
      </c>
      <c r="GN337" s="5" t="s">
        <v>256</v>
      </c>
      <c r="GO337" s="5" t="s">
        <v>256</v>
      </c>
      <c r="GP337" s="5" t="s">
        <v>257</v>
      </c>
      <c r="GQ337" s="5" t="s">
        <v>256</v>
      </c>
      <c r="GR337" s="5" t="s">
        <v>256</v>
      </c>
      <c r="GS337" s="5" t="s">
        <v>256</v>
      </c>
      <c r="GT337" s="5" t="s">
        <v>256</v>
      </c>
      <c r="GU337" s="5" t="s">
        <v>702</v>
      </c>
      <c r="GV337" s="5" t="str">
        <f>TEXT("6280681876429747895","0")</f>
        <v>6280681876429740000</v>
      </c>
    </row>
    <row r="338" spans="1:204" ht="15.75" customHeight="1" x14ac:dyDescent="0.15">
      <c r="A338" s="1">
        <f t="shared" si="969"/>
        <v>338</v>
      </c>
      <c r="B338" s="4">
        <v>45849.613159722219</v>
      </c>
      <c r="C338" s="5" t="s">
        <v>204</v>
      </c>
      <c r="D338" s="5" t="s">
        <v>206</v>
      </c>
      <c r="F338" s="5" t="s">
        <v>206</v>
      </c>
      <c r="G338" s="5" t="s">
        <v>204</v>
      </c>
      <c r="H338" s="5" t="s">
        <v>206</v>
      </c>
      <c r="J338" s="5" t="s">
        <v>209</v>
      </c>
      <c r="O338" s="5" t="s">
        <v>209</v>
      </c>
      <c r="S338" s="5" t="s">
        <v>208</v>
      </c>
      <c r="Y338" s="5" t="s">
        <v>209</v>
      </c>
      <c r="AC338" s="5" t="s">
        <v>208</v>
      </c>
      <c r="AH338" s="5" t="s">
        <v>275</v>
      </c>
      <c r="AI338" s="5">
        <v>2024</v>
      </c>
      <c r="AJ338" s="5" t="s">
        <v>238</v>
      </c>
      <c r="AK338" s="5" t="str">
        <f t="shared" si="970"/>
        <v>Trabajadora por cuenta propia</v>
      </c>
      <c r="AM338" s="5" t="s">
        <v>309</v>
      </c>
      <c r="AP338" s="5" t="s">
        <v>240</v>
      </c>
      <c r="AR338" s="5" t="s">
        <v>261</v>
      </c>
      <c r="AS338" s="5" t="s">
        <v>294</v>
      </c>
      <c r="AT338" s="5" t="s">
        <v>261</v>
      </c>
      <c r="AU338" s="5" t="s">
        <v>261</v>
      </c>
      <c r="AV338" s="5" t="s">
        <v>285</v>
      </c>
      <c r="AW338" s="5" t="s">
        <v>204</v>
      </c>
      <c r="AX338" s="5" t="s">
        <v>204</v>
      </c>
      <c r="AY338" s="5" t="s">
        <v>339</v>
      </c>
      <c r="AZ338" s="5" t="s">
        <v>204</v>
      </c>
      <c r="BA338" s="5" t="s">
        <v>295</v>
      </c>
      <c r="BB338" s="5" t="s">
        <v>206</v>
      </c>
      <c r="BC338" s="5" t="s">
        <v>206</v>
      </c>
      <c r="BD338" s="5" t="s">
        <v>290</v>
      </c>
      <c r="BE338" s="5" t="s">
        <v>204</v>
      </c>
      <c r="BF338" s="5" t="s">
        <v>204</v>
      </c>
      <c r="BG338" s="5" t="s">
        <v>271</v>
      </c>
      <c r="BH338" s="5" t="s">
        <v>242</v>
      </c>
      <c r="BI338" s="5" t="s">
        <v>207</v>
      </c>
      <c r="BJ338" s="5" t="s">
        <v>242</v>
      </c>
      <c r="BK338" s="5" t="s">
        <v>246</v>
      </c>
      <c r="BL338" s="5" t="s">
        <v>246</v>
      </c>
      <c r="BM338" s="5" t="s">
        <v>243</v>
      </c>
      <c r="BN338" s="5" t="s">
        <v>246</v>
      </c>
      <c r="BO338" s="5" t="s">
        <v>246</v>
      </c>
      <c r="BP338" s="5" t="s">
        <v>243</v>
      </c>
      <c r="BQ338" s="5" t="s">
        <v>246</v>
      </c>
      <c r="BR338" s="5" t="s">
        <v>246</v>
      </c>
      <c r="BS338" s="5" t="s">
        <v>248</v>
      </c>
      <c r="BT338" s="5" t="s">
        <v>247</v>
      </c>
      <c r="BU338" s="5" t="s">
        <v>247</v>
      </c>
      <c r="BV338" s="5" t="s">
        <v>248</v>
      </c>
      <c r="BW338" s="5" t="s">
        <v>247</v>
      </c>
      <c r="BX338" s="5" t="s">
        <v>248</v>
      </c>
      <c r="BY338" s="5" t="s">
        <v>248</v>
      </c>
      <c r="BZ338" s="5" t="s">
        <v>246</v>
      </c>
      <c r="CA338" s="5" t="s">
        <v>246</v>
      </c>
      <c r="CB338" s="5" t="s">
        <v>244</v>
      </c>
      <c r="CC338" s="5" t="s">
        <v>246</v>
      </c>
      <c r="CD338" s="5" t="s">
        <v>206</v>
      </c>
      <c r="CH338" s="5" t="s">
        <v>310</v>
      </c>
      <c r="CI338" s="5" t="s">
        <v>206</v>
      </c>
      <c r="CJ338" s="5">
        <v>1</v>
      </c>
      <c r="CK338" s="5" t="s">
        <v>223</v>
      </c>
      <c r="CU338" s="5" t="s">
        <v>206</v>
      </c>
      <c r="DA338" s="5" t="s">
        <v>231</v>
      </c>
      <c r="DB338" s="5">
        <f t="shared" si="971"/>
        <v>2</v>
      </c>
      <c r="DC338" s="5" t="s">
        <v>230</v>
      </c>
      <c r="DD338" s="5">
        <f t="shared" si="972"/>
        <v>2</v>
      </c>
      <c r="DE338" s="5" t="s">
        <v>230</v>
      </c>
      <c r="DF338" s="5">
        <f t="shared" si="973"/>
        <v>2</v>
      </c>
      <c r="DG338" s="5" t="s">
        <v>230</v>
      </c>
      <c r="DH338" s="5">
        <f t="shared" si="974"/>
        <v>2</v>
      </c>
      <c r="DI338" s="5" t="s">
        <v>230</v>
      </c>
      <c r="DJ338" s="5">
        <f t="shared" si="975"/>
        <v>2</v>
      </c>
      <c r="DK338" s="5" t="s">
        <v>230</v>
      </c>
      <c r="DL338" s="5">
        <f t="shared" si="976"/>
        <v>2</v>
      </c>
      <c r="DM338" s="5" t="s">
        <v>230</v>
      </c>
      <c r="DN338" s="5">
        <f t="shared" si="977"/>
        <v>2</v>
      </c>
      <c r="DO338" s="5" t="s">
        <v>231</v>
      </c>
      <c r="DP338" s="5">
        <f t="shared" si="978"/>
        <v>2</v>
      </c>
      <c r="DQ338" s="5" t="s">
        <v>231</v>
      </c>
      <c r="DR338" s="5">
        <f t="shared" si="979"/>
        <v>2</v>
      </c>
      <c r="DS338" s="5" t="s">
        <v>231</v>
      </c>
      <c r="DT338" s="5">
        <f t="shared" si="980"/>
        <v>2</v>
      </c>
      <c r="DU338" s="5" t="s">
        <v>231</v>
      </c>
      <c r="DV338" s="5">
        <f t="shared" si="981"/>
        <v>2</v>
      </c>
      <c r="DW338" s="5" t="s">
        <v>231</v>
      </c>
      <c r="DX338" s="5">
        <f t="shared" si="982"/>
        <v>2</v>
      </c>
      <c r="DY338" s="5">
        <f t="shared" si="983"/>
        <v>24</v>
      </c>
      <c r="DZ338" s="5" t="str">
        <f t="shared" si="984"/>
        <v>Nivel de riesgo alto</v>
      </c>
      <c r="EA338" s="5" t="s">
        <v>247</v>
      </c>
      <c r="EB338" s="5">
        <f t="shared" si="985"/>
        <v>2</v>
      </c>
      <c r="EC338" s="5" t="s">
        <v>247</v>
      </c>
      <c r="ED338" s="5">
        <f t="shared" si="986"/>
        <v>2</v>
      </c>
      <c r="EE338" s="5" t="s">
        <v>247</v>
      </c>
      <c r="EF338" s="5">
        <f t="shared" si="987"/>
        <v>2</v>
      </c>
      <c r="EG338" s="5">
        <f t="shared" si="988"/>
        <v>6</v>
      </c>
      <c r="EH338" s="5" t="str">
        <f t="shared" si="989"/>
        <v>Nivel de riesgo alto</v>
      </c>
      <c r="EI338" s="5" t="s">
        <v>247</v>
      </c>
      <c r="EJ338" s="5">
        <f t="shared" si="990"/>
        <v>2</v>
      </c>
      <c r="EK338" s="5" t="s">
        <v>247</v>
      </c>
      <c r="EL338" s="5">
        <f t="shared" si="991"/>
        <v>2</v>
      </c>
      <c r="EM338" s="5" t="s">
        <v>247</v>
      </c>
      <c r="EN338" s="5">
        <f t="shared" si="992"/>
        <v>2</v>
      </c>
      <c r="EO338" s="5">
        <f t="shared" si="993"/>
        <v>6</v>
      </c>
      <c r="EP338" s="5" t="str">
        <f t="shared" si="994"/>
        <v>Nivel de riesgo alto</v>
      </c>
      <c r="EQ338" s="5" t="s">
        <v>247</v>
      </c>
      <c r="ER338" s="5">
        <f t="shared" si="995"/>
        <v>2</v>
      </c>
      <c r="ES338" s="5" t="s">
        <v>247</v>
      </c>
      <c r="ET338" s="5">
        <f t="shared" si="996"/>
        <v>2</v>
      </c>
      <c r="EU338" s="5" t="s">
        <v>247</v>
      </c>
      <c r="EV338" s="5">
        <f t="shared" si="997"/>
        <v>2</v>
      </c>
      <c r="EW338" s="5" t="s">
        <v>247</v>
      </c>
      <c r="EX338" s="5">
        <f t="shared" si="998"/>
        <v>2</v>
      </c>
      <c r="EY338" s="5">
        <f t="shared" si="999"/>
        <v>8</v>
      </c>
      <c r="EZ338" s="5" t="str">
        <f t="shared" si="1000"/>
        <v>Nivel de riesgo alto</v>
      </c>
      <c r="FA338" s="5" t="s">
        <v>247</v>
      </c>
      <c r="FB338" s="5">
        <f t="shared" si="1001"/>
        <v>2</v>
      </c>
      <c r="FC338" s="5" t="s">
        <v>247</v>
      </c>
      <c r="FD338" s="5">
        <f t="shared" si="1002"/>
        <v>2</v>
      </c>
      <c r="FE338" s="5" t="s">
        <v>247</v>
      </c>
      <c r="FF338" s="5">
        <f t="shared" si="1003"/>
        <v>2</v>
      </c>
      <c r="FG338" s="5">
        <f t="shared" si="1004"/>
        <v>6</v>
      </c>
      <c r="FH338" s="5" t="str">
        <f t="shared" si="1005"/>
        <v>Nivel de riesgo alto</v>
      </c>
      <c r="FI338" s="5" t="s">
        <v>247</v>
      </c>
      <c r="FJ338" s="5">
        <f t="shared" si="1006"/>
        <v>2</v>
      </c>
      <c r="FK338" s="5" t="s">
        <v>247</v>
      </c>
      <c r="FL338" s="5">
        <f t="shared" si="1007"/>
        <v>2</v>
      </c>
      <c r="FM338" s="5" t="s">
        <v>247</v>
      </c>
      <c r="FN338" s="5">
        <f t="shared" si="1008"/>
        <v>2</v>
      </c>
      <c r="FO338" s="5">
        <f t="shared" si="1009"/>
        <v>6</v>
      </c>
      <c r="FP338" s="5" t="str">
        <f t="shared" si="1010"/>
        <v>Nivel de riesgo alto</v>
      </c>
      <c r="FQ338" s="5" t="s">
        <v>206</v>
      </c>
      <c r="FR338" s="5">
        <f t="shared" si="1011"/>
        <v>0</v>
      </c>
      <c r="FS338" s="5" t="s">
        <v>206</v>
      </c>
      <c r="FT338" s="5">
        <f t="shared" si="1012"/>
        <v>0</v>
      </c>
      <c r="FU338" s="5" t="s">
        <v>206</v>
      </c>
      <c r="FV338" s="5">
        <f t="shared" si="1013"/>
        <v>0</v>
      </c>
      <c r="FW338" s="5" t="s">
        <v>206</v>
      </c>
      <c r="FX338" s="5">
        <f t="shared" si="1014"/>
        <v>0</v>
      </c>
      <c r="FY338" s="5" t="s">
        <v>206</v>
      </c>
      <c r="FZ338" s="5">
        <f t="shared" si="1015"/>
        <v>0</v>
      </c>
      <c r="GA338" s="5" t="s">
        <v>206</v>
      </c>
      <c r="GB338" s="5">
        <f t="shared" si="1016"/>
        <v>0</v>
      </c>
      <c r="GC338" s="5" t="s">
        <v>206</v>
      </c>
      <c r="GD338" s="5">
        <f t="shared" si="1017"/>
        <v>0</v>
      </c>
      <c r="GE338" s="5">
        <f t="shared" si="1018"/>
        <v>0</v>
      </c>
      <c r="GF338" s="5" t="str">
        <f t="shared" si="1019"/>
        <v>Nivel de riesgo bajo</v>
      </c>
      <c r="GG338" s="5" t="s">
        <v>255</v>
      </c>
      <c r="GH338" s="5" t="s">
        <v>255</v>
      </c>
      <c r="GI338" s="5" t="s">
        <v>255</v>
      </c>
      <c r="GJ338" s="5" t="s">
        <v>255</v>
      </c>
      <c r="GK338" s="5" t="s">
        <v>233</v>
      </c>
      <c r="GL338" s="5" t="s">
        <v>273</v>
      </c>
      <c r="GM338" s="5" t="s">
        <v>266</v>
      </c>
      <c r="GN338" s="5" t="s">
        <v>257</v>
      </c>
      <c r="GO338" s="5" t="s">
        <v>257</v>
      </c>
      <c r="GP338" s="5" t="s">
        <v>257</v>
      </c>
      <c r="GQ338" s="5" t="s">
        <v>257</v>
      </c>
      <c r="GR338" s="5" t="s">
        <v>257</v>
      </c>
      <c r="GS338" s="5" t="s">
        <v>244</v>
      </c>
      <c r="GT338" s="5" t="s">
        <v>257</v>
      </c>
      <c r="GU338" s="5" t="s">
        <v>703</v>
      </c>
      <c r="GV338" s="5" t="str">
        <f>TEXT("6280685776919293234","0")</f>
        <v>6280685776919290000</v>
      </c>
    </row>
    <row r="339" spans="1:204" ht="15.75" customHeight="1" x14ac:dyDescent="0.15">
      <c r="A339" s="1">
        <f t="shared" si="969"/>
        <v>339</v>
      </c>
      <c r="B339" s="4">
        <v>45849.620011574072</v>
      </c>
      <c r="C339" s="5" t="s">
        <v>204</v>
      </c>
      <c r="D339" s="5" t="s">
        <v>206</v>
      </c>
      <c r="F339" s="5" t="s">
        <v>206</v>
      </c>
      <c r="G339" s="5" t="s">
        <v>206</v>
      </c>
      <c r="H339" s="5" t="s">
        <v>204</v>
      </c>
      <c r="K339" s="5" t="s">
        <v>237</v>
      </c>
      <c r="N339" s="5" t="s">
        <v>208</v>
      </c>
      <c r="S339" s="5" t="s">
        <v>208</v>
      </c>
      <c r="X339" s="5" t="s">
        <v>208</v>
      </c>
      <c r="AE339" s="5" t="s">
        <v>237</v>
      </c>
      <c r="AH339" s="5" t="s">
        <v>210</v>
      </c>
      <c r="AI339" s="5">
        <v>2016</v>
      </c>
      <c r="AJ339" s="5" t="s">
        <v>238</v>
      </c>
      <c r="AK339" s="5" t="str">
        <f t="shared" si="970"/>
        <v>Trabajadora por cuenta propia</v>
      </c>
      <c r="AM339" s="5" t="s">
        <v>309</v>
      </c>
      <c r="AP339" s="5" t="s">
        <v>240</v>
      </c>
      <c r="AR339" s="5" t="s">
        <v>301</v>
      </c>
      <c r="AS339" s="5" t="s">
        <v>301</v>
      </c>
      <c r="AT339" s="5" t="s">
        <v>301</v>
      </c>
      <c r="AU339" s="5" t="s">
        <v>301</v>
      </c>
      <c r="AV339" s="5" t="s">
        <v>285</v>
      </c>
      <c r="AW339" s="5" t="s">
        <v>204</v>
      </c>
      <c r="AX339" s="5" t="s">
        <v>204</v>
      </c>
      <c r="AY339" s="5" t="s">
        <v>214</v>
      </c>
      <c r="AZ339" s="5" t="s">
        <v>204</v>
      </c>
      <c r="BA339" s="5" t="s">
        <v>348</v>
      </c>
      <c r="BF339" s="5" t="s">
        <v>204</v>
      </c>
      <c r="BG339" s="5" t="s">
        <v>207</v>
      </c>
      <c r="BH339" s="5" t="s">
        <v>207</v>
      </c>
      <c r="BI339" s="5" t="s">
        <v>207</v>
      </c>
      <c r="BJ339" s="5" t="s">
        <v>264</v>
      </c>
      <c r="BK339" s="5" t="s">
        <v>244</v>
      </c>
      <c r="BL339" s="5" t="s">
        <v>244</v>
      </c>
      <c r="BM339" s="5" t="s">
        <v>244</v>
      </c>
      <c r="BN339" s="5" t="s">
        <v>244</v>
      </c>
      <c r="BO339" s="5" t="s">
        <v>244</v>
      </c>
      <c r="BP339" s="5" t="s">
        <v>244</v>
      </c>
      <c r="BQ339" s="5" t="s">
        <v>244</v>
      </c>
      <c r="BR339" s="5" t="s">
        <v>244</v>
      </c>
      <c r="BS339" s="5" t="s">
        <v>247</v>
      </c>
      <c r="BT339" s="5" t="s">
        <v>248</v>
      </c>
      <c r="BU339" s="5" t="s">
        <v>248</v>
      </c>
      <c r="BV339" s="5" t="s">
        <v>248</v>
      </c>
      <c r="BW339" s="5" t="s">
        <v>248</v>
      </c>
      <c r="BX339" s="5" t="s">
        <v>248</v>
      </c>
      <c r="BY339" s="5" t="s">
        <v>217</v>
      </c>
      <c r="BZ339" s="5" t="s">
        <v>246</v>
      </c>
      <c r="CA339" s="5" t="s">
        <v>244</v>
      </c>
      <c r="CB339" s="5" t="s">
        <v>244</v>
      </c>
      <c r="CC339" s="5" t="s">
        <v>243</v>
      </c>
      <c r="CD339" s="5" t="s">
        <v>206</v>
      </c>
      <c r="CH339" s="5" t="s">
        <v>206</v>
      </c>
      <c r="CI339" s="5" t="s">
        <v>307</v>
      </c>
      <c r="CJ339" s="5">
        <v>5</v>
      </c>
      <c r="CK339" s="5" t="s">
        <v>223</v>
      </c>
      <c r="CU339" s="5" t="s">
        <v>206</v>
      </c>
      <c r="DA339" s="5" t="s">
        <v>231</v>
      </c>
      <c r="DB339" s="5">
        <f t="shared" si="971"/>
        <v>2</v>
      </c>
      <c r="DC339" s="5" t="s">
        <v>230</v>
      </c>
      <c r="DD339" s="5">
        <f t="shared" si="972"/>
        <v>2</v>
      </c>
      <c r="DE339" s="5" t="s">
        <v>251</v>
      </c>
      <c r="DF339" s="5">
        <f t="shared" si="973"/>
        <v>1</v>
      </c>
      <c r="DG339" s="5" t="s">
        <v>251</v>
      </c>
      <c r="DH339" s="5">
        <f t="shared" si="974"/>
        <v>1</v>
      </c>
      <c r="DI339" s="5" t="s">
        <v>251</v>
      </c>
      <c r="DJ339" s="5">
        <f t="shared" si="975"/>
        <v>1</v>
      </c>
      <c r="DK339" s="5" t="s">
        <v>251</v>
      </c>
      <c r="DL339" s="5">
        <f t="shared" si="976"/>
        <v>1</v>
      </c>
      <c r="DM339" s="5" t="s">
        <v>251</v>
      </c>
      <c r="DN339" s="5">
        <f t="shared" si="977"/>
        <v>1</v>
      </c>
      <c r="DO339" s="5" t="s">
        <v>281</v>
      </c>
      <c r="DP339" s="5">
        <f t="shared" si="978"/>
        <v>1</v>
      </c>
      <c r="DQ339" s="5" t="s">
        <v>281</v>
      </c>
      <c r="DR339" s="5">
        <f t="shared" si="979"/>
        <v>1</v>
      </c>
      <c r="DS339" s="5" t="s">
        <v>281</v>
      </c>
      <c r="DT339" s="5">
        <f t="shared" si="980"/>
        <v>1</v>
      </c>
      <c r="DU339" s="5" t="s">
        <v>281</v>
      </c>
      <c r="DV339" s="5">
        <f t="shared" si="981"/>
        <v>1</v>
      </c>
      <c r="DW339" s="5" t="s">
        <v>281</v>
      </c>
      <c r="DX339" s="5">
        <f t="shared" si="982"/>
        <v>1</v>
      </c>
      <c r="DY339" s="5">
        <f t="shared" si="983"/>
        <v>14</v>
      </c>
      <c r="DZ339" s="5" t="str">
        <f t="shared" si="984"/>
        <v>Nivel de riesgo bajo</v>
      </c>
      <c r="EA339" s="5" t="s">
        <v>248</v>
      </c>
      <c r="EB339" s="5">
        <f t="shared" si="985"/>
        <v>1</v>
      </c>
      <c r="EC339" s="5" t="s">
        <v>248</v>
      </c>
      <c r="ED339" s="5">
        <f t="shared" si="986"/>
        <v>1</v>
      </c>
      <c r="EE339" s="5" t="s">
        <v>248</v>
      </c>
      <c r="EF339" s="5">
        <f t="shared" si="987"/>
        <v>1</v>
      </c>
      <c r="EG339" s="5">
        <f t="shared" si="988"/>
        <v>3</v>
      </c>
      <c r="EH339" s="5" t="str">
        <f t="shared" si="989"/>
        <v>Nivel de riesgo medio</v>
      </c>
      <c r="EI339" s="5" t="s">
        <v>253</v>
      </c>
      <c r="EJ339" s="5">
        <f t="shared" si="990"/>
        <v>0</v>
      </c>
      <c r="EK339" s="5" t="s">
        <v>248</v>
      </c>
      <c r="EL339" s="5">
        <f t="shared" si="991"/>
        <v>1</v>
      </c>
      <c r="EM339" s="5" t="s">
        <v>253</v>
      </c>
      <c r="EN339" s="5">
        <f t="shared" si="992"/>
        <v>0</v>
      </c>
      <c r="EO339" s="5">
        <f t="shared" si="993"/>
        <v>1</v>
      </c>
      <c r="EP339" s="5" t="str">
        <f t="shared" si="994"/>
        <v>Nivel de riesgo bajo</v>
      </c>
      <c r="EQ339" s="5" t="s">
        <v>247</v>
      </c>
      <c r="ER339" s="5">
        <f t="shared" si="995"/>
        <v>2</v>
      </c>
      <c r="ES339" s="5" t="s">
        <v>248</v>
      </c>
      <c r="ET339" s="5">
        <f t="shared" si="996"/>
        <v>3</v>
      </c>
      <c r="EU339" s="5" t="s">
        <v>254</v>
      </c>
      <c r="EV339" s="5">
        <f t="shared" si="997"/>
        <v>0</v>
      </c>
      <c r="EW339" s="5" t="s">
        <v>254</v>
      </c>
      <c r="EX339" s="5">
        <f t="shared" si="998"/>
        <v>0</v>
      </c>
      <c r="EY339" s="5">
        <f t="shared" si="999"/>
        <v>5</v>
      </c>
      <c r="EZ339" s="5" t="str">
        <f t="shared" si="1000"/>
        <v>Nivel de riesgo alto</v>
      </c>
      <c r="FA339" s="5" t="s">
        <v>253</v>
      </c>
      <c r="FB339" s="5">
        <f t="shared" si="1001"/>
        <v>0</v>
      </c>
      <c r="FC339" s="5" t="s">
        <v>253</v>
      </c>
      <c r="FD339" s="5">
        <f t="shared" si="1002"/>
        <v>0</v>
      </c>
      <c r="FE339" s="5" t="s">
        <v>253</v>
      </c>
      <c r="FF339" s="5">
        <f t="shared" si="1003"/>
        <v>0</v>
      </c>
      <c r="FG339" s="5">
        <f t="shared" si="1004"/>
        <v>0</v>
      </c>
      <c r="FH339" s="5" t="str">
        <f t="shared" si="1005"/>
        <v>Nivel de riesgo bajo</v>
      </c>
      <c r="FI339" s="5" t="s">
        <v>232</v>
      </c>
      <c r="FJ339" s="5">
        <f t="shared" si="1006"/>
        <v>3</v>
      </c>
      <c r="FK339" s="5" t="s">
        <v>253</v>
      </c>
      <c r="FL339" s="5">
        <f t="shared" si="1007"/>
        <v>0</v>
      </c>
      <c r="FM339" s="5" t="s">
        <v>253</v>
      </c>
      <c r="FN339" s="5">
        <f t="shared" si="1008"/>
        <v>0</v>
      </c>
      <c r="FO339" s="5">
        <f t="shared" si="1009"/>
        <v>3</v>
      </c>
      <c r="FP339" s="5" t="str">
        <f t="shared" si="1010"/>
        <v>Nivel de riesgo medio</v>
      </c>
      <c r="FQ339" s="5" t="s">
        <v>206</v>
      </c>
      <c r="FR339" s="5">
        <f t="shared" si="1011"/>
        <v>0</v>
      </c>
      <c r="FS339" s="5" t="s">
        <v>206</v>
      </c>
      <c r="FT339" s="5">
        <f t="shared" si="1012"/>
        <v>0</v>
      </c>
      <c r="FU339" s="5" t="s">
        <v>206</v>
      </c>
      <c r="FV339" s="5">
        <f t="shared" si="1013"/>
        <v>0</v>
      </c>
      <c r="FW339" s="5" t="s">
        <v>206</v>
      </c>
      <c r="FX339" s="5">
        <f t="shared" si="1014"/>
        <v>0</v>
      </c>
      <c r="FY339" s="5" t="s">
        <v>206</v>
      </c>
      <c r="FZ339" s="5">
        <f t="shared" si="1015"/>
        <v>0</v>
      </c>
      <c r="GA339" s="5" t="s">
        <v>206</v>
      </c>
      <c r="GB339" s="5">
        <f t="shared" si="1016"/>
        <v>0</v>
      </c>
      <c r="GC339" s="5" t="s">
        <v>206</v>
      </c>
      <c r="GD339" s="5">
        <f t="shared" si="1017"/>
        <v>0</v>
      </c>
      <c r="GE339" s="5">
        <f t="shared" si="1018"/>
        <v>0</v>
      </c>
      <c r="GF339" s="5" t="str">
        <f t="shared" si="1019"/>
        <v>Nivel de riesgo bajo</v>
      </c>
      <c r="GG339" s="5" t="s">
        <v>255</v>
      </c>
      <c r="GH339" s="5" t="s">
        <v>266</v>
      </c>
      <c r="GI339" s="5" t="s">
        <v>255</v>
      </c>
      <c r="GJ339" s="5" t="s">
        <v>233</v>
      </c>
      <c r="GK339" s="5" t="s">
        <v>233</v>
      </c>
      <c r="GL339" s="5" t="s">
        <v>255</v>
      </c>
      <c r="GM339" s="5" t="s">
        <v>255</v>
      </c>
      <c r="GN339" s="5" t="s">
        <v>256</v>
      </c>
      <c r="GO339" s="5" t="s">
        <v>243</v>
      </c>
      <c r="GP339" s="5" t="s">
        <v>244</v>
      </c>
      <c r="GQ339" s="5" t="s">
        <v>244</v>
      </c>
      <c r="GR339" s="5" t="s">
        <v>244</v>
      </c>
      <c r="GS339" s="5" t="s">
        <v>243</v>
      </c>
      <c r="GT339" s="5" t="s">
        <v>256</v>
      </c>
      <c r="GU339" s="5" t="s">
        <v>704</v>
      </c>
      <c r="GV339" s="5" t="str">
        <f>TEXT("6280691696872680177","0")</f>
        <v>6280691696872680000</v>
      </c>
    </row>
    <row r="340" spans="1:204" ht="15.75" customHeight="1" x14ac:dyDescent="0.15">
      <c r="A340" s="1">
        <f t="shared" si="969"/>
        <v>340</v>
      </c>
      <c r="B340" s="4">
        <v>45849.625347222223</v>
      </c>
      <c r="C340" s="5" t="s">
        <v>204</v>
      </c>
      <c r="D340" s="5" t="s">
        <v>206</v>
      </c>
      <c r="F340" s="5" t="s">
        <v>206</v>
      </c>
      <c r="G340" s="5" t="s">
        <v>206</v>
      </c>
      <c r="H340" s="5" t="s">
        <v>206</v>
      </c>
      <c r="J340" s="5" t="s">
        <v>209</v>
      </c>
      <c r="N340" s="5" t="s">
        <v>208</v>
      </c>
      <c r="S340" s="5" t="s">
        <v>208</v>
      </c>
      <c r="X340" s="5" t="s">
        <v>208</v>
      </c>
      <c r="AD340" s="5" t="s">
        <v>209</v>
      </c>
      <c r="AH340" s="5" t="s">
        <v>268</v>
      </c>
      <c r="AI340" s="5">
        <v>2012</v>
      </c>
      <c r="AJ340" s="5" t="s">
        <v>238</v>
      </c>
      <c r="AK340" s="5" t="str">
        <f t="shared" si="970"/>
        <v>Trabajadora por cuenta propia</v>
      </c>
      <c r="AM340" s="5" t="s">
        <v>309</v>
      </c>
      <c r="AP340" s="5" t="s">
        <v>240</v>
      </c>
      <c r="AR340" s="5" t="s">
        <v>301</v>
      </c>
      <c r="AS340" s="5" t="s">
        <v>301</v>
      </c>
      <c r="AT340" s="5" t="s">
        <v>301</v>
      </c>
      <c r="AU340" s="5" t="s">
        <v>301</v>
      </c>
      <c r="AV340" s="5" t="s">
        <v>213</v>
      </c>
      <c r="AW340" s="5" t="s">
        <v>206</v>
      </c>
      <c r="BF340" s="5" t="s">
        <v>204</v>
      </c>
      <c r="BG340" s="5" t="s">
        <v>242</v>
      </c>
      <c r="BH340" s="5" t="s">
        <v>242</v>
      </c>
      <c r="BI340" s="5" t="s">
        <v>242</v>
      </c>
      <c r="BJ340" s="5" t="s">
        <v>242</v>
      </c>
      <c r="BK340" s="5" t="s">
        <v>244</v>
      </c>
      <c r="BL340" s="5" t="s">
        <v>244</v>
      </c>
      <c r="BM340" s="5" t="s">
        <v>244</v>
      </c>
      <c r="BN340" s="5" t="s">
        <v>244</v>
      </c>
      <c r="BO340" s="5" t="s">
        <v>244</v>
      </c>
      <c r="BP340" s="5" t="s">
        <v>244</v>
      </c>
      <c r="BQ340" s="5" t="s">
        <v>244</v>
      </c>
      <c r="BR340" s="5" t="s">
        <v>244</v>
      </c>
      <c r="BS340" s="5" t="s">
        <v>248</v>
      </c>
      <c r="BT340" s="5" t="s">
        <v>248</v>
      </c>
      <c r="BU340" s="5" t="s">
        <v>248</v>
      </c>
      <c r="BV340" s="5" t="s">
        <v>248</v>
      </c>
      <c r="BW340" s="5" t="s">
        <v>248</v>
      </c>
      <c r="BX340" s="5" t="s">
        <v>248</v>
      </c>
      <c r="BY340" s="5" t="s">
        <v>248</v>
      </c>
      <c r="CD340" s="5" t="s">
        <v>204</v>
      </c>
      <c r="CE340" s="5" t="s">
        <v>286</v>
      </c>
      <c r="CF340" s="5" t="s">
        <v>279</v>
      </c>
      <c r="CG340" s="5" t="s">
        <v>206</v>
      </c>
      <c r="CH340" s="5" t="s">
        <v>206</v>
      </c>
      <c r="CI340" s="5" t="s">
        <v>206</v>
      </c>
      <c r="CJ340" s="5">
        <v>0</v>
      </c>
      <c r="CK340" s="5" t="s">
        <v>223</v>
      </c>
      <c r="CU340" s="5" t="s">
        <v>206</v>
      </c>
      <c r="DA340" s="5" t="s">
        <v>272</v>
      </c>
      <c r="DB340" s="5">
        <f t="shared" si="971"/>
        <v>1</v>
      </c>
      <c r="DC340" s="5" t="s">
        <v>251</v>
      </c>
      <c r="DD340" s="5">
        <f t="shared" si="972"/>
        <v>1</v>
      </c>
      <c r="DE340" s="5" t="s">
        <v>251</v>
      </c>
      <c r="DF340" s="5">
        <f t="shared" si="973"/>
        <v>1</v>
      </c>
      <c r="DG340" s="5" t="s">
        <v>251</v>
      </c>
      <c r="DH340" s="5">
        <f t="shared" si="974"/>
        <v>1</v>
      </c>
      <c r="DI340" s="5" t="s">
        <v>251</v>
      </c>
      <c r="DJ340" s="5">
        <f t="shared" si="975"/>
        <v>1</v>
      </c>
      <c r="DK340" s="5" t="s">
        <v>251</v>
      </c>
      <c r="DL340" s="5">
        <f t="shared" si="976"/>
        <v>1</v>
      </c>
      <c r="DM340" s="5" t="s">
        <v>251</v>
      </c>
      <c r="DN340" s="5">
        <f t="shared" si="977"/>
        <v>1</v>
      </c>
      <c r="DO340" s="5" t="s">
        <v>281</v>
      </c>
      <c r="DP340" s="5">
        <f t="shared" si="978"/>
        <v>1</v>
      </c>
      <c r="DQ340" s="5" t="s">
        <v>281</v>
      </c>
      <c r="DR340" s="5">
        <f t="shared" si="979"/>
        <v>1</v>
      </c>
      <c r="DS340" s="5" t="s">
        <v>281</v>
      </c>
      <c r="DT340" s="5">
        <f t="shared" si="980"/>
        <v>1</v>
      </c>
      <c r="DU340" s="5" t="s">
        <v>281</v>
      </c>
      <c r="DV340" s="5">
        <f t="shared" si="981"/>
        <v>1</v>
      </c>
      <c r="DW340" s="5" t="s">
        <v>281</v>
      </c>
      <c r="DX340" s="5">
        <f t="shared" si="982"/>
        <v>1</v>
      </c>
      <c r="DY340" s="5">
        <f t="shared" si="983"/>
        <v>12</v>
      </c>
      <c r="DZ340" s="5" t="str">
        <f t="shared" si="984"/>
        <v>Nivel de riesgo bajo</v>
      </c>
      <c r="EA340" s="5" t="s">
        <v>253</v>
      </c>
      <c r="EB340" s="5">
        <f t="shared" si="985"/>
        <v>0</v>
      </c>
      <c r="EC340" s="5" t="s">
        <v>253</v>
      </c>
      <c r="ED340" s="5">
        <f t="shared" si="986"/>
        <v>0</v>
      </c>
      <c r="EE340" s="5" t="s">
        <v>253</v>
      </c>
      <c r="EF340" s="5">
        <f t="shared" si="987"/>
        <v>0</v>
      </c>
      <c r="EG340" s="5">
        <f t="shared" si="988"/>
        <v>0</v>
      </c>
      <c r="EH340" s="5" t="str">
        <f t="shared" si="989"/>
        <v>Nivel de riesgo bajo</v>
      </c>
      <c r="EI340" s="5" t="s">
        <v>253</v>
      </c>
      <c r="EJ340" s="5">
        <f t="shared" si="990"/>
        <v>0</v>
      </c>
      <c r="EK340" s="5" t="s">
        <v>253</v>
      </c>
      <c r="EL340" s="5">
        <f t="shared" si="991"/>
        <v>0</v>
      </c>
      <c r="EM340" s="5" t="s">
        <v>253</v>
      </c>
      <c r="EN340" s="5">
        <f t="shared" si="992"/>
        <v>0</v>
      </c>
      <c r="EO340" s="5">
        <f t="shared" si="993"/>
        <v>0</v>
      </c>
      <c r="EP340" s="5" t="str">
        <f t="shared" si="994"/>
        <v>Nivel de riesgo bajo</v>
      </c>
      <c r="EQ340" s="5" t="s">
        <v>253</v>
      </c>
      <c r="ER340" s="5">
        <f t="shared" si="995"/>
        <v>4</v>
      </c>
      <c r="ES340" s="5" t="s">
        <v>253</v>
      </c>
      <c r="ET340" s="5">
        <f t="shared" si="996"/>
        <v>4</v>
      </c>
      <c r="EU340" s="5" t="s">
        <v>253</v>
      </c>
      <c r="EV340" s="5">
        <f t="shared" si="997"/>
        <v>4</v>
      </c>
      <c r="EW340" s="5" t="s">
        <v>253</v>
      </c>
      <c r="EX340" s="5">
        <f t="shared" si="998"/>
        <v>4</v>
      </c>
      <c r="EY340" s="5">
        <f t="shared" si="999"/>
        <v>16</v>
      </c>
      <c r="EZ340" s="5" t="str">
        <f t="shared" si="1000"/>
        <v>Nivel de riesgo alto</v>
      </c>
      <c r="FA340" s="5" t="s">
        <v>253</v>
      </c>
      <c r="FB340" s="5">
        <f t="shared" si="1001"/>
        <v>0</v>
      </c>
      <c r="FC340" s="5" t="s">
        <v>253</v>
      </c>
      <c r="FD340" s="5">
        <f t="shared" si="1002"/>
        <v>0</v>
      </c>
      <c r="FE340" s="5" t="s">
        <v>253</v>
      </c>
      <c r="FF340" s="5">
        <f t="shared" si="1003"/>
        <v>0</v>
      </c>
      <c r="FG340" s="5">
        <f t="shared" si="1004"/>
        <v>0</v>
      </c>
      <c r="FH340" s="5" t="str">
        <f t="shared" si="1005"/>
        <v>Nivel de riesgo bajo</v>
      </c>
      <c r="FI340" s="5" t="s">
        <v>253</v>
      </c>
      <c r="FJ340" s="5">
        <f t="shared" si="1006"/>
        <v>0</v>
      </c>
      <c r="FK340" s="5" t="s">
        <v>253</v>
      </c>
      <c r="FL340" s="5">
        <f t="shared" si="1007"/>
        <v>0</v>
      </c>
      <c r="FM340" s="5" t="s">
        <v>253</v>
      </c>
      <c r="FN340" s="5">
        <f t="shared" si="1008"/>
        <v>0</v>
      </c>
      <c r="FO340" s="5">
        <f t="shared" si="1009"/>
        <v>0</v>
      </c>
      <c r="FP340" s="5" t="str">
        <f t="shared" si="1010"/>
        <v>Nivel de riesgo bajo</v>
      </c>
      <c r="FQ340" s="5" t="s">
        <v>206</v>
      </c>
      <c r="FR340" s="5">
        <f t="shared" si="1011"/>
        <v>0</v>
      </c>
      <c r="FS340" s="5" t="s">
        <v>206</v>
      </c>
      <c r="FT340" s="5">
        <f t="shared" si="1012"/>
        <v>0</v>
      </c>
      <c r="FU340" s="5" t="s">
        <v>206</v>
      </c>
      <c r="FV340" s="5">
        <f t="shared" si="1013"/>
        <v>0</v>
      </c>
      <c r="FW340" s="5" t="s">
        <v>206</v>
      </c>
      <c r="FX340" s="5">
        <f t="shared" si="1014"/>
        <v>0</v>
      </c>
      <c r="FY340" s="5" t="s">
        <v>206</v>
      </c>
      <c r="FZ340" s="5">
        <f t="shared" si="1015"/>
        <v>0</v>
      </c>
      <c r="GA340" s="5" t="s">
        <v>206</v>
      </c>
      <c r="GB340" s="5">
        <f t="shared" si="1016"/>
        <v>0</v>
      </c>
      <c r="GC340" s="5" t="s">
        <v>206</v>
      </c>
      <c r="GD340" s="5">
        <f t="shared" si="1017"/>
        <v>0</v>
      </c>
      <c r="GE340" s="5">
        <f t="shared" si="1018"/>
        <v>0</v>
      </c>
      <c r="GF340" s="5" t="str">
        <f t="shared" si="1019"/>
        <v>Nivel de riesgo bajo</v>
      </c>
      <c r="GG340" s="5" t="s">
        <v>273</v>
      </c>
      <c r="GH340" s="5" t="s">
        <v>273</v>
      </c>
      <c r="GI340" s="5" t="s">
        <v>273</v>
      </c>
      <c r="GJ340" s="5" t="s">
        <v>273</v>
      </c>
      <c r="GK340" s="5" t="s">
        <v>273</v>
      </c>
      <c r="GL340" s="5" t="s">
        <v>273</v>
      </c>
      <c r="GM340" s="5" t="s">
        <v>273</v>
      </c>
      <c r="GN340" s="5" t="s">
        <v>243</v>
      </c>
      <c r="GO340" s="5" t="s">
        <v>243</v>
      </c>
      <c r="GP340" s="5" t="s">
        <v>243</v>
      </c>
      <c r="GQ340" s="5" t="s">
        <v>243</v>
      </c>
      <c r="GR340" s="5" t="s">
        <v>243</v>
      </c>
      <c r="GS340" s="5" t="s">
        <v>243</v>
      </c>
      <c r="GT340" s="5" t="s">
        <v>243</v>
      </c>
      <c r="GU340" s="5" t="s">
        <v>705</v>
      </c>
      <c r="GV340" s="5" t="str">
        <f>TEXT("6280696303788349319","0")</f>
        <v>6280696303788340000</v>
      </c>
    </row>
    <row r="341" spans="1:204" ht="15.75" customHeight="1" x14ac:dyDescent="0.15">
      <c r="A341" s="1">
        <f t="shared" si="969"/>
        <v>341</v>
      </c>
      <c r="B341" s="4">
        <v>45849.639953703707</v>
      </c>
      <c r="C341" s="5" t="s">
        <v>204</v>
      </c>
      <c r="D341" s="5" t="s">
        <v>206</v>
      </c>
      <c r="F341" s="5" t="s">
        <v>206</v>
      </c>
      <c r="G341" s="5" t="s">
        <v>206</v>
      </c>
      <c r="H341" s="5" t="s">
        <v>206</v>
      </c>
      <c r="J341" s="5" t="s">
        <v>209</v>
      </c>
      <c r="O341" s="5" t="s">
        <v>209</v>
      </c>
      <c r="T341" s="5" t="s">
        <v>209</v>
      </c>
      <c r="X341" s="5" t="s">
        <v>208</v>
      </c>
      <c r="AG341" s="5" t="s">
        <v>207</v>
      </c>
      <c r="AH341" s="5" t="s">
        <v>275</v>
      </c>
      <c r="AI341" s="5">
        <v>2010</v>
      </c>
      <c r="AJ341" s="5" t="s">
        <v>238</v>
      </c>
      <c r="AK341" s="5" t="str">
        <f t="shared" si="970"/>
        <v>Trabajadora por cuenta propia</v>
      </c>
      <c r="AM341" s="5" t="s">
        <v>309</v>
      </c>
      <c r="AP341" s="5" t="s">
        <v>706</v>
      </c>
      <c r="AR341" s="5" t="s">
        <v>241</v>
      </c>
      <c r="AS341" s="5" t="s">
        <v>301</v>
      </c>
      <c r="AT341" s="5" t="s">
        <v>301</v>
      </c>
      <c r="AU341" s="5" t="s">
        <v>301</v>
      </c>
      <c r="AV341" s="5" t="s">
        <v>213</v>
      </c>
      <c r="AW341" s="5" t="s">
        <v>204</v>
      </c>
      <c r="AX341" s="5" t="s">
        <v>204</v>
      </c>
      <c r="AY341" s="5" t="s">
        <v>214</v>
      </c>
      <c r="AZ341" s="5" t="s">
        <v>204</v>
      </c>
      <c r="BA341" s="5" t="s">
        <v>344</v>
      </c>
      <c r="BF341" s="5" t="s">
        <v>204</v>
      </c>
      <c r="BG341" s="5" t="s">
        <v>207</v>
      </c>
      <c r="BH341" s="5" t="s">
        <v>242</v>
      </c>
      <c r="BI341" s="5" t="s">
        <v>207</v>
      </c>
      <c r="BJ341" s="5" t="s">
        <v>242</v>
      </c>
      <c r="BK341" s="5" t="s">
        <v>243</v>
      </c>
      <c r="BL341" s="5" t="s">
        <v>246</v>
      </c>
      <c r="BM341" s="5" t="s">
        <v>244</v>
      </c>
      <c r="BN341" s="5" t="s">
        <v>243</v>
      </c>
      <c r="BO341" s="5" t="s">
        <v>246</v>
      </c>
      <c r="BP341" s="5" t="s">
        <v>246</v>
      </c>
      <c r="BQ341" s="5" t="s">
        <v>244</v>
      </c>
      <c r="BR341" s="5" t="s">
        <v>244</v>
      </c>
      <c r="BS341" s="5" t="s">
        <v>217</v>
      </c>
      <c r="BT341" s="5" t="s">
        <v>232</v>
      </c>
      <c r="BU341" s="5" t="s">
        <v>248</v>
      </c>
      <c r="BV341" s="5" t="s">
        <v>248</v>
      </c>
      <c r="BW341" s="5" t="s">
        <v>248</v>
      </c>
      <c r="BX341" s="5" t="s">
        <v>217</v>
      </c>
      <c r="BY341" s="5" t="s">
        <v>248</v>
      </c>
      <c r="BZ341" s="5" t="s">
        <v>244</v>
      </c>
      <c r="CA341" s="5" t="s">
        <v>244</v>
      </c>
      <c r="CB341" s="5" t="s">
        <v>244</v>
      </c>
      <c r="CC341" s="5" t="s">
        <v>244</v>
      </c>
      <c r="CD341" s="5" t="s">
        <v>204</v>
      </c>
      <c r="CE341" s="5" t="s">
        <v>218</v>
      </c>
      <c r="CF341" s="5" t="s">
        <v>219</v>
      </c>
      <c r="CG341" s="5" t="s">
        <v>206</v>
      </c>
      <c r="CH341" s="5" t="s">
        <v>206</v>
      </c>
      <c r="CI341" s="5" t="s">
        <v>249</v>
      </c>
      <c r="CJ341" s="5">
        <v>2</v>
      </c>
      <c r="CK341" s="5" t="s">
        <v>223</v>
      </c>
      <c r="CU341" s="5" t="s">
        <v>206</v>
      </c>
      <c r="DA341" s="5" t="s">
        <v>231</v>
      </c>
      <c r="DB341" s="5">
        <f t="shared" si="971"/>
        <v>2</v>
      </c>
      <c r="DC341" s="5" t="s">
        <v>251</v>
      </c>
      <c r="DD341" s="5">
        <f t="shared" si="972"/>
        <v>1</v>
      </c>
      <c r="DE341" s="5" t="s">
        <v>230</v>
      </c>
      <c r="DF341" s="5">
        <f t="shared" si="973"/>
        <v>2</v>
      </c>
      <c r="DG341" s="5" t="s">
        <v>230</v>
      </c>
      <c r="DH341" s="5">
        <f t="shared" si="974"/>
        <v>2</v>
      </c>
      <c r="DI341" s="5" t="s">
        <v>230</v>
      </c>
      <c r="DJ341" s="5">
        <f t="shared" si="975"/>
        <v>2</v>
      </c>
      <c r="DK341" s="5" t="s">
        <v>251</v>
      </c>
      <c r="DL341" s="5">
        <f t="shared" si="976"/>
        <v>1</v>
      </c>
      <c r="DM341" s="5" t="s">
        <v>251</v>
      </c>
      <c r="DN341" s="5">
        <f t="shared" si="977"/>
        <v>1</v>
      </c>
      <c r="DO341" s="5" t="s">
        <v>231</v>
      </c>
      <c r="DP341" s="5">
        <f t="shared" si="978"/>
        <v>2</v>
      </c>
      <c r="DQ341" s="5" t="s">
        <v>231</v>
      </c>
      <c r="DR341" s="5">
        <f t="shared" si="979"/>
        <v>2</v>
      </c>
      <c r="DS341" s="5" t="s">
        <v>281</v>
      </c>
      <c r="DT341" s="5">
        <f t="shared" si="980"/>
        <v>1</v>
      </c>
      <c r="DU341" s="5" t="s">
        <v>231</v>
      </c>
      <c r="DV341" s="5">
        <f t="shared" si="981"/>
        <v>2</v>
      </c>
      <c r="DW341" s="5" t="s">
        <v>231</v>
      </c>
      <c r="DX341" s="5">
        <f t="shared" si="982"/>
        <v>2</v>
      </c>
      <c r="DY341" s="5">
        <f t="shared" si="983"/>
        <v>20</v>
      </c>
      <c r="DZ341" s="5" t="str">
        <f t="shared" si="984"/>
        <v>Nivel de riesgo medio</v>
      </c>
      <c r="EA341" s="5" t="s">
        <v>247</v>
      </c>
      <c r="EB341" s="5">
        <f t="shared" si="985"/>
        <v>2</v>
      </c>
      <c r="EC341" s="5" t="s">
        <v>247</v>
      </c>
      <c r="ED341" s="5">
        <f t="shared" si="986"/>
        <v>2</v>
      </c>
      <c r="EE341" s="5" t="s">
        <v>248</v>
      </c>
      <c r="EF341" s="5">
        <f t="shared" si="987"/>
        <v>1</v>
      </c>
      <c r="EG341" s="5">
        <f t="shared" si="988"/>
        <v>5</v>
      </c>
      <c r="EH341" s="5" t="str">
        <f t="shared" si="989"/>
        <v>Nivel de riesgo alto</v>
      </c>
      <c r="EI341" s="5" t="s">
        <v>253</v>
      </c>
      <c r="EJ341" s="5">
        <f t="shared" si="990"/>
        <v>0</v>
      </c>
      <c r="EK341" s="5" t="s">
        <v>247</v>
      </c>
      <c r="EL341" s="5">
        <f t="shared" si="991"/>
        <v>2</v>
      </c>
      <c r="EM341" s="5" t="s">
        <v>248</v>
      </c>
      <c r="EN341" s="5">
        <f t="shared" si="992"/>
        <v>1</v>
      </c>
      <c r="EO341" s="5">
        <f t="shared" si="993"/>
        <v>3</v>
      </c>
      <c r="EP341" s="5" t="str">
        <f t="shared" si="994"/>
        <v>Nivel de riesgo medio</v>
      </c>
      <c r="EQ341" s="5" t="s">
        <v>254</v>
      </c>
      <c r="ER341" s="5">
        <f t="shared" si="995"/>
        <v>0</v>
      </c>
      <c r="ES341" s="5" t="s">
        <v>254</v>
      </c>
      <c r="ET341" s="5">
        <f t="shared" si="996"/>
        <v>0</v>
      </c>
      <c r="EU341" s="5" t="s">
        <v>254</v>
      </c>
      <c r="EV341" s="5">
        <f t="shared" si="997"/>
        <v>0</v>
      </c>
      <c r="EW341" s="5" t="s">
        <v>254</v>
      </c>
      <c r="EX341" s="5">
        <f t="shared" si="998"/>
        <v>0</v>
      </c>
      <c r="EY341" s="5">
        <f t="shared" si="999"/>
        <v>0</v>
      </c>
      <c r="EZ341" s="5" t="str">
        <f t="shared" si="1000"/>
        <v>Nivel de riesgo bajo</v>
      </c>
      <c r="FA341" s="5" t="s">
        <v>253</v>
      </c>
      <c r="FB341" s="5">
        <f t="shared" si="1001"/>
        <v>0</v>
      </c>
      <c r="FC341" s="5" t="s">
        <v>253</v>
      </c>
      <c r="FD341" s="5">
        <f t="shared" si="1002"/>
        <v>0</v>
      </c>
      <c r="FE341" s="5" t="s">
        <v>247</v>
      </c>
      <c r="FF341" s="5">
        <f t="shared" si="1003"/>
        <v>2</v>
      </c>
      <c r="FG341" s="5">
        <f t="shared" si="1004"/>
        <v>2</v>
      </c>
      <c r="FH341" s="5" t="str">
        <f t="shared" si="1005"/>
        <v>Nivel de riesgo bajo</v>
      </c>
      <c r="FI341" s="5" t="s">
        <v>253</v>
      </c>
      <c r="FJ341" s="5">
        <f t="shared" si="1006"/>
        <v>0</v>
      </c>
      <c r="FK341" s="5" t="s">
        <v>253</v>
      </c>
      <c r="FL341" s="5">
        <f t="shared" si="1007"/>
        <v>0</v>
      </c>
      <c r="FM341" s="5" t="s">
        <v>248</v>
      </c>
      <c r="FN341" s="5">
        <f t="shared" si="1008"/>
        <v>1</v>
      </c>
      <c r="FO341" s="5">
        <f t="shared" si="1009"/>
        <v>1</v>
      </c>
      <c r="FP341" s="5" t="str">
        <f t="shared" si="1010"/>
        <v>Nivel de riesgo bajo</v>
      </c>
      <c r="FQ341" s="5" t="s">
        <v>265</v>
      </c>
      <c r="FR341" s="5">
        <f t="shared" si="1011"/>
        <v>1</v>
      </c>
      <c r="FS341" s="5" t="s">
        <v>206</v>
      </c>
      <c r="FT341" s="5">
        <f t="shared" si="1012"/>
        <v>0</v>
      </c>
      <c r="FU341" s="5" t="s">
        <v>206</v>
      </c>
      <c r="FV341" s="5">
        <f t="shared" si="1013"/>
        <v>0</v>
      </c>
      <c r="FW341" s="5" t="s">
        <v>206</v>
      </c>
      <c r="FX341" s="5">
        <f t="shared" si="1014"/>
        <v>0</v>
      </c>
      <c r="FY341" s="5" t="s">
        <v>206</v>
      </c>
      <c r="FZ341" s="5">
        <f t="shared" si="1015"/>
        <v>0</v>
      </c>
      <c r="GA341" s="5" t="s">
        <v>206</v>
      </c>
      <c r="GB341" s="5">
        <f t="shared" si="1016"/>
        <v>0</v>
      </c>
      <c r="GC341" s="5" t="s">
        <v>206</v>
      </c>
      <c r="GD341" s="5">
        <f t="shared" si="1017"/>
        <v>0</v>
      </c>
      <c r="GE341" s="5">
        <f t="shared" si="1018"/>
        <v>1</v>
      </c>
      <c r="GF341" s="5" t="str">
        <f t="shared" si="1019"/>
        <v>Nivel de riesgo medio</v>
      </c>
      <c r="GG341" s="5" t="s">
        <v>255</v>
      </c>
      <c r="GH341" s="5" t="s">
        <v>266</v>
      </c>
      <c r="GI341" s="5" t="s">
        <v>255</v>
      </c>
      <c r="GJ341" s="5" t="s">
        <v>298</v>
      </c>
      <c r="GK341" s="5" t="s">
        <v>233</v>
      </c>
      <c r="GL341" s="5" t="s">
        <v>266</v>
      </c>
      <c r="GM341" s="5" t="s">
        <v>266</v>
      </c>
      <c r="GN341" s="5" t="s">
        <v>256</v>
      </c>
      <c r="GO341" s="5" t="s">
        <v>257</v>
      </c>
      <c r="GP341" s="5" t="s">
        <v>257</v>
      </c>
      <c r="GQ341" s="5" t="s">
        <v>244</v>
      </c>
      <c r="GR341" s="5" t="s">
        <v>243</v>
      </c>
      <c r="GS341" s="5" t="s">
        <v>257</v>
      </c>
      <c r="GT341" s="5" t="s">
        <v>256</v>
      </c>
      <c r="GU341" s="5" t="s">
        <v>707</v>
      </c>
      <c r="GV341" s="5" t="str">
        <f>TEXT("6280708928012750603","0")</f>
        <v>6280708928012750000</v>
      </c>
    </row>
    <row r="342" spans="1:204" ht="15.75" customHeight="1" x14ac:dyDescent="0.15">
      <c r="A342" s="1">
        <f t="shared" si="969"/>
        <v>342</v>
      </c>
      <c r="B342" s="4">
        <v>45849.646064814813</v>
      </c>
      <c r="C342" s="5" t="s">
        <v>204</v>
      </c>
      <c r="D342" s="5" t="s">
        <v>206</v>
      </c>
      <c r="F342" s="5" t="s">
        <v>206</v>
      </c>
      <c r="G342" s="5" t="s">
        <v>206</v>
      </c>
      <c r="H342" s="5" t="s">
        <v>206</v>
      </c>
      <c r="L342" s="5" t="s">
        <v>236</v>
      </c>
      <c r="P342" s="5" t="s">
        <v>237</v>
      </c>
      <c r="T342" s="5" t="s">
        <v>209</v>
      </c>
      <c r="AB342" s="5" t="s">
        <v>207</v>
      </c>
      <c r="AG342" s="5" t="s">
        <v>207</v>
      </c>
      <c r="AH342" s="5" t="s">
        <v>275</v>
      </c>
      <c r="AI342" s="5">
        <v>2022</v>
      </c>
      <c r="AJ342" s="5" t="s">
        <v>238</v>
      </c>
      <c r="AK342" s="5" t="str">
        <f t="shared" si="970"/>
        <v>Trabajadora por cuenta propia</v>
      </c>
      <c r="AL342" s="5" t="s">
        <v>239</v>
      </c>
      <c r="AP342" s="5" t="s">
        <v>297</v>
      </c>
      <c r="AR342" s="5" t="s">
        <v>301</v>
      </c>
      <c r="AS342" s="5" t="s">
        <v>301</v>
      </c>
      <c r="AT342" s="5" t="s">
        <v>301</v>
      </c>
      <c r="AU342" s="5" t="s">
        <v>241</v>
      </c>
      <c r="AV342" s="5" t="s">
        <v>302</v>
      </c>
      <c r="AW342" s="5" t="s">
        <v>206</v>
      </c>
      <c r="BF342" s="5" t="s">
        <v>204</v>
      </c>
      <c r="BG342" s="5" t="s">
        <v>207</v>
      </c>
      <c r="BH342" s="5" t="s">
        <v>215</v>
      </c>
      <c r="BI342" s="5" t="s">
        <v>207</v>
      </c>
      <c r="BJ342" s="5" t="s">
        <v>242</v>
      </c>
      <c r="BK342" s="5" t="s">
        <v>244</v>
      </c>
      <c r="BL342" s="5" t="s">
        <v>244</v>
      </c>
      <c r="BM342" s="5" t="s">
        <v>244</v>
      </c>
      <c r="BN342" s="5" t="s">
        <v>244</v>
      </c>
      <c r="BO342" s="5" t="s">
        <v>244</v>
      </c>
      <c r="BP342" s="5" t="s">
        <v>244</v>
      </c>
      <c r="BQ342" s="5" t="s">
        <v>244</v>
      </c>
      <c r="BR342" s="5" t="s">
        <v>216</v>
      </c>
      <c r="BS342" s="5" t="s">
        <v>247</v>
      </c>
      <c r="BT342" s="5" t="s">
        <v>217</v>
      </c>
      <c r="BU342" s="5" t="s">
        <v>248</v>
      </c>
      <c r="BV342" s="5" t="s">
        <v>248</v>
      </c>
      <c r="BW342" s="5" t="s">
        <v>217</v>
      </c>
      <c r="BX342" s="5" t="s">
        <v>217</v>
      </c>
      <c r="BY342" s="5" t="s">
        <v>217</v>
      </c>
      <c r="CD342" s="5" t="s">
        <v>204</v>
      </c>
      <c r="CE342" s="5" t="s">
        <v>218</v>
      </c>
      <c r="CF342" s="5" t="s">
        <v>219</v>
      </c>
      <c r="CG342" s="5" t="s">
        <v>220</v>
      </c>
      <c r="CH342" s="5" t="s">
        <v>206</v>
      </c>
      <c r="CI342" s="5" t="s">
        <v>206</v>
      </c>
      <c r="CJ342" s="5">
        <v>4</v>
      </c>
      <c r="CK342" s="5" t="s">
        <v>223</v>
      </c>
      <c r="CU342" s="5" t="s">
        <v>206</v>
      </c>
      <c r="DA342" s="5" t="s">
        <v>231</v>
      </c>
      <c r="DB342" s="5">
        <f t="shared" si="971"/>
        <v>2</v>
      </c>
      <c r="DC342" s="5" t="s">
        <v>251</v>
      </c>
      <c r="DD342" s="5">
        <f t="shared" si="972"/>
        <v>1</v>
      </c>
      <c r="DE342" s="5" t="s">
        <v>230</v>
      </c>
      <c r="DF342" s="5">
        <f t="shared" si="973"/>
        <v>2</v>
      </c>
      <c r="DG342" s="5" t="s">
        <v>251</v>
      </c>
      <c r="DH342" s="5">
        <f t="shared" si="974"/>
        <v>1</v>
      </c>
      <c r="DI342" s="5" t="s">
        <v>251</v>
      </c>
      <c r="DJ342" s="5">
        <f t="shared" si="975"/>
        <v>1</v>
      </c>
      <c r="DK342" s="5" t="s">
        <v>251</v>
      </c>
      <c r="DL342" s="5">
        <f t="shared" si="976"/>
        <v>1</v>
      </c>
      <c r="DM342" s="5" t="s">
        <v>251</v>
      </c>
      <c r="DN342" s="5">
        <f t="shared" si="977"/>
        <v>1</v>
      </c>
      <c r="DO342" s="5" t="s">
        <v>281</v>
      </c>
      <c r="DP342" s="5">
        <f t="shared" si="978"/>
        <v>1</v>
      </c>
      <c r="DQ342" s="5" t="s">
        <v>281</v>
      </c>
      <c r="DR342" s="5">
        <f t="shared" si="979"/>
        <v>1</v>
      </c>
      <c r="DS342" s="5" t="s">
        <v>281</v>
      </c>
      <c r="DT342" s="5">
        <f t="shared" si="980"/>
        <v>1</v>
      </c>
      <c r="DU342" s="5" t="s">
        <v>281</v>
      </c>
      <c r="DV342" s="5">
        <f t="shared" si="981"/>
        <v>1</v>
      </c>
      <c r="DW342" s="5" t="s">
        <v>281</v>
      </c>
      <c r="DX342" s="5">
        <f t="shared" si="982"/>
        <v>1</v>
      </c>
      <c r="DY342" s="5">
        <f t="shared" si="983"/>
        <v>14</v>
      </c>
      <c r="DZ342" s="5" t="str">
        <f t="shared" si="984"/>
        <v>Nivel de riesgo bajo</v>
      </c>
      <c r="EA342" s="5" t="s">
        <v>248</v>
      </c>
      <c r="EB342" s="5">
        <f t="shared" si="985"/>
        <v>1</v>
      </c>
      <c r="EC342" s="5" t="s">
        <v>248</v>
      </c>
      <c r="ED342" s="5">
        <f t="shared" si="986"/>
        <v>1</v>
      </c>
      <c r="EE342" s="5" t="s">
        <v>253</v>
      </c>
      <c r="EF342" s="5">
        <f t="shared" si="987"/>
        <v>0</v>
      </c>
      <c r="EG342" s="5">
        <f t="shared" si="988"/>
        <v>2</v>
      </c>
      <c r="EH342" s="5" t="str">
        <f t="shared" si="989"/>
        <v>Nivel de riesgo medio</v>
      </c>
      <c r="EI342" s="5" t="s">
        <v>248</v>
      </c>
      <c r="EJ342" s="5">
        <f t="shared" si="990"/>
        <v>1</v>
      </c>
      <c r="EK342" s="5" t="s">
        <v>253</v>
      </c>
      <c r="EL342" s="5">
        <f t="shared" si="991"/>
        <v>0</v>
      </c>
      <c r="EM342" s="5" t="s">
        <v>253</v>
      </c>
      <c r="EN342" s="5">
        <f t="shared" si="992"/>
        <v>0</v>
      </c>
      <c r="EO342" s="5">
        <f t="shared" si="993"/>
        <v>1</v>
      </c>
      <c r="EP342" s="5" t="str">
        <f t="shared" si="994"/>
        <v>Nivel de riesgo bajo</v>
      </c>
      <c r="EQ342" s="5" t="s">
        <v>253</v>
      </c>
      <c r="ER342" s="5">
        <f t="shared" si="995"/>
        <v>4</v>
      </c>
      <c r="ES342" s="5" t="s">
        <v>253</v>
      </c>
      <c r="ET342" s="5">
        <f t="shared" si="996"/>
        <v>4</v>
      </c>
      <c r="EU342" s="5" t="s">
        <v>253</v>
      </c>
      <c r="EV342" s="5">
        <f t="shared" si="997"/>
        <v>4</v>
      </c>
      <c r="EW342" s="5" t="s">
        <v>253</v>
      </c>
      <c r="EX342" s="5">
        <f t="shared" si="998"/>
        <v>4</v>
      </c>
      <c r="EY342" s="5">
        <f t="shared" si="999"/>
        <v>16</v>
      </c>
      <c r="EZ342" s="5" t="str">
        <f t="shared" si="1000"/>
        <v>Nivel de riesgo alto</v>
      </c>
      <c r="FA342" s="5" t="s">
        <v>253</v>
      </c>
      <c r="FB342" s="5">
        <f t="shared" si="1001"/>
        <v>0</v>
      </c>
      <c r="FC342" s="5" t="s">
        <v>253</v>
      </c>
      <c r="FD342" s="5">
        <f t="shared" si="1002"/>
        <v>0</v>
      </c>
      <c r="FE342" s="5" t="s">
        <v>253</v>
      </c>
      <c r="FF342" s="5">
        <f t="shared" si="1003"/>
        <v>0</v>
      </c>
      <c r="FG342" s="5">
        <f t="shared" si="1004"/>
        <v>0</v>
      </c>
      <c r="FH342" s="5" t="str">
        <f t="shared" si="1005"/>
        <v>Nivel de riesgo bajo</v>
      </c>
      <c r="FI342" s="5" t="s">
        <v>253</v>
      </c>
      <c r="FJ342" s="5">
        <f t="shared" si="1006"/>
        <v>0</v>
      </c>
      <c r="FK342" s="5" t="s">
        <v>253</v>
      </c>
      <c r="FL342" s="5">
        <f t="shared" si="1007"/>
        <v>0</v>
      </c>
      <c r="FM342" s="5" t="s">
        <v>253</v>
      </c>
      <c r="FN342" s="5">
        <f t="shared" si="1008"/>
        <v>0</v>
      </c>
      <c r="FO342" s="5">
        <f t="shared" si="1009"/>
        <v>0</v>
      </c>
      <c r="FP342" s="5" t="str">
        <f t="shared" si="1010"/>
        <v>Nivel de riesgo bajo</v>
      </c>
      <c r="FQ342" s="5" t="s">
        <v>206</v>
      </c>
      <c r="FR342" s="5">
        <f t="shared" si="1011"/>
        <v>0</v>
      </c>
      <c r="FS342" s="5" t="s">
        <v>206</v>
      </c>
      <c r="FT342" s="5">
        <f t="shared" si="1012"/>
        <v>0</v>
      </c>
      <c r="FU342" s="5" t="s">
        <v>206</v>
      </c>
      <c r="FV342" s="5">
        <f t="shared" si="1013"/>
        <v>0</v>
      </c>
      <c r="FW342" s="5" t="s">
        <v>206</v>
      </c>
      <c r="FX342" s="5">
        <f t="shared" si="1014"/>
        <v>0</v>
      </c>
      <c r="FY342" s="5" t="s">
        <v>206</v>
      </c>
      <c r="FZ342" s="5">
        <f t="shared" si="1015"/>
        <v>0</v>
      </c>
      <c r="GA342" s="5" t="s">
        <v>206</v>
      </c>
      <c r="GB342" s="5">
        <f t="shared" si="1016"/>
        <v>0</v>
      </c>
      <c r="GC342" s="5" t="s">
        <v>206</v>
      </c>
      <c r="GD342" s="5">
        <f t="shared" si="1017"/>
        <v>0</v>
      </c>
      <c r="GE342" s="5">
        <f t="shared" si="1018"/>
        <v>0</v>
      </c>
      <c r="GF342" s="5" t="str">
        <f t="shared" si="1019"/>
        <v>Nivel de riesgo bajo</v>
      </c>
      <c r="GG342" s="5" t="s">
        <v>255</v>
      </c>
      <c r="GH342" s="5" t="s">
        <v>298</v>
      </c>
      <c r="GI342" s="5" t="s">
        <v>298</v>
      </c>
      <c r="GJ342" s="5" t="s">
        <v>233</v>
      </c>
      <c r="GK342" s="5" t="s">
        <v>233</v>
      </c>
      <c r="GL342" s="5" t="s">
        <v>233</v>
      </c>
      <c r="GM342" s="5" t="s">
        <v>233</v>
      </c>
      <c r="GN342" s="5" t="s">
        <v>244</v>
      </c>
      <c r="GO342" s="5" t="s">
        <v>244</v>
      </c>
      <c r="GP342" s="5" t="s">
        <v>244</v>
      </c>
      <c r="GQ342" s="5" t="s">
        <v>244</v>
      </c>
      <c r="GR342" s="5" t="s">
        <v>244</v>
      </c>
      <c r="GS342" s="5" t="s">
        <v>244</v>
      </c>
      <c r="GT342" s="5" t="s">
        <v>244</v>
      </c>
      <c r="GU342" s="5" t="s">
        <v>708</v>
      </c>
      <c r="GV342" s="5" t="str">
        <f>TEXT("6280714200182186084","0")</f>
        <v>6280714200182180000</v>
      </c>
    </row>
    <row r="343" spans="1:204" ht="15.75" customHeight="1" x14ac:dyDescent="0.15">
      <c r="A343" s="1">
        <f t="shared" si="969"/>
        <v>343</v>
      </c>
      <c r="B343" s="4">
        <v>45849.716898148145</v>
      </c>
      <c r="C343" s="5" t="s">
        <v>204</v>
      </c>
      <c r="D343" s="5" t="s">
        <v>206</v>
      </c>
      <c r="F343" s="5" t="s">
        <v>206</v>
      </c>
      <c r="G343" s="5" t="s">
        <v>206</v>
      </c>
      <c r="H343" s="5" t="s">
        <v>204</v>
      </c>
      <c r="J343" s="5" t="s">
        <v>209</v>
      </c>
      <c r="N343" s="5" t="s">
        <v>208</v>
      </c>
      <c r="S343" s="5" t="s">
        <v>208</v>
      </c>
      <c r="X343" s="5" t="s">
        <v>208</v>
      </c>
      <c r="AC343" s="5" t="s">
        <v>208</v>
      </c>
      <c r="AH343" s="5" t="s">
        <v>268</v>
      </c>
      <c r="AI343" s="5">
        <v>2020</v>
      </c>
      <c r="AJ343" s="5" t="s">
        <v>238</v>
      </c>
      <c r="AK343" s="5" t="str">
        <f t="shared" si="970"/>
        <v>Trabajadora por cuenta propia</v>
      </c>
      <c r="AN343" s="5" t="s">
        <v>288</v>
      </c>
      <c r="AP343" s="5" t="s">
        <v>321</v>
      </c>
      <c r="AR343" s="5" t="s">
        <v>294</v>
      </c>
      <c r="AS343" s="5" t="s">
        <v>261</v>
      </c>
      <c r="AT343" s="5" t="s">
        <v>261</v>
      </c>
      <c r="AU343" s="5" t="s">
        <v>261</v>
      </c>
      <c r="AV343" s="5" t="s">
        <v>269</v>
      </c>
      <c r="AW343" s="5" t="s">
        <v>204</v>
      </c>
      <c r="AX343" s="5" t="s">
        <v>204</v>
      </c>
      <c r="AY343" s="5" t="s">
        <v>214</v>
      </c>
      <c r="AZ343" s="5" t="s">
        <v>204</v>
      </c>
      <c r="BA343" s="5" t="s">
        <v>263</v>
      </c>
      <c r="BF343" s="5" t="s">
        <v>204</v>
      </c>
      <c r="BG343" s="5" t="s">
        <v>207</v>
      </c>
      <c r="BH343" s="5" t="s">
        <v>271</v>
      </c>
      <c r="BI343" s="5" t="s">
        <v>207</v>
      </c>
      <c r="BJ343" s="5" t="s">
        <v>242</v>
      </c>
      <c r="BK343" s="5" t="s">
        <v>216</v>
      </c>
      <c r="BL343" s="5" t="s">
        <v>243</v>
      </c>
      <c r="BM343" s="5" t="s">
        <v>246</v>
      </c>
      <c r="BN343" s="5" t="s">
        <v>244</v>
      </c>
      <c r="BO343" s="5" t="s">
        <v>244</v>
      </c>
      <c r="BP343" s="5" t="s">
        <v>244</v>
      </c>
      <c r="BQ343" s="5" t="s">
        <v>246</v>
      </c>
      <c r="BR343" s="5" t="s">
        <v>246</v>
      </c>
      <c r="BS343" s="5" t="s">
        <v>247</v>
      </c>
      <c r="BT343" s="5" t="s">
        <v>217</v>
      </c>
      <c r="BU343" s="5" t="s">
        <v>248</v>
      </c>
      <c r="BV343" s="5" t="s">
        <v>247</v>
      </c>
      <c r="BW343" s="5" t="s">
        <v>247</v>
      </c>
      <c r="BX343" s="5" t="s">
        <v>247</v>
      </c>
      <c r="BY343" s="5" t="s">
        <v>247</v>
      </c>
      <c r="BZ343" s="5" t="s">
        <v>244</v>
      </c>
      <c r="CA343" s="5" t="s">
        <v>244</v>
      </c>
      <c r="CB343" s="5" t="s">
        <v>244</v>
      </c>
      <c r="CC343" s="5" t="s">
        <v>244</v>
      </c>
      <c r="CD343" s="5" t="s">
        <v>204</v>
      </c>
      <c r="CE343" s="5" t="s">
        <v>218</v>
      </c>
      <c r="CF343" s="5" t="s">
        <v>219</v>
      </c>
      <c r="CG343" s="5" t="s">
        <v>206</v>
      </c>
      <c r="CH343" s="5" t="s">
        <v>310</v>
      </c>
      <c r="CI343" s="5" t="s">
        <v>206</v>
      </c>
      <c r="CJ343" s="5">
        <v>6</v>
      </c>
      <c r="CK343" s="5" t="s">
        <v>223</v>
      </c>
      <c r="CU343" s="5" t="s">
        <v>206</v>
      </c>
      <c r="DA343" s="5" t="s">
        <v>272</v>
      </c>
      <c r="DB343" s="5">
        <f t="shared" si="971"/>
        <v>1</v>
      </c>
      <c r="DC343" s="5" t="s">
        <v>251</v>
      </c>
      <c r="DD343" s="5">
        <f t="shared" si="972"/>
        <v>1</v>
      </c>
      <c r="DE343" s="5" t="s">
        <v>251</v>
      </c>
      <c r="DF343" s="5">
        <f t="shared" si="973"/>
        <v>1</v>
      </c>
      <c r="DG343" s="5" t="s">
        <v>251</v>
      </c>
      <c r="DH343" s="5">
        <f t="shared" si="974"/>
        <v>1</v>
      </c>
      <c r="DI343" s="5" t="s">
        <v>251</v>
      </c>
      <c r="DJ343" s="5">
        <f t="shared" si="975"/>
        <v>1</v>
      </c>
      <c r="DK343" s="5" t="s">
        <v>251</v>
      </c>
      <c r="DL343" s="5">
        <f t="shared" si="976"/>
        <v>1</v>
      </c>
      <c r="DM343" s="5" t="s">
        <v>251</v>
      </c>
      <c r="DN343" s="5">
        <f t="shared" si="977"/>
        <v>1</v>
      </c>
      <c r="DO343" s="5" t="s">
        <v>281</v>
      </c>
      <c r="DP343" s="5">
        <f t="shared" si="978"/>
        <v>1</v>
      </c>
      <c r="DQ343" s="5" t="s">
        <v>281</v>
      </c>
      <c r="DR343" s="5">
        <f t="shared" si="979"/>
        <v>1</v>
      </c>
      <c r="DS343" s="5" t="s">
        <v>281</v>
      </c>
      <c r="DT343" s="5">
        <f t="shared" si="980"/>
        <v>1</v>
      </c>
      <c r="DU343" s="5" t="s">
        <v>281</v>
      </c>
      <c r="DV343" s="5">
        <f t="shared" si="981"/>
        <v>1</v>
      </c>
      <c r="DW343" s="5" t="s">
        <v>281</v>
      </c>
      <c r="DX343" s="5">
        <f t="shared" si="982"/>
        <v>1</v>
      </c>
      <c r="DY343" s="5">
        <f t="shared" si="983"/>
        <v>12</v>
      </c>
      <c r="DZ343" s="5" t="str">
        <f t="shared" si="984"/>
        <v>Nivel de riesgo bajo</v>
      </c>
      <c r="EA343" s="5" t="s">
        <v>247</v>
      </c>
      <c r="EB343" s="5">
        <f t="shared" si="985"/>
        <v>2</v>
      </c>
      <c r="EC343" s="5" t="s">
        <v>248</v>
      </c>
      <c r="ED343" s="5">
        <f t="shared" si="986"/>
        <v>1</v>
      </c>
      <c r="EE343" s="5" t="s">
        <v>253</v>
      </c>
      <c r="EF343" s="5">
        <f t="shared" si="987"/>
        <v>0</v>
      </c>
      <c r="EG343" s="5">
        <f t="shared" si="988"/>
        <v>3</v>
      </c>
      <c r="EH343" s="5" t="str">
        <f t="shared" si="989"/>
        <v>Nivel de riesgo medio</v>
      </c>
      <c r="EI343" s="5" t="s">
        <v>253</v>
      </c>
      <c r="EJ343" s="5">
        <f t="shared" si="990"/>
        <v>0</v>
      </c>
      <c r="EK343" s="5" t="s">
        <v>253</v>
      </c>
      <c r="EL343" s="5">
        <f t="shared" si="991"/>
        <v>0</v>
      </c>
      <c r="EM343" s="5" t="s">
        <v>253</v>
      </c>
      <c r="EN343" s="5">
        <f t="shared" si="992"/>
        <v>0</v>
      </c>
      <c r="EO343" s="5">
        <f t="shared" si="993"/>
        <v>0</v>
      </c>
      <c r="EP343" s="5" t="str">
        <f t="shared" si="994"/>
        <v>Nivel de riesgo bajo</v>
      </c>
      <c r="EQ343" s="5" t="s">
        <v>248</v>
      </c>
      <c r="ER343" s="5">
        <f t="shared" si="995"/>
        <v>3</v>
      </c>
      <c r="ES343" s="5" t="s">
        <v>232</v>
      </c>
      <c r="ET343" s="5">
        <f t="shared" si="996"/>
        <v>1</v>
      </c>
      <c r="EU343" s="5" t="s">
        <v>232</v>
      </c>
      <c r="EV343" s="5">
        <f t="shared" si="997"/>
        <v>1</v>
      </c>
      <c r="EW343" s="5" t="s">
        <v>232</v>
      </c>
      <c r="EX343" s="5">
        <f t="shared" si="998"/>
        <v>1</v>
      </c>
      <c r="EY343" s="5">
        <f t="shared" si="999"/>
        <v>6</v>
      </c>
      <c r="EZ343" s="5" t="str">
        <f t="shared" si="1000"/>
        <v>Nivel de riesgo alto</v>
      </c>
      <c r="FA343" s="5" t="s">
        <v>253</v>
      </c>
      <c r="FB343" s="5">
        <f t="shared" si="1001"/>
        <v>0</v>
      </c>
      <c r="FC343" s="5" t="s">
        <v>253</v>
      </c>
      <c r="FD343" s="5">
        <f t="shared" si="1002"/>
        <v>0</v>
      </c>
      <c r="FE343" s="5" t="s">
        <v>253</v>
      </c>
      <c r="FF343" s="5">
        <f t="shared" si="1003"/>
        <v>0</v>
      </c>
      <c r="FG343" s="5">
        <f t="shared" si="1004"/>
        <v>0</v>
      </c>
      <c r="FH343" s="5" t="str">
        <f t="shared" si="1005"/>
        <v>Nivel de riesgo bajo</v>
      </c>
      <c r="FI343" s="5" t="s">
        <v>248</v>
      </c>
      <c r="FJ343" s="5">
        <f t="shared" si="1006"/>
        <v>1</v>
      </c>
      <c r="FK343" s="5" t="s">
        <v>248</v>
      </c>
      <c r="FL343" s="5">
        <f t="shared" si="1007"/>
        <v>1</v>
      </c>
      <c r="FM343" s="5" t="s">
        <v>248</v>
      </c>
      <c r="FN343" s="5">
        <f t="shared" si="1008"/>
        <v>1</v>
      </c>
      <c r="FO343" s="5">
        <f t="shared" si="1009"/>
        <v>3</v>
      </c>
      <c r="FP343" s="5" t="str">
        <f t="shared" si="1010"/>
        <v>Nivel de riesgo medio</v>
      </c>
      <c r="FQ343" s="5" t="s">
        <v>206</v>
      </c>
      <c r="FR343" s="5">
        <f t="shared" si="1011"/>
        <v>0</v>
      </c>
      <c r="FS343" s="5" t="s">
        <v>206</v>
      </c>
      <c r="FT343" s="5">
        <f t="shared" si="1012"/>
        <v>0</v>
      </c>
      <c r="FU343" s="5" t="s">
        <v>206</v>
      </c>
      <c r="FV343" s="5">
        <f t="shared" si="1013"/>
        <v>0</v>
      </c>
      <c r="FW343" s="5" t="s">
        <v>206</v>
      </c>
      <c r="FX343" s="5">
        <f t="shared" si="1014"/>
        <v>0</v>
      </c>
      <c r="FY343" s="5" t="s">
        <v>206</v>
      </c>
      <c r="FZ343" s="5">
        <f t="shared" si="1015"/>
        <v>0</v>
      </c>
      <c r="GA343" s="5" t="s">
        <v>206</v>
      </c>
      <c r="GB343" s="5">
        <f t="shared" si="1016"/>
        <v>0</v>
      </c>
      <c r="GC343" s="5" t="s">
        <v>206</v>
      </c>
      <c r="GD343" s="5">
        <f t="shared" si="1017"/>
        <v>0</v>
      </c>
      <c r="GE343" s="5">
        <f t="shared" si="1018"/>
        <v>0</v>
      </c>
      <c r="GF343" s="5" t="str">
        <f t="shared" si="1019"/>
        <v>Nivel de riesgo bajo</v>
      </c>
      <c r="GG343" s="5" t="s">
        <v>255</v>
      </c>
      <c r="GH343" s="5" t="s">
        <v>255</v>
      </c>
      <c r="GI343" s="5" t="s">
        <v>255</v>
      </c>
      <c r="GJ343" s="5" t="s">
        <v>298</v>
      </c>
      <c r="GK343" s="5" t="s">
        <v>233</v>
      </c>
      <c r="GL343" s="5" t="s">
        <v>266</v>
      </c>
      <c r="GM343" s="5" t="s">
        <v>273</v>
      </c>
      <c r="GN343" s="5" t="s">
        <v>243</v>
      </c>
      <c r="GO343" s="5" t="s">
        <v>257</v>
      </c>
      <c r="GP343" s="5" t="s">
        <v>257</v>
      </c>
      <c r="GQ343" s="5" t="s">
        <v>243</v>
      </c>
      <c r="GR343" s="5" t="s">
        <v>257</v>
      </c>
      <c r="GS343" s="5" t="s">
        <v>243</v>
      </c>
      <c r="GT343" s="5" t="s">
        <v>257</v>
      </c>
      <c r="GU343" s="5" t="s">
        <v>709</v>
      </c>
      <c r="GV343" s="5" t="str">
        <f>TEXT("6280775405537035275","0")</f>
        <v>6280775405537030000</v>
      </c>
    </row>
    <row r="344" spans="1:204" ht="15.75" customHeight="1" x14ac:dyDescent="0.15">
      <c r="A344" s="1">
        <f t="shared" si="969"/>
        <v>344</v>
      </c>
      <c r="B344" s="4">
        <v>45849.717048611114</v>
      </c>
      <c r="C344" s="5" t="s">
        <v>204</v>
      </c>
      <c r="D344" s="5" t="s">
        <v>206</v>
      </c>
      <c r="F344" s="5" t="s">
        <v>206</v>
      </c>
      <c r="G344" s="5" t="s">
        <v>206</v>
      </c>
      <c r="H344" s="5" t="s">
        <v>206</v>
      </c>
      <c r="K344" s="5" t="s">
        <v>237</v>
      </c>
      <c r="O344" s="5" t="s">
        <v>209</v>
      </c>
      <c r="S344" s="5" t="s">
        <v>208</v>
      </c>
      <c r="X344" s="5" t="s">
        <v>208</v>
      </c>
      <c r="AD344" s="5" t="s">
        <v>209</v>
      </c>
      <c r="AH344" s="5" t="s">
        <v>275</v>
      </c>
      <c r="AI344" s="5">
        <v>2023</v>
      </c>
      <c r="AJ344" s="5" t="s">
        <v>238</v>
      </c>
      <c r="AK344" s="5" t="str">
        <f t="shared" si="970"/>
        <v>Trabajadora por cuenta propia</v>
      </c>
      <c r="AL344" s="5" t="s">
        <v>239</v>
      </c>
      <c r="AP344" s="5" t="s">
        <v>284</v>
      </c>
      <c r="AR344" s="5" t="s">
        <v>276</v>
      </c>
      <c r="AS344" s="5" t="s">
        <v>276</v>
      </c>
      <c r="AT344" s="5" t="s">
        <v>276</v>
      </c>
      <c r="AU344" s="5" t="s">
        <v>276</v>
      </c>
      <c r="AV344" s="5" t="s">
        <v>285</v>
      </c>
      <c r="AW344" s="5" t="s">
        <v>204</v>
      </c>
      <c r="AX344" s="5" t="s">
        <v>204</v>
      </c>
      <c r="AY344" s="5" t="s">
        <v>214</v>
      </c>
      <c r="AZ344" s="5" t="s">
        <v>204</v>
      </c>
      <c r="BA344" s="5" t="s">
        <v>263</v>
      </c>
      <c r="BF344" s="5" t="s">
        <v>204</v>
      </c>
      <c r="BG344" s="5" t="s">
        <v>278</v>
      </c>
      <c r="BH344" s="5" t="s">
        <v>278</v>
      </c>
      <c r="BI344" s="5" t="s">
        <v>278</v>
      </c>
      <c r="BJ344" s="5" t="s">
        <v>278</v>
      </c>
      <c r="BK344" s="5" t="s">
        <v>216</v>
      </c>
      <c r="BL344" s="5" t="s">
        <v>246</v>
      </c>
      <c r="BM344" s="5" t="s">
        <v>244</v>
      </c>
      <c r="BN344" s="5" t="s">
        <v>244</v>
      </c>
      <c r="BO344" s="5" t="s">
        <v>216</v>
      </c>
      <c r="BP344" s="5" t="s">
        <v>216</v>
      </c>
      <c r="BQ344" s="5" t="s">
        <v>216</v>
      </c>
      <c r="BR344" s="5" t="s">
        <v>216</v>
      </c>
      <c r="BS344" s="5" t="s">
        <v>217</v>
      </c>
      <c r="BT344" s="5" t="s">
        <v>217</v>
      </c>
      <c r="BU344" s="5" t="s">
        <v>217</v>
      </c>
      <c r="BV344" s="5" t="s">
        <v>217</v>
      </c>
      <c r="BW344" s="5" t="s">
        <v>217</v>
      </c>
      <c r="BX344" s="5" t="s">
        <v>217</v>
      </c>
      <c r="BY344" s="5" t="s">
        <v>217</v>
      </c>
      <c r="BZ344" s="5" t="s">
        <v>216</v>
      </c>
      <c r="CA344" s="5" t="s">
        <v>216</v>
      </c>
      <c r="CB344" s="5" t="s">
        <v>216</v>
      </c>
      <c r="CC344" s="5" t="s">
        <v>216</v>
      </c>
      <c r="CD344" s="5" t="s">
        <v>204</v>
      </c>
      <c r="CE344" s="5" t="s">
        <v>218</v>
      </c>
      <c r="CF344" s="5" t="s">
        <v>219</v>
      </c>
      <c r="CG344" s="5" t="s">
        <v>206</v>
      </c>
      <c r="CH344" s="5" t="s">
        <v>206</v>
      </c>
      <c r="CI344" s="5" t="s">
        <v>318</v>
      </c>
      <c r="CJ344" s="5">
        <v>9</v>
      </c>
      <c r="CK344" s="5" t="s">
        <v>223</v>
      </c>
      <c r="CU344" s="5" t="s">
        <v>206</v>
      </c>
      <c r="DA344" s="5" t="s">
        <v>231</v>
      </c>
      <c r="DB344" s="5">
        <f t="shared" si="971"/>
        <v>2</v>
      </c>
      <c r="DC344" s="5" t="s">
        <v>251</v>
      </c>
      <c r="DD344" s="5">
        <f t="shared" si="972"/>
        <v>1</v>
      </c>
      <c r="DE344" s="5" t="s">
        <v>251</v>
      </c>
      <c r="DF344" s="5">
        <f t="shared" si="973"/>
        <v>1</v>
      </c>
      <c r="DG344" s="5" t="s">
        <v>251</v>
      </c>
      <c r="DH344" s="5">
        <f t="shared" si="974"/>
        <v>1</v>
      </c>
      <c r="DI344" s="5" t="s">
        <v>251</v>
      </c>
      <c r="DJ344" s="5">
        <f t="shared" si="975"/>
        <v>1</v>
      </c>
      <c r="DK344" s="5" t="s">
        <v>251</v>
      </c>
      <c r="DL344" s="5">
        <f t="shared" si="976"/>
        <v>1</v>
      </c>
      <c r="DM344" s="5" t="s">
        <v>251</v>
      </c>
      <c r="DN344" s="5">
        <f t="shared" si="977"/>
        <v>1</v>
      </c>
      <c r="DO344" s="5" t="s">
        <v>231</v>
      </c>
      <c r="DP344" s="5">
        <f t="shared" si="978"/>
        <v>2</v>
      </c>
      <c r="DQ344" s="5" t="s">
        <v>231</v>
      </c>
      <c r="DR344" s="5">
        <f t="shared" si="979"/>
        <v>2</v>
      </c>
      <c r="DS344" s="5" t="s">
        <v>231</v>
      </c>
      <c r="DT344" s="5">
        <f t="shared" si="980"/>
        <v>2</v>
      </c>
      <c r="DU344" s="5" t="s">
        <v>231</v>
      </c>
      <c r="DV344" s="5">
        <f t="shared" si="981"/>
        <v>2</v>
      </c>
      <c r="DW344" s="5" t="s">
        <v>231</v>
      </c>
      <c r="DX344" s="5">
        <f t="shared" si="982"/>
        <v>2</v>
      </c>
      <c r="DY344" s="5">
        <f t="shared" si="983"/>
        <v>18</v>
      </c>
      <c r="DZ344" s="5" t="str">
        <f t="shared" si="984"/>
        <v>Nivel de riesgo bajo</v>
      </c>
      <c r="EA344" s="5" t="s">
        <v>248</v>
      </c>
      <c r="EB344" s="5">
        <f t="shared" si="985"/>
        <v>1</v>
      </c>
      <c r="EC344" s="5" t="s">
        <v>253</v>
      </c>
      <c r="ED344" s="5">
        <f t="shared" si="986"/>
        <v>0</v>
      </c>
      <c r="EE344" s="5" t="s">
        <v>253</v>
      </c>
      <c r="EF344" s="5">
        <f t="shared" si="987"/>
        <v>0</v>
      </c>
      <c r="EG344" s="5">
        <f t="shared" si="988"/>
        <v>1</v>
      </c>
      <c r="EH344" s="5" t="str">
        <f t="shared" si="989"/>
        <v>Nivel de riesgo bajo</v>
      </c>
      <c r="EI344" s="5" t="s">
        <v>253</v>
      </c>
      <c r="EJ344" s="5">
        <f t="shared" si="990"/>
        <v>0</v>
      </c>
      <c r="EK344" s="5" t="s">
        <v>253</v>
      </c>
      <c r="EL344" s="5">
        <f t="shared" si="991"/>
        <v>0</v>
      </c>
      <c r="EM344" s="5" t="s">
        <v>253</v>
      </c>
      <c r="EN344" s="5">
        <f t="shared" si="992"/>
        <v>0</v>
      </c>
      <c r="EO344" s="5">
        <f t="shared" si="993"/>
        <v>0</v>
      </c>
      <c r="EP344" s="5" t="str">
        <f t="shared" si="994"/>
        <v>Nivel de riesgo bajo</v>
      </c>
      <c r="EQ344" s="5" t="s">
        <v>253</v>
      </c>
      <c r="ER344" s="5">
        <f t="shared" si="995"/>
        <v>4</v>
      </c>
      <c r="ES344" s="5" t="s">
        <v>253</v>
      </c>
      <c r="ET344" s="5">
        <f t="shared" si="996"/>
        <v>4</v>
      </c>
      <c r="EU344" s="5" t="s">
        <v>253</v>
      </c>
      <c r="EV344" s="5">
        <f t="shared" si="997"/>
        <v>4</v>
      </c>
      <c r="EW344" s="5" t="s">
        <v>253</v>
      </c>
      <c r="EX344" s="5">
        <f t="shared" si="998"/>
        <v>4</v>
      </c>
      <c r="EY344" s="5">
        <f t="shared" si="999"/>
        <v>16</v>
      </c>
      <c r="EZ344" s="5" t="str">
        <f t="shared" si="1000"/>
        <v>Nivel de riesgo alto</v>
      </c>
      <c r="FA344" s="5" t="s">
        <v>253</v>
      </c>
      <c r="FB344" s="5">
        <f t="shared" si="1001"/>
        <v>0</v>
      </c>
      <c r="FC344" s="5" t="s">
        <v>253</v>
      </c>
      <c r="FD344" s="5">
        <f t="shared" si="1002"/>
        <v>0</v>
      </c>
      <c r="FE344" s="5" t="s">
        <v>253</v>
      </c>
      <c r="FF344" s="5">
        <f t="shared" si="1003"/>
        <v>0</v>
      </c>
      <c r="FG344" s="5">
        <f t="shared" si="1004"/>
        <v>0</v>
      </c>
      <c r="FH344" s="5" t="str">
        <f t="shared" si="1005"/>
        <v>Nivel de riesgo bajo</v>
      </c>
      <c r="FI344" s="5" t="s">
        <v>253</v>
      </c>
      <c r="FJ344" s="5">
        <f t="shared" si="1006"/>
        <v>0</v>
      </c>
      <c r="FK344" s="5" t="s">
        <v>253</v>
      </c>
      <c r="FL344" s="5">
        <f t="shared" si="1007"/>
        <v>0</v>
      </c>
      <c r="FM344" s="5" t="s">
        <v>253</v>
      </c>
      <c r="FN344" s="5">
        <f t="shared" si="1008"/>
        <v>0</v>
      </c>
      <c r="FO344" s="5">
        <f t="shared" si="1009"/>
        <v>0</v>
      </c>
      <c r="FP344" s="5" t="str">
        <f t="shared" si="1010"/>
        <v>Nivel de riesgo bajo</v>
      </c>
      <c r="FQ344" s="5" t="s">
        <v>206</v>
      </c>
      <c r="FR344" s="5">
        <f t="shared" si="1011"/>
        <v>0</v>
      </c>
      <c r="FS344" s="5" t="s">
        <v>206</v>
      </c>
      <c r="FT344" s="5">
        <f t="shared" si="1012"/>
        <v>0</v>
      </c>
      <c r="FU344" s="5" t="s">
        <v>206</v>
      </c>
      <c r="FV344" s="5">
        <f t="shared" si="1013"/>
        <v>0</v>
      </c>
      <c r="FW344" s="5" t="s">
        <v>206</v>
      </c>
      <c r="FX344" s="5">
        <f t="shared" si="1014"/>
        <v>0</v>
      </c>
      <c r="FY344" s="5" t="s">
        <v>206</v>
      </c>
      <c r="FZ344" s="5">
        <f t="shared" si="1015"/>
        <v>0</v>
      </c>
      <c r="GA344" s="5" t="s">
        <v>206</v>
      </c>
      <c r="GB344" s="5">
        <f t="shared" si="1016"/>
        <v>0</v>
      </c>
      <c r="GC344" s="5" t="s">
        <v>206</v>
      </c>
      <c r="GD344" s="5">
        <f t="shared" si="1017"/>
        <v>0</v>
      </c>
      <c r="GE344" s="5">
        <f t="shared" si="1018"/>
        <v>0</v>
      </c>
      <c r="GF344" s="5" t="str">
        <f t="shared" si="1019"/>
        <v>Nivel de riesgo bajo</v>
      </c>
      <c r="GG344" s="5" t="s">
        <v>255</v>
      </c>
      <c r="GH344" s="5" t="s">
        <v>255</v>
      </c>
      <c r="GI344" s="5" t="s">
        <v>255</v>
      </c>
      <c r="GJ344" s="5" t="s">
        <v>233</v>
      </c>
      <c r="GK344" s="5" t="s">
        <v>233</v>
      </c>
      <c r="GL344" s="5" t="s">
        <v>266</v>
      </c>
      <c r="GM344" s="5" t="s">
        <v>255</v>
      </c>
      <c r="GN344" s="5" t="s">
        <v>256</v>
      </c>
      <c r="GO344" s="5" t="s">
        <v>256</v>
      </c>
      <c r="GP344" s="5" t="s">
        <v>256</v>
      </c>
      <c r="GQ344" s="5" t="s">
        <v>256</v>
      </c>
      <c r="GR344" s="5" t="s">
        <v>256</v>
      </c>
      <c r="GS344" s="5" t="s">
        <v>256</v>
      </c>
      <c r="GT344" s="5" t="s">
        <v>256</v>
      </c>
      <c r="GU344" s="5" t="s">
        <v>710</v>
      </c>
      <c r="GV344" s="5" t="str">
        <f>TEXT("6280775534686632939","0")</f>
        <v>6280775534686630000</v>
      </c>
    </row>
    <row r="345" spans="1:204" ht="15.75" customHeight="1" x14ac:dyDescent="0.15">
      <c r="A345" s="1">
        <f t="shared" si="969"/>
        <v>345</v>
      </c>
      <c r="B345" s="4">
        <v>45849.747789351852</v>
      </c>
      <c r="C345" s="5" t="s">
        <v>204</v>
      </c>
      <c r="D345" s="5" t="s">
        <v>206</v>
      </c>
      <c r="F345" s="5" t="s">
        <v>206</v>
      </c>
      <c r="G345" s="5" t="s">
        <v>204</v>
      </c>
      <c r="H345" s="5" t="s">
        <v>204</v>
      </c>
      <c r="M345" s="5" t="s">
        <v>207</v>
      </c>
      <c r="R345" s="5" t="s">
        <v>207</v>
      </c>
      <c r="T345" s="5" t="s">
        <v>209</v>
      </c>
      <c r="Z345" s="5" t="s">
        <v>237</v>
      </c>
      <c r="AD345" s="5" t="s">
        <v>209</v>
      </c>
      <c r="AH345" s="5" t="s">
        <v>210</v>
      </c>
      <c r="AI345" s="5">
        <v>2021</v>
      </c>
      <c r="AJ345" s="5" t="s">
        <v>238</v>
      </c>
      <c r="AK345" s="5" t="str">
        <f t="shared" si="970"/>
        <v>Trabajadora por cuenta propia</v>
      </c>
      <c r="AO345" s="5" t="s">
        <v>390</v>
      </c>
      <c r="AP345" s="5" t="s">
        <v>297</v>
      </c>
      <c r="AR345" s="5" t="s">
        <v>241</v>
      </c>
      <c r="AS345" s="5" t="s">
        <v>241</v>
      </c>
      <c r="AT345" s="5" t="s">
        <v>241</v>
      </c>
      <c r="AU345" s="5" t="s">
        <v>261</v>
      </c>
      <c r="AV345" s="5" t="s">
        <v>269</v>
      </c>
      <c r="AW345" s="5" t="s">
        <v>204</v>
      </c>
      <c r="AX345" s="5" t="s">
        <v>206</v>
      </c>
      <c r="BF345" s="5" t="s">
        <v>204</v>
      </c>
      <c r="BG345" s="5" t="s">
        <v>271</v>
      </c>
      <c r="BH345" s="5" t="s">
        <v>278</v>
      </c>
      <c r="BI345" s="5" t="s">
        <v>278</v>
      </c>
      <c r="BJ345" s="5" t="s">
        <v>278</v>
      </c>
      <c r="BK345" s="5" t="s">
        <v>245</v>
      </c>
      <c r="BL345" s="5" t="s">
        <v>245</v>
      </c>
      <c r="BM345" s="5" t="s">
        <v>245</v>
      </c>
      <c r="BN345" s="5" t="s">
        <v>245</v>
      </c>
      <c r="BO345" s="5" t="s">
        <v>243</v>
      </c>
      <c r="BP345" s="5" t="s">
        <v>246</v>
      </c>
      <c r="BQ345" s="5" t="s">
        <v>246</v>
      </c>
      <c r="BR345" s="5" t="s">
        <v>243</v>
      </c>
      <c r="BS345" s="5" t="s">
        <v>254</v>
      </c>
      <c r="BT345" s="5" t="s">
        <v>254</v>
      </c>
      <c r="BU345" s="5" t="s">
        <v>247</v>
      </c>
      <c r="BV345" s="5" t="s">
        <v>232</v>
      </c>
      <c r="BW345" s="5" t="s">
        <v>254</v>
      </c>
      <c r="BX345" s="5" t="s">
        <v>254</v>
      </c>
      <c r="BY345" s="5" t="s">
        <v>232</v>
      </c>
      <c r="BZ345" s="5" t="s">
        <v>246</v>
      </c>
      <c r="CA345" s="5" t="s">
        <v>245</v>
      </c>
      <c r="CB345" s="5" t="s">
        <v>246</v>
      </c>
      <c r="CC345" s="5" t="s">
        <v>245</v>
      </c>
      <c r="CD345" s="5" t="s">
        <v>204</v>
      </c>
      <c r="CE345" s="5" t="s">
        <v>218</v>
      </c>
      <c r="CF345" s="5" t="s">
        <v>219</v>
      </c>
      <c r="CG345" s="5" t="s">
        <v>373</v>
      </c>
      <c r="CH345" s="5" t="s">
        <v>206</v>
      </c>
      <c r="CI345" s="5" t="s">
        <v>206</v>
      </c>
      <c r="CJ345" s="5">
        <v>0</v>
      </c>
      <c r="CK345" s="5" t="s">
        <v>223</v>
      </c>
      <c r="CU345" s="5" t="s">
        <v>206</v>
      </c>
      <c r="DA345" s="5" t="s">
        <v>231</v>
      </c>
      <c r="DB345" s="5">
        <f t="shared" si="971"/>
        <v>2</v>
      </c>
      <c r="DC345" s="5" t="s">
        <v>250</v>
      </c>
      <c r="DD345" s="5">
        <f t="shared" si="972"/>
        <v>3</v>
      </c>
      <c r="DE345" s="5" t="s">
        <v>250</v>
      </c>
      <c r="DF345" s="5">
        <f t="shared" si="973"/>
        <v>3</v>
      </c>
      <c r="DG345" s="5" t="s">
        <v>250</v>
      </c>
      <c r="DH345" s="5">
        <f t="shared" si="974"/>
        <v>3</v>
      </c>
      <c r="DI345" s="5" t="s">
        <v>280</v>
      </c>
      <c r="DJ345" s="5">
        <f t="shared" si="975"/>
        <v>4</v>
      </c>
      <c r="DK345" s="5" t="s">
        <v>280</v>
      </c>
      <c r="DL345" s="5">
        <f t="shared" si="976"/>
        <v>4</v>
      </c>
      <c r="DM345" s="5" t="s">
        <v>280</v>
      </c>
      <c r="DN345" s="5">
        <f t="shared" si="977"/>
        <v>4</v>
      </c>
      <c r="DO345" s="5" t="s">
        <v>252</v>
      </c>
      <c r="DP345" s="5">
        <f t="shared" si="978"/>
        <v>3</v>
      </c>
      <c r="DQ345" s="5" t="s">
        <v>231</v>
      </c>
      <c r="DR345" s="5">
        <f t="shared" si="979"/>
        <v>2</v>
      </c>
      <c r="DS345" s="5" t="s">
        <v>229</v>
      </c>
      <c r="DT345" s="5">
        <f t="shared" si="980"/>
        <v>4</v>
      </c>
      <c r="DU345" s="5" t="s">
        <v>252</v>
      </c>
      <c r="DV345" s="5">
        <f t="shared" si="981"/>
        <v>3</v>
      </c>
      <c r="DW345" s="5" t="s">
        <v>281</v>
      </c>
      <c r="DX345" s="5">
        <f t="shared" si="982"/>
        <v>1</v>
      </c>
      <c r="DY345" s="5">
        <f t="shared" si="983"/>
        <v>36</v>
      </c>
      <c r="DZ345" s="5" t="str">
        <f t="shared" si="984"/>
        <v>Nivel de riesgo alto</v>
      </c>
      <c r="EA345" s="5" t="s">
        <v>254</v>
      </c>
      <c r="EB345" s="5">
        <f t="shared" si="985"/>
        <v>4</v>
      </c>
      <c r="EC345" s="5" t="s">
        <v>254</v>
      </c>
      <c r="ED345" s="5">
        <f t="shared" si="986"/>
        <v>4</v>
      </c>
      <c r="EE345" s="5" t="s">
        <v>248</v>
      </c>
      <c r="EF345" s="5">
        <f t="shared" si="987"/>
        <v>1</v>
      </c>
      <c r="EG345" s="5">
        <f t="shared" si="988"/>
        <v>9</v>
      </c>
      <c r="EH345" s="5" t="str">
        <f t="shared" si="989"/>
        <v>Nivel de riesgo alto</v>
      </c>
      <c r="EI345" s="5" t="s">
        <v>247</v>
      </c>
      <c r="EJ345" s="5">
        <f t="shared" si="990"/>
        <v>2</v>
      </c>
      <c r="EK345" s="5" t="s">
        <v>247</v>
      </c>
      <c r="EL345" s="5">
        <f t="shared" si="991"/>
        <v>2</v>
      </c>
      <c r="EM345" s="5" t="s">
        <v>254</v>
      </c>
      <c r="EN345" s="5">
        <f t="shared" si="992"/>
        <v>4</v>
      </c>
      <c r="EO345" s="5">
        <f t="shared" si="993"/>
        <v>8</v>
      </c>
      <c r="EP345" s="5" t="str">
        <f t="shared" si="994"/>
        <v>Nivel de riesgo alto</v>
      </c>
      <c r="EQ345" s="5" t="s">
        <v>248</v>
      </c>
      <c r="ER345" s="5">
        <f t="shared" si="995"/>
        <v>3</v>
      </c>
      <c r="ES345" s="5" t="s">
        <v>253</v>
      </c>
      <c r="ET345" s="5">
        <f t="shared" si="996"/>
        <v>4</v>
      </c>
      <c r="EU345" s="5" t="s">
        <v>254</v>
      </c>
      <c r="EV345" s="5">
        <f t="shared" si="997"/>
        <v>0</v>
      </c>
      <c r="EW345" s="5" t="s">
        <v>254</v>
      </c>
      <c r="EX345" s="5">
        <f t="shared" si="998"/>
        <v>0</v>
      </c>
      <c r="EY345" s="5">
        <f t="shared" si="999"/>
        <v>7</v>
      </c>
      <c r="EZ345" s="5" t="str">
        <f t="shared" si="1000"/>
        <v>Nivel de riesgo alto</v>
      </c>
      <c r="FA345" s="5" t="s">
        <v>254</v>
      </c>
      <c r="FB345" s="5">
        <f t="shared" si="1001"/>
        <v>4</v>
      </c>
      <c r="FC345" s="5" t="s">
        <v>253</v>
      </c>
      <c r="FD345" s="5">
        <f t="shared" si="1002"/>
        <v>0</v>
      </c>
      <c r="FE345" s="5" t="s">
        <v>253</v>
      </c>
      <c r="FF345" s="5">
        <f t="shared" si="1003"/>
        <v>0</v>
      </c>
      <c r="FG345" s="5">
        <f t="shared" si="1004"/>
        <v>4</v>
      </c>
      <c r="FH345" s="5" t="str">
        <f t="shared" si="1005"/>
        <v>Nivel de riesgo medio</v>
      </c>
      <c r="FI345" s="5" t="s">
        <v>253</v>
      </c>
      <c r="FJ345" s="5">
        <f t="shared" si="1006"/>
        <v>0</v>
      </c>
      <c r="FK345" s="5" t="s">
        <v>247</v>
      </c>
      <c r="FL345" s="5">
        <f t="shared" si="1007"/>
        <v>2</v>
      </c>
      <c r="FM345" s="5" t="s">
        <v>247</v>
      </c>
      <c r="FN345" s="5">
        <f t="shared" si="1008"/>
        <v>2</v>
      </c>
      <c r="FO345" s="5">
        <f t="shared" si="1009"/>
        <v>4</v>
      </c>
      <c r="FP345" s="5" t="str">
        <f t="shared" si="1010"/>
        <v>Nivel de riesgo medio</v>
      </c>
      <c r="FQ345" s="5" t="s">
        <v>265</v>
      </c>
      <c r="FR345" s="5">
        <f t="shared" si="1011"/>
        <v>1</v>
      </c>
      <c r="FS345" s="5" t="s">
        <v>206</v>
      </c>
      <c r="FT345" s="5">
        <f t="shared" si="1012"/>
        <v>0</v>
      </c>
      <c r="FU345" s="5" t="s">
        <v>206</v>
      </c>
      <c r="FV345" s="5">
        <f t="shared" si="1013"/>
        <v>0</v>
      </c>
      <c r="FW345" s="5" t="s">
        <v>206</v>
      </c>
      <c r="FX345" s="5">
        <f t="shared" si="1014"/>
        <v>0</v>
      </c>
      <c r="FY345" s="5" t="s">
        <v>206</v>
      </c>
      <c r="FZ345" s="5">
        <f t="shared" si="1015"/>
        <v>0</v>
      </c>
      <c r="GA345" s="5" t="s">
        <v>206</v>
      </c>
      <c r="GB345" s="5">
        <f t="shared" si="1016"/>
        <v>0</v>
      </c>
      <c r="GC345" s="5" t="s">
        <v>206</v>
      </c>
      <c r="GD345" s="5">
        <f t="shared" si="1017"/>
        <v>0</v>
      </c>
      <c r="GE345" s="5">
        <f t="shared" si="1018"/>
        <v>1</v>
      </c>
      <c r="GF345" s="5" t="str">
        <f t="shared" si="1019"/>
        <v>Nivel de riesgo medio</v>
      </c>
      <c r="GG345" s="5" t="s">
        <v>255</v>
      </c>
      <c r="GH345" s="5" t="s">
        <v>255</v>
      </c>
      <c r="GI345" s="5" t="s">
        <v>255</v>
      </c>
      <c r="GJ345" s="5" t="s">
        <v>255</v>
      </c>
      <c r="GK345" s="5" t="s">
        <v>298</v>
      </c>
      <c r="GL345" s="5" t="s">
        <v>298</v>
      </c>
      <c r="GM345" s="5" t="s">
        <v>255</v>
      </c>
      <c r="GN345" s="5" t="s">
        <v>256</v>
      </c>
      <c r="GO345" s="5" t="s">
        <v>243</v>
      </c>
      <c r="GP345" s="5" t="s">
        <v>257</v>
      </c>
      <c r="GQ345" s="5" t="s">
        <v>257</v>
      </c>
      <c r="GR345" s="5" t="s">
        <v>244</v>
      </c>
      <c r="GS345" s="5" t="s">
        <v>244</v>
      </c>
      <c r="GT345" s="5" t="s">
        <v>256</v>
      </c>
      <c r="GU345" s="5" t="s">
        <v>711</v>
      </c>
      <c r="GV345" s="5" t="str">
        <f>TEXT("6280802098657768185","0")</f>
        <v>6280802098657760000</v>
      </c>
    </row>
    <row r="346" spans="1:204" ht="15.75" customHeight="1" x14ac:dyDescent="0.15">
      <c r="A346" s="1">
        <f t="shared" si="969"/>
        <v>346</v>
      </c>
      <c r="B346" s="4">
        <v>45849.750474537039</v>
      </c>
      <c r="C346" s="5" t="s">
        <v>204</v>
      </c>
      <c r="D346" s="5" t="s">
        <v>206</v>
      </c>
      <c r="F346" s="5" t="s">
        <v>206</v>
      </c>
      <c r="G346" s="5" t="s">
        <v>206</v>
      </c>
      <c r="H346" s="5" t="s">
        <v>206</v>
      </c>
      <c r="J346" s="5" t="s">
        <v>209</v>
      </c>
      <c r="N346" s="5" t="s">
        <v>208</v>
      </c>
      <c r="T346" s="5" t="s">
        <v>209</v>
      </c>
      <c r="X346" s="5" t="s">
        <v>208</v>
      </c>
      <c r="AD346" s="5" t="s">
        <v>209</v>
      </c>
      <c r="AH346" s="5" t="s">
        <v>275</v>
      </c>
      <c r="AI346" s="5">
        <v>2018</v>
      </c>
      <c r="AJ346" s="5" t="s">
        <v>238</v>
      </c>
      <c r="AK346" s="5" t="str">
        <f t="shared" si="970"/>
        <v>Trabajadora por cuenta propia</v>
      </c>
      <c r="AL346" s="5" t="s">
        <v>239</v>
      </c>
      <c r="AP346" s="5" t="s">
        <v>284</v>
      </c>
      <c r="AR346" s="5" t="s">
        <v>301</v>
      </c>
      <c r="AS346" s="5" t="s">
        <v>301</v>
      </c>
      <c r="AT346" s="5" t="s">
        <v>301</v>
      </c>
      <c r="AU346" s="5" t="s">
        <v>241</v>
      </c>
      <c r="AV346" s="5" t="s">
        <v>302</v>
      </c>
      <c r="AW346" s="5" t="s">
        <v>206</v>
      </c>
      <c r="BF346" s="5" t="s">
        <v>204</v>
      </c>
      <c r="BG346" s="5" t="s">
        <v>271</v>
      </c>
      <c r="BH346" s="5" t="s">
        <v>271</v>
      </c>
      <c r="BI346" s="5" t="s">
        <v>271</v>
      </c>
      <c r="BJ346" s="5" t="s">
        <v>271</v>
      </c>
      <c r="BK346" s="5" t="s">
        <v>246</v>
      </c>
      <c r="BL346" s="5" t="s">
        <v>243</v>
      </c>
      <c r="BM346" s="5" t="s">
        <v>245</v>
      </c>
      <c r="BN346" s="5" t="s">
        <v>246</v>
      </c>
      <c r="BO346" s="5" t="s">
        <v>246</v>
      </c>
      <c r="BP346" s="5" t="s">
        <v>243</v>
      </c>
      <c r="BQ346" s="5" t="s">
        <v>246</v>
      </c>
      <c r="BR346" s="5" t="s">
        <v>243</v>
      </c>
      <c r="BS346" s="5" t="s">
        <v>254</v>
      </c>
      <c r="BT346" s="5" t="s">
        <v>247</v>
      </c>
      <c r="BU346" s="5" t="s">
        <v>232</v>
      </c>
      <c r="BV346" s="5" t="s">
        <v>247</v>
      </c>
      <c r="BW346" s="5" t="s">
        <v>232</v>
      </c>
      <c r="BX346" s="5" t="s">
        <v>248</v>
      </c>
      <c r="BY346" s="5" t="s">
        <v>248</v>
      </c>
      <c r="CD346" s="5" t="s">
        <v>204</v>
      </c>
      <c r="CE346" s="5" t="s">
        <v>286</v>
      </c>
      <c r="CF346" s="5" t="s">
        <v>219</v>
      </c>
      <c r="CG346" s="5" t="s">
        <v>206</v>
      </c>
      <c r="CH346" s="5" t="s">
        <v>331</v>
      </c>
      <c r="CI346" s="5" t="s">
        <v>332</v>
      </c>
      <c r="CJ346" s="5">
        <v>4</v>
      </c>
      <c r="CK346" s="5" t="s">
        <v>223</v>
      </c>
      <c r="CU346" s="5" t="s">
        <v>206</v>
      </c>
      <c r="DA346" s="5" t="s">
        <v>231</v>
      </c>
      <c r="DB346" s="5">
        <f t="shared" si="971"/>
        <v>2</v>
      </c>
      <c r="DC346" s="5" t="s">
        <v>230</v>
      </c>
      <c r="DD346" s="5">
        <f t="shared" si="972"/>
        <v>2</v>
      </c>
      <c r="DE346" s="5" t="s">
        <v>230</v>
      </c>
      <c r="DF346" s="5">
        <f t="shared" si="973"/>
        <v>2</v>
      </c>
      <c r="DG346" s="5" t="s">
        <v>230</v>
      </c>
      <c r="DH346" s="5">
        <f t="shared" si="974"/>
        <v>2</v>
      </c>
      <c r="DI346" s="5" t="s">
        <v>230</v>
      </c>
      <c r="DJ346" s="5">
        <f t="shared" si="975"/>
        <v>2</v>
      </c>
      <c r="DK346" s="5" t="s">
        <v>251</v>
      </c>
      <c r="DL346" s="5">
        <f t="shared" si="976"/>
        <v>1</v>
      </c>
      <c r="DM346" s="5" t="s">
        <v>251</v>
      </c>
      <c r="DN346" s="5">
        <f t="shared" si="977"/>
        <v>1</v>
      </c>
      <c r="DO346" s="5" t="s">
        <v>281</v>
      </c>
      <c r="DP346" s="5">
        <f t="shared" si="978"/>
        <v>1</v>
      </c>
      <c r="DQ346" s="5" t="s">
        <v>281</v>
      </c>
      <c r="DR346" s="5">
        <f t="shared" si="979"/>
        <v>1</v>
      </c>
      <c r="DS346" s="5" t="s">
        <v>231</v>
      </c>
      <c r="DT346" s="5">
        <f t="shared" si="980"/>
        <v>2</v>
      </c>
      <c r="DU346" s="5" t="s">
        <v>231</v>
      </c>
      <c r="DV346" s="5">
        <f t="shared" si="981"/>
        <v>2</v>
      </c>
      <c r="DW346" s="5" t="s">
        <v>231</v>
      </c>
      <c r="DX346" s="5">
        <f t="shared" si="982"/>
        <v>2</v>
      </c>
      <c r="DY346" s="5">
        <f t="shared" si="983"/>
        <v>20</v>
      </c>
      <c r="DZ346" s="5" t="str">
        <f t="shared" si="984"/>
        <v>Nivel de riesgo medio</v>
      </c>
      <c r="EA346" s="5" t="s">
        <v>248</v>
      </c>
      <c r="EB346" s="5">
        <f t="shared" si="985"/>
        <v>1</v>
      </c>
      <c r="EC346" s="5" t="s">
        <v>248</v>
      </c>
      <c r="ED346" s="5">
        <f t="shared" si="986"/>
        <v>1</v>
      </c>
      <c r="EE346" s="5" t="s">
        <v>253</v>
      </c>
      <c r="EF346" s="5">
        <f t="shared" si="987"/>
        <v>0</v>
      </c>
      <c r="EG346" s="5">
        <f t="shared" si="988"/>
        <v>2</v>
      </c>
      <c r="EH346" s="5" t="str">
        <f t="shared" si="989"/>
        <v>Nivel de riesgo medio</v>
      </c>
      <c r="EI346" s="5" t="s">
        <v>253</v>
      </c>
      <c r="EJ346" s="5">
        <f t="shared" si="990"/>
        <v>0</v>
      </c>
      <c r="EK346" s="5" t="s">
        <v>248</v>
      </c>
      <c r="EL346" s="5">
        <f t="shared" si="991"/>
        <v>1</v>
      </c>
      <c r="EM346" s="5" t="s">
        <v>232</v>
      </c>
      <c r="EN346" s="5">
        <f t="shared" si="992"/>
        <v>3</v>
      </c>
      <c r="EO346" s="5">
        <f t="shared" si="993"/>
        <v>4</v>
      </c>
      <c r="EP346" s="5" t="str">
        <f t="shared" si="994"/>
        <v>Nivel de riesgo medio</v>
      </c>
      <c r="EQ346" s="5" t="s">
        <v>253</v>
      </c>
      <c r="ER346" s="5">
        <f t="shared" si="995"/>
        <v>4</v>
      </c>
      <c r="ES346" s="5" t="s">
        <v>253</v>
      </c>
      <c r="ET346" s="5">
        <f t="shared" si="996"/>
        <v>4</v>
      </c>
      <c r="EU346" s="5" t="s">
        <v>253</v>
      </c>
      <c r="EV346" s="5">
        <f t="shared" si="997"/>
        <v>4</v>
      </c>
      <c r="EW346" s="5" t="s">
        <v>253</v>
      </c>
      <c r="EX346" s="5">
        <f t="shared" si="998"/>
        <v>4</v>
      </c>
      <c r="EY346" s="5">
        <f t="shared" si="999"/>
        <v>16</v>
      </c>
      <c r="EZ346" s="5" t="str">
        <f t="shared" si="1000"/>
        <v>Nivel de riesgo alto</v>
      </c>
      <c r="FA346" s="5" t="s">
        <v>253</v>
      </c>
      <c r="FB346" s="5">
        <f t="shared" si="1001"/>
        <v>0</v>
      </c>
      <c r="FC346" s="5" t="s">
        <v>253</v>
      </c>
      <c r="FD346" s="5">
        <f t="shared" si="1002"/>
        <v>0</v>
      </c>
      <c r="FE346" s="5" t="s">
        <v>253</v>
      </c>
      <c r="FF346" s="5">
        <f t="shared" si="1003"/>
        <v>0</v>
      </c>
      <c r="FG346" s="5">
        <f t="shared" si="1004"/>
        <v>0</v>
      </c>
      <c r="FH346" s="5" t="str">
        <f t="shared" si="1005"/>
        <v>Nivel de riesgo bajo</v>
      </c>
      <c r="FI346" s="5" t="s">
        <v>253</v>
      </c>
      <c r="FJ346" s="5">
        <f t="shared" si="1006"/>
        <v>0</v>
      </c>
      <c r="FK346" s="5" t="s">
        <v>253</v>
      </c>
      <c r="FL346" s="5">
        <f t="shared" si="1007"/>
        <v>0</v>
      </c>
      <c r="FM346" s="5" t="s">
        <v>253</v>
      </c>
      <c r="FN346" s="5">
        <f t="shared" si="1008"/>
        <v>0</v>
      </c>
      <c r="FO346" s="5">
        <f t="shared" si="1009"/>
        <v>0</v>
      </c>
      <c r="FP346" s="5" t="str">
        <f t="shared" si="1010"/>
        <v>Nivel de riesgo bajo</v>
      </c>
      <c r="FQ346" s="5" t="s">
        <v>206</v>
      </c>
      <c r="FR346" s="5">
        <f t="shared" si="1011"/>
        <v>0</v>
      </c>
      <c r="FS346" s="5" t="s">
        <v>206</v>
      </c>
      <c r="FT346" s="5">
        <f t="shared" si="1012"/>
        <v>0</v>
      </c>
      <c r="FU346" s="5" t="s">
        <v>206</v>
      </c>
      <c r="FV346" s="5">
        <f t="shared" si="1013"/>
        <v>0</v>
      </c>
      <c r="FW346" s="5" t="s">
        <v>206</v>
      </c>
      <c r="FX346" s="5">
        <f t="shared" si="1014"/>
        <v>0</v>
      </c>
      <c r="FY346" s="5" t="s">
        <v>206</v>
      </c>
      <c r="FZ346" s="5">
        <f t="shared" si="1015"/>
        <v>0</v>
      </c>
      <c r="GA346" s="5" t="s">
        <v>206</v>
      </c>
      <c r="GB346" s="5">
        <f t="shared" si="1016"/>
        <v>0</v>
      </c>
      <c r="GC346" s="5" t="s">
        <v>206</v>
      </c>
      <c r="GD346" s="5">
        <f t="shared" si="1017"/>
        <v>0</v>
      </c>
      <c r="GE346" s="5">
        <f t="shared" si="1018"/>
        <v>0</v>
      </c>
      <c r="GF346" s="5" t="str">
        <f t="shared" si="1019"/>
        <v>Nivel de riesgo bajo</v>
      </c>
      <c r="GG346" s="5" t="s">
        <v>255</v>
      </c>
      <c r="GH346" s="5" t="s">
        <v>298</v>
      </c>
      <c r="GI346" s="5" t="s">
        <v>266</v>
      </c>
      <c r="GJ346" s="5" t="s">
        <v>255</v>
      </c>
      <c r="GK346" s="5" t="s">
        <v>233</v>
      </c>
      <c r="GL346" s="5" t="s">
        <v>255</v>
      </c>
      <c r="GM346" s="5" t="s">
        <v>298</v>
      </c>
      <c r="GN346" s="5" t="s">
        <v>256</v>
      </c>
      <c r="GO346" s="5" t="s">
        <v>256</v>
      </c>
      <c r="GP346" s="5" t="s">
        <v>243</v>
      </c>
      <c r="GQ346" s="5" t="s">
        <v>243</v>
      </c>
      <c r="GR346" s="5" t="s">
        <v>257</v>
      </c>
      <c r="GS346" s="5" t="s">
        <v>244</v>
      </c>
      <c r="GT346" s="5" t="s">
        <v>256</v>
      </c>
      <c r="GU346" s="5" t="s">
        <v>712</v>
      </c>
      <c r="GV346" s="5" t="str">
        <f>TEXT("6280804412616944109","0")</f>
        <v>6280804412616940000</v>
      </c>
    </row>
    <row r="347" spans="1:204" ht="15.75" customHeight="1" x14ac:dyDescent="0.15">
      <c r="A347" s="1">
        <f t="shared" si="969"/>
        <v>347</v>
      </c>
      <c r="B347" s="4">
        <v>45849.85796296296</v>
      </c>
      <c r="C347" s="5" t="s">
        <v>204</v>
      </c>
      <c r="D347" s="5" t="s">
        <v>206</v>
      </c>
      <c r="F347" s="5" t="s">
        <v>204</v>
      </c>
      <c r="G347" s="5" t="s">
        <v>204</v>
      </c>
      <c r="H347" s="5" t="s">
        <v>204</v>
      </c>
      <c r="I347" s="5" t="s">
        <v>208</v>
      </c>
      <c r="N347" s="5" t="s">
        <v>208</v>
      </c>
      <c r="T347" s="5" t="s">
        <v>209</v>
      </c>
      <c r="X347" s="5" t="s">
        <v>208</v>
      </c>
      <c r="AD347" s="5" t="s">
        <v>209</v>
      </c>
      <c r="AH347" s="5" t="s">
        <v>268</v>
      </c>
      <c r="AI347" s="5">
        <v>2018</v>
      </c>
      <c r="AJ347" s="5" t="s">
        <v>337</v>
      </c>
      <c r="AK347" s="5" t="str">
        <f t="shared" si="970"/>
        <v>Asalariada</v>
      </c>
      <c r="AQ347" s="5" t="s">
        <v>204</v>
      </c>
      <c r="AR347" s="5" t="s">
        <v>241</v>
      </c>
      <c r="AS347" s="5" t="s">
        <v>241</v>
      </c>
      <c r="AT347" s="5" t="s">
        <v>241</v>
      </c>
      <c r="AU347" s="5" t="s">
        <v>241</v>
      </c>
      <c r="AV347" s="5" t="s">
        <v>213</v>
      </c>
      <c r="AW347" s="5" t="s">
        <v>204</v>
      </c>
      <c r="AX347" s="5" t="s">
        <v>204</v>
      </c>
      <c r="AY347" s="5" t="s">
        <v>270</v>
      </c>
      <c r="AZ347" s="5" t="s">
        <v>204</v>
      </c>
      <c r="BA347" s="5" t="s">
        <v>344</v>
      </c>
      <c r="BF347" s="5" t="s">
        <v>204</v>
      </c>
      <c r="BG347" s="5" t="s">
        <v>271</v>
      </c>
      <c r="BH347" s="5" t="s">
        <v>271</v>
      </c>
      <c r="BI347" s="5" t="s">
        <v>271</v>
      </c>
      <c r="BJ347" s="5" t="s">
        <v>271</v>
      </c>
      <c r="BK347" s="5" t="s">
        <v>243</v>
      </c>
      <c r="BL347" s="5" t="s">
        <v>243</v>
      </c>
      <c r="BM347" s="5" t="s">
        <v>243</v>
      </c>
      <c r="BN347" s="5" t="s">
        <v>243</v>
      </c>
      <c r="BO347" s="5" t="s">
        <v>245</v>
      </c>
      <c r="BP347" s="5" t="s">
        <v>246</v>
      </c>
      <c r="BQ347" s="5" t="s">
        <v>246</v>
      </c>
      <c r="BR347" s="5" t="s">
        <v>246</v>
      </c>
      <c r="BS347" s="5" t="s">
        <v>254</v>
      </c>
      <c r="BT347" s="5" t="s">
        <v>232</v>
      </c>
      <c r="BU347" s="5" t="s">
        <v>247</v>
      </c>
      <c r="BV347" s="5" t="s">
        <v>248</v>
      </c>
      <c r="BW347" s="5" t="s">
        <v>247</v>
      </c>
      <c r="BX347" s="5" t="s">
        <v>248</v>
      </c>
      <c r="BY347" s="5" t="s">
        <v>248</v>
      </c>
      <c r="BZ347" s="5" t="s">
        <v>244</v>
      </c>
      <c r="CA347" s="5" t="s">
        <v>244</v>
      </c>
      <c r="CB347" s="5" t="s">
        <v>244</v>
      </c>
      <c r="CC347" s="5" t="s">
        <v>244</v>
      </c>
      <c r="CD347" s="5" t="s">
        <v>206</v>
      </c>
      <c r="CH347" s="5" t="s">
        <v>206</v>
      </c>
      <c r="CI347" s="5" t="s">
        <v>206</v>
      </c>
      <c r="CJ347" s="5">
        <v>1</v>
      </c>
      <c r="CK347" s="5" t="s">
        <v>223</v>
      </c>
      <c r="CU347" s="5" t="s">
        <v>206</v>
      </c>
      <c r="DA347" s="5" t="s">
        <v>272</v>
      </c>
      <c r="DB347" s="5">
        <f t="shared" si="971"/>
        <v>1</v>
      </c>
      <c r="DC347" s="5" t="s">
        <v>251</v>
      </c>
      <c r="DD347" s="5">
        <f t="shared" si="972"/>
        <v>1</v>
      </c>
      <c r="DE347" s="5" t="s">
        <v>251</v>
      </c>
      <c r="DF347" s="5">
        <f t="shared" si="973"/>
        <v>1</v>
      </c>
      <c r="DG347" s="5" t="s">
        <v>251</v>
      </c>
      <c r="DH347" s="5">
        <f t="shared" si="974"/>
        <v>1</v>
      </c>
      <c r="DI347" s="5" t="s">
        <v>251</v>
      </c>
      <c r="DJ347" s="5">
        <f t="shared" si="975"/>
        <v>1</v>
      </c>
      <c r="DK347" s="5" t="s">
        <v>251</v>
      </c>
      <c r="DL347" s="5">
        <f t="shared" si="976"/>
        <v>1</v>
      </c>
      <c r="DM347" s="5" t="s">
        <v>251</v>
      </c>
      <c r="DN347" s="5">
        <f t="shared" si="977"/>
        <v>1</v>
      </c>
      <c r="DO347" s="5" t="s">
        <v>231</v>
      </c>
      <c r="DP347" s="5">
        <f t="shared" si="978"/>
        <v>2</v>
      </c>
      <c r="DQ347" s="5" t="s">
        <v>281</v>
      </c>
      <c r="DR347" s="5">
        <f t="shared" si="979"/>
        <v>1</v>
      </c>
      <c r="DS347" s="5" t="s">
        <v>281</v>
      </c>
      <c r="DT347" s="5">
        <f t="shared" si="980"/>
        <v>1</v>
      </c>
      <c r="DU347" s="5" t="s">
        <v>281</v>
      </c>
      <c r="DV347" s="5">
        <f t="shared" si="981"/>
        <v>1</v>
      </c>
      <c r="DW347" s="5" t="s">
        <v>281</v>
      </c>
      <c r="DX347" s="5">
        <f t="shared" si="982"/>
        <v>1</v>
      </c>
      <c r="DY347" s="5">
        <f t="shared" si="983"/>
        <v>13</v>
      </c>
      <c r="DZ347" s="5" t="str">
        <f t="shared" si="984"/>
        <v>Nivel de riesgo bajo</v>
      </c>
      <c r="EA347" s="5" t="s">
        <v>247</v>
      </c>
      <c r="EB347" s="5">
        <f t="shared" si="985"/>
        <v>2</v>
      </c>
      <c r="EC347" s="5" t="s">
        <v>247</v>
      </c>
      <c r="ED347" s="5">
        <f t="shared" si="986"/>
        <v>2</v>
      </c>
      <c r="EE347" s="5" t="s">
        <v>253</v>
      </c>
      <c r="EF347" s="5">
        <f t="shared" si="987"/>
        <v>0</v>
      </c>
      <c r="EG347" s="5">
        <f t="shared" si="988"/>
        <v>4</v>
      </c>
      <c r="EH347" s="5" t="str">
        <f t="shared" si="989"/>
        <v>Nivel de riesgo medio</v>
      </c>
      <c r="EI347" s="5" t="s">
        <v>253</v>
      </c>
      <c r="EJ347" s="5">
        <f t="shared" si="990"/>
        <v>0</v>
      </c>
      <c r="EK347" s="5" t="s">
        <v>253</v>
      </c>
      <c r="EL347" s="5">
        <f t="shared" si="991"/>
        <v>0</v>
      </c>
      <c r="EM347" s="5" t="s">
        <v>253</v>
      </c>
      <c r="EN347" s="5">
        <f t="shared" si="992"/>
        <v>0</v>
      </c>
      <c r="EO347" s="5">
        <f t="shared" si="993"/>
        <v>0</v>
      </c>
      <c r="EP347" s="5" t="str">
        <f t="shared" si="994"/>
        <v>Nivel de riesgo bajo</v>
      </c>
      <c r="EQ347" s="5" t="s">
        <v>248</v>
      </c>
      <c r="ER347" s="5">
        <f t="shared" si="995"/>
        <v>3</v>
      </c>
      <c r="ES347" s="5" t="s">
        <v>232</v>
      </c>
      <c r="ET347" s="5">
        <f t="shared" si="996"/>
        <v>1</v>
      </c>
      <c r="EU347" s="5" t="s">
        <v>254</v>
      </c>
      <c r="EV347" s="5">
        <f t="shared" si="997"/>
        <v>0</v>
      </c>
      <c r="EW347" s="5" t="s">
        <v>254</v>
      </c>
      <c r="EX347" s="5">
        <f t="shared" si="998"/>
        <v>0</v>
      </c>
      <c r="EY347" s="5">
        <f t="shared" si="999"/>
        <v>4</v>
      </c>
      <c r="EZ347" s="5" t="str">
        <f t="shared" si="1000"/>
        <v>Nivel de riesgo medio</v>
      </c>
      <c r="FA347" s="5" t="s">
        <v>248</v>
      </c>
      <c r="FB347" s="5">
        <f t="shared" si="1001"/>
        <v>1</v>
      </c>
      <c r="FC347" s="5" t="s">
        <v>253</v>
      </c>
      <c r="FD347" s="5">
        <f t="shared" si="1002"/>
        <v>0</v>
      </c>
      <c r="FE347" s="5" t="s">
        <v>248</v>
      </c>
      <c r="FF347" s="5">
        <f t="shared" si="1003"/>
        <v>1</v>
      </c>
      <c r="FG347" s="5">
        <f t="shared" si="1004"/>
        <v>2</v>
      </c>
      <c r="FH347" s="5" t="str">
        <f t="shared" si="1005"/>
        <v>Nivel de riesgo bajo</v>
      </c>
      <c r="FI347" s="5" t="s">
        <v>248</v>
      </c>
      <c r="FJ347" s="5">
        <f t="shared" si="1006"/>
        <v>1</v>
      </c>
      <c r="FK347" s="5" t="s">
        <v>248</v>
      </c>
      <c r="FL347" s="5">
        <f t="shared" si="1007"/>
        <v>1</v>
      </c>
      <c r="FM347" s="5" t="s">
        <v>253</v>
      </c>
      <c r="FN347" s="5">
        <f t="shared" si="1008"/>
        <v>0</v>
      </c>
      <c r="FO347" s="5">
        <f t="shared" si="1009"/>
        <v>2</v>
      </c>
      <c r="FP347" s="5" t="str">
        <f t="shared" si="1010"/>
        <v>Nivel de riesgo bajo</v>
      </c>
      <c r="FQ347" s="5" t="s">
        <v>206</v>
      </c>
      <c r="FR347" s="5">
        <f t="shared" si="1011"/>
        <v>0</v>
      </c>
      <c r="FS347" s="5" t="s">
        <v>206</v>
      </c>
      <c r="FT347" s="5">
        <f t="shared" si="1012"/>
        <v>0</v>
      </c>
      <c r="FU347" s="5" t="s">
        <v>206</v>
      </c>
      <c r="FV347" s="5">
        <f t="shared" si="1013"/>
        <v>0</v>
      </c>
      <c r="FW347" s="5" t="s">
        <v>206</v>
      </c>
      <c r="FX347" s="5">
        <f t="shared" si="1014"/>
        <v>0</v>
      </c>
      <c r="FY347" s="5" t="s">
        <v>206</v>
      </c>
      <c r="FZ347" s="5">
        <f t="shared" si="1015"/>
        <v>0</v>
      </c>
      <c r="GA347" s="5" t="s">
        <v>206</v>
      </c>
      <c r="GB347" s="5">
        <f t="shared" si="1016"/>
        <v>0</v>
      </c>
      <c r="GC347" s="5" t="s">
        <v>206</v>
      </c>
      <c r="GD347" s="5">
        <f t="shared" si="1017"/>
        <v>0</v>
      </c>
      <c r="GE347" s="5">
        <f t="shared" si="1018"/>
        <v>0</v>
      </c>
      <c r="GF347" s="5" t="str">
        <f t="shared" si="1019"/>
        <v>Nivel de riesgo bajo</v>
      </c>
      <c r="GG347" s="5" t="s">
        <v>266</v>
      </c>
      <c r="GH347" s="5" t="s">
        <v>266</v>
      </c>
      <c r="GI347" s="5" t="s">
        <v>266</v>
      </c>
      <c r="GJ347" s="5" t="s">
        <v>233</v>
      </c>
      <c r="GK347" s="5" t="s">
        <v>233</v>
      </c>
      <c r="GL347" s="5" t="s">
        <v>233</v>
      </c>
      <c r="GM347" s="5" t="s">
        <v>233</v>
      </c>
      <c r="GN347" s="5" t="s">
        <v>257</v>
      </c>
      <c r="GO347" s="5" t="s">
        <v>257</v>
      </c>
      <c r="GP347" s="5" t="s">
        <v>257</v>
      </c>
      <c r="GQ347" s="5" t="s">
        <v>257</v>
      </c>
      <c r="GR347" s="5" t="s">
        <v>257</v>
      </c>
      <c r="GS347" s="5" t="s">
        <v>257</v>
      </c>
      <c r="GT347" s="5" t="s">
        <v>257</v>
      </c>
      <c r="GU347" s="5" t="s">
        <v>713</v>
      </c>
      <c r="GV347" s="5" t="str">
        <f>TEXT("6280897280633743546","0")</f>
        <v>6280897280633740000</v>
      </c>
    </row>
    <row r="348" spans="1:204" ht="15.75" customHeight="1" x14ac:dyDescent="0.15">
      <c r="A348" s="1">
        <f t="shared" si="969"/>
        <v>348</v>
      </c>
      <c r="B348" s="4">
        <v>45849.926689814813</v>
      </c>
      <c r="C348" s="5" t="s">
        <v>204</v>
      </c>
      <c r="D348" s="5" t="s">
        <v>206</v>
      </c>
      <c r="F348" s="5" t="s">
        <v>206</v>
      </c>
      <c r="G348" s="5" t="s">
        <v>204</v>
      </c>
      <c r="H348" s="5" t="s">
        <v>206</v>
      </c>
      <c r="I348" s="5" t="s">
        <v>208</v>
      </c>
      <c r="N348" s="5" t="s">
        <v>208</v>
      </c>
      <c r="S348" s="5" t="s">
        <v>208</v>
      </c>
      <c r="AB348" s="5" t="s">
        <v>207</v>
      </c>
      <c r="AC348" s="5" t="s">
        <v>208</v>
      </c>
      <c r="AH348" s="5" t="s">
        <v>275</v>
      </c>
      <c r="AI348" s="5">
        <v>2015</v>
      </c>
      <c r="AJ348" s="5" t="s">
        <v>238</v>
      </c>
      <c r="AK348" s="5" t="str">
        <f t="shared" si="970"/>
        <v>Trabajadora por cuenta propia</v>
      </c>
      <c r="AO348" s="5" t="s">
        <v>532</v>
      </c>
      <c r="AP348" s="5" t="s">
        <v>714</v>
      </c>
      <c r="AR348" s="5" t="s">
        <v>301</v>
      </c>
      <c r="AS348" s="5" t="s">
        <v>301</v>
      </c>
      <c r="AT348" s="5" t="s">
        <v>301</v>
      </c>
      <c r="AU348" s="5" t="s">
        <v>301</v>
      </c>
      <c r="AV348" s="5" t="s">
        <v>213</v>
      </c>
      <c r="AW348" s="5" t="s">
        <v>204</v>
      </c>
      <c r="AX348" s="5" t="s">
        <v>204</v>
      </c>
      <c r="AY348" s="5" t="s">
        <v>214</v>
      </c>
      <c r="AZ348" s="5" t="s">
        <v>206</v>
      </c>
      <c r="BA348" s="5" t="s">
        <v>289</v>
      </c>
      <c r="BB348" s="5" t="s">
        <v>206</v>
      </c>
      <c r="BC348" s="5" t="s">
        <v>206</v>
      </c>
      <c r="BD348" s="5" t="s">
        <v>290</v>
      </c>
      <c r="BE348" s="5" t="s">
        <v>204</v>
      </c>
      <c r="BF348" s="5" t="s">
        <v>204</v>
      </c>
      <c r="BG348" s="5" t="s">
        <v>278</v>
      </c>
      <c r="BH348" s="5" t="s">
        <v>242</v>
      </c>
      <c r="BI348" s="5" t="s">
        <v>278</v>
      </c>
      <c r="BJ348" s="5" t="s">
        <v>278</v>
      </c>
      <c r="BK348" s="5" t="s">
        <v>216</v>
      </c>
      <c r="BL348" s="5" t="s">
        <v>216</v>
      </c>
      <c r="BM348" s="5" t="s">
        <v>216</v>
      </c>
      <c r="BN348" s="5" t="s">
        <v>216</v>
      </c>
      <c r="BO348" s="5" t="s">
        <v>216</v>
      </c>
      <c r="BP348" s="5" t="s">
        <v>216</v>
      </c>
      <c r="BQ348" s="5" t="s">
        <v>216</v>
      </c>
      <c r="BR348" s="5" t="s">
        <v>216</v>
      </c>
      <c r="BS348" s="5" t="s">
        <v>217</v>
      </c>
      <c r="BT348" s="5" t="s">
        <v>247</v>
      </c>
      <c r="BU348" s="5" t="s">
        <v>247</v>
      </c>
      <c r="BV348" s="5" t="s">
        <v>217</v>
      </c>
      <c r="BW348" s="5" t="s">
        <v>217</v>
      </c>
      <c r="BX348" s="5" t="s">
        <v>217</v>
      </c>
      <c r="BY348" s="5" t="s">
        <v>217</v>
      </c>
      <c r="BZ348" s="5" t="s">
        <v>216</v>
      </c>
      <c r="CA348" s="5" t="s">
        <v>216</v>
      </c>
      <c r="CB348" s="5" t="s">
        <v>216</v>
      </c>
      <c r="CC348" s="5" t="s">
        <v>216</v>
      </c>
      <c r="CD348" s="5" t="s">
        <v>206</v>
      </c>
      <c r="CH348" s="5" t="s">
        <v>206</v>
      </c>
      <c r="CI348" s="5" t="s">
        <v>206</v>
      </c>
      <c r="CJ348" s="5">
        <v>0</v>
      </c>
      <c r="CK348" s="5" t="s">
        <v>223</v>
      </c>
      <c r="CU348" s="5" t="s">
        <v>206</v>
      </c>
      <c r="DA348" s="5" t="s">
        <v>272</v>
      </c>
      <c r="DB348" s="5">
        <f t="shared" si="971"/>
        <v>1</v>
      </c>
      <c r="DC348" s="5" t="s">
        <v>230</v>
      </c>
      <c r="DD348" s="5">
        <f t="shared" si="972"/>
        <v>2</v>
      </c>
      <c r="DE348" s="5" t="s">
        <v>251</v>
      </c>
      <c r="DF348" s="5">
        <f t="shared" si="973"/>
        <v>1</v>
      </c>
      <c r="DG348" s="5" t="s">
        <v>251</v>
      </c>
      <c r="DH348" s="5">
        <f t="shared" si="974"/>
        <v>1</v>
      </c>
      <c r="DI348" s="5" t="s">
        <v>251</v>
      </c>
      <c r="DJ348" s="5">
        <f t="shared" si="975"/>
        <v>1</v>
      </c>
      <c r="DK348" s="5" t="s">
        <v>251</v>
      </c>
      <c r="DL348" s="5">
        <f t="shared" si="976"/>
        <v>1</v>
      </c>
      <c r="DM348" s="5" t="s">
        <v>251</v>
      </c>
      <c r="DN348" s="5">
        <f t="shared" si="977"/>
        <v>1</v>
      </c>
      <c r="DO348" s="5" t="s">
        <v>229</v>
      </c>
      <c r="DP348" s="5">
        <f t="shared" si="978"/>
        <v>4</v>
      </c>
      <c r="DQ348" s="5" t="s">
        <v>281</v>
      </c>
      <c r="DR348" s="5">
        <f t="shared" si="979"/>
        <v>1</v>
      </c>
      <c r="DS348" s="5" t="s">
        <v>281</v>
      </c>
      <c r="DT348" s="5">
        <f t="shared" si="980"/>
        <v>1</v>
      </c>
      <c r="DU348" s="5" t="s">
        <v>281</v>
      </c>
      <c r="DV348" s="5">
        <f t="shared" si="981"/>
        <v>1</v>
      </c>
      <c r="DW348" s="5" t="s">
        <v>281</v>
      </c>
      <c r="DX348" s="5">
        <f t="shared" si="982"/>
        <v>1</v>
      </c>
      <c r="DY348" s="5">
        <f t="shared" si="983"/>
        <v>16</v>
      </c>
      <c r="DZ348" s="5" t="str">
        <f t="shared" si="984"/>
        <v>Nivel de riesgo bajo</v>
      </c>
      <c r="EA348" s="5" t="s">
        <v>253</v>
      </c>
      <c r="EB348" s="5">
        <f t="shared" si="985"/>
        <v>0</v>
      </c>
      <c r="EC348" s="5" t="s">
        <v>253</v>
      </c>
      <c r="ED348" s="5">
        <f t="shared" si="986"/>
        <v>0</v>
      </c>
      <c r="EE348" s="5" t="s">
        <v>253</v>
      </c>
      <c r="EF348" s="5">
        <f t="shared" si="987"/>
        <v>0</v>
      </c>
      <c r="EG348" s="5">
        <f t="shared" si="988"/>
        <v>0</v>
      </c>
      <c r="EH348" s="5" t="str">
        <f t="shared" si="989"/>
        <v>Nivel de riesgo bajo</v>
      </c>
      <c r="EI348" s="5" t="s">
        <v>253</v>
      </c>
      <c r="EJ348" s="5">
        <f t="shared" si="990"/>
        <v>0</v>
      </c>
      <c r="EK348" s="5" t="s">
        <v>253</v>
      </c>
      <c r="EL348" s="5">
        <f t="shared" si="991"/>
        <v>0</v>
      </c>
      <c r="EM348" s="5" t="s">
        <v>253</v>
      </c>
      <c r="EN348" s="5">
        <f t="shared" si="992"/>
        <v>0</v>
      </c>
      <c r="EO348" s="5">
        <f t="shared" si="993"/>
        <v>0</v>
      </c>
      <c r="EP348" s="5" t="str">
        <f t="shared" si="994"/>
        <v>Nivel de riesgo bajo</v>
      </c>
      <c r="EQ348" s="5" t="s">
        <v>253</v>
      </c>
      <c r="ER348" s="5">
        <f t="shared" si="995"/>
        <v>4</v>
      </c>
      <c r="ES348" s="5" t="s">
        <v>253</v>
      </c>
      <c r="ET348" s="5">
        <f t="shared" si="996"/>
        <v>4</v>
      </c>
      <c r="EU348" s="5" t="s">
        <v>253</v>
      </c>
      <c r="EV348" s="5">
        <f t="shared" si="997"/>
        <v>4</v>
      </c>
      <c r="EW348" s="5" t="s">
        <v>253</v>
      </c>
      <c r="EX348" s="5">
        <f t="shared" si="998"/>
        <v>4</v>
      </c>
      <c r="EY348" s="5">
        <f t="shared" si="999"/>
        <v>16</v>
      </c>
      <c r="EZ348" s="5" t="str">
        <f t="shared" si="1000"/>
        <v>Nivel de riesgo alto</v>
      </c>
      <c r="FA348" s="5" t="s">
        <v>253</v>
      </c>
      <c r="FB348" s="5">
        <f t="shared" si="1001"/>
        <v>0</v>
      </c>
      <c r="FC348" s="5" t="s">
        <v>253</v>
      </c>
      <c r="FD348" s="5">
        <f t="shared" si="1002"/>
        <v>0</v>
      </c>
      <c r="FE348" s="5" t="s">
        <v>253</v>
      </c>
      <c r="FF348" s="5">
        <f t="shared" si="1003"/>
        <v>0</v>
      </c>
      <c r="FG348" s="5">
        <f t="shared" si="1004"/>
        <v>0</v>
      </c>
      <c r="FH348" s="5" t="str">
        <f t="shared" si="1005"/>
        <v>Nivel de riesgo bajo</v>
      </c>
      <c r="FI348" s="5" t="s">
        <v>253</v>
      </c>
      <c r="FJ348" s="5">
        <f t="shared" si="1006"/>
        <v>0</v>
      </c>
      <c r="FK348" s="5" t="s">
        <v>253</v>
      </c>
      <c r="FL348" s="5">
        <f t="shared" si="1007"/>
        <v>0</v>
      </c>
      <c r="FM348" s="5" t="s">
        <v>253</v>
      </c>
      <c r="FN348" s="5">
        <f t="shared" si="1008"/>
        <v>0</v>
      </c>
      <c r="FO348" s="5">
        <f t="shared" si="1009"/>
        <v>0</v>
      </c>
      <c r="FP348" s="5" t="str">
        <f t="shared" si="1010"/>
        <v>Nivel de riesgo bajo</v>
      </c>
      <c r="FQ348" s="5" t="s">
        <v>206</v>
      </c>
      <c r="FR348" s="5">
        <f t="shared" si="1011"/>
        <v>0</v>
      </c>
      <c r="FS348" s="5" t="s">
        <v>206</v>
      </c>
      <c r="FT348" s="5">
        <f t="shared" si="1012"/>
        <v>0</v>
      </c>
      <c r="FU348" s="5" t="s">
        <v>206</v>
      </c>
      <c r="FV348" s="5">
        <f t="shared" si="1013"/>
        <v>0</v>
      </c>
      <c r="FW348" s="5" t="s">
        <v>206</v>
      </c>
      <c r="FX348" s="5">
        <f t="shared" si="1014"/>
        <v>0</v>
      </c>
      <c r="FY348" s="5" t="s">
        <v>206</v>
      </c>
      <c r="FZ348" s="5">
        <f t="shared" si="1015"/>
        <v>0</v>
      </c>
      <c r="GA348" s="5" t="s">
        <v>206</v>
      </c>
      <c r="GB348" s="5">
        <f t="shared" si="1016"/>
        <v>0</v>
      </c>
      <c r="GC348" s="5" t="s">
        <v>206</v>
      </c>
      <c r="GD348" s="5">
        <f t="shared" si="1017"/>
        <v>0</v>
      </c>
      <c r="GE348" s="5">
        <f t="shared" si="1018"/>
        <v>0</v>
      </c>
      <c r="GF348" s="5" t="str">
        <f t="shared" si="1019"/>
        <v>Nivel de riesgo bajo</v>
      </c>
      <c r="GG348" s="5" t="s">
        <v>255</v>
      </c>
      <c r="GH348" s="5" t="s">
        <v>255</v>
      </c>
      <c r="GI348" s="5" t="s">
        <v>255</v>
      </c>
      <c r="GJ348" s="5" t="s">
        <v>255</v>
      </c>
      <c r="GK348" s="5" t="s">
        <v>233</v>
      </c>
      <c r="GL348" s="5" t="s">
        <v>255</v>
      </c>
      <c r="GM348" s="5" t="s">
        <v>255</v>
      </c>
      <c r="GN348" s="5" t="s">
        <v>256</v>
      </c>
      <c r="GO348" s="5" t="s">
        <v>256</v>
      </c>
      <c r="GP348" s="5" t="s">
        <v>243</v>
      </c>
      <c r="GQ348" s="5" t="s">
        <v>243</v>
      </c>
      <c r="GR348" s="5" t="s">
        <v>243</v>
      </c>
      <c r="GS348" s="5" t="s">
        <v>243</v>
      </c>
      <c r="GT348" s="5" t="s">
        <v>243</v>
      </c>
      <c r="GU348" s="5" t="s">
        <v>715</v>
      </c>
      <c r="GV348" s="5" t="str">
        <f>TEXT("6280956664714391952","0")</f>
        <v>6280956664714390000</v>
      </c>
    </row>
    <row r="349" spans="1:204" ht="15.75" hidden="1" customHeight="1" x14ac:dyDescent="0.15">
      <c r="B349" s="4">
        <v>45849.932719907411</v>
      </c>
      <c r="C349" s="5" t="s">
        <v>204</v>
      </c>
      <c r="D349" s="5" t="s">
        <v>204</v>
      </c>
      <c r="E349" s="5" t="s">
        <v>335</v>
      </c>
      <c r="F349" s="5" t="s">
        <v>204</v>
      </c>
      <c r="G349" s="5" t="s">
        <v>204</v>
      </c>
      <c r="H349" s="5" t="s">
        <v>206</v>
      </c>
      <c r="K349" s="5" t="s">
        <v>237</v>
      </c>
      <c r="P349" s="5" t="s">
        <v>237</v>
      </c>
      <c r="U349" s="5" t="s">
        <v>237</v>
      </c>
      <c r="Z349" s="5" t="s">
        <v>237</v>
      </c>
      <c r="AE349" s="5" t="s">
        <v>237</v>
      </c>
      <c r="AH349" s="5" t="s">
        <v>210</v>
      </c>
      <c r="AI349" s="5">
        <v>1998</v>
      </c>
      <c r="AJ349" s="5" t="s">
        <v>304</v>
      </c>
      <c r="AK349" s="5"/>
      <c r="AR349" s="5" t="s">
        <v>301</v>
      </c>
      <c r="AS349" s="5" t="s">
        <v>301</v>
      </c>
      <c r="AT349" s="5" t="s">
        <v>301</v>
      </c>
      <c r="AU349" s="5" t="s">
        <v>301</v>
      </c>
      <c r="AV349" s="5" t="s">
        <v>285</v>
      </c>
      <c r="AW349" s="5" t="s">
        <v>204</v>
      </c>
      <c r="AX349" s="5" t="s">
        <v>204</v>
      </c>
      <c r="AY349" s="5" t="s">
        <v>270</v>
      </c>
      <c r="AZ349" s="5" t="s">
        <v>204</v>
      </c>
      <c r="BA349" s="5" t="s">
        <v>295</v>
      </c>
      <c r="BB349" s="5" t="s">
        <v>206</v>
      </c>
      <c r="BC349" s="5" t="s">
        <v>206</v>
      </c>
      <c r="BD349" s="5" t="s">
        <v>290</v>
      </c>
      <c r="BE349" s="5" t="s">
        <v>204</v>
      </c>
      <c r="BF349" s="5" t="s">
        <v>204</v>
      </c>
      <c r="BG349" s="5" t="s">
        <v>264</v>
      </c>
      <c r="BH349" s="5" t="s">
        <v>264</v>
      </c>
      <c r="BI349" s="5" t="s">
        <v>215</v>
      </c>
      <c r="BJ349" s="5" t="s">
        <v>215</v>
      </c>
      <c r="BK349" s="5" t="s">
        <v>244</v>
      </c>
      <c r="BL349" s="5" t="s">
        <v>244</v>
      </c>
      <c r="BM349" s="5" t="s">
        <v>244</v>
      </c>
      <c r="BN349" s="5" t="s">
        <v>244</v>
      </c>
      <c r="BO349" s="5" t="s">
        <v>244</v>
      </c>
      <c r="BP349" s="5" t="s">
        <v>244</v>
      </c>
      <c r="BQ349" s="5" t="s">
        <v>244</v>
      </c>
      <c r="BR349" s="5" t="s">
        <v>244</v>
      </c>
      <c r="BS349" s="5" t="s">
        <v>247</v>
      </c>
      <c r="BT349" s="5" t="s">
        <v>247</v>
      </c>
      <c r="BU349" s="5" t="s">
        <v>247</v>
      </c>
      <c r="BV349" s="5" t="s">
        <v>247</v>
      </c>
      <c r="BW349" s="5" t="s">
        <v>247</v>
      </c>
      <c r="BX349" s="5" t="s">
        <v>247</v>
      </c>
      <c r="BY349" s="5" t="s">
        <v>247</v>
      </c>
      <c r="BZ349" s="5" t="s">
        <v>243</v>
      </c>
      <c r="CA349" s="5" t="s">
        <v>243</v>
      </c>
      <c r="CB349" s="5" t="s">
        <v>243</v>
      </c>
      <c r="CC349" s="5" t="s">
        <v>243</v>
      </c>
      <c r="CD349" s="5" t="s">
        <v>204</v>
      </c>
      <c r="CE349" s="5" t="s">
        <v>286</v>
      </c>
      <c r="CF349" s="5" t="s">
        <v>279</v>
      </c>
      <c r="CG349" s="5" t="s">
        <v>206</v>
      </c>
      <c r="CH349" s="5" t="s">
        <v>221</v>
      </c>
      <c r="CI349" s="5" t="s">
        <v>307</v>
      </c>
      <c r="CJ349" s="5">
        <v>4</v>
      </c>
      <c r="CK349" s="5" t="s">
        <v>223</v>
      </c>
      <c r="CU349" s="5" t="s">
        <v>206</v>
      </c>
      <c r="DA349" s="5" t="s">
        <v>272</v>
      </c>
      <c r="DB349" s="5"/>
      <c r="DC349" s="5" t="s">
        <v>280</v>
      </c>
      <c r="DD349" s="5"/>
      <c r="DE349" s="5" t="s">
        <v>280</v>
      </c>
      <c r="DF349" s="5"/>
      <c r="DG349" s="5" t="s">
        <v>280</v>
      </c>
      <c r="DH349" s="5"/>
      <c r="DI349" s="5" t="s">
        <v>280</v>
      </c>
      <c r="DJ349" s="5"/>
      <c r="DK349" s="5" t="s">
        <v>280</v>
      </c>
      <c r="DL349" s="5"/>
      <c r="DM349" s="5" t="s">
        <v>280</v>
      </c>
      <c r="DN349" s="5"/>
      <c r="DO349" s="5" t="s">
        <v>281</v>
      </c>
      <c r="DP349" s="5"/>
      <c r="DQ349" s="5" t="s">
        <v>281</v>
      </c>
      <c r="DR349" s="5"/>
      <c r="DS349" s="5" t="s">
        <v>281</v>
      </c>
      <c r="DT349" s="5"/>
      <c r="DU349" s="5" t="s">
        <v>281</v>
      </c>
      <c r="DV349" s="5"/>
      <c r="DW349" s="5" t="s">
        <v>281</v>
      </c>
      <c r="DX349" s="5"/>
      <c r="DY349" s="5"/>
      <c r="DZ349" s="5"/>
      <c r="EA349" s="5" t="s">
        <v>254</v>
      </c>
      <c r="EB349" s="5"/>
      <c r="EC349" s="5" t="s">
        <v>254</v>
      </c>
      <c r="ED349" s="5"/>
      <c r="EE349" s="5" t="s">
        <v>254</v>
      </c>
      <c r="EF349" s="5"/>
      <c r="EG349" s="5"/>
      <c r="EH349" s="5"/>
      <c r="EI349" s="5" t="s">
        <v>247</v>
      </c>
      <c r="EJ349" s="5"/>
      <c r="EK349" s="5" t="s">
        <v>254</v>
      </c>
      <c r="EL349" s="5"/>
      <c r="EM349" s="5" t="s">
        <v>254</v>
      </c>
      <c r="EN349" s="5"/>
      <c r="EO349" s="5"/>
      <c r="EP349" s="5"/>
      <c r="EQ349" s="5" t="s">
        <v>254</v>
      </c>
      <c r="ER349" s="5"/>
      <c r="ES349" s="5" t="s">
        <v>254</v>
      </c>
      <c r="ET349" s="5"/>
      <c r="EU349" s="5" t="s">
        <v>254</v>
      </c>
      <c r="EV349" s="5"/>
      <c r="EW349" s="5" t="s">
        <v>254</v>
      </c>
      <c r="EX349" s="5"/>
      <c r="EY349" s="5"/>
      <c r="EZ349" s="5"/>
      <c r="FA349" s="5" t="s">
        <v>254</v>
      </c>
      <c r="FB349" s="5"/>
      <c r="FC349" s="5" t="s">
        <v>254</v>
      </c>
      <c r="FD349" s="5"/>
      <c r="FE349" s="5" t="s">
        <v>254</v>
      </c>
      <c r="FF349" s="5"/>
      <c r="FG349" s="5"/>
      <c r="FH349" s="5"/>
      <c r="FI349" s="5" t="s">
        <v>254</v>
      </c>
      <c r="FJ349" s="5"/>
      <c r="FK349" s="5" t="s">
        <v>254</v>
      </c>
      <c r="FL349" s="5"/>
      <c r="FM349" s="5" t="s">
        <v>254</v>
      </c>
      <c r="FN349" s="5"/>
      <c r="FO349" s="5"/>
      <c r="FP349" s="5"/>
      <c r="FQ349" s="5" t="s">
        <v>206</v>
      </c>
      <c r="FR349" s="5"/>
      <c r="FS349" s="5" t="s">
        <v>206</v>
      </c>
      <c r="FT349" s="5"/>
      <c r="FU349" s="5" t="s">
        <v>206</v>
      </c>
      <c r="FV349" s="5"/>
      <c r="FW349" s="5" t="s">
        <v>206</v>
      </c>
      <c r="FX349" s="5"/>
      <c r="FY349" s="5" t="s">
        <v>206</v>
      </c>
      <c r="FZ349" s="5"/>
      <c r="GA349" s="5" t="s">
        <v>206</v>
      </c>
      <c r="GB349" s="5"/>
      <c r="GC349" s="5" t="s">
        <v>206</v>
      </c>
      <c r="GD349" s="5"/>
      <c r="GE349" s="5"/>
      <c r="GF349" s="5"/>
      <c r="GG349" s="5" t="s">
        <v>255</v>
      </c>
      <c r="GH349" s="5" t="s">
        <v>255</v>
      </c>
      <c r="GI349" s="5" t="s">
        <v>255</v>
      </c>
      <c r="GJ349" s="5" t="s">
        <v>255</v>
      </c>
      <c r="GK349" s="5" t="s">
        <v>233</v>
      </c>
      <c r="GL349" s="5" t="s">
        <v>298</v>
      </c>
      <c r="GM349" s="5" t="s">
        <v>298</v>
      </c>
      <c r="GN349" s="5" t="s">
        <v>256</v>
      </c>
      <c r="GO349" s="5" t="s">
        <v>243</v>
      </c>
      <c r="GP349" s="5" t="s">
        <v>243</v>
      </c>
      <c r="GQ349" s="5" t="s">
        <v>243</v>
      </c>
      <c r="GR349" s="5" t="s">
        <v>243</v>
      </c>
      <c r="GS349" s="5" t="s">
        <v>243</v>
      </c>
      <c r="GT349" s="5" t="s">
        <v>243</v>
      </c>
      <c r="GU349" s="5" t="s">
        <v>716</v>
      </c>
      <c r="GV349" s="5" t="str">
        <f>TEXT("6280961876187773177","0")</f>
        <v>6280961876187770000</v>
      </c>
    </row>
    <row r="350" spans="1:204" ht="15.75" hidden="1" customHeight="1" x14ac:dyDescent="0.15">
      <c r="B350" s="4">
        <v>45849.972418981481</v>
      </c>
      <c r="C350" s="5" t="s">
        <v>204</v>
      </c>
      <c r="D350" s="5" t="s">
        <v>206</v>
      </c>
      <c r="F350" s="5" t="s">
        <v>206</v>
      </c>
      <c r="G350" s="5" t="s">
        <v>206</v>
      </c>
      <c r="H350" s="5" t="s">
        <v>206</v>
      </c>
      <c r="J350" s="5" t="s">
        <v>209</v>
      </c>
      <c r="O350" s="5" t="s">
        <v>209</v>
      </c>
      <c r="T350" s="5" t="s">
        <v>209</v>
      </c>
      <c r="X350" s="5" t="s">
        <v>208</v>
      </c>
      <c r="AG350" s="5" t="s">
        <v>207</v>
      </c>
      <c r="AH350" s="5" t="s">
        <v>210</v>
      </c>
      <c r="AI350" s="5">
        <v>2016</v>
      </c>
      <c r="AJ350" s="5" t="s">
        <v>260</v>
      </c>
      <c r="AK350" s="5"/>
      <c r="AR350" s="5" t="s">
        <v>241</v>
      </c>
      <c r="AS350" s="5" t="s">
        <v>261</v>
      </c>
      <c r="AT350" s="5" t="s">
        <v>241</v>
      </c>
      <c r="AU350" s="5" t="s">
        <v>241</v>
      </c>
      <c r="AV350" s="5" t="s">
        <v>213</v>
      </c>
      <c r="AW350" s="5" t="s">
        <v>206</v>
      </c>
      <c r="BF350" s="5" t="s">
        <v>204</v>
      </c>
      <c r="BG350" s="5" t="s">
        <v>207</v>
      </c>
      <c r="BH350" s="5" t="s">
        <v>215</v>
      </c>
      <c r="BI350" s="5" t="s">
        <v>207</v>
      </c>
      <c r="BJ350" s="5" t="s">
        <v>215</v>
      </c>
      <c r="BK350" s="5" t="s">
        <v>244</v>
      </c>
      <c r="BL350" s="5" t="s">
        <v>244</v>
      </c>
      <c r="BM350" s="5" t="s">
        <v>244</v>
      </c>
      <c r="BN350" s="5" t="s">
        <v>243</v>
      </c>
      <c r="BO350" s="5" t="s">
        <v>244</v>
      </c>
      <c r="BP350" s="5" t="s">
        <v>244</v>
      </c>
      <c r="BQ350" s="5" t="s">
        <v>244</v>
      </c>
      <c r="BR350" s="5" t="s">
        <v>244</v>
      </c>
      <c r="BS350" s="5" t="s">
        <v>248</v>
      </c>
      <c r="BT350" s="5" t="s">
        <v>248</v>
      </c>
      <c r="BU350" s="5" t="s">
        <v>247</v>
      </c>
      <c r="BV350" s="5" t="s">
        <v>248</v>
      </c>
      <c r="BW350" s="5" t="s">
        <v>232</v>
      </c>
      <c r="BX350" s="5" t="s">
        <v>248</v>
      </c>
      <c r="BY350" s="5" t="s">
        <v>217</v>
      </c>
      <c r="CD350" s="5" t="s">
        <v>206</v>
      </c>
      <c r="CH350" s="5" t="s">
        <v>206</v>
      </c>
      <c r="CI350" s="5" t="s">
        <v>307</v>
      </c>
      <c r="CJ350" s="5">
        <v>5</v>
      </c>
      <c r="CN350" s="5" t="s">
        <v>618</v>
      </c>
      <c r="CU350" s="5" t="s">
        <v>204</v>
      </c>
      <c r="CV350" s="5" t="s">
        <v>350</v>
      </c>
      <c r="CW350" s="5" t="s">
        <v>619</v>
      </c>
      <c r="CX350" s="5" t="s">
        <v>683</v>
      </c>
      <c r="CY350" s="5" t="s">
        <v>353</v>
      </c>
      <c r="CZ350" s="5" t="s">
        <v>228</v>
      </c>
      <c r="DA350" s="5" t="s">
        <v>272</v>
      </c>
      <c r="DB350" s="5"/>
      <c r="DC350" s="5" t="s">
        <v>230</v>
      </c>
      <c r="DD350" s="5"/>
      <c r="DE350" s="5" t="s">
        <v>251</v>
      </c>
      <c r="DF350" s="5"/>
      <c r="DG350" s="5" t="s">
        <v>251</v>
      </c>
      <c r="DH350" s="5"/>
      <c r="DI350" s="5" t="s">
        <v>251</v>
      </c>
      <c r="DJ350" s="5"/>
      <c r="DK350" s="5" t="s">
        <v>251</v>
      </c>
      <c r="DL350" s="5"/>
      <c r="DM350" s="5" t="s">
        <v>251</v>
      </c>
      <c r="DN350" s="5"/>
      <c r="DO350" s="5" t="s">
        <v>281</v>
      </c>
      <c r="DP350" s="5"/>
      <c r="DQ350" s="5" t="s">
        <v>281</v>
      </c>
      <c r="DR350" s="5"/>
      <c r="DS350" s="5" t="s">
        <v>281</v>
      </c>
      <c r="DT350" s="5"/>
      <c r="DU350" s="5" t="s">
        <v>231</v>
      </c>
      <c r="DV350" s="5"/>
      <c r="DW350" s="5" t="s">
        <v>281</v>
      </c>
      <c r="DX350" s="5"/>
      <c r="DY350" s="5"/>
      <c r="DZ350" s="5"/>
      <c r="EA350" s="5" t="s">
        <v>254</v>
      </c>
      <c r="EB350" s="5"/>
      <c r="EC350" s="5" t="s">
        <v>247</v>
      </c>
      <c r="ED350" s="5"/>
      <c r="EE350" s="5" t="s">
        <v>248</v>
      </c>
      <c r="EF350" s="5"/>
      <c r="EG350" s="5"/>
      <c r="EH350" s="5"/>
      <c r="EI350" s="5" t="s">
        <v>253</v>
      </c>
      <c r="EJ350" s="5"/>
      <c r="EK350" s="5" t="s">
        <v>254</v>
      </c>
      <c r="EL350" s="5"/>
      <c r="EM350" s="5" t="s">
        <v>248</v>
      </c>
      <c r="EN350" s="5"/>
      <c r="EO350" s="5"/>
      <c r="EP350" s="5"/>
      <c r="EQ350" s="5" t="s">
        <v>248</v>
      </c>
      <c r="ER350" s="5"/>
      <c r="ES350" s="5" t="s">
        <v>253</v>
      </c>
      <c r="ET350" s="5"/>
      <c r="EU350" s="5" t="s">
        <v>254</v>
      </c>
      <c r="EV350" s="5"/>
      <c r="EW350" s="5" t="s">
        <v>247</v>
      </c>
      <c r="EX350" s="5"/>
      <c r="EY350" s="5"/>
      <c r="EZ350" s="5"/>
      <c r="FA350" s="5" t="s">
        <v>253</v>
      </c>
      <c r="FB350" s="5"/>
      <c r="FC350" s="5" t="s">
        <v>253</v>
      </c>
      <c r="FD350" s="5"/>
      <c r="FE350" s="5" t="s">
        <v>253</v>
      </c>
      <c r="FF350" s="5"/>
      <c r="FG350" s="5"/>
      <c r="FH350" s="5"/>
      <c r="FI350" s="5" t="s">
        <v>253</v>
      </c>
      <c r="FJ350" s="5"/>
      <c r="FK350" s="5" t="s">
        <v>253</v>
      </c>
      <c r="FL350" s="5"/>
      <c r="FM350" s="5" t="s">
        <v>253</v>
      </c>
      <c r="FN350" s="5"/>
      <c r="FO350" s="5"/>
      <c r="FP350" s="5"/>
      <c r="FQ350" s="5" t="s">
        <v>206</v>
      </c>
      <c r="FR350" s="5"/>
      <c r="FS350" s="5" t="s">
        <v>206</v>
      </c>
      <c r="FT350" s="5"/>
      <c r="FU350" s="5" t="s">
        <v>206</v>
      </c>
      <c r="FV350" s="5"/>
      <c r="FW350" s="5" t="s">
        <v>206</v>
      </c>
      <c r="FX350" s="5"/>
      <c r="FY350" s="5" t="s">
        <v>206</v>
      </c>
      <c r="FZ350" s="5"/>
      <c r="GA350" s="5" t="s">
        <v>206</v>
      </c>
      <c r="GB350" s="5"/>
      <c r="GC350" s="5" t="s">
        <v>206</v>
      </c>
      <c r="GD350" s="5"/>
      <c r="GE350" s="5"/>
      <c r="GF350" s="5"/>
      <c r="GG350" s="5" t="s">
        <v>255</v>
      </c>
      <c r="GH350" s="5" t="s">
        <v>255</v>
      </c>
      <c r="GI350" s="5" t="s">
        <v>255</v>
      </c>
      <c r="GJ350" s="5" t="s">
        <v>298</v>
      </c>
      <c r="GK350" s="5" t="s">
        <v>233</v>
      </c>
      <c r="GL350" s="5" t="s">
        <v>298</v>
      </c>
      <c r="GM350" s="5" t="s">
        <v>266</v>
      </c>
      <c r="GN350" s="5" t="s">
        <v>256</v>
      </c>
      <c r="GO350" s="5" t="s">
        <v>256</v>
      </c>
      <c r="GP350" s="5" t="s">
        <v>256</v>
      </c>
      <c r="GQ350" s="5" t="s">
        <v>256</v>
      </c>
      <c r="GR350" s="5" t="s">
        <v>256</v>
      </c>
      <c r="GS350" s="5" t="s">
        <v>243</v>
      </c>
      <c r="GT350" s="5" t="s">
        <v>256</v>
      </c>
      <c r="GU350" s="5" t="s">
        <v>717</v>
      </c>
      <c r="GV350" s="5" t="str">
        <f>TEXT("6280996175123341551","0")</f>
        <v>6280996175123340000</v>
      </c>
    </row>
    <row r="351" spans="1:204" ht="15.75" customHeight="1" x14ac:dyDescent="0.15">
      <c r="A351" s="1">
        <f t="shared" ref="A351:A356" si="1020">ROW(A351)</f>
        <v>351</v>
      </c>
      <c r="B351" s="4">
        <v>45849.973703703705</v>
      </c>
      <c r="C351" s="5" t="s">
        <v>204</v>
      </c>
      <c r="D351" s="5" t="s">
        <v>206</v>
      </c>
      <c r="F351" s="5" t="s">
        <v>206</v>
      </c>
      <c r="G351" s="5" t="s">
        <v>206</v>
      </c>
      <c r="H351" s="5" t="s">
        <v>206</v>
      </c>
      <c r="K351" s="5" t="s">
        <v>237</v>
      </c>
      <c r="P351" s="5" t="s">
        <v>237</v>
      </c>
      <c r="T351" s="5" t="s">
        <v>209</v>
      </c>
      <c r="X351" s="5" t="s">
        <v>208</v>
      </c>
      <c r="AC351" s="5" t="s">
        <v>208</v>
      </c>
      <c r="AH351" s="5" t="s">
        <v>268</v>
      </c>
      <c r="AI351" s="5">
        <v>2019</v>
      </c>
      <c r="AJ351" s="5" t="s">
        <v>337</v>
      </c>
      <c r="AK351" s="5" t="str">
        <f t="shared" ref="AK351:AK356" si="1021">IF(OR(AJ351="Empleada del sector privado",AJ351="Empleada del sector público"),"Asalariada",
IF(AJ351="Trabajadora por cuenta propia","Trabajadora por cuenta propia",""))</f>
        <v>Asalariada</v>
      </c>
      <c r="AQ351" s="5" t="s">
        <v>204</v>
      </c>
      <c r="AR351" s="5" t="s">
        <v>241</v>
      </c>
      <c r="AS351" s="5" t="s">
        <v>241</v>
      </c>
      <c r="AT351" s="5" t="s">
        <v>241</v>
      </c>
      <c r="AU351" s="5" t="s">
        <v>294</v>
      </c>
      <c r="AV351" s="5" t="s">
        <v>285</v>
      </c>
      <c r="AW351" s="5" t="s">
        <v>204</v>
      </c>
      <c r="AX351" s="5" t="s">
        <v>204</v>
      </c>
      <c r="AY351" s="5" t="s">
        <v>270</v>
      </c>
      <c r="AZ351" s="5" t="s">
        <v>204</v>
      </c>
      <c r="BA351" s="5" t="s">
        <v>289</v>
      </c>
      <c r="BB351" s="5" t="s">
        <v>206</v>
      </c>
      <c r="BC351" s="5" t="s">
        <v>206</v>
      </c>
      <c r="BD351" s="5" t="s">
        <v>290</v>
      </c>
      <c r="BE351" s="5" t="s">
        <v>204</v>
      </c>
      <c r="BF351" s="5" t="s">
        <v>204</v>
      </c>
      <c r="BG351" s="5" t="s">
        <v>207</v>
      </c>
      <c r="BH351" s="5" t="s">
        <v>215</v>
      </c>
      <c r="BI351" s="5" t="s">
        <v>207</v>
      </c>
      <c r="BJ351" s="5" t="s">
        <v>242</v>
      </c>
      <c r="BK351" s="5" t="s">
        <v>243</v>
      </c>
      <c r="BL351" s="5" t="s">
        <v>243</v>
      </c>
      <c r="BM351" s="5" t="s">
        <v>245</v>
      </c>
      <c r="BN351" s="5" t="s">
        <v>245</v>
      </c>
      <c r="BO351" s="5" t="s">
        <v>243</v>
      </c>
      <c r="BP351" s="5" t="s">
        <v>243</v>
      </c>
      <c r="BQ351" s="5" t="s">
        <v>245</v>
      </c>
      <c r="BR351" s="5" t="s">
        <v>243</v>
      </c>
      <c r="BS351" s="5" t="s">
        <v>232</v>
      </c>
      <c r="BT351" s="5" t="s">
        <v>248</v>
      </c>
      <c r="BU351" s="5" t="s">
        <v>254</v>
      </c>
      <c r="BV351" s="5" t="s">
        <v>232</v>
      </c>
      <c r="BW351" s="5" t="s">
        <v>254</v>
      </c>
      <c r="BX351" s="5" t="s">
        <v>254</v>
      </c>
      <c r="BY351" s="5" t="s">
        <v>232</v>
      </c>
      <c r="BZ351" s="5" t="s">
        <v>244</v>
      </c>
      <c r="CA351" s="5" t="s">
        <v>243</v>
      </c>
      <c r="CB351" s="5" t="s">
        <v>244</v>
      </c>
      <c r="CC351" s="5" t="s">
        <v>243</v>
      </c>
      <c r="CD351" s="5" t="s">
        <v>206</v>
      </c>
      <c r="CH351" s="5" t="s">
        <v>206</v>
      </c>
      <c r="CI351" s="5" t="s">
        <v>307</v>
      </c>
      <c r="CJ351" s="5">
        <v>1</v>
      </c>
      <c r="CK351" s="5" t="s">
        <v>223</v>
      </c>
      <c r="CU351" s="5" t="s">
        <v>206</v>
      </c>
      <c r="DA351" s="5" t="s">
        <v>272</v>
      </c>
      <c r="DB351" s="5">
        <f t="shared" ref="DB351:DB356" si="1022">IF(DA351="Mejor que lo habitual",1,
IF(DA351="Igual que lo habitual",2,
IF(DA351="Menos que lo habitual",3,
IF(DA351="Mucho menos que lo habitual",4,""))))</f>
        <v>1</v>
      </c>
      <c r="DC351" s="5" t="s">
        <v>230</v>
      </c>
      <c r="DD351" s="5">
        <f t="shared" ref="DD351:DD356" si="1023">IF(DC351="No, en absoluto",1,
IF(DC351="No más que lo habitual",2,
IF(DC351="Bastante más que lo habitual",3,
IF(DC351="Mucho más que lo habitual",4,""))))</f>
        <v>2</v>
      </c>
      <c r="DE351" s="5" t="s">
        <v>250</v>
      </c>
      <c r="DF351" s="5">
        <f t="shared" ref="DF351:DF356" si="1024">IF(DE351="No, en absoluto",1,
IF(DE351="No más que lo habitual",2,
IF(DE351="Bastante más que lo habitual",3,
IF(DE351="Mucho más que lo habitual",4,""))))</f>
        <v>3</v>
      </c>
      <c r="DG351" s="5" t="s">
        <v>230</v>
      </c>
      <c r="DH351" s="5">
        <f t="shared" ref="DH351:DH356" si="1025">IF(DG351="No, en absoluto",1,
IF(DG351="No más que lo habitual",2,
IF(DG351="Bastante más que lo habitual",3,
IF(DG351="Mucho más que lo habitual",4,""))))</f>
        <v>2</v>
      </c>
      <c r="DI351" s="5" t="s">
        <v>250</v>
      </c>
      <c r="DJ351" s="5">
        <f t="shared" ref="DJ351:DJ356" si="1026">IF(DI351="No, en absoluto",1,
IF(DI351="No más que lo habitual",2,
IF(DI351="Bastante más que lo habitual",3,
IF(DI351="Mucho más que lo habitual",4,""))))</f>
        <v>3</v>
      </c>
      <c r="DK351" s="5" t="s">
        <v>250</v>
      </c>
      <c r="DL351" s="5">
        <f t="shared" ref="DL351:DL356" si="1027">IF(DK351="No, en absoluto",1,
IF(DK351="No más que lo habitual",2,
IF(DK351="Bastante más que lo habitual",3,
IF(DK351="Mucho más que lo habitual",4,""))))</f>
        <v>3</v>
      </c>
      <c r="DM351" s="5" t="s">
        <v>250</v>
      </c>
      <c r="DN351" s="5">
        <f t="shared" ref="DN351:DN356" si="1028">IF(DM351="No, en absoluto",1,
IF(DM351="No más que lo habitual",2,
IF(DM351="Bastante más que lo habitual",3,
IF(DM351="Mucho más que lo habitual",4,""))))</f>
        <v>3</v>
      </c>
      <c r="DO351" s="5" t="s">
        <v>281</v>
      </c>
      <c r="DP351" s="5">
        <f t="shared" ref="DP351:DP356" si="1029">IF(DO351="Más que lo habitual",1,
IF(DO351="Igual que lo habitual",2,
IF(DO351="Menos que lo habitual",3,
IF(DO351="Mucho menos que lo habitual",4,""))))</f>
        <v>1</v>
      </c>
      <c r="DQ351" s="5" t="s">
        <v>281</v>
      </c>
      <c r="DR351" s="5">
        <f t="shared" ref="DR351:DR356" si="1030">IF(DQ351="Más que lo habitual",1,
IF(DQ351="Igual que lo habitual",2,
IF(DQ351="Menos que lo habitual",3,
IF(DQ351="Mucho menos que lo habitual",4,""))))</f>
        <v>1</v>
      </c>
      <c r="DS351" s="5" t="s">
        <v>252</v>
      </c>
      <c r="DT351" s="5">
        <f t="shared" ref="DT351:DT356" si="1031">IF(DS351="Más que lo habitual",1,
IF(DS351="Igual que lo habitual",2,
IF(DS351="Menos que lo habitual",3,
IF(DS351="Mucho menos que lo habitual",4,""))))</f>
        <v>3</v>
      </c>
      <c r="DU351" s="5" t="s">
        <v>281</v>
      </c>
      <c r="DV351" s="5">
        <f t="shared" ref="DV351:DV356" si="1032">IF(DU351="Más que lo habitual",1,
IF(DU351="Igual que lo habitual",2,
IF(DU351="Menos que lo habitual",3,
IF(DU351="Mucho menos que lo habitual",4,""))))</f>
        <v>1</v>
      </c>
      <c r="DW351" s="5" t="s">
        <v>281</v>
      </c>
      <c r="DX351" s="5">
        <f t="shared" ref="DX351:DX356" si="1033">IF(DW351="Más que lo habitual",1,
IF(DW351="Igual que lo habitual",2,
IF(DW351="Menos que lo habitual",3,
IF(DW351="Mucho menos que lo habitual",4,""))))</f>
        <v>1</v>
      </c>
      <c r="DY351" s="5">
        <f t="shared" ref="DY351:DY356" si="1034">SUM(DB351,DD351,DF351,DH351,DJ351,DL351,DN351,DP351,DR351,DT351,DV351,DX351)</f>
        <v>24</v>
      </c>
      <c r="DZ351" s="5" t="str">
        <f t="shared" ref="DZ351:DZ356" si="1035">IF(DY351&lt;=18,"Nivel de riesgo bajo",
IF(DY351&lt;=23,"Nivel de riesgo medio",
"Nivel de riesgo alto"))</f>
        <v>Nivel de riesgo alto</v>
      </c>
      <c r="EA351" s="5" t="s">
        <v>232</v>
      </c>
      <c r="EB351" s="5">
        <f t="shared" ref="EB351:EB356" si="1036">IF(EA351="Nunca/ casi nunca",0,
IF(EA351="Rara vez",1,
IF(EA351="A veces",2,
IF(EA351="A menudo",3,
IF(EA351="Siempre",4,"")))))</f>
        <v>3</v>
      </c>
      <c r="EC351" s="5" t="s">
        <v>232</v>
      </c>
      <c r="ED351" s="5">
        <f t="shared" ref="ED351:ED356" si="1037">IF(EC351="Nunca/ casi nunca",0,
IF(EC351="Rara vez",1,
IF(EC351="A veces",2,
IF(EC351="A menudo",3,
IF(EC351="Siempre",4,"")))))</f>
        <v>3</v>
      </c>
      <c r="EE351" s="5" t="s">
        <v>248</v>
      </c>
      <c r="EF351" s="5">
        <f t="shared" ref="EF351:EF356" si="1038">IF(EE351="Nunca/ casi nunca",0,
IF(EE351="Rara vez",1,
IF(EE351="A veces",2,
IF(EE351="A menudo",3,
IF(EE351="Siempre",4,"")))))</f>
        <v>1</v>
      </c>
      <c r="EG351" s="5">
        <f t="shared" ref="EG351:EG356" si="1039">SUM(EB351,ED351,EF351)</f>
        <v>7</v>
      </c>
      <c r="EH351" s="5" t="str">
        <f t="shared" ref="EH351:EH356" si="1040">IF(EG351&lt;=1,"Nivel de riesgo bajo",
IF(EG351&lt;=4,"Nivel de riesgo medio",
"Nivel de riesgo alto"))</f>
        <v>Nivel de riesgo alto</v>
      </c>
      <c r="EI351" s="5" t="s">
        <v>232</v>
      </c>
      <c r="EJ351" s="5">
        <f t="shared" ref="EJ351:EJ356" si="1041">IF(EI351="Nunca/ casi nunca",0,
IF(EI351="Rara vez",1,
IF(EI351="A veces",2,
IF(EI351="A menudo",3,
IF(EI351="Siempre",4,"")))))</f>
        <v>3</v>
      </c>
      <c r="EK351" s="5" t="s">
        <v>248</v>
      </c>
      <c r="EL351" s="5">
        <f t="shared" ref="EL351:EL356" si="1042">IF(EK351="Nunca/ casi nunca",0,
IF(EK351="Rara vez",1,
IF(EK351="A veces",2,
IF(EK351="A menudo",3,
IF(EK351="Siempre",4,"")))))</f>
        <v>1</v>
      </c>
      <c r="EM351" s="5" t="s">
        <v>254</v>
      </c>
      <c r="EN351" s="5">
        <f t="shared" ref="EN351:EN356" si="1043">IF(EM351="Nunca/ casi nunca",0,
IF(EM351="Rara vez",1,
IF(EM351="A veces",2,
IF(EM351="A menudo",3,
IF(EM351="Siempre",4,"")))))</f>
        <v>4</v>
      </c>
      <c r="EO351" s="5">
        <f t="shared" ref="EO351:EO356" si="1044">SUM(EJ351,EL351,EN351)</f>
        <v>8</v>
      </c>
      <c r="EP351" s="5" t="str">
        <f t="shared" ref="EP351:EP356" si="1045">IF(EO351&lt;=1,"Nivel de riesgo bajo",
IF(EO351&lt;=5,"Nivel de riesgo medio",
"Nivel de riesgo alto"))</f>
        <v>Nivel de riesgo alto</v>
      </c>
      <c r="EQ351" s="5" t="s">
        <v>247</v>
      </c>
      <c r="ER351" s="5">
        <f t="shared" ref="ER351:ER356" si="1046">IF(EQ351="Nunca/ casi nunca",4,
IF(EQ351="Rara vez",3,
IF(EQ351="A veces",2,
IF(EQ351="A menudo",1,
IF(EQ351="Siempre",0,"")))))</f>
        <v>2</v>
      </c>
      <c r="ES351" s="5" t="s">
        <v>248</v>
      </c>
      <c r="ET351" s="5">
        <f t="shared" ref="ET351:ET356" si="1047">IF(ES351="Nunca/ casi nunca",4,
IF(ES351="Rara vez",3,
IF(ES351="A veces",2,
IF(ES351="A menudo",1,
IF(ES351="Siempre",0,"")))))</f>
        <v>3</v>
      </c>
      <c r="EU351" s="5" t="s">
        <v>254</v>
      </c>
      <c r="EV351" s="5">
        <f t="shared" ref="EV351:EV356" si="1048">IF(EU351="Nunca/ casi nunca",4,
IF(EU351="Rara vez",3,
IF(EU351="A veces",2,
IF(EU351="A menudo",1,
IF(EU351="Siempre",0,"")))))</f>
        <v>0</v>
      </c>
      <c r="EW351" s="5" t="s">
        <v>254</v>
      </c>
      <c r="EX351" s="5">
        <f t="shared" ref="EX351:EX356" si="1049">IF(EW351="Nunca/ casi nunca",4,
IF(EW351="Rara vez",3,
IF(EW351="A veces",2,
IF(EW351="A menudo",1,
IF(EW351="Siempre",0,"")))))</f>
        <v>0</v>
      </c>
      <c r="EY351" s="5">
        <f t="shared" ref="EY351:EY356" si="1050">SUM(ER351,ET351,EV351,EX351)</f>
        <v>5</v>
      </c>
      <c r="EZ351" s="5" t="str">
        <f t="shared" ref="EZ351:EZ356" si="1051">IF(EY351&lt;=0,"Nivel de riesgo bajo",
IF(EY351&lt;=4,"Nivel de riesgo medio",
"Nivel de riesgo alto"))</f>
        <v>Nivel de riesgo alto</v>
      </c>
      <c r="FA351" s="5" t="s">
        <v>253</v>
      </c>
      <c r="FB351" s="5">
        <f t="shared" ref="FB351:FB356" si="1052">IF(FA351="Nunca/ casi nunca",0,
IF(FA351="Rara vez",1,
IF(FA351="A veces",2,
IF(FA351="A menudo",3,
IF(FA351="Siempre",4,"")))))</f>
        <v>0</v>
      </c>
      <c r="FC351" s="5" t="s">
        <v>253</v>
      </c>
      <c r="FD351" s="5">
        <f t="shared" ref="FD351:FD356" si="1053">IF(FC351="Nunca/ casi nunca",0,
IF(FC351="Rara vez",1,
IF(FC351="A veces",2,
IF(FC351="A menudo",3,
IF(FC351="Siempre",4,"")))))</f>
        <v>0</v>
      </c>
      <c r="FE351" s="5" t="s">
        <v>253</v>
      </c>
      <c r="FF351" s="5">
        <f t="shared" ref="FF351:FF356" si="1054">IF(FE351="Nunca/ casi nunca",0,
IF(FE351="Rara vez",1,
IF(FE351="A veces",2,
IF(FE351="A menudo",3,
IF(FE351="Siempre",4,"")))))</f>
        <v>0</v>
      </c>
      <c r="FG351" s="5">
        <f t="shared" ref="FG351:FG356" si="1055">SUM(FB351,FD351,FF351)</f>
        <v>0</v>
      </c>
      <c r="FH351" s="5" t="str">
        <f t="shared" ref="FH351:FH356" si="1056">IF(FG351&lt;=2,"Nivel de riesgo bajo",
IF(FG351&lt;=5,"Nivel de riesgo medio",
"Nivel de riesgo alto"))</f>
        <v>Nivel de riesgo bajo</v>
      </c>
      <c r="FI351" s="5" t="s">
        <v>254</v>
      </c>
      <c r="FJ351" s="5">
        <f t="shared" ref="FJ351:FJ356" si="1057">IF(FI351="Nunca/ casi nunca",0,
IF(FI351="Rara vez",1,
IF(FI351="A veces",2,
IF(FI351="A menudo",3,
IF(FI351="Siempre",4,"")))))</f>
        <v>4</v>
      </c>
      <c r="FK351" s="5" t="s">
        <v>254</v>
      </c>
      <c r="FL351" s="5">
        <f t="shared" ref="FL351:FL356" si="1058">IF(FK351="Nunca/ casi nunca",0,
IF(FK351="Rara vez",1,
IF(FK351="A veces",2,
IF(FK351="A menudo",3,
IF(FK351="Siempre",4,"")))))</f>
        <v>4</v>
      </c>
      <c r="FM351" s="5" t="s">
        <v>247</v>
      </c>
      <c r="FN351" s="5">
        <f t="shared" ref="FN351:FN356" si="1059">IF(FM351="Nunca/ casi nunca",0,
IF(FM351="Rara vez",1,
IF(FM351="A veces",2,
IF(FM351="A menudo",3,
IF(FM351="Siempre",4,"")))))</f>
        <v>2</v>
      </c>
      <c r="FO351" s="5">
        <f t="shared" ref="FO351:FO356" si="1060">SUM(FJ351,FL351,FN351)</f>
        <v>10</v>
      </c>
      <c r="FP351" s="5" t="str">
        <f t="shared" ref="FP351:FP356" si="1061">IF(FO351&lt;=2,"Nivel de riesgo bajo",
IF(FO351&lt;=5,"Nivel de riesgo medio",
"Nivel de riesgo alto"))</f>
        <v>Nivel de riesgo alto</v>
      </c>
      <c r="FQ351" s="5" t="s">
        <v>206</v>
      </c>
      <c r="FR351" s="5">
        <f t="shared" ref="FR351:FR356" si="1062">IF(FQ351="No",0,
IF(FQ351="Sí, unas pocas veces",1,
IF(FQ351="Sí, mensualmente",2,
IF(FQ351="Sí, semanalmente",3,
IF(FQ351="Sí, diariamente",4,"")))))</f>
        <v>0</v>
      </c>
      <c r="FS351" s="5" t="s">
        <v>206</v>
      </c>
      <c r="FT351" s="5">
        <f t="shared" ref="FT351:FT356" si="1063">IF(FS351="No",0,
IF(FS351="Sí, unas pocas veces",1,
IF(FS351="Sí, mensualmente",2,
IF(FS351="Sí, semanalmente",3,
IF(FS351="Sí, diariamente",4,"")))))</f>
        <v>0</v>
      </c>
      <c r="FU351" s="5" t="s">
        <v>206</v>
      </c>
      <c r="FV351" s="5">
        <f t="shared" ref="FV351:FV356" si="1064">IF(FU351="No",0,
IF(FU351="Sí, unas pocas veces",1,
IF(FU351="Sí, mensualmente",2,
IF(FU351="Sí, semanalmente",3,
IF(FU351="Sí, diariamente",4,"")))))</f>
        <v>0</v>
      </c>
      <c r="FW351" s="5" t="s">
        <v>206</v>
      </c>
      <c r="FX351" s="5">
        <f t="shared" ref="FX351:FX356" si="1065">IF(FW351="No",0,
IF(FW351="Sí, unas pocas veces",1,
IF(FW351="Sí, mensualmente",2,
IF(FW351="Sí, semanalmente",3,
IF(FW351="Sí, diariamente",4,"")))))</f>
        <v>0</v>
      </c>
      <c r="FY351" s="5" t="s">
        <v>206</v>
      </c>
      <c r="FZ351" s="5">
        <f t="shared" ref="FZ351:FZ356" si="1066">IF(FY351="No",0,
IF(FY351="Sí, unas pocas veces",1,
IF(FY351="Sí, mensualmente",2,
IF(FY351="Sí, semanalmente",3,
IF(FY351="Sí, diariamente",4,"")))))</f>
        <v>0</v>
      </c>
      <c r="GA351" s="5" t="s">
        <v>206</v>
      </c>
      <c r="GB351" s="5">
        <f t="shared" ref="GB351:GB356" si="1067">IF(GA351="No",0,
IF(GA351="Sí, unas pocas veces",1,
IF(GA351="Sí, mensualmente",2,
IF(GA351="Sí, semanalmente",3,
IF(GA351="Sí, diariamente",4,"")))))</f>
        <v>0</v>
      </c>
      <c r="GC351" s="5" t="s">
        <v>206</v>
      </c>
      <c r="GD351" s="5">
        <f t="shared" ref="GD351:GD356" si="1068">IF(GC351="No",0,
IF(GC351="Sí, unas pocas veces",1,
IF(GC351="Sí, mensualmente",2,
IF(GC351="Sí, semanalmente",3,
IF(GC351="Sí, diariamente",4,"")))))</f>
        <v>0</v>
      </c>
      <c r="GE351" s="5">
        <f t="shared" ref="GE351:GE356" si="1069">SUM(FR351,FT351,FV351,FX351,FZ351,GB351,GD351)</f>
        <v>0</v>
      </c>
      <c r="GF351" s="5" t="str">
        <f t="shared" ref="GF351:GF356" si="1070">IF(GE351&lt;=0,"Nivel de riesgo bajo",
IF(GE351&lt;=14,"Nivel de riesgo medio",
"Nivel de riesgo alto"))</f>
        <v>Nivel de riesgo bajo</v>
      </c>
      <c r="GG351" s="5" t="s">
        <v>273</v>
      </c>
      <c r="GH351" s="5" t="s">
        <v>266</v>
      </c>
      <c r="GI351" s="5" t="s">
        <v>266</v>
      </c>
      <c r="GJ351" s="5" t="s">
        <v>233</v>
      </c>
      <c r="GK351" s="5" t="s">
        <v>233</v>
      </c>
      <c r="GL351" s="5" t="s">
        <v>255</v>
      </c>
      <c r="GM351" s="5" t="s">
        <v>255</v>
      </c>
      <c r="GN351" s="5" t="s">
        <v>243</v>
      </c>
      <c r="GO351" s="5" t="s">
        <v>243</v>
      </c>
      <c r="GP351" s="5" t="s">
        <v>243</v>
      </c>
      <c r="GQ351" s="5" t="s">
        <v>243</v>
      </c>
      <c r="GR351" s="5" t="s">
        <v>243</v>
      </c>
      <c r="GS351" s="5" t="s">
        <v>243</v>
      </c>
      <c r="GT351" s="5" t="s">
        <v>243</v>
      </c>
      <c r="GU351" s="5" t="s">
        <v>718</v>
      </c>
      <c r="GV351" s="5" t="str">
        <f>TEXT("6280997282424350700","0")</f>
        <v>6280997282424350000</v>
      </c>
    </row>
    <row r="352" spans="1:204" ht="15.75" customHeight="1" x14ac:dyDescent="0.15">
      <c r="A352" s="1">
        <f t="shared" si="1020"/>
        <v>352</v>
      </c>
      <c r="B352" s="4">
        <v>45849.979699074072</v>
      </c>
      <c r="C352" s="5" t="s">
        <v>204</v>
      </c>
      <c r="D352" s="5" t="s">
        <v>206</v>
      </c>
      <c r="F352" s="5" t="s">
        <v>206</v>
      </c>
      <c r="G352" s="5" t="s">
        <v>206</v>
      </c>
      <c r="H352" s="5" t="s">
        <v>204</v>
      </c>
      <c r="K352" s="5" t="s">
        <v>237</v>
      </c>
      <c r="N352" s="5" t="s">
        <v>208</v>
      </c>
      <c r="U352" s="5" t="s">
        <v>237</v>
      </c>
      <c r="Y352" s="5" t="s">
        <v>209</v>
      </c>
      <c r="AC352" s="5" t="s">
        <v>208</v>
      </c>
      <c r="AH352" s="5" t="s">
        <v>259</v>
      </c>
      <c r="AI352" s="5">
        <v>1994</v>
      </c>
      <c r="AJ352" s="5" t="s">
        <v>238</v>
      </c>
      <c r="AK352" s="5" t="str">
        <f t="shared" si="1021"/>
        <v>Trabajadora por cuenta propia</v>
      </c>
      <c r="AM352" s="5" t="s">
        <v>309</v>
      </c>
      <c r="AP352" s="5" t="s">
        <v>240</v>
      </c>
      <c r="AR352" s="5" t="s">
        <v>241</v>
      </c>
      <c r="AS352" s="5" t="s">
        <v>301</v>
      </c>
      <c r="AT352" s="5" t="s">
        <v>301</v>
      </c>
      <c r="AU352" s="5" t="s">
        <v>301</v>
      </c>
      <c r="AV352" s="5" t="s">
        <v>213</v>
      </c>
      <c r="AW352" s="5" t="s">
        <v>206</v>
      </c>
      <c r="BF352" s="5" t="s">
        <v>204</v>
      </c>
      <c r="BG352" s="5" t="s">
        <v>207</v>
      </c>
      <c r="BH352" s="5" t="s">
        <v>242</v>
      </c>
      <c r="BI352" s="5" t="s">
        <v>207</v>
      </c>
      <c r="BJ352" s="5" t="s">
        <v>215</v>
      </c>
      <c r="BK352" s="5" t="s">
        <v>244</v>
      </c>
      <c r="BL352" s="5" t="s">
        <v>216</v>
      </c>
      <c r="BM352" s="5" t="s">
        <v>246</v>
      </c>
      <c r="BN352" s="5" t="s">
        <v>244</v>
      </c>
      <c r="BO352" s="5" t="s">
        <v>244</v>
      </c>
      <c r="BP352" s="5" t="s">
        <v>243</v>
      </c>
      <c r="BQ352" s="5" t="s">
        <v>244</v>
      </c>
      <c r="BR352" s="5" t="s">
        <v>216</v>
      </c>
      <c r="BS352" s="5" t="s">
        <v>247</v>
      </c>
      <c r="BT352" s="5" t="s">
        <v>247</v>
      </c>
      <c r="BU352" s="5" t="s">
        <v>248</v>
      </c>
      <c r="BV352" s="5" t="s">
        <v>247</v>
      </c>
      <c r="BW352" s="5" t="s">
        <v>247</v>
      </c>
      <c r="BX352" s="5" t="s">
        <v>248</v>
      </c>
      <c r="BY352" s="5" t="s">
        <v>247</v>
      </c>
      <c r="CD352" s="5" t="s">
        <v>204</v>
      </c>
      <c r="CE352" s="5" t="s">
        <v>218</v>
      </c>
      <c r="CF352" s="5" t="s">
        <v>219</v>
      </c>
      <c r="CG352" s="5" t="s">
        <v>373</v>
      </c>
      <c r="CH352" s="5" t="s">
        <v>206</v>
      </c>
      <c r="CI352" s="5" t="s">
        <v>307</v>
      </c>
      <c r="CJ352" s="5">
        <v>1</v>
      </c>
      <c r="CK352" s="5" t="s">
        <v>223</v>
      </c>
      <c r="CU352" s="5" t="s">
        <v>206</v>
      </c>
      <c r="DA352" s="5" t="s">
        <v>252</v>
      </c>
      <c r="DB352" s="5">
        <f t="shared" si="1022"/>
        <v>3</v>
      </c>
      <c r="DC352" s="5" t="s">
        <v>230</v>
      </c>
      <c r="DD352" s="5">
        <f t="shared" si="1023"/>
        <v>2</v>
      </c>
      <c r="DE352" s="5" t="s">
        <v>250</v>
      </c>
      <c r="DF352" s="5">
        <f t="shared" si="1024"/>
        <v>3</v>
      </c>
      <c r="DG352" s="5" t="s">
        <v>250</v>
      </c>
      <c r="DH352" s="5">
        <f t="shared" si="1025"/>
        <v>3</v>
      </c>
      <c r="DI352" s="5" t="s">
        <v>230</v>
      </c>
      <c r="DJ352" s="5">
        <f t="shared" si="1026"/>
        <v>2</v>
      </c>
      <c r="DK352" s="5" t="s">
        <v>251</v>
      </c>
      <c r="DL352" s="5">
        <f t="shared" si="1027"/>
        <v>1</v>
      </c>
      <c r="DM352" s="5" t="s">
        <v>251</v>
      </c>
      <c r="DN352" s="5">
        <f t="shared" si="1028"/>
        <v>1</v>
      </c>
      <c r="DO352" s="5" t="s">
        <v>281</v>
      </c>
      <c r="DP352" s="5">
        <f t="shared" si="1029"/>
        <v>1</v>
      </c>
      <c r="DQ352" s="5" t="s">
        <v>281</v>
      </c>
      <c r="DR352" s="5">
        <f t="shared" si="1030"/>
        <v>1</v>
      </c>
      <c r="DS352" s="5" t="s">
        <v>281</v>
      </c>
      <c r="DT352" s="5">
        <f t="shared" si="1031"/>
        <v>1</v>
      </c>
      <c r="DU352" s="5" t="s">
        <v>231</v>
      </c>
      <c r="DV352" s="5">
        <f t="shared" si="1032"/>
        <v>2</v>
      </c>
      <c r="DW352" s="5" t="s">
        <v>281</v>
      </c>
      <c r="DX352" s="5">
        <f t="shared" si="1033"/>
        <v>1</v>
      </c>
      <c r="DY352" s="5">
        <f t="shared" si="1034"/>
        <v>21</v>
      </c>
      <c r="DZ352" s="5" t="str">
        <f t="shared" si="1035"/>
        <v>Nivel de riesgo medio</v>
      </c>
      <c r="EA352" s="5" t="s">
        <v>248</v>
      </c>
      <c r="EB352" s="5">
        <f t="shared" si="1036"/>
        <v>1</v>
      </c>
      <c r="EC352" s="5" t="s">
        <v>247</v>
      </c>
      <c r="ED352" s="5">
        <f t="shared" si="1037"/>
        <v>2</v>
      </c>
      <c r="EE352" s="5" t="s">
        <v>248</v>
      </c>
      <c r="EF352" s="5">
        <f t="shared" si="1038"/>
        <v>1</v>
      </c>
      <c r="EG352" s="5">
        <f t="shared" si="1039"/>
        <v>4</v>
      </c>
      <c r="EH352" s="5" t="str">
        <f t="shared" si="1040"/>
        <v>Nivel de riesgo medio</v>
      </c>
      <c r="EI352" s="5" t="s">
        <v>247</v>
      </c>
      <c r="EJ352" s="5">
        <f t="shared" si="1041"/>
        <v>2</v>
      </c>
      <c r="EK352" s="5" t="s">
        <v>253</v>
      </c>
      <c r="EL352" s="5">
        <f t="shared" si="1042"/>
        <v>0</v>
      </c>
      <c r="EM352" s="5" t="s">
        <v>248</v>
      </c>
      <c r="EN352" s="5">
        <f t="shared" si="1043"/>
        <v>1</v>
      </c>
      <c r="EO352" s="5">
        <f t="shared" si="1044"/>
        <v>3</v>
      </c>
      <c r="EP352" s="5" t="str">
        <f t="shared" si="1045"/>
        <v>Nivel de riesgo medio</v>
      </c>
      <c r="EQ352" s="5" t="s">
        <v>247</v>
      </c>
      <c r="ER352" s="5">
        <f t="shared" si="1046"/>
        <v>2</v>
      </c>
      <c r="ES352" s="5" t="s">
        <v>247</v>
      </c>
      <c r="ET352" s="5">
        <f t="shared" si="1047"/>
        <v>2</v>
      </c>
      <c r="EU352" s="5" t="s">
        <v>254</v>
      </c>
      <c r="EV352" s="5">
        <f t="shared" si="1048"/>
        <v>0</v>
      </c>
      <c r="EW352" s="5" t="s">
        <v>232</v>
      </c>
      <c r="EX352" s="5">
        <f t="shared" si="1049"/>
        <v>1</v>
      </c>
      <c r="EY352" s="5">
        <f t="shared" si="1050"/>
        <v>5</v>
      </c>
      <c r="EZ352" s="5" t="str">
        <f t="shared" si="1051"/>
        <v>Nivel de riesgo alto</v>
      </c>
      <c r="FA352" s="5" t="s">
        <v>248</v>
      </c>
      <c r="FB352" s="5">
        <f t="shared" si="1052"/>
        <v>1</v>
      </c>
      <c r="FC352" s="5" t="s">
        <v>253</v>
      </c>
      <c r="FD352" s="5">
        <f t="shared" si="1053"/>
        <v>0</v>
      </c>
      <c r="FE352" s="5" t="s">
        <v>253</v>
      </c>
      <c r="FF352" s="5">
        <f t="shared" si="1054"/>
        <v>0</v>
      </c>
      <c r="FG352" s="5">
        <f t="shared" si="1055"/>
        <v>1</v>
      </c>
      <c r="FH352" s="5" t="str">
        <f t="shared" si="1056"/>
        <v>Nivel de riesgo bajo</v>
      </c>
      <c r="FI352" s="5" t="s">
        <v>253</v>
      </c>
      <c r="FJ352" s="5">
        <f t="shared" si="1057"/>
        <v>0</v>
      </c>
      <c r="FK352" s="5" t="s">
        <v>253</v>
      </c>
      <c r="FL352" s="5">
        <f t="shared" si="1058"/>
        <v>0</v>
      </c>
      <c r="FM352" s="5" t="s">
        <v>253</v>
      </c>
      <c r="FN352" s="5">
        <f t="shared" si="1059"/>
        <v>0</v>
      </c>
      <c r="FO352" s="5">
        <f t="shared" si="1060"/>
        <v>0</v>
      </c>
      <c r="FP352" s="5" t="str">
        <f t="shared" si="1061"/>
        <v>Nivel de riesgo bajo</v>
      </c>
      <c r="FQ352" s="5" t="s">
        <v>206</v>
      </c>
      <c r="FR352" s="5">
        <f t="shared" si="1062"/>
        <v>0</v>
      </c>
      <c r="FS352" s="5" t="s">
        <v>206</v>
      </c>
      <c r="FT352" s="5">
        <f t="shared" si="1063"/>
        <v>0</v>
      </c>
      <c r="FU352" s="5" t="s">
        <v>206</v>
      </c>
      <c r="FV352" s="5">
        <f t="shared" si="1064"/>
        <v>0</v>
      </c>
      <c r="FW352" s="5" t="s">
        <v>206</v>
      </c>
      <c r="FX352" s="5">
        <f t="shared" si="1065"/>
        <v>0</v>
      </c>
      <c r="FY352" s="5" t="s">
        <v>206</v>
      </c>
      <c r="FZ352" s="5">
        <f t="shared" si="1066"/>
        <v>0</v>
      </c>
      <c r="GA352" s="5" t="s">
        <v>206</v>
      </c>
      <c r="GB352" s="5">
        <f t="shared" si="1067"/>
        <v>0</v>
      </c>
      <c r="GC352" s="5" t="s">
        <v>206</v>
      </c>
      <c r="GD352" s="5">
        <f t="shared" si="1068"/>
        <v>0</v>
      </c>
      <c r="GE352" s="5">
        <f t="shared" si="1069"/>
        <v>0</v>
      </c>
      <c r="GF352" s="5" t="str">
        <f t="shared" si="1070"/>
        <v>Nivel de riesgo bajo</v>
      </c>
      <c r="GG352" s="5" t="s">
        <v>273</v>
      </c>
      <c r="GH352" s="5" t="s">
        <v>255</v>
      </c>
      <c r="GI352" s="5" t="s">
        <v>255</v>
      </c>
      <c r="GJ352" s="5" t="s">
        <v>255</v>
      </c>
      <c r="GK352" s="5" t="s">
        <v>233</v>
      </c>
      <c r="GL352" s="5" t="s">
        <v>255</v>
      </c>
      <c r="GM352" s="5" t="s">
        <v>255</v>
      </c>
      <c r="GN352" s="5" t="s">
        <v>256</v>
      </c>
      <c r="GO352" s="5" t="s">
        <v>243</v>
      </c>
      <c r="GP352" s="5" t="s">
        <v>243</v>
      </c>
      <c r="GQ352" s="5" t="s">
        <v>243</v>
      </c>
      <c r="GR352" s="5" t="s">
        <v>243</v>
      </c>
      <c r="GS352" s="5" t="s">
        <v>243</v>
      </c>
      <c r="GT352" s="5" t="s">
        <v>256</v>
      </c>
      <c r="GU352" s="5" t="s">
        <v>719</v>
      </c>
      <c r="GV352" s="5" t="str">
        <f>TEXT("6281002463404945839","0")</f>
        <v>6281002463404940000</v>
      </c>
    </row>
    <row r="353" spans="1:204" ht="15.75" customHeight="1" x14ac:dyDescent="0.15">
      <c r="A353" s="1">
        <f t="shared" si="1020"/>
        <v>353</v>
      </c>
      <c r="B353" s="4">
        <v>45850.051412037035</v>
      </c>
      <c r="C353" s="5" t="s">
        <v>204</v>
      </c>
      <c r="D353" s="5" t="s">
        <v>206</v>
      </c>
      <c r="F353" s="5" t="s">
        <v>204</v>
      </c>
      <c r="G353" s="5" t="s">
        <v>204</v>
      </c>
      <c r="H353" s="5" t="s">
        <v>206</v>
      </c>
      <c r="K353" s="5" t="s">
        <v>237</v>
      </c>
      <c r="O353" s="5" t="s">
        <v>209</v>
      </c>
      <c r="T353" s="5" t="s">
        <v>209</v>
      </c>
      <c r="Y353" s="5" t="s">
        <v>209</v>
      </c>
      <c r="AD353" s="5" t="s">
        <v>209</v>
      </c>
      <c r="AH353" s="5" t="s">
        <v>210</v>
      </c>
      <c r="AI353" s="5">
        <v>2023</v>
      </c>
      <c r="AJ353" s="5" t="s">
        <v>238</v>
      </c>
      <c r="AK353" s="5" t="str">
        <f t="shared" si="1021"/>
        <v>Trabajadora por cuenta propia</v>
      </c>
      <c r="AM353" s="5" t="s">
        <v>309</v>
      </c>
      <c r="AP353" s="5" t="s">
        <v>297</v>
      </c>
      <c r="AR353" s="5" t="s">
        <v>301</v>
      </c>
      <c r="AS353" s="5" t="s">
        <v>261</v>
      </c>
      <c r="AT353" s="5" t="s">
        <v>301</v>
      </c>
      <c r="AU353" s="5" t="s">
        <v>301</v>
      </c>
      <c r="AV353" s="5" t="s">
        <v>213</v>
      </c>
      <c r="AW353" s="5" t="s">
        <v>204</v>
      </c>
      <c r="AX353" s="5" t="s">
        <v>204</v>
      </c>
      <c r="AY353" s="5" t="s">
        <v>366</v>
      </c>
      <c r="AZ353" s="5" t="s">
        <v>204</v>
      </c>
      <c r="BA353" s="5" t="s">
        <v>263</v>
      </c>
      <c r="BF353" s="5" t="s">
        <v>204</v>
      </c>
      <c r="BG353" s="5" t="s">
        <v>278</v>
      </c>
      <c r="BH353" s="5" t="s">
        <v>242</v>
      </c>
      <c r="BI353" s="5" t="s">
        <v>278</v>
      </c>
      <c r="BJ353" s="5" t="s">
        <v>215</v>
      </c>
      <c r="BK353" s="5" t="s">
        <v>243</v>
      </c>
      <c r="BL353" s="5" t="s">
        <v>246</v>
      </c>
      <c r="BM353" s="5" t="s">
        <v>245</v>
      </c>
      <c r="BN353" s="5" t="s">
        <v>244</v>
      </c>
      <c r="BO353" s="5" t="s">
        <v>246</v>
      </c>
      <c r="BP353" s="5" t="s">
        <v>246</v>
      </c>
      <c r="BQ353" s="5" t="s">
        <v>243</v>
      </c>
      <c r="BR353" s="5" t="s">
        <v>246</v>
      </c>
      <c r="BS353" s="5" t="s">
        <v>247</v>
      </c>
      <c r="BT353" s="5" t="s">
        <v>247</v>
      </c>
      <c r="BU353" s="5" t="s">
        <v>248</v>
      </c>
      <c r="BV353" s="5" t="s">
        <v>248</v>
      </c>
      <c r="BW353" s="5" t="s">
        <v>248</v>
      </c>
      <c r="BX353" s="5" t="s">
        <v>248</v>
      </c>
      <c r="BY353" s="5" t="s">
        <v>248</v>
      </c>
      <c r="BZ353" s="5" t="s">
        <v>243</v>
      </c>
      <c r="CA353" s="5" t="s">
        <v>243</v>
      </c>
      <c r="CB353" s="5" t="s">
        <v>244</v>
      </c>
      <c r="CC353" s="5" t="s">
        <v>243</v>
      </c>
      <c r="CD353" s="5" t="s">
        <v>204</v>
      </c>
      <c r="CE353" s="5" t="s">
        <v>218</v>
      </c>
      <c r="CF353" s="5" t="s">
        <v>219</v>
      </c>
      <c r="CG353" s="5" t="s">
        <v>206</v>
      </c>
      <c r="CH353" s="5" t="s">
        <v>310</v>
      </c>
      <c r="CI353" s="5" t="s">
        <v>206</v>
      </c>
      <c r="CJ353" s="5">
        <v>0</v>
      </c>
      <c r="CK353" s="5" t="s">
        <v>223</v>
      </c>
      <c r="CU353" s="5" t="s">
        <v>206</v>
      </c>
      <c r="DA353" s="5" t="s">
        <v>252</v>
      </c>
      <c r="DB353" s="5">
        <f t="shared" si="1022"/>
        <v>3</v>
      </c>
      <c r="DC353" s="5" t="s">
        <v>250</v>
      </c>
      <c r="DD353" s="5">
        <f t="shared" si="1023"/>
        <v>3</v>
      </c>
      <c r="DE353" s="5" t="s">
        <v>250</v>
      </c>
      <c r="DF353" s="5">
        <f t="shared" si="1024"/>
        <v>3</v>
      </c>
      <c r="DG353" s="5" t="s">
        <v>250</v>
      </c>
      <c r="DH353" s="5">
        <f t="shared" si="1025"/>
        <v>3</v>
      </c>
      <c r="DI353" s="5" t="s">
        <v>230</v>
      </c>
      <c r="DJ353" s="5">
        <f t="shared" si="1026"/>
        <v>2</v>
      </c>
      <c r="DK353" s="5" t="s">
        <v>230</v>
      </c>
      <c r="DL353" s="5">
        <f t="shared" si="1027"/>
        <v>2</v>
      </c>
      <c r="DM353" s="5" t="s">
        <v>251</v>
      </c>
      <c r="DN353" s="5">
        <f t="shared" si="1028"/>
        <v>1</v>
      </c>
      <c r="DO353" s="5" t="s">
        <v>231</v>
      </c>
      <c r="DP353" s="5">
        <f t="shared" si="1029"/>
        <v>2</v>
      </c>
      <c r="DQ353" s="5" t="s">
        <v>231</v>
      </c>
      <c r="DR353" s="5">
        <f t="shared" si="1030"/>
        <v>2</v>
      </c>
      <c r="DS353" s="5" t="s">
        <v>231</v>
      </c>
      <c r="DT353" s="5">
        <f t="shared" si="1031"/>
        <v>2</v>
      </c>
      <c r="DU353" s="5" t="s">
        <v>281</v>
      </c>
      <c r="DV353" s="5">
        <f t="shared" si="1032"/>
        <v>1</v>
      </c>
      <c r="DW353" s="5" t="s">
        <v>281</v>
      </c>
      <c r="DX353" s="5">
        <f t="shared" si="1033"/>
        <v>1</v>
      </c>
      <c r="DY353" s="5">
        <f t="shared" si="1034"/>
        <v>25</v>
      </c>
      <c r="DZ353" s="5" t="str">
        <f t="shared" si="1035"/>
        <v>Nivel de riesgo alto</v>
      </c>
      <c r="EA353" s="5" t="s">
        <v>232</v>
      </c>
      <c r="EB353" s="5">
        <f t="shared" si="1036"/>
        <v>3</v>
      </c>
      <c r="EC353" s="5" t="s">
        <v>247</v>
      </c>
      <c r="ED353" s="5">
        <f t="shared" si="1037"/>
        <v>2</v>
      </c>
      <c r="EE353" s="5" t="s">
        <v>248</v>
      </c>
      <c r="EF353" s="5">
        <f t="shared" si="1038"/>
        <v>1</v>
      </c>
      <c r="EG353" s="5">
        <f t="shared" si="1039"/>
        <v>6</v>
      </c>
      <c r="EH353" s="5" t="str">
        <f t="shared" si="1040"/>
        <v>Nivel de riesgo alto</v>
      </c>
      <c r="EI353" s="5" t="s">
        <v>248</v>
      </c>
      <c r="EJ353" s="5">
        <f t="shared" si="1041"/>
        <v>1</v>
      </c>
      <c r="EK353" s="5" t="s">
        <v>247</v>
      </c>
      <c r="EL353" s="5">
        <f t="shared" si="1042"/>
        <v>2</v>
      </c>
      <c r="EM353" s="5" t="s">
        <v>247</v>
      </c>
      <c r="EN353" s="5">
        <f t="shared" si="1043"/>
        <v>2</v>
      </c>
      <c r="EO353" s="5">
        <f t="shared" si="1044"/>
        <v>5</v>
      </c>
      <c r="EP353" s="5" t="str">
        <f t="shared" si="1045"/>
        <v>Nivel de riesgo medio</v>
      </c>
      <c r="EQ353" s="5" t="s">
        <v>248</v>
      </c>
      <c r="ER353" s="5">
        <f t="shared" si="1046"/>
        <v>3</v>
      </c>
      <c r="ES353" s="5" t="s">
        <v>232</v>
      </c>
      <c r="ET353" s="5">
        <f t="shared" si="1047"/>
        <v>1</v>
      </c>
      <c r="EU353" s="5" t="s">
        <v>247</v>
      </c>
      <c r="EV353" s="5">
        <f t="shared" si="1048"/>
        <v>2</v>
      </c>
      <c r="EW353" s="5" t="s">
        <v>247</v>
      </c>
      <c r="EX353" s="5">
        <f t="shared" si="1049"/>
        <v>2</v>
      </c>
      <c r="EY353" s="5">
        <f t="shared" si="1050"/>
        <v>8</v>
      </c>
      <c r="EZ353" s="5" t="str">
        <f t="shared" si="1051"/>
        <v>Nivel de riesgo alto</v>
      </c>
      <c r="FA353" s="5" t="s">
        <v>232</v>
      </c>
      <c r="FB353" s="5">
        <f t="shared" si="1052"/>
        <v>3</v>
      </c>
      <c r="FC353" s="5" t="s">
        <v>248</v>
      </c>
      <c r="FD353" s="5">
        <f t="shared" si="1053"/>
        <v>1</v>
      </c>
      <c r="FE353" s="5" t="s">
        <v>248</v>
      </c>
      <c r="FF353" s="5">
        <f t="shared" si="1054"/>
        <v>1</v>
      </c>
      <c r="FG353" s="5">
        <f t="shared" si="1055"/>
        <v>5</v>
      </c>
      <c r="FH353" s="5" t="str">
        <f t="shared" si="1056"/>
        <v>Nivel de riesgo medio</v>
      </c>
      <c r="FI353" s="5" t="s">
        <v>247</v>
      </c>
      <c r="FJ353" s="5">
        <f t="shared" si="1057"/>
        <v>2</v>
      </c>
      <c r="FK353" s="5" t="s">
        <v>247</v>
      </c>
      <c r="FL353" s="5">
        <f t="shared" si="1058"/>
        <v>2</v>
      </c>
      <c r="FM353" s="5" t="s">
        <v>248</v>
      </c>
      <c r="FN353" s="5">
        <f t="shared" si="1059"/>
        <v>1</v>
      </c>
      <c r="FO353" s="5">
        <f t="shared" si="1060"/>
        <v>5</v>
      </c>
      <c r="FP353" s="5" t="str">
        <f t="shared" si="1061"/>
        <v>Nivel de riesgo medio</v>
      </c>
      <c r="FQ353" s="5" t="s">
        <v>206</v>
      </c>
      <c r="FR353" s="5">
        <f t="shared" si="1062"/>
        <v>0</v>
      </c>
      <c r="FS353" s="5" t="s">
        <v>206</v>
      </c>
      <c r="FT353" s="5">
        <f t="shared" si="1063"/>
        <v>0</v>
      </c>
      <c r="FU353" s="5" t="s">
        <v>206</v>
      </c>
      <c r="FV353" s="5">
        <f t="shared" si="1064"/>
        <v>0</v>
      </c>
      <c r="FW353" s="5" t="s">
        <v>206</v>
      </c>
      <c r="FX353" s="5">
        <f t="shared" si="1065"/>
        <v>0</v>
      </c>
      <c r="FY353" s="5" t="s">
        <v>206</v>
      </c>
      <c r="FZ353" s="5">
        <f t="shared" si="1066"/>
        <v>0</v>
      </c>
      <c r="GA353" s="5" t="s">
        <v>206</v>
      </c>
      <c r="GB353" s="5">
        <f t="shared" si="1067"/>
        <v>0</v>
      </c>
      <c r="GC353" s="5" t="s">
        <v>206</v>
      </c>
      <c r="GD353" s="5">
        <f t="shared" si="1068"/>
        <v>0</v>
      </c>
      <c r="GE353" s="5">
        <f t="shared" si="1069"/>
        <v>0</v>
      </c>
      <c r="GF353" s="5" t="str">
        <f t="shared" si="1070"/>
        <v>Nivel de riesgo bajo</v>
      </c>
      <c r="GG353" s="5" t="s">
        <v>255</v>
      </c>
      <c r="GH353" s="5" t="s">
        <v>255</v>
      </c>
      <c r="GI353" s="5" t="s">
        <v>255</v>
      </c>
      <c r="GJ353" s="5" t="s">
        <v>266</v>
      </c>
      <c r="GK353" s="5" t="s">
        <v>233</v>
      </c>
      <c r="GL353" s="5" t="s">
        <v>266</v>
      </c>
      <c r="GM353" s="5" t="s">
        <v>266</v>
      </c>
      <c r="GN353" s="5" t="s">
        <v>256</v>
      </c>
      <c r="GO353" s="5" t="s">
        <v>256</v>
      </c>
      <c r="GP353" s="5" t="s">
        <v>256</v>
      </c>
      <c r="GQ353" s="5" t="s">
        <v>256</v>
      </c>
      <c r="GR353" s="5" t="s">
        <v>256</v>
      </c>
      <c r="GS353" s="5" t="s">
        <v>257</v>
      </c>
      <c r="GT353" s="5" t="s">
        <v>256</v>
      </c>
      <c r="GU353" s="5" t="s">
        <v>720</v>
      </c>
      <c r="GV353" s="5" t="str">
        <f>TEXT("6281064426024667526","0")</f>
        <v>6281064426024660000</v>
      </c>
    </row>
    <row r="354" spans="1:204" ht="15.75" customHeight="1" x14ac:dyDescent="0.15">
      <c r="A354" s="1">
        <f t="shared" si="1020"/>
        <v>354</v>
      </c>
      <c r="B354" s="4">
        <v>45850.448634259257</v>
      </c>
      <c r="C354" s="5" t="s">
        <v>204</v>
      </c>
      <c r="D354" s="5" t="s">
        <v>204</v>
      </c>
      <c r="E354" s="5" t="s">
        <v>335</v>
      </c>
      <c r="F354" s="5" t="s">
        <v>206</v>
      </c>
      <c r="G354" s="5" t="s">
        <v>204</v>
      </c>
      <c r="H354" s="5" t="s">
        <v>204</v>
      </c>
      <c r="L354" s="5" t="s">
        <v>236</v>
      </c>
      <c r="O354" s="5" t="s">
        <v>209</v>
      </c>
      <c r="T354" s="5" t="s">
        <v>209</v>
      </c>
      <c r="Y354" s="5" t="s">
        <v>209</v>
      </c>
      <c r="AC354" s="5" t="s">
        <v>208</v>
      </c>
      <c r="AH354" s="5" t="s">
        <v>210</v>
      </c>
      <c r="AI354" s="5">
        <v>2022</v>
      </c>
      <c r="AJ354" s="5" t="s">
        <v>238</v>
      </c>
      <c r="AK354" s="5" t="str">
        <f t="shared" si="1021"/>
        <v>Trabajadora por cuenta propia</v>
      </c>
      <c r="AL354" s="5" t="s">
        <v>239</v>
      </c>
      <c r="AP354" s="5" t="s">
        <v>721</v>
      </c>
      <c r="AR354" s="5" t="s">
        <v>276</v>
      </c>
      <c r="AS354" s="5" t="s">
        <v>276</v>
      </c>
      <c r="AT354" s="5" t="s">
        <v>276</v>
      </c>
      <c r="AU354" s="5" t="s">
        <v>276</v>
      </c>
      <c r="AV354" s="5" t="s">
        <v>269</v>
      </c>
      <c r="AW354" s="5" t="s">
        <v>204</v>
      </c>
      <c r="AX354" s="5" t="s">
        <v>204</v>
      </c>
      <c r="AY354" s="5" t="s">
        <v>339</v>
      </c>
      <c r="AZ354" s="5" t="s">
        <v>204</v>
      </c>
      <c r="BA354" s="5" t="s">
        <v>263</v>
      </c>
      <c r="BF354" s="5" t="s">
        <v>204</v>
      </c>
      <c r="BG354" s="5" t="s">
        <v>278</v>
      </c>
      <c r="BH354" s="5" t="s">
        <v>242</v>
      </c>
      <c r="BI354" s="5" t="s">
        <v>278</v>
      </c>
      <c r="BJ354" s="5" t="s">
        <v>242</v>
      </c>
      <c r="BK354" s="5" t="s">
        <v>246</v>
      </c>
      <c r="BL354" s="5" t="s">
        <v>244</v>
      </c>
      <c r="BM354" s="5" t="s">
        <v>243</v>
      </c>
      <c r="BN354" s="5" t="s">
        <v>245</v>
      </c>
      <c r="BO354" s="5" t="s">
        <v>216</v>
      </c>
      <c r="BP354" s="5" t="s">
        <v>243</v>
      </c>
      <c r="BQ354" s="5" t="s">
        <v>246</v>
      </c>
      <c r="BR354" s="5" t="s">
        <v>216</v>
      </c>
      <c r="BS354" s="5" t="s">
        <v>232</v>
      </c>
      <c r="BT354" s="5" t="s">
        <v>217</v>
      </c>
      <c r="BU354" s="5" t="s">
        <v>248</v>
      </c>
      <c r="BV354" s="5" t="s">
        <v>247</v>
      </c>
      <c r="BW354" s="5" t="s">
        <v>247</v>
      </c>
      <c r="BX354" s="5" t="s">
        <v>247</v>
      </c>
      <c r="BY354" s="5" t="s">
        <v>217</v>
      </c>
      <c r="BZ354" s="5" t="s">
        <v>244</v>
      </c>
      <c r="CA354" s="5" t="s">
        <v>216</v>
      </c>
      <c r="CB354" s="5" t="s">
        <v>244</v>
      </c>
      <c r="CC354" s="5" t="s">
        <v>243</v>
      </c>
      <c r="CD354" s="5" t="s">
        <v>204</v>
      </c>
      <c r="CE354" s="5" t="s">
        <v>218</v>
      </c>
      <c r="CF354" s="5" t="s">
        <v>219</v>
      </c>
      <c r="CG354" s="5" t="s">
        <v>206</v>
      </c>
      <c r="CH354" s="5" t="s">
        <v>206</v>
      </c>
      <c r="CI354" s="5" t="s">
        <v>206</v>
      </c>
      <c r="CJ354" s="5">
        <v>0</v>
      </c>
      <c r="CK354" s="5" t="s">
        <v>223</v>
      </c>
      <c r="CU354" s="5" t="s">
        <v>206</v>
      </c>
      <c r="DA354" s="5" t="s">
        <v>231</v>
      </c>
      <c r="DB354" s="5">
        <f t="shared" si="1022"/>
        <v>2</v>
      </c>
      <c r="DC354" s="5" t="s">
        <v>230</v>
      </c>
      <c r="DD354" s="5">
        <f t="shared" si="1023"/>
        <v>2</v>
      </c>
      <c r="DE354" s="5" t="s">
        <v>230</v>
      </c>
      <c r="DF354" s="5">
        <f t="shared" si="1024"/>
        <v>2</v>
      </c>
      <c r="DG354" s="5" t="s">
        <v>230</v>
      </c>
      <c r="DH354" s="5">
        <f t="shared" si="1025"/>
        <v>2</v>
      </c>
      <c r="DI354" s="5" t="s">
        <v>251</v>
      </c>
      <c r="DJ354" s="5">
        <f t="shared" si="1026"/>
        <v>1</v>
      </c>
      <c r="DK354" s="5" t="s">
        <v>251</v>
      </c>
      <c r="DL354" s="5">
        <f t="shared" si="1027"/>
        <v>1</v>
      </c>
      <c r="DM354" s="5" t="s">
        <v>251</v>
      </c>
      <c r="DN354" s="5">
        <f t="shared" si="1028"/>
        <v>1</v>
      </c>
      <c r="DO354" s="5" t="s">
        <v>281</v>
      </c>
      <c r="DP354" s="5">
        <f t="shared" si="1029"/>
        <v>1</v>
      </c>
      <c r="DQ354" s="5" t="s">
        <v>231</v>
      </c>
      <c r="DR354" s="5">
        <f t="shared" si="1030"/>
        <v>2</v>
      </c>
      <c r="DS354" s="5" t="s">
        <v>231</v>
      </c>
      <c r="DT354" s="5">
        <f t="shared" si="1031"/>
        <v>2</v>
      </c>
      <c r="DU354" s="5" t="s">
        <v>231</v>
      </c>
      <c r="DV354" s="5">
        <f t="shared" si="1032"/>
        <v>2</v>
      </c>
      <c r="DW354" s="5" t="s">
        <v>281</v>
      </c>
      <c r="DX354" s="5">
        <f t="shared" si="1033"/>
        <v>1</v>
      </c>
      <c r="DY354" s="5">
        <f t="shared" si="1034"/>
        <v>19</v>
      </c>
      <c r="DZ354" s="5" t="str">
        <f t="shared" si="1035"/>
        <v>Nivel de riesgo medio</v>
      </c>
      <c r="EA354" s="5" t="s">
        <v>247</v>
      </c>
      <c r="EB354" s="5">
        <f t="shared" si="1036"/>
        <v>2</v>
      </c>
      <c r="EC354" s="5" t="s">
        <v>247</v>
      </c>
      <c r="ED354" s="5">
        <f t="shared" si="1037"/>
        <v>2</v>
      </c>
      <c r="EE354" s="5" t="s">
        <v>248</v>
      </c>
      <c r="EF354" s="5">
        <f t="shared" si="1038"/>
        <v>1</v>
      </c>
      <c r="EG354" s="5">
        <f t="shared" si="1039"/>
        <v>5</v>
      </c>
      <c r="EH354" s="5" t="str">
        <f t="shared" si="1040"/>
        <v>Nivel de riesgo alto</v>
      </c>
      <c r="EI354" s="5" t="s">
        <v>253</v>
      </c>
      <c r="EJ354" s="5">
        <f t="shared" si="1041"/>
        <v>0</v>
      </c>
      <c r="EK354" s="5" t="s">
        <v>232</v>
      </c>
      <c r="EL354" s="5">
        <f t="shared" si="1042"/>
        <v>3</v>
      </c>
      <c r="EM354" s="5" t="s">
        <v>247</v>
      </c>
      <c r="EN354" s="5">
        <f t="shared" si="1043"/>
        <v>2</v>
      </c>
      <c r="EO354" s="5">
        <f t="shared" si="1044"/>
        <v>5</v>
      </c>
      <c r="EP354" s="5" t="str">
        <f t="shared" si="1045"/>
        <v>Nivel de riesgo medio</v>
      </c>
      <c r="EQ354" s="5" t="s">
        <v>253</v>
      </c>
      <c r="ER354" s="5">
        <f t="shared" si="1046"/>
        <v>4</v>
      </c>
      <c r="ES354" s="5" t="s">
        <v>253</v>
      </c>
      <c r="ET354" s="5">
        <f t="shared" si="1047"/>
        <v>4</v>
      </c>
      <c r="EU354" s="5" t="s">
        <v>253</v>
      </c>
      <c r="EV354" s="5">
        <f t="shared" si="1048"/>
        <v>4</v>
      </c>
      <c r="EW354" s="5" t="s">
        <v>254</v>
      </c>
      <c r="EX354" s="5">
        <f t="shared" si="1049"/>
        <v>0</v>
      </c>
      <c r="EY354" s="5">
        <f t="shared" si="1050"/>
        <v>12</v>
      </c>
      <c r="EZ354" s="5" t="str">
        <f t="shared" si="1051"/>
        <v>Nivel de riesgo alto</v>
      </c>
      <c r="FA354" s="5" t="s">
        <v>253</v>
      </c>
      <c r="FB354" s="5">
        <f t="shared" si="1052"/>
        <v>0</v>
      </c>
      <c r="FC354" s="5" t="s">
        <v>253</v>
      </c>
      <c r="FD354" s="5">
        <f t="shared" si="1053"/>
        <v>0</v>
      </c>
      <c r="FE354" s="5" t="s">
        <v>253</v>
      </c>
      <c r="FF354" s="5">
        <f t="shared" si="1054"/>
        <v>0</v>
      </c>
      <c r="FG354" s="5">
        <f t="shared" si="1055"/>
        <v>0</v>
      </c>
      <c r="FH354" s="5" t="str">
        <f t="shared" si="1056"/>
        <v>Nivel de riesgo bajo</v>
      </c>
      <c r="FI354" s="5" t="s">
        <v>248</v>
      </c>
      <c r="FJ354" s="5">
        <f t="shared" si="1057"/>
        <v>1</v>
      </c>
      <c r="FK354" s="5" t="s">
        <v>248</v>
      </c>
      <c r="FL354" s="5">
        <f t="shared" si="1058"/>
        <v>1</v>
      </c>
      <c r="FM354" s="5" t="s">
        <v>248</v>
      </c>
      <c r="FN354" s="5">
        <f t="shared" si="1059"/>
        <v>1</v>
      </c>
      <c r="FO354" s="5">
        <f t="shared" si="1060"/>
        <v>3</v>
      </c>
      <c r="FP354" s="5" t="str">
        <f t="shared" si="1061"/>
        <v>Nivel de riesgo medio</v>
      </c>
      <c r="FQ354" s="5" t="s">
        <v>206</v>
      </c>
      <c r="FR354" s="5">
        <f t="shared" si="1062"/>
        <v>0</v>
      </c>
      <c r="FS354" s="5" t="s">
        <v>206</v>
      </c>
      <c r="FT354" s="5">
        <f t="shared" si="1063"/>
        <v>0</v>
      </c>
      <c r="FU354" s="5" t="s">
        <v>206</v>
      </c>
      <c r="FV354" s="5">
        <f t="shared" si="1064"/>
        <v>0</v>
      </c>
      <c r="FW354" s="5" t="s">
        <v>206</v>
      </c>
      <c r="FX354" s="5">
        <f t="shared" si="1065"/>
        <v>0</v>
      </c>
      <c r="FY354" s="5" t="s">
        <v>206</v>
      </c>
      <c r="FZ354" s="5">
        <f t="shared" si="1066"/>
        <v>0</v>
      </c>
      <c r="GA354" s="5" t="s">
        <v>206</v>
      </c>
      <c r="GB354" s="5">
        <f t="shared" si="1067"/>
        <v>0</v>
      </c>
      <c r="GC354" s="5" t="s">
        <v>206</v>
      </c>
      <c r="GD354" s="5">
        <f t="shared" si="1068"/>
        <v>0</v>
      </c>
      <c r="GE354" s="5">
        <f t="shared" si="1069"/>
        <v>0</v>
      </c>
      <c r="GF354" s="5" t="str">
        <f t="shared" si="1070"/>
        <v>Nivel de riesgo bajo</v>
      </c>
      <c r="GG354" s="5" t="s">
        <v>255</v>
      </c>
      <c r="GH354" s="5" t="s">
        <v>255</v>
      </c>
      <c r="GI354" s="5" t="s">
        <v>255</v>
      </c>
      <c r="GJ354" s="5" t="s">
        <v>255</v>
      </c>
      <c r="GK354" s="5" t="s">
        <v>233</v>
      </c>
      <c r="GL354" s="5" t="s">
        <v>266</v>
      </c>
      <c r="GM354" s="5" t="s">
        <v>255</v>
      </c>
      <c r="GN354" s="5" t="s">
        <v>256</v>
      </c>
      <c r="GO354" s="5" t="s">
        <v>256</v>
      </c>
      <c r="GP354" s="5" t="s">
        <v>256</v>
      </c>
      <c r="GQ354" s="5" t="s">
        <v>256</v>
      </c>
      <c r="GR354" s="5" t="s">
        <v>256</v>
      </c>
      <c r="GS354" s="5" t="s">
        <v>257</v>
      </c>
      <c r="GT354" s="5" t="s">
        <v>256</v>
      </c>
      <c r="GU354" s="5" t="s">
        <v>722</v>
      </c>
      <c r="GV354" s="5" t="str">
        <f>TEXT("6281407627225775958","0")</f>
        <v>6281407627225770000</v>
      </c>
    </row>
    <row r="355" spans="1:204" ht="15.75" customHeight="1" x14ac:dyDescent="0.15">
      <c r="A355" s="1">
        <f t="shared" si="1020"/>
        <v>355</v>
      </c>
      <c r="B355" s="4">
        <v>45850.467499999999</v>
      </c>
      <c r="C355" s="5" t="s">
        <v>204</v>
      </c>
      <c r="D355" s="5" t="s">
        <v>206</v>
      </c>
      <c r="F355" s="5" t="s">
        <v>204</v>
      </c>
      <c r="G355" s="5" t="s">
        <v>204</v>
      </c>
      <c r="H355" s="5" t="s">
        <v>206</v>
      </c>
      <c r="L355" s="5" t="s">
        <v>236</v>
      </c>
      <c r="O355" s="5" t="s">
        <v>209</v>
      </c>
      <c r="T355" s="5" t="s">
        <v>209</v>
      </c>
      <c r="X355" s="5" t="s">
        <v>208</v>
      </c>
      <c r="AG355" s="5" t="s">
        <v>207</v>
      </c>
      <c r="AH355" s="5" t="s">
        <v>268</v>
      </c>
      <c r="AI355" s="5">
        <v>2002</v>
      </c>
      <c r="AJ355" s="5" t="s">
        <v>238</v>
      </c>
      <c r="AK355" s="5" t="str">
        <f t="shared" si="1021"/>
        <v>Trabajadora por cuenta propia</v>
      </c>
      <c r="AM355" s="5" t="s">
        <v>309</v>
      </c>
      <c r="AP355" s="5" t="s">
        <v>297</v>
      </c>
      <c r="AR355" s="5" t="s">
        <v>301</v>
      </c>
      <c r="AS355" s="5" t="s">
        <v>301</v>
      </c>
      <c r="AT355" s="5" t="s">
        <v>301</v>
      </c>
      <c r="AU355" s="5" t="s">
        <v>301</v>
      </c>
      <c r="AV355" s="5" t="s">
        <v>269</v>
      </c>
      <c r="AW355" s="5" t="s">
        <v>204</v>
      </c>
      <c r="AX355" s="5" t="s">
        <v>204</v>
      </c>
      <c r="AY355" s="5" t="s">
        <v>214</v>
      </c>
      <c r="AZ355" s="5" t="s">
        <v>204</v>
      </c>
      <c r="BA355" s="5" t="s">
        <v>295</v>
      </c>
      <c r="BB355" s="5" t="s">
        <v>206</v>
      </c>
      <c r="BC355" s="5" t="s">
        <v>206</v>
      </c>
      <c r="BD355" s="5" t="s">
        <v>306</v>
      </c>
      <c r="BE355" s="5" t="s">
        <v>206</v>
      </c>
      <c r="BF355" s="5" t="s">
        <v>204</v>
      </c>
      <c r="BG355" s="5" t="s">
        <v>207</v>
      </c>
      <c r="BH355" s="5" t="s">
        <v>207</v>
      </c>
      <c r="BI355" s="5" t="s">
        <v>207</v>
      </c>
      <c r="BJ355" s="5" t="s">
        <v>207</v>
      </c>
      <c r="BK355" s="5" t="s">
        <v>246</v>
      </c>
      <c r="BL355" s="5" t="s">
        <v>246</v>
      </c>
      <c r="BM355" s="5" t="s">
        <v>246</v>
      </c>
      <c r="BN355" s="5" t="s">
        <v>246</v>
      </c>
      <c r="BO355" s="5" t="s">
        <v>244</v>
      </c>
      <c r="BP355" s="5" t="s">
        <v>246</v>
      </c>
      <c r="BQ355" s="5" t="s">
        <v>246</v>
      </c>
      <c r="BR355" s="5" t="s">
        <v>246</v>
      </c>
      <c r="BS355" s="5" t="s">
        <v>248</v>
      </c>
      <c r="BT355" s="5" t="s">
        <v>247</v>
      </c>
      <c r="BU355" s="5" t="s">
        <v>217</v>
      </c>
      <c r="BV355" s="5" t="s">
        <v>248</v>
      </c>
      <c r="BW355" s="5" t="s">
        <v>248</v>
      </c>
      <c r="BX355" s="5" t="s">
        <v>248</v>
      </c>
      <c r="BY355" s="5" t="s">
        <v>248</v>
      </c>
      <c r="BZ355" s="5" t="s">
        <v>244</v>
      </c>
      <c r="CA355" s="5" t="s">
        <v>246</v>
      </c>
      <c r="CB355" s="5" t="s">
        <v>246</v>
      </c>
      <c r="CC355" s="5" t="s">
        <v>246</v>
      </c>
      <c r="CD355" s="5" t="s">
        <v>206</v>
      </c>
      <c r="CH355" s="5" t="s">
        <v>206</v>
      </c>
      <c r="CI355" s="5" t="s">
        <v>291</v>
      </c>
      <c r="CJ355" s="5">
        <v>2</v>
      </c>
      <c r="CK355" s="5" t="s">
        <v>223</v>
      </c>
      <c r="CU355" s="5" t="s">
        <v>206</v>
      </c>
      <c r="DA355" s="5" t="s">
        <v>231</v>
      </c>
      <c r="DB355" s="5">
        <f t="shared" si="1022"/>
        <v>2</v>
      </c>
      <c r="DC355" s="5" t="s">
        <v>230</v>
      </c>
      <c r="DD355" s="5">
        <f t="shared" si="1023"/>
        <v>2</v>
      </c>
      <c r="DE355" s="5" t="s">
        <v>230</v>
      </c>
      <c r="DF355" s="5">
        <f t="shared" si="1024"/>
        <v>2</v>
      </c>
      <c r="DG355" s="5" t="s">
        <v>230</v>
      </c>
      <c r="DH355" s="5">
        <f t="shared" si="1025"/>
        <v>2</v>
      </c>
      <c r="DI355" s="5" t="s">
        <v>230</v>
      </c>
      <c r="DJ355" s="5">
        <f t="shared" si="1026"/>
        <v>2</v>
      </c>
      <c r="DK355" s="5" t="s">
        <v>230</v>
      </c>
      <c r="DL355" s="5">
        <f t="shared" si="1027"/>
        <v>2</v>
      </c>
      <c r="DM355" s="5" t="s">
        <v>230</v>
      </c>
      <c r="DN355" s="5">
        <f t="shared" si="1028"/>
        <v>2</v>
      </c>
      <c r="DO355" s="5" t="s">
        <v>231</v>
      </c>
      <c r="DP355" s="5">
        <f t="shared" si="1029"/>
        <v>2</v>
      </c>
      <c r="DQ355" s="5" t="s">
        <v>231</v>
      </c>
      <c r="DR355" s="5">
        <f t="shared" si="1030"/>
        <v>2</v>
      </c>
      <c r="DS355" s="5" t="s">
        <v>231</v>
      </c>
      <c r="DT355" s="5">
        <f t="shared" si="1031"/>
        <v>2</v>
      </c>
      <c r="DU355" s="5" t="s">
        <v>231</v>
      </c>
      <c r="DV355" s="5">
        <f t="shared" si="1032"/>
        <v>2</v>
      </c>
      <c r="DW355" s="5" t="s">
        <v>231</v>
      </c>
      <c r="DX355" s="5">
        <f t="shared" si="1033"/>
        <v>2</v>
      </c>
      <c r="DY355" s="5">
        <f t="shared" si="1034"/>
        <v>24</v>
      </c>
      <c r="DZ355" s="5" t="str">
        <f t="shared" si="1035"/>
        <v>Nivel de riesgo alto</v>
      </c>
      <c r="EA355" s="5" t="s">
        <v>253</v>
      </c>
      <c r="EB355" s="5">
        <f t="shared" si="1036"/>
        <v>0</v>
      </c>
      <c r="EC355" s="5" t="s">
        <v>253</v>
      </c>
      <c r="ED355" s="5">
        <f t="shared" si="1037"/>
        <v>0</v>
      </c>
      <c r="EE355" s="5" t="s">
        <v>253</v>
      </c>
      <c r="EF355" s="5">
        <f t="shared" si="1038"/>
        <v>0</v>
      </c>
      <c r="EG355" s="5">
        <f t="shared" si="1039"/>
        <v>0</v>
      </c>
      <c r="EH355" s="5" t="str">
        <f t="shared" si="1040"/>
        <v>Nivel de riesgo bajo</v>
      </c>
      <c r="EI355" s="5" t="s">
        <v>253</v>
      </c>
      <c r="EJ355" s="5">
        <f t="shared" si="1041"/>
        <v>0</v>
      </c>
      <c r="EK355" s="5" t="s">
        <v>253</v>
      </c>
      <c r="EL355" s="5">
        <f t="shared" si="1042"/>
        <v>0</v>
      </c>
      <c r="EM355" s="5" t="s">
        <v>248</v>
      </c>
      <c r="EN355" s="5">
        <f t="shared" si="1043"/>
        <v>1</v>
      </c>
      <c r="EO355" s="5">
        <f t="shared" si="1044"/>
        <v>1</v>
      </c>
      <c r="EP355" s="5" t="str">
        <f t="shared" si="1045"/>
        <v>Nivel de riesgo bajo</v>
      </c>
      <c r="EQ355" s="5" t="s">
        <v>248</v>
      </c>
      <c r="ER355" s="5">
        <f t="shared" si="1046"/>
        <v>3</v>
      </c>
      <c r="ES355" s="5" t="s">
        <v>253</v>
      </c>
      <c r="ET355" s="5">
        <f t="shared" si="1047"/>
        <v>4</v>
      </c>
      <c r="EU355" s="5" t="s">
        <v>253</v>
      </c>
      <c r="EV355" s="5">
        <f t="shared" si="1048"/>
        <v>4</v>
      </c>
      <c r="EW355" s="5" t="s">
        <v>253</v>
      </c>
      <c r="EX355" s="5">
        <f t="shared" si="1049"/>
        <v>4</v>
      </c>
      <c r="EY355" s="5">
        <f t="shared" si="1050"/>
        <v>15</v>
      </c>
      <c r="EZ355" s="5" t="str">
        <f t="shared" si="1051"/>
        <v>Nivel de riesgo alto</v>
      </c>
      <c r="FA355" s="5" t="s">
        <v>248</v>
      </c>
      <c r="FB355" s="5">
        <f t="shared" si="1052"/>
        <v>1</v>
      </c>
      <c r="FC355" s="5" t="s">
        <v>253</v>
      </c>
      <c r="FD355" s="5">
        <f t="shared" si="1053"/>
        <v>0</v>
      </c>
      <c r="FE355" s="5" t="s">
        <v>253</v>
      </c>
      <c r="FF355" s="5">
        <f t="shared" si="1054"/>
        <v>0</v>
      </c>
      <c r="FG355" s="5">
        <f t="shared" si="1055"/>
        <v>1</v>
      </c>
      <c r="FH355" s="5" t="str">
        <f t="shared" si="1056"/>
        <v>Nivel de riesgo bajo</v>
      </c>
      <c r="FI355" s="5" t="s">
        <v>253</v>
      </c>
      <c r="FJ355" s="5">
        <f t="shared" si="1057"/>
        <v>0</v>
      </c>
      <c r="FK355" s="5" t="s">
        <v>253</v>
      </c>
      <c r="FL355" s="5">
        <f t="shared" si="1058"/>
        <v>0</v>
      </c>
      <c r="FM355" s="5" t="s">
        <v>253</v>
      </c>
      <c r="FN355" s="5">
        <f t="shared" si="1059"/>
        <v>0</v>
      </c>
      <c r="FO355" s="5">
        <f t="shared" si="1060"/>
        <v>0</v>
      </c>
      <c r="FP355" s="5" t="str">
        <f t="shared" si="1061"/>
        <v>Nivel de riesgo bajo</v>
      </c>
      <c r="FQ355" s="5" t="s">
        <v>206</v>
      </c>
      <c r="FR355" s="5">
        <f t="shared" si="1062"/>
        <v>0</v>
      </c>
      <c r="FS355" s="5" t="s">
        <v>206</v>
      </c>
      <c r="FT355" s="5">
        <f t="shared" si="1063"/>
        <v>0</v>
      </c>
      <c r="FU355" s="5" t="s">
        <v>206</v>
      </c>
      <c r="FV355" s="5">
        <f t="shared" si="1064"/>
        <v>0</v>
      </c>
      <c r="FW355" s="5" t="s">
        <v>206</v>
      </c>
      <c r="FX355" s="5">
        <f t="shared" si="1065"/>
        <v>0</v>
      </c>
      <c r="FY355" s="5" t="s">
        <v>206</v>
      </c>
      <c r="FZ355" s="5">
        <f t="shared" si="1066"/>
        <v>0</v>
      </c>
      <c r="GA355" s="5" t="s">
        <v>206</v>
      </c>
      <c r="GB355" s="5">
        <f t="shared" si="1067"/>
        <v>0</v>
      </c>
      <c r="GC355" s="5" t="s">
        <v>206</v>
      </c>
      <c r="GD355" s="5">
        <f t="shared" si="1068"/>
        <v>0</v>
      </c>
      <c r="GE355" s="5">
        <f t="shared" si="1069"/>
        <v>0</v>
      </c>
      <c r="GF355" s="5" t="str">
        <f t="shared" si="1070"/>
        <v>Nivel de riesgo bajo</v>
      </c>
      <c r="GG355" s="5" t="s">
        <v>255</v>
      </c>
      <c r="GH355" s="5" t="s">
        <v>255</v>
      </c>
      <c r="GI355" s="5" t="s">
        <v>255</v>
      </c>
      <c r="GJ355" s="5" t="s">
        <v>233</v>
      </c>
      <c r="GK355" s="5" t="s">
        <v>233</v>
      </c>
      <c r="GL355" s="5" t="s">
        <v>255</v>
      </c>
      <c r="GM355" s="5" t="s">
        <v>255</v>
      </c>
      <c r="GN355" s="5" t="s">
        <v>234</v>
      </c>
      <c r="GO355" s="5" t="s">
        <v>234</v>
      </c>
      <c r="GP355" s="5" t="s">
        <v>234</v>
      </c>
      <c r="GQ355" s="5" t="s">
        <v>234</v>
      </c>
      <c r="GR355" s="5" t="s">
        <v>234</v>
      </c>
      <c r="GS355" s="5" t="s">
        <v>234</v>
      </c>
      <c r="GT355" s="5" t="s">
        <v>234</v>
      </c>
      <c r="GU355" s="5" t="s">
        <v>713</v>
      </c>
      <c r="GV355" s="5" t="str">
        <f>TEXT("6281423922409372537","0")</f>
        <v>6281423922409370000</v>
      </c>
    </row>
    <row r="356" spans="1:204" ht="15.75" customHeight="1" x14ac:dyDescent="0.15">
      <c r="A356" s="1">
        <f t="shared" si="1020"/>
        <v>356</v>
      </c>
      <c r="B356" s="4">
        <v>45850.46974537037</v>
      </c>
      <c r="C356" s="5" t="s">
        <v>204</v>
      </c>
      <c r="D356" s="5" t="s">
        <v>206</v>
      </c>
      <c r="F356" s="5" t="s">
        <v>206</v>
      </c>
      <c r="G356" s="5" t="s">
        <v>206</v>
      </c>
      <c r="H356" s="5" t="s">
        <v>206</v>
      </c>
      <c r="K356" s="5" t="s">
        <v>237</v>
      </c>
      <c r="P356" s="5" t="s">
        <v>237</v>
      </c>
      <c r="T356" s="5" t="s">
        <v>209</v>
      </c>
      <c r="Z356" s="5" t="s">
        <v>237</v>
      </c>
      <c r="AC356" s="5" t="s">
        <v>208</v>
      </c>
      <c r="AH356" s="5" t="s">
        <v>275</v>
      </c>
      <c r="AI356" s="5">
        <v>2021</v>
      </c>
      <c r="AJ356" s="5" t="s">
        <v>238</v>
      </c>
      <c r="AK356" s="5" t="str">
        <f t="shared" si="1021"/>
        <v>Trabajadora por cuenta propia</v>
      </c>
      <c r="AL356" s="5" t="s">
        <v>239</v>
      </c>
      <c r="AP356" s="5" t="s">
        <v>297</v>
      </c>
      <c r="AR356" s="5" t="s">
        <v>241</v>
      </c>
      <c r="AS356" s="5" t="s">
        <v>261</v>
      </c>
      <c r="AT356" s="5" t="s">
        <v>294</v>
      </c>
      <c r="AU356" s="5" t="s">
        <v>294</v>
      </c>
      <c r="AV356" s="5" t="s">
        <v>285</v>
      </c>
      <c r="AW356" s="5" t="s">
        <v>204</v>
      </c>
      <c r="AX356" s="5" t="s">
        <v>206</v>
      </c>
      <c r="BF356" s="5" t="s">
        <v>204</v>
      </c>
      <c r="BG356" s="5" t="s">
        <v>207</v>
      </c>
      <c r="BH356" s="5" t="s">
        <v>215</v>
      </c>
      <c r="BI356" s="5" t="s">
        <v>207</v>
      </c>
      <c r="BJ356" s="5" t="s">
        <v>242</v>
      </c>
      <c r="BK356" s="5" t="s">
        <v>243</v>
      </c>
      <c r="BL356" s="5" t="s">
        <v>243</v>
      </c>
      <c r="BM356" s="5" t="s">
        <v>246</v>
      </c>
      <c r="BN356" s="5" t="s">
        <v>243</v>
      </c>
      <c r="BO356" s="5" t="s">
        <v>243</v>
      </c>
      <c r="BP356" s="5" t="s">
        <v>243</v>
      </c>
      <c r="BQ356" s="5" t="s">
        <v>246</v>
      </c>
      <c r="BR356" s="5" t="s">
        <v>246</v>
      </c>
      <c r="BS356" s="5" t="s">
        <v>247</v>
      </c>
      <c r="BT356" s="5" t="s">
        <v>247</v>
      </c>
      <c r="BU356" s="5" t="s">
        <v>247</v>
      </c>
      <c r="BV356" s="5" t="s">
        <v>247</v>
      </c>
      <c r="BW356" s="5" t="s">
        <v>247</v>
      </c>
      <c r="BX356" s="5" t="s">
        <v>247</v>
      </c>
      <c r="BY356" s="5" t="s">
        <v>248</v>
      </c>
      <c r="BZ356" s="5" t="s">
        <v>246</v>
      </c>
      <c r="CA356" s="5" t="s">
        <v>246</v>
      </c>
      <c r="CB356" s="5" t="s">
        <v>244</v>
      </c>
      <c r="CC356" s="5" t="s">
        <v>246</v>
      </c>
      <c r="CD356" s="5" t="s">
        <v>206</v>
      </c>
      <c r="CH356" s="5" t="s">
        <v>206</v>
      </c>
      <c r="CI356" s="5" t="s">
        <v>206</v>
      </c>
      <c r="CJ356" s="5">
        <v>0</v>
      </c>
      <c r="CK356" s="5" t="s">
        <v>223</v>
      </c>
      <c r="CU356" s="5" t="s">
        <v>206</v>
      </c>
      <c r="DA356" s="5" t="s">
        <v>231</v>
      </c>
      <c r="DB356" s="5">
        <f t="shared" si="1022"/>
        <v>2</v>
      </c>
      <c r="DC356" s="5" t="s">
        <v>230</v>
      </c>
      <c r="DD356" s="5">
        <f t="shared" si="1023"/>
        <v>2</v>
      </c>
      <c r="DE356" s="5" t="s">
        <v>250</v>
      </c>
      <c r="DF356" s="5">
        <f t="shared" si="1024"/>
        <v>3</v>
      </c>
      <c r="DG356" s="5" t="s">
        <v>230</v>
      </c>
      <c r="DH356" s="5">
        <f t="shared" si="1025"/>
        <v>2</v>
      </c>
      <c r="DI356" s="5" t="s">
        <v>230</v>
      </c>
      <c r="DJ356" s="5">
        <f t="shared" si="1026"/>
        <v>2</v>
      </c>
      <c r="DK356" s="5" t="s">
        <v>251</v>
      </c>
      <c r="DL356" s="5">
        <f t="shared" si="1027"/>
        <v>1</v>
      </c>
      <c r="DM356" s="5" t="s">
        <v>251</v>
      </c>
      <c r="DN356" s="5">
        <f t="shared" si="1028"/>
        <v>1</v>
      </c>
      <c r="DO356" s="5" t="s">
        <v>281</v>
      </c>
      <c r="DP356" s="5">
        <f t="shared" si="1029"/>
        <v>1</v>
      </c>
      <c r="DQ356" s="5" t="s">
        <v>281</v>
      </c>
      <c r="DR356" s="5">
        <f t="shared" si="1030"/>
        <v>1</v>
      </c>
      <c r="DS356" s="5" t="s">
        <v>231</v>
      </c>
      <c r="DT356" s="5">
        <f t="shared" si="1031"/>
        <v>2</v>
      </c>
      <c r="DU356" s="5" t="s">
        <v>281</v>
      </c>
      <c r="DV356" s="5">
        <f t="shared" si="1032"/>
        <v>1</v>
      </c>
      <c r="DW356" s="5" t="s">
        <v>281</v>
      </c>
      <c r="DX356" s="5">
        <f t="shared" si="1033"/>
        <v>1</v>
      </c>
      <c r="DY356" s="5">
        <f t="shared" si="1034"/>
        <v>19</v>
      </c>
      <c r="DZ356" s="5" t="str">
        <f t="shared" si="1035"/>
        <v>Nivel de riesgo medio</v>
      </c>
      <c r="EA356" s="5" t="s">
        <v>232</v>
      </c>
      <c r="EB356" s="5">
        <f t="shared" si="1036"/>
        <v>3</v>
      </c>
      <c r="EC356" s="5" t="s">
        <v>247</v>
      </c>
      <c r="ED356" s="5">
        <f t="shared" si="1037"/>
        <v>2</v>
      </c>
      <c r="EE356" s="5" t="s">
        <v>247</v>
      </c>
      <c r="EF356" s="5">
        <f t="shared" si="1038"/>
        <v>2</v>
      </c>
      <c r="EG356" s="5">
        <f t="shared" si="1039"/>
        <v>7</v>
      </c>
      <c r="EH356" s="5" t="str">
        <f t="shared" si="1040"/>
        <v>Nivel de riesgo alto</v>
      </c>
      <c r="EI356" s="5" t="s">
        <v>247</v>
      </c>
      <c r="EJ356" s="5">
        <f t="shared" si="1041"/>
        <v>2</v>
      </c>
      <c r="EK356" s="5" t="s">
        <v>247</v>
      </c>
      <c r="EL356" s="5">
        <f t="shared" si="1042"/>
        <v>2</v>
      </c>
      <c r="EM356" s="5" t="s">
        <v>247</v>
      </c>
      <c r="EN356" s="5">
        <f t="shared" si="1043"/>
        <v>2</v>
      </c>
      <c r="EO356" s="5">
        <f t="shared" si="1044"/>
        <v>6</v>
      </c>
      <c r="EP356" s="5" t="str">
        <f t="shared" si="1045"/>
        <v>Nivel de riesgo alto</v>
      </c>
      <c r="EQ356" s="5" t="s">
        <v>247</v>
      </c>
      <c r="ER356" s="5">
        <f t="shared" si="1046"/>
        <v>2</v>
      </c>
      <c r="ES356" s="5" t="s">
        <v>232</v>
      </c>
      <c r="ET356" s="5">
        <f t="shared" si="1047"/>
        <v>1</v>
      </c>
      <c r="EU356" s="5" t="s">
        <v>254</v>
      </c>
      <c r="EV356" s="5">
        <f t="shared" si="1048"/>
        <v>0</v>
      </c>
      <c r="EW356" s="5" t="s">
        <v>254</v>
      </c>
      <c r="EX356" s="5">
        <f t="shared" si="1049"/>
        <v>0</v>
      </c>
      <c r="EY356" s="5">
        <f t="shared" si="1050"/>
        <v>3</v>
      </c>
      <c r="EZ356" s="5" t="str">
        <f t="shared" si="1051"/>
        <v>Nivel de riesgo medio</v>
      </c>
      <c r="FA356" s="5" t="s">
        <v>253</v>
      </c>
      <c r="FB356" s="5">
        <f t="shared" si="1052"/>
        <v>0</v>
      </c>
      <c r="FC356" s="5" t="s">
        <v>253</v>
      </c>
      <c r="FD356" s="5">
        <f t="shared" si="1053"/>
        <v>0</v>
      </c>
      <c r="FE356" s="5" t="s">
        <v>253</v>
      </c>
      <c r="FF356" s="5">
        <f t="shared" si="1054"/>
        <v>0</v>
      </c>
      <c r="FG356" s="5">
        <f t="shared" si="1055"/>
        <v>0</v>
      </c>
      <c r="FH356" s="5" t="str">
        <f t="shared" si="1056"/>
        <v>Nivel de riesgo bajo</v>
      </c>
      <c r="FI356" s="5" t="s">
        <v>247</v>
      </c>
      <c r="FJ356" s="5">
        <f t="shared" si="1057"/>
        <v>2</v>
      </c>
      <c r="FK356" s="5" t="s">
        <v>247</v>
      </c>
      <c r="FL356" s="5">
        <f t="shared" si="1058"/>
        <v>2</v>
      </c>
      <c r="FM356" s="5" t="s">
        <v>248</v>
      </c>
      <c r="FN356" s="5">
        <f t="shared" si="1059"/>
        <v>1</v>
      </c>
      <c r="FO356" s="5">
        <f t="shared" si="1060"/>
        <v>5</v>
      </c>
      <c r="FP356" s="5" t="str">
        <f t="shared" si="1061"/>
        <v>Nivel de riesgo medio</v>
      </c>
      <c r="FQ356" s="5" t="s">
        <v>206</v>
      </c>
      <c r="FR356" s="5">
        <f t="shared" si="1062"/>
        <v>0</v>
      </c>
      <c r="FS356" s="5" t="s">
        <v>206</v>
      </c>
      <c r="FT356" s="5">
        <f t="shared" si="1063"/>
        <v>0</v>
      </c>
      <c r="FU356" s="5" t="s">
        <v>206</v>
      </c>
      <c r="FV356" s="5">
        <f t="shared" si="1064"/>
        <v>0</v>
      </c>
      <c r="FW356" s="5" t="s">
        <v>206</v>
      </c>
      <c r="FX356" s="5">
        <f t="shared" si="1065"/>
        <v>0</v>
      </c>
      <c r="FY356" s="5" t="s">
        <v>206</v>
      </c>
      <c r="FZ356" s="5">
        <f t="shared" si="1066"/>
        <v>0</v>
      </c>
      <c r="GA356" s="5" t="s">
        <v>206</v>
      </c>
      <c r="GB356" s="5">
        <f t="shared" si="1067"/>
        <v>0</v>
      </c>
      <c r="GC356" s="5" t="s">
        <v>206</v>
      </c>
      <c r="GD356" s="5">
        <f t="shared" si="1068"/>
        <v>0</v>
      </c>
      <c r="GE356" s="5">
        <f t="shared" si="1069"/>
        <v>0</v>
      </c>
      <c r="GF356" s="5" t="str">
        <f t="shared" si="1070"/>
        <v>Nivel de riesgo bajo</v>
      </c>
      <c r="GG356" s="5" t="s">
        <v>255</v>
      </c>
      <c r="GH356" s="5" t="s">
        <v>266</v>
      </c>
      <c r="GI356" s="5" t="s">
        <v>273</v>
      </c>
      <c r="GJ356" s="5" t="s">
        <v>266</v>
      </c>
      <c r="GK356" s="5" t="s">
        <v>233</v>
      </c>
      <c r="GL356" s="5" t="s">
        <v>233</v>
      </c>
      <c r="GM356" s="5" t="s">
        <v>273</v>
      </c>
      <c r="GN356" s="5" t="s">
        <v>243</v>
      </c>
      <c r="GO356" s="5" t="s">
        <v>257</v>
      </c>
      <c r="GP356" s="5" t="s">
        <v>257</v>
      </c>
      <c r="GQ356" s="5" t="s">
        <v>257</v>
      </c>
      <c r="GR356" s="5" t="s">
        <v>244</v>
      </c>
      <c r="GS356" s="5" t="s">
        <v>244</v>
      </c>
      <c r="GT356" s="5" t="s">
        <v>257</v>
      </c>
      <c r="GU356" s="5" t="s">
        <v>723</v>
      </c>
      <c r="GV356" s="5" t="str">
        <f>TEXT("6281425868738734733","0")</f>
        <v>6281425868738730000</v>
      </c>
    </row>
    <row r="357" spans="1:204" ht="15.75" hidden="1" customHeight="1" x14ac:dyDescent="0.15">
      <c r="B357" s="4">
        <v>45850.517604166664</v>
      </c>
      <c r="C357" s="5" t="s">
        <v>206</v>
      </c>
      <c r="GV357" s="5" t="str">
        <f>TEXT("6281467218292656326","0")</f>
        <v>6281467218292650000</v>
      </c>
    </row>
    <row r="358" spans="1:204" ht="15.75" customHeight="1" x14ac:dyDescent="0.15">
      <c r="A358" s="1">
        <f t="shared" ref="A358:A368" si="1071">ROW(A358)</f>
        <v>358</v>
      </c>
      <c r="B358" s="4">
        <v>45850.612662037034</v>
      </c>
      <c r="C358" s="5" t="s">
        <v>204</v>
      </c>
      <c r="D358" s="5" t="s">
        <v>206</v>
      </c>
      <c r="F358" s="5" t="s">
        <v>206</v>
      </c>
      <c r="G358" s="5" t="s">
        <v>206</v>
      </c>
      <c r="H358" s="5" t="s">
        <v>206</v>
      </c>
      <c r="J358" s="5" t="s">
        <v>209</v>
      </c>
      <c r="N358" s="5" t="s">
        <v>208</v>
      </c>
      <c r="T358" s="5" t="s">
        <v>209</v>
      </c>
      <c r="X358" s="5" t="s">
        <v>208</v>
      </c>
      <c r="AD358" s="5" t="s">
        <v>209</v>
      </c>
      <c r="AH358" s="5" t="s">
        <v>275</v>
      </c>
      <c r="AI358" s="5">
        <v>2021</v>
      </c>
      <c r="AJ358" s="5" t="s">
        <v>238</v>
      </c>
      <c r="AK358" s="5" t="str">
        <f t="shared" ref="AK358:AK368" si="1072">IF(OR(AJ358="Empleada del sector privado",AJ358="Empleada del sector público"),"Asalariada",
IF(AJ358="Trabajadora por cuenta propia","Trabajadora por cuenta propia",""))</f>
        <v>Trabajadora por cuenta propia</v>
      </c>
      <c r="AM358" s="5" t="s">
        <v>309</v>
      </c>
      <c r="AP358" s="5" t="s">
        <v>240</v>
      </c>
      <c r="AR358" s="5" t="s">
        <v>294</v>
      </c>
      <c r="AS358" s="5" t="s">
        <v>276</v>
      </c>
      <c r="AT358" s="5" t="s">
        <v>276</v>
      </c>
      <c r="AU358" s="5" t="s">
        <v>276</v>
      </c>
      <c r="AV358" s="5" t="s">
        <v>302</v>
      </c>
      <c r="AW358" s="5" t="s">
        <v>206</v>
      </c>
      <c r="BF358" s="5" t="s">
        <v>204</v>
      </c>
      <c r="BG358" s="5" t="s">
        <v>215</v>
      </c>
      <c r="BH358" s="5" t="s">
        <v>242</v>
      </c>
      <c r="BI358" s="5" t="s">
        <v>215</v>
      </c>
      <c r="BJ358" s="5" t="s">
        <v>242</v>
      </c>
      <c r="BK358" s="5" t="s">
        <v>243</v>
      </c>
      <c r="BL358" s="5" t="s">
        <v>246</v>
      </c>
      <c r="BM358" s="5" t="s">
        <v>243</v>
      </c>
      <c r="BN358" s="5" t="s">
        <v>244</v>
      </c>
      <c r="BO358" s="5" t="s">
        <v>244</v>
      </c>
      <c r="BP358" s="5" t="s">
        <v>245</v>
      </c>
      <c r="BQ358" s="5" t="s">
        <v>244</v>
      </c>
      <c r="BR358" s="5" t="s">
        <v>245</v>
      </c>
      <c r="BS358" s="5" t="s">
        <v>248</v>
      </c>
      <c r="BT358" s="5" t="s">
        <v>247</v>
      </c>
      <c r="BU358" s="5" t="s">
        <v>247</v>
      </c>
      <c r="BV358" s="5" t="s">
        <v>247</v>
      </c>
      <c r="BW358" s="5" t="s">
        <v>232</v>
      </c>
      <c r="BX358" s="5" t="s">
        <v>232</v>
      </c>
      <c r="BY358" s="5" t="s">
        <v>232</v>
      </c>
      <c r="CD358" s="5" t="s">
        <v>206</v>
      </c>
      <c r="CH358" s="5" t="s">
        <v>310</v>
      </c>
      <c r="CI358" s="5" t="s">
        <v>206</v>
      </c>
      <c r="CJ358" s="5">
        <v>2</v>
      </c>
      <c r="CQ358" s="5" t="s">
        <v>349</v>
      </c>
      <c r="CU358" s="5" t="s">
        <v>204</v>
      </c>
      <c r="CV358" s="5" t="s">
        <v>350</v>
      </c>
      <c r="CW358" s="5" t="s">
        <v>351</v>
      </c>
      <c r="CX358" s="5" t="s">
        <v>683</v>
      </c>
      <c r="CY358" s="5" t="s">
        <v>353</v>
      </c>
      <c r="CZ358" s="5" t="s">
        <v>228</v>
      </c>
      <c r="DA358" s="5" t="s">
        <v>252</v>
      </c>
      <c r="DB358" s="5">
        <f t="shared" ref="DB358:DB368" si="1073">IF(DA358="Mejor que lo habitual",1,
IF(DA358="Igual que lo habitual",2,
IF(DA358="Menos que lo habitual",3,
IF(DA358="Mucho menos que lo habitual",4,""))))</f>
        <v>3</v>
      </c>
      <c r="DC358" s="5" t="s">
        <v>250</v>
      </c>
      <c r="DD358" s="5">
        <f t="shared" ref="DD358:DD368" si="1074">IF(DC358="No, en absoluto",1,
IF(DC358="No más que lo habitual",2,
IF(DC358="Bastante más que lo habitual",3,
IF(DC358="Mucho más que lo habitual",4,""))))</f>
        <v>3</v>
      </c>
      <c r="DE358" s="5" t="s">
        <v>250</v>
      </c>
      <c r="DF358" s="5">
        <f t="shared" ref="DF358:DF368" si="1075">IF(DE358="No, en absoluto",1,
IF(DE358="No más que lo habitual",2,
IF(DE358="Bastante más que lo habitual",3,
IF(DE358="Mucho más que lo habitual",4,""))))</f>
        <v>3</v>
      </c>
      <c r="DG358" s="5" t="s">
        <v>250</v>
      </c>
      <c r="DH358" s="5">
        <f t="shared" ref="DH358:DH368" si="1076">IF(DG358="No, en absoluto",1,
IF(DG358="No más que lo habitual",2,
IF(DG358="Bastante más que lo habitual",3,
IF(DG358="Mucho más que lo habitual",4,""))))</f>
        <v>3</v>
      </c>
      <c r="DI358" s="5" t="s">
        <v>250</v>
      </c>
      <c r="DJ358" s="5">
        <f t="shared" ref="DJ358:DJ368" si="1077">IF(DI358="No, en absoluto",1,
IF(DI358="No más que lo habitual",2,
IF(DI358="Bastante más que lo habitual",3,
IF(DI358="Mucho más que lo habitual",4,""))))</f>
        <v>3</v>
      </c>
      <c r="DK358" s="5" t="s">
        <v>250</v>
      </c>
      <c r="DL358" s="5">
        <f t="shared" ref="DL358:DL368" si="1078">IF(DK358="No, en absoluto",1,
IF(DK358="No más que lo habitual",2,
IF(DK358="Bastante más que lo habitual",3,
IF(DK358="Mucho más que lo habitual",4,""))))</f>
        <v>3</v>
      </c>
      <c r="DM358" s="5" t="s">
        <v>250</v>
      </c>
      <c r="DN358" s="5">
        <f t="shared" ref="DN358:DN368" si="1079">IF(DM358="No, en absoluto",1,
IF(DM358="No más que lo habitual",2,
IF(DM358="Bastante más que lo habitual",3,
IF(DM358="Mucho más que lo habitual",4,""))))</f>
        <v>3</v>
      </c>
      <c r="DO358" s="5" t="s">
        <v>252</v>
      </c>
      <c r="DP358" s="5">
        <f t="shared" ref="DP358:DP368" si="1080">IF(DO358="Más que lo habitual",1,
IF(DO358="Igual que lo habitual",2,
IF(DO358="Menos que lo habitual",3,
IF(DO358="Mucho menos que lo habitual",4,""))))</f>
        <v>3</v>
      </c>
      <c r="DQ358" s="5" t="s">
        <v>252</v>
      </c>
      <c r="DR358" s="5">
        <f t="shared" ref="DR358:DR368" si="1081">IF(DQ358="Más que lo habitual",1,
IF(DQ358="Igual que lo habitual",2,
IF(DQ358="Menos que lo habitual",3,
IF(DQ358="Mucho menos que lo habitual",4,""))))</f>
        <v>3</v>
      </c>
      <c r="DS358" s="5" t="s">
        <v>252</v>
      </c>
      <c r="DT358" s="5">
        <f t="shared" ref="DT358:DT368" si="1082">IF(DS358="Más que lo habitual",1,
IF(DS358="Igual que lo habitual",2,
IF(DS358="Menos que lo habitual",3,
IF(DS358="Mucho menos que lo habitual",4,""))))</f>
        <v>3</v>
      </c>
      <c r="DU358" s="5" t="s">
        <v>252</v>
      </c>
      <c r="DV358" s="5">
        <f t="shared" ref="DV358:DV368" si="1083">IF(DU358="Más que lo habitual",1,
IF(DU358="Igual que lo habitual",2,
IF(DU358="Menos que lo habitual",3,
IF(DU358="Mucho menos que lo habitual",4,""))))</f>
        <v>3</v>
      </c>
      <c r="DW358" s="5" t="s">
        <v>252</v>
      </c>
      <c r="DX358" s="5">
        <f t="shared" ref="DX358:DX368" si="1084">IF(DW358="Más que lo habitual",1,
IF(DW358="Igual que lo habitual",2,
IF(DW358="Menos que lo habitual",3,
IF(DW358="Mucho menos que lo habitual",4,""))))</f>
        <v>3</v>
      </c>
      <c r="DY358" s="5">
        <f t="shared" ref="DY358:DY368" si="1085">SUM(DB358,DD358,DF358,DH358,DJ358,DL358,DN358,DP358,DR358,DT358,DV358,DX358)</f>
        <v>36</v>
      </c>
      <c r="DZ358" s="5" t="str">
        <f t="shared" ref="DZ358:DZ368" si="1086">IF(DY358&lt;=18,"Nivel de riesgo bajo",
IF(DY358&lt;=23,"Nivel de riesgo medio",
"Nivel de riesgo alto"))</f>
        <v>Nivel de riesgo alto</v>
      </c>
      <c r="EA358" s="5" t="s">
        <v>254</v>
      </c>
      <c r="EB358" s="5">
        <f t="shared" ref="EB358:EB368" si="1087">IF(EA358="Nunca/ casi nunca",0,
IF(EA358="Rara vez",1,
IF(EA358="A veces",2,
IF(EA358="A menudo",3,
IF(EA358="Siempre",4,"")))))</f>
        <v>4</v>
      </c>
      <c r="EC358" s="5" t="s">
        <v>247</v>
      </c>
      <c r="ED358" s="5">
        <f t="shared" ref="ED358:ED368" si="1088">IF(EC358="Nunca/ casi nunca",0,
IF(EC358="Rara vez",1,
IF(EC358="A veces",2,
IF(EC358="A menudo",3,
IF(EC358="Siempre",4,"")))))</f>
        <v>2</v>
      </c>
      <c r="EE358" s="5" t="s">
        <v>247</v>
      </c>
      <c r="EF358" s="5">
        <f t="shared" ref="EF358:EF368" si="1089">IF(EE358="Nunca/ casi nunca",0,
IF(EE358="Rara vez",1,
IF(EE358="A veces",2,
IF(EE358="A menudo",3,
IF(EE358="Siempre",4,"")))))</f>
        <v>2</v>
      </c>
      <c r="EG358" s="5">
        <f t="shared" ref="EG358:EG368" si="1090">SUM(EB358,ED358,EF358)</f>
        <v>8</v>
      </c>
      <c r="EH358" s="5" t="str">
        <f t="shared" ref="EH358:EH368" si="1091">IF(EG358&lt;=1,"Nivel de riesgo bajo",
IF(EG358&lt;=4,"Nivel de riesgo medio",
"Nivel de riesgo alto"))</f>
        <v>Nivel de riesgo alto</v>
      </c>
      <c r="EI358" s="5" t="s">
        <v>247</v>
      </c>
      <c r="EJ358" s="5">
        <f t="shared" ref="EJ358:EJ368" si="1092">IF(EI358="Nunca/ casi nunca",0,
IF(EI358="Rara vez",1,
IF(EI358="A veces",2,
IF(EI358="A menudo",3,
IF(EI358="Siempre",4,"")))))</f>
        <v>2</v>
      </c>
      <c r="EK358" s="5" t="s">
        <v>247</v>
      </c>
      <c r="EL358" s="5">
        <f t="shared" ref="EL358:EL368" si="1093">IF(EK358="Nunca/ casi nunca",0,
IF(EK358="Rara vez",1,
IF(EK358="A veces",2,
IF(EK358="A menudo",3,
IF(EK358="Siempre",4,"")))))</f>
        <v>2</v>
      </c>
      <c r="EM358" s="5" t="s">
        <v>254</v>
      </c>
      <c r="EN358" s="5">
        <f t="shared" ref="EN358:EN368" si="1094">IF(EM358="Nunca/ casi nunca",0,
IF(EM358="Rara vez",1,
IF(EM358="A veces",2,
IF(EM358="A menudo",3,
IF(EM358="Siempre",4,"")))))</f>
        <v>4</v>
      </c>
      <c r="EO358" s="5">
        <f t="shared" ref="EO358:EO368" si="1095">SUM(EJ358,EL358,EN358)</f>
        <v>8</v>
      </c>
      <c r="EP358" s="5" t="str">
        <f t="shared" ref="EP358:EP368" si="1096">IF(EO358&lt;=1,"Nivel de riesgo bajo",
IF(EO358&lt;=5,"Nivel de riesgo medio",
"Nivel de riesgo alto"))</f>
        <v>Nivel de riesgo alto</v>
      </c>
      <c r="EQ358" s="5" t="s">
        <v>247</v>
      </c>
      <c r="ER358" s="5">
        <f t="shared" ref="ER358:ER368" si="1097">IF(EQ358="Nunca/ casi nunca",4,
IF(EQ358="Rara vez",3,
IF(EQ358="A veces",2,
IF(EQ358="A menudo",1,
IF(EQ358="Siempre",0,"")))))</f>
        <v>2</v>
      </c>
      <c r="ES358" s="5" t="s">
        <v>247</v>
      </c>
      <c r="ET358" s="5">
        <f t="shared" ref="ET358:ET368" si="1098">IF(ES358="Nunca/ casi nunca",4,
IF(ES358="Rara vez",3,
IF(ES358="A veces",2,
IF(ES358="A menudo",1,
IF(ES358="Siempre",0,"")))))</f>
        <v>2</v>
      </c>
      <c r="EU358" s="5" t="s">
        <v>247</v>
      </c>
      <c r="EV358" s="5">
        <f t="shared" ref="EV358:EV368" si="1099">IF(EU358="Nunca/ casi nunca",4,
IF(EU358="Rara vez",3,
IF(EU358="A veces",2,
IF(EU358="A menudo",1,
IF(EU358="Siempre",0,"")))))</f>
        <v>2</v>
      </c>
      <c r="EW358" s="5" t="s">
        <v>247</v>
      </c>
      <c r="EX358" s="5">
        <f t="shared" ref="EX358:EX368" si="1100">IF(EW358="Nunca/ casi nunca",4,
IF(EW358="Rara vez",3,
IF(EW358="A veces",2,
IF(EW358="A menudo",1,
IF(EW358="Siempre",0,"")))))</f>
        <v>2</v>
      </c>
      <c r="EY358" s="5">
        <f t="shared" ref="EY358:EY368" si="1101">SUM(ER358,ET358,EV358,EX358)</f>
        <v>8</v>
      </c>
      <c r="EZ358" s="5" t="str">
        <f t="shared" ref="EZ358:EZ368" si="1102">IF(EY358&lt;=0,"Nivel de riesgo bajo",
IF(EY358&lt;=4,"Nivel de riesgo medio",
"Nivel de riesgo alto"))</f>
        <v>Nivel de riesgo alto</v>
      </c>
      <c r="FA358" s="5" t="s">
        <v>247</v>
      </c>
      <c r="FB358" s="5">
        <f t="shared" ref="FB358:FB368" si="1103">IF(FA358="Nunca/ casi nunca",0,
IF(FA358="Rara vez",1,
IF(FA358="A veces",2,
IF(FA358="A menudo",3,
IF(FA358="Siempre",4,"")))))</f>
        <v>2</v>
      </c>
      <c r="FC358" s="5" t="s">
        <v>247</v>
      </c>
      <c r="FD358" s="5">
        <f t="shared" ref="FD358:FD368" si="1104">IF(FC358="Nunca/ casi nunca",0,
IF(FC358="Rara vez",1,
IF(FC358="A veces",2,
IF(FC358="A menudo",3,
IF(FC358="Siempre",4,"")))))</f>
        <v>2</v>
      </c>
      <c r="FE358" s="5" t="s">
        <v>247</v>
      </c>
      <c r="FF358" s="5">
        <f t="shared" ref="FF358:FF368" si="1105">IF(FE358="Nunca/ casi nunca",0,
IF(FE358="Rara vez",1,
IF(FE358="A veces",2,
IF(FE358="A menudo",3,
IF(FE358="Siempre",4,"")))))</f>
        <v>2</v>
      </c>
      <c r="FG358" s="5">
        <f t="shared" ref="FG358:FG368" si="1106">SUM(FB358,FD358,FF358)</f>
        <v>6</v>
      </c>
      <c r="FH358" s="5" t="str">
        <f t="shared" ref="FH358:FH368" si="1107">IF(FG358&lt;=2,"Nivel de riesgo bajo",
IF(FG358&lt;=5,"Nivel de riesgo medio",
"Nivel de riesgo alto"))</f>
        <v>Nivel de riesgo alto</v>
      </c>
      <c r="FI358" s="5" t="s">
        <v>247</v>
      </c>
      <c r="FJ358" s="5">
        <f t="shared" ref="FJ358:FJ368" si="1108">IF(FI358="Nunca/ casi nunca",0,
IF(FI358="Rara vez",1,
IF(FI358="A veces",2,
IF(FI358="A menudo",3,
IF(FI358="Siempre",4,"")))))</f>
        <v>2</v>
      </c>
      <c r="FK358" s="5" t="s">
        <v>247</v>
      </c>
      <c r="FL358" s="5">
        <f t="shared" ref="FL358:FL368" si="1109">IF(FK358="Nunca/ casi nunca",0,
IF(FK358="Rara vez",1,
IF(FK358="A veces",2,
IF(FK358="A menudo",3,
IF(FK358="Siempre",4,"")))))</f>
        <v>2</v>
      </c>
      <c r="FM358" s="5" t="s">
        <v>247</v>
      </c>
      <c r="FN358" s="5">
        <f t="shared" ref="FN358:FN368" si="1110">IF(FM358="Nunca/ casi nunca",0,
IF(FM358="Rara vez",1,
IF(FM358="A veces",2,
IF(FM358="A menudo",3,
IF(FM358="Siempre",4,"")))))</f>
        <v>2</v>
      </c>
      <c r="FO358" s="5">
        <f t="shared" ref="FO358:FO368" si="1111">SUM(FJ358,FL358,FN358)</f>
        <v>6</v>
      </c>
      <c r="FP358" s="5" t="str">
        <f t="shared" ref="FP358:FP368" si="1112">IF(FO358&lt;=2,"Nivel de riesgo bajo",
IF(FO358&lt;=5,"Nivel de riesgo medio",
"Nivel de riesgo alto"))</f>
        <v>Nivel de riesgo alto</v>
      </c>
      <c r="FQ358" s="5" t="s">
        <v>206</v>
      </c>
      <c r="FR358" s="5">
        <f t="shared" ref="FR358:FR368" si="1113">IF(FQ358="No",0,
IF(FQ358="Sí, unas pocas veces",1,
IF(FQ358="Sí, mensualmente",2,
IF(FQ358="Sí, semanalmente",3,
IF(FQ358="Sí, diariamente",4,"")))))</f>
        <v>0</v>
      </c>
      <c r="FS358" s="5" t="s">
        <v>206</v>
      </c>
      <c r="FT358" s="5">
        <f t="shared" ref="FT358:FT368" si="1114">IF(FS358="No",0,
IF(FS358="Sí, unas pocas veces",1,
IF(FS358="Sí, mensualmente",2,
IF(FS358="Sí, semanalmente",3,
IF(FS358="Sí, diariamente",4,"")))))</f>
        <v>0</v>
      </c>
      <c r="FU358" s="5" t="s">
        <v>206</v>
      </c>
      <c r="FV358" s="5">
        <f t="shared" ref="FV358:FV368" si="1115">IF(FU358="No",0,
IF(FU358="Sí, unas pocas veces",1,
IF(FU358="Sí, mensualmente",2,
IF(FU358="Sí, semanalmente",3,
IF(FU358="Sí, diariamente",4,"")))))</f>
        <v>0</v>
      </c>
      <c r="FW358" s="5" t="s">
        <v>206</v>
      </c>
      <c r="FX358" s="5">
        <f t="shared" ref="FX358:FX368" si="1116">IF(FW358="No",0,
IF(FW358="Sí, unas pocas veces",1,
IF(FW358="Sí, mensualmente",2,
IF(FW358="Sí, semanalmente",3,
IF(FW358="Sí, diariamente",4,"")))))</f>
        <v>0</v>
      </c>
      <c r="FY358" s="5" t="s">
        <v>206</v>
      </c>
      <c r="FZ358" s="5">
        <f t="shared" ref="FZ358:FZ368" si="1117">IF(FY358="No",0,
IF(FY358="Sí, unas pocas veces",1,
IF(FY358="Sí, mensualmente",2,
IF(FY358="Sí, semanalmente",3,
IF(FY358="Sí, diariamente",4,"")))))</f>
        <v>0</v>
      </c>
      <c r="GA358" s="5" t="s">
        <v>206</v>
      </c>
      <c r="GB358" s="5">
        <f t="shared" ref="GB358:GB368" si="1118">IF(GA358="No",0,
IF(GA358="Sí, unas pocas veces",1,
IF(GA358="Sí, mensualmente",2,
IF(GA358="Sí, semanalmente",3,
IF(GA358="Sí, diariamente",4,"")))))</f>
        <v>0</v>
      </c>
      <c r="GC358" s="5" t="s">
        <v>206</v>
      </c>
      <c r="GD358" s="5">
        <f t="shared" ref="GD358:GD368" si="1119">IF(GC358="No",0,
IF(GC358="Sí, unas pocas veces",1,
IF(GC358="Sí, mensualmente",2,
IF(GC358="Sí, semanalmente",3,
IF(GC358="Sí, diariamente",4,"")))))</f>
        <v>0</v>
      </c>
      <c r="GE358" s="5">
        <f t="shared" ref="GE358:GE368" si="1120">SUM(FR358,FT358,FV358,FX358,FZ358,GB358,GD358)</f>
        <v>0</v>
      </c>
      <c r="GF358" s="5" t="str">
        <f t="shared" ref="GF358:GF368" si="1121">IF(GE358&lt;=0,"Nivel de riesgo bajo",
IF(GE358&lt;=14,"Nivel de riesgo medio",
"Nivel de riesgo alto"))</f>
        <v>Nivel de riesgo bajo</v>
      </c>
      <c r="GG358" s="5" t="s">
        <v>255</v>
      </c>
      <c r="GH358" s="5" t="s">
        <v>255</v>
      </c>
      <c r="GI358" s="5" t="s">
        <v>255</v>
      </c>
      <c r="GJ358" s="5" t="s">
        <v>255</v>
      </c>
      <c r="GK358" s="5" t="s">
        <v>255</v>
      </c>
      <c r="GL358" s="5" t="s">
        <v>255</v>
      </c>
      <c r="GM358" s="5" t="s">
        <v>255</v>
      </c>
      <c r="GN358" s="5" t="s">
        <v>256</v>
      </c>
      <c r="GO358" s="5" t="s">
        <v>256</v>
      </c>
      <c r="GP358" s="5" t="s">
        <v>256</v>
      </c>
      <c r="GQ358" s="5" t="s">
        <v>256</v>
      </c>
      <c r="GR358" s="5" t="s">
        <v>256</v>
      </c>
      <c r="GS358" s="5" t="s">
        <v>256</v>
      </c>
      <c r="GT358" s="5" t="s">
        <v>256</v>
      </c>
      <c r="GU358" s="5" t="s">
        <v>724</v>
      </c>
      <c r="GV358" s="5" t="str">
        <f>TEXT("6281549344185722963","0")</f>
        <v>6281549344185720000</v>
      </c>
    </row>
    <row r="359" spans="1:204" ht="15.75" customHeight="1" x14ac:dyDescent="0.15">
      <c r="A359" s="1">
        <f t="shared" si="1071"/>
        <v>359</v>
      </c>
      <c r="B359" s="4">
        <v>45850.618449074071</v>
      </c>
      <c r="C359" s="5" t="s">
        <v>204</v>
      </c>
      <c r="D359" s="5" t="s">
        <v>206</v>
      </c>
      <c r="F359" s="5" t="s">
        <v>206</v>
      </c>
      <c r="G359" s="5" t="s">
        <v>204</v>
      </c>
      <c r="H359" s="5" t="s">
        <v>206</v>
      </c>
      <c r="L359" s="5" t="s">
        <v>236</v>
      </c>
      <c r="O359" s="5" t="s">
        <v>209</v>
      </c>
      <c r="T359" s="5" t="s">
        <v>209</v>
      </c>
      <c r="X359" s="5" t="s">
        <v>208</v>
      </c>
      <c r="AD359" s="5" t="s">
        <v>209</v>
      </c>
      <c r="AH359" s="5" t="s">
        <v>210</v>
      </c>
      <c r="AI359" s="5">
        <v>2021</v>
      </c>
      <c r="AJ359" s="5" t="s">
        <v>238</v>
      </c>
      <c r="AK359" s="5" t="str">
        <f t="shared" si="1072"/>
        <v>Trabajadora por cuenta propia</v>
      </c>
      <c r="AL359" s="5" t="s">
        <v>239</v>
      </c>
      <c r="AP359" s="5" t="s">
        <v>240</v>
      </c>
      <c r="AR359" s="5" t="s">
        <v>241</v>
      </c>
      <c r="AS359" s="5" t="s">
        <v>241</v>
      </c>
      <c r="AT359" s="5" t="s">
        <v>261</v>
      </c>
      <c r="AU359" s="5" t="s">
        <v>261</v>
      </c>
      <c r="AV359" s="5" t="s">
        <v>213</v>
      </c>
      <c r="AW359" s="5" t="s">
        <v>206</v>
      </c>
      <c r="BF359" s="5" t="s">
        <v>204</v>
      </c>
      <c r="BG359" s="5" t="s">
        <v>242</v>
      </c>
      <c r="BH359" s="5" t="s">
        <v>271</v>
      </c>
      <c r="BI359" s="5" t="s">
        <v>278</v>
      </c>
      <c r="BJ359" s="5" t="s">
        <v>278</v>
      </c>
      <c r="BK359" s="5" t="s">
        <v>243</v>
      </c>
      <c r="BL359" s="5" t="s">
        <v>216</v>
      </c>
      <c r="BM359" s="5" t="s">
        <v>216</v>
      </c>
      <c r="BN359" s="5" t="s">
        <v>216</v>
      </c>
      <c r="BO359" s="5" t="s">
        <v>244</v>
      </c>
      <c r="BP359" s="5" t="s">
        <v>216</v>
      </c>
      <c r="BQ359" s="5" t="s">
        <v>244</v>
      </c>
      <c r="BR359" s="5" t="s">
        <v>245</v>
      </c>
      <c r="BS359" s="5" t="s">
        <v>254</v>
      </c>
      <c r="BT359" s="5" t="s">
        <v>254</v>
      </c>
      <c r="BU359" s="5" t="s">
        <v>232</v>
      </c>
      <c r="BV359" s="5" t="s">
        <v>254</v>
      </c>
      <c r="BW359" s="5" t="s">
        <v>232</v>
      </c>
      <c r="BX359" s="5" t="s">
        <v>254</v>
      </c>
      <c r="BY359" s="5" t="s">
        <v>247</v>
      </c>
      <c r="CD359" s="5" t="s">
        <v>206</v>
      </c>
      <c r="CH359" s="5" t="s">
        <v>206</v>
      </c>
      <c r="CI359" s="5" t="s">
        <v>206</v>
      </c>
      <c r="CJ359" s="5">
        <v>0</v>
      </c>
      <c r="CK359" s="5" t="s">
        <v>223</v>
      </c>
      <c r="CU359" s="5" t="s">
        <v>206</v>
      </c>
      <c r="DA359" s="5" t="s">
        <v>252</v>
      </c>
      <c r="DB359" s="5">
        <f t="shared" si="1073"/>
        <v>3</v>
      </c>
      <c r="DC359" s="5" t="s">
        <v>251</v>
      </c>
      <c r="DD359" s="5">
        <f t="shared" si="1074"/>
        <v>1</v>
      </c>
      <c r="DE359" s="5" t="s">
        <v>230</v>
      </c>
      <c r="DF359" s="5">
        <f t="shared" si="1075"/>
        <v>2</v>
      </c>
      <c r="DG359" s="5" t="s">
        <v>230</v>
      </c>
      <c r="DH359" s="5">
        <f t="shared" si="1076"/>
        <v>2</v>
      </c>
      <c r="DI359" s="5" t="s">
        <v>230</v>
      </c>
      <c r="DJ359" s="5">
        <f t="shared" si="1077"/>
        <v>2</v>
      </c>
      <c r="DK359" s="5" t="s">
        <v>250</v>
      </c>
      <c r="DL359" s="5">
        <f t="shared" si="1078"/>
        <v>3</v>
      </c>
      <c r="DM359" s="5" t="s">
        <v>280</v>
      </c>
      <c r="DN359" s="5">
        <f t="shared" si="1079"/>
        <v>4</v>
      </c>
      <c r="DO359" s="5" t="s">
        <v>252</v>
      </c>
      <c r="DP359" s="5">
        <f t="shared" si="1080"/>
        <v>3</v>
      </c>
      <c r="DQ359" s="5" t="s">
        <v>281</v>
      </c>
      <c r="DR359" s="5">
        <f t="shared" si="1081"/>
        <v>1</v>
      </c>
      <c r="DS359" s="5" t="s">
        <v>252</v>
      </c>
      <c r="DT359" s="5">
        <f t="shared" si="1082"/>
        <v>3</v>
      </c>
      <c r="DU359" s="5" t="s">
        <v>281</v>
      </c>
      <c r="DV359" s="5">
        <f t="shared" si="1083"/>
        <v>1</v>
      </c>
      <c r="DW359" s="5" t="s">
        <v>281</v>
      </c>
      <c r="DX359" s="5">
        <f t="shared" si="1084"/>
        <v>1</v>
      </c>
      <c r="DY359" s="5">
        <f t="shared" si="1085"/>
        <v>26</v>
      </c>
      <c r="DZ359" s="5" t="str">
        <f t="shared" si="1086"/>
        <v>Nivel de riesgo alto</v>
      </c>
      <c r="EA359" s="5" t="s">
        <v>253</v>
      </c>
      <c r="EB359" s="5">
        <f t="shared" si="1087"/>
        <v>0</v>
      </c>
      <c r="EC359" s="5" t="s">
        <v>247</v>
      </c>
      <c r="ED359" s="5">
        <f t="shared" si="1088"/>
        <v>2</v>
      </c>
      <c r="EE359" s="5" t="s">
        <v>253</v>
      </c>
      <c r="EF359" s="5">
        <f t="shared" si="1089"/>
        <v>0</v>
      </c>
      <c r="EG359" s="5">
        <f t="shared" si="1090"/>
        <v>2</v>
      </c>
      <c r="EH359" s="5" t="str">
        <f t="shared" si="1091"/>
        <v>Nivel de riesgo medio</v>
      </c>
      <c r="EI359" s="5" t="s">
        <v>253</v>
      </c>
      <c r="EJ359" s="5">
        <f t="shared" si="1092"/>
        <v>0</v>
      </c>
      <c r="EK359" s="5" t="s">
        <v>254</v>
      </c>
      <c r="EL359" s="5">
        <f t="shared" si="1093"/>
        <v>4</v>
      </c>
      <c r="EM359" s="5" t="s">
        <v>247</v>
      </c>
      <c r="EN359" s="5">
        <f t="shared" si="1094"/>
        <v>2</v>
      </c>
      <c r="EO359" s="5">
        <f t="shared" si="1095"/>
        <v>6</v>
      </c>
      <c r="EP359" s="5" t="str">
        <f t="shared" si="1096"/>
        <v>Nivel de riesgo alto</v>
      </c>
      <c r="EQ359" s="5" t="s">
        <v>254</v>
      </c>
      <c r="ER359" s="5">
        <f t="shared" si="1097"/>
        <v>0</v>
      </c>
      <c r="ES359" s="5" t="s">
        <v>248</v>
      </c>
      <c r="ET359" s="5">
        <f t="shared" si="1098"/>
        <v>3</v>
      </c>
      <c r="EU359" s="5" t="s">
        <v>232</v>
      </c>
      <c r="EV359" s="5">
        <f t="shared" si="1099"/>
        <v>1</v>
      </c>
      <c r="EW359" s="5" t="s">
        <v>247</v>
      </c>
      <c r="EX359" s="5">
        <f t="shared" si="1100"/>
        <v>2</v>
      </c>
      <c r="EY359" s="5">
        <f t="shared" si="1101"/>
        <v>6</v>
      </c>
      <c r="EZ359" s="5" t="str">
        <f t="shared" si="1102"/>
        <v>Nivel de riesgo alto</v>
      </c>
      <c r="FA359" s="5" t="s">
        <v>248</v>
      </c>
      <c r="FB359" s="5">
        <f t="shared" si="1103"/>
        <v>1</v>
      </c>
      <c r="FC359" s="5" t="s">
        <v>253</v>
      </c>
      <c r="FD359" s="5">
        <f t="shared" si="1104"/>
        <v>0</v>
      </c>
      <c r="FE359" s="5" t="s">
        <v>253</v>
      </c>
      <c r="FF359" s="5">
        <f t="shared" si="1105"/>
        <v>0</v>
      </c>
      <c r="FG359" s="5">
        <f t="shared" si="1106"/>
        <v>1</v>
      </c>
      <c r="FH359" s="5" t="str">
        <f t="shared" si="1107"/>
        <v>Nivel de riesgo bajo</v>
      </c>
      <c r="FI359" s="5" t="s">
        <v>248</v>
      </c>
      <c r="FJ359" s="5">
        <f t="shared" si="1108"/>
        <v>1</v>
      </c>
      <c r="FK359" s="5" t="s">
        <v>248</v>
      </c>
      <c r="FL359" s="5">
        <f t="shared" si="1109"/>
        <v>1</v>
      </c>
      <c r="FM359" s="5" t="s">
        <v>248</v>
      </c>
      <c r="FN359" s="5">
        <f t="shared" si="1110"/>
        <v>1</v>
      </c>
      <c r="FO359" s="5">
        <f t="shared" si="1111"/>
        <v>3</v>
      </c>
      <c r="FP359" s="5" t="str">
        <f t="shared" si="1112"/>
        <v>Nivel de riesgo medio</v>
      </c>
      <c r="FQ359" s="5" t="s">
        <v>265</v>
      </c>
      <c r="FR359" s="5">
        <f t="shared" si="1113"/>
        <v>1</v>
      </c>
      <c r="FS359" s="5" t="s">
        <v>206</v>
      </c>
      <c r="FT359" s="5">
        <f t="shared" si="1114"/>
        <v>0</v>
      </c>
      <c r="FU359" s="5" t="s">
        <v>206</v>
      </c>
      <c r="FV359" s="5">
        <f t="shared" si="1115"/>
        <v>0</v>
      </c>
      <c r="FW359" s="5" t="s">
        <v>206</v>
      </c>
      <c r="FX359" s="5">
        <f t="shared" si="1116"/>
        <v>0</v>
      </c>
      <c r="FY359" s="5" t="s">
        <v>206</v>
      </c>
      <c r="FZ359" s="5">
        <f t="shared" si="1117"/>
        <v>0</v>
      </c>
      <c r="GA359" s="5" t="s">
        <v>206</v>
      </c>
      <c r="GB359" s="5">
        <f t="shared" si="1118"/>
        <v>0</v>
      </c>
      <c r="GC359" s="5" t="s">
        <v>206</v>
      </c>
      <c r="GD359" s="5">
        <f t="shared" si="1119"/>
        <v>0</v>
      </c>
      <c r="GE359" s="5">
        <f t="shared" si="1120"/>
        <v>1</v>
      </c>
      <c r="GF359" s="5" t="str">
        <f t="shared" si="1121"/>
        <v>Nivel de riesgo medio</v>
      </c>
      <c r="GG359" s="5" t="s">
        <v>255</v>
      </c>
      <c r="GH359" s="5" t="s">
        <v>255</v>
      </c>
      <c r="GI359" s="5" t="s">
        <v>255</v>
      </c>
      <c r="GJ359" s="5" t="s">
        <v>255</v>
      </c>
      <c r="GK359" s="5" t="s">
        <v>233</v>
      </c>
      <c r="GL359" s="5" t="s">
        <v>233</v>
      </c>
      <c r="GM359" s="5" t="s">
        <v>233</v>
      </c>
      <c r="GN359" s="5" t="s">
        <v>243</v>
      </c>
      <c r="GO359" s="5" t="s">
        <v>257</v>
      </c>
      <c r="GP359" s="5" t="s">
        <v>257</v>
      </c>
      <c r="GQ359" s="5" t="s">
        <v>244</v>
      </c>
      <c r="GR359" s="5" t="s">
        <v>234</v>
      </c>
      <c r="GS359" s="5" t="s">
        <v>234</v>
      </c>
      <c r="GT359" s="5" t="s">
        <v>243</v>
      </c>
      <c r="GU359" s="5" t="s">
        <v>725</v>
      </c>
      <c r="GV359" s="5" t="str">
        <f>TEXT("6281554348342540476","0")</f>
        <v>6281554348342540000</v>
      </c>
    </row>
    <row r="360" spans="1:204" ht="15.75" customHeight="1" x14ac:dyDescent="0.15">
      <c r="A360" s="1">
        <f t="shared" si="1071"/>
        <v>360</v>
      </c>
      <c r="B360" s="4">
        <v>45850.71261574074</v>
      </c>
      <c r="C360" s="5" t="s">
        <v>204</v>
      </c>
      <c r="D360" s="5" t="s">
        <v>206</v>
      </c>
      <c r="F360" s="5" t="s">
        <v>206</v>
      </c>
      <c r="G360" s="5" t="s">
        <v>206</v>
      </c>
      <c r="H360" s="5" t="s">
        <v>206</v>
      </c>
      <c r="L360" s="5" t="s">
        <v>236</v>
      </c>
      <c r="P360" s="5" t="s">
        <v>237</v>
      </c>
      <c r="U360" s="5" t="s">
        <v>237</v>
      </c>
      <c r="AA360" s="5" t="s">
        <v>236</v>
      </c>
      <c r="AF360" s="5" t="s">
        <v>236</v>
      </c>
      <c r="AH360" s="5" t="s">
        <v>268</v>
      </c>
      <c r="AI360" s="5">
        <v>1999</v>
      </c>
      <c r="AJ360" s="5" t="s">
        <v>337</v>
      </c>
      <c r="AK360" s="5" t="str">
        <f t="shared" si="1072"/>
        <v>Asalariada</v>
      </c>
      <c r="AQ360" s="5" t="s">
        <v>204</v>
      </c>
      <c r="AR360" s="5" t="s">
        <v>261</v>
      </c>
      <c r="AS360" s="5" t="s">
        <v>261</v>
      </c>
      <c r="AT360" s="5" t="s">
        <v>294</v>
      </c>
      <c r="AU360" s="5" t="s">
        <v>294</v>
      </c>
      <c r="AV360" s="5" t="s">
        <v>277</v>
      </c>
      <c r="AW360" s="5" t="s">
        <v>206</v>
      </c>
      <c r="BF360" s="5" t="s">
        <v>204</v>
      </c>
      <c r="BG360" s="5" t="s">
        <v>215</v>
      </c>
      <c r="BH360" s="5" t="s">
        <v>242</v>
      </c>
      <c r="BI360" s="5" t="s">
        <v>207</v>
      </c>
      <c r="BJ360" s="5" t="s">
        <v>242</v>
      </c>
      <c r="BK360" s="5" t="s">
        <v>246</v>
      </c>
      <c r="BL360" s="5" t="s">
        <v>243</v>
      </c>
      <c r="BM360" s="5" t="s">
        <v>246</v>
      </c>
      <c r="BN360" s="5" t="s">
        <v>245</v>
      </c>
      <c r="BO360" s="5" t="s">
        <v>243</v>
      </c>
      <c r="BP360" s="5" t="s">
        <v>243</v>
      </c>
      <c r="BQ360" s="5" t="s">
        <v>246</v>
      </c>
      <c r="BR360" s="5" t="s">
        <v>246</v>
      </c>
      <c r="BS360" s="5" t="s">
        <v>247</v>
      </c>
      <c r="BT360" s="5" t="s">
        <v>232</v>
      </c>
      <c r="BU360" s="5" t="s">
        <v>254</v>
      </c>
      <c r="BV360" s="5" t="s">
        <v>232</v>
      </c>
      <c r="BW360" s="5" t="s">
        <v>254</v>
      </c>
      <c r="BX360" s="5" t="s">
        <v>254</v>
      </c>
      <c r="BY360" s="5" t="s">
        <v>254</v>
      </c>
      <c r="CD360" s="5" t="s">
        <v>206</v>
      </c>
      <c r="CH360" s="5" t="s">
        <v>206</v>
      </c>
      <c r="CI360" s="5" t="s">
        <v>291</v>
      </c>
      <c r="CJ360" s="5">
        <v>2</v>
      </c>
      <c r="CK360" s="5" t="s">
        <v>223</v>
      </c>
      <c r="CU360" s="5" t="s">
        <v>206</v>
      </c>
      <c r="DA360" s="5" t="s">
        <v>229</v>
      </c>
      <c r="DB360" s="5">
        <f t="shared" si="1073"/>
        <v>4</v>
      </c>
      <c r="DC360" s="5" t="s">
        <v>250</v>
      </c>
      <c r="DD360" s="5">
        <f t="shared" si="1074"/>
        <v>3</v>
      </c>
      <c r="DE360" s="5" t="s">
        <v>230</v>
      </c>
      <c r="DF360" s="5">
        <f t="shared" si="1075"/>
        <v>2</v>
      </c>
      <c r="DG360" s="5" t="s">
        <v>250</v>
      </c>
      <c r="DH360" s="5">
        <f t="shared" si="1076"/>
        <v>3</v>
      </c>
      <c r="DI360" s="5" t="s">
        <v>250</v>
      </c>
      <c r="DJ360" s="5">
        <f t="shared" si="1077"/>
        <v>3</v>
      </c>
      <c r="DK360" s="5" t="s">
        <v>251</v>
      </c>
      <c r="DL360" s="5">
        <f t="shared" si="1078"/>
        <v>1</v>
      </c>
      <c r="DM360" s="5" t="s">
        <v>251</v>
      </c>
      <c r="DN360" s="5">
        <f t="shared" si="1079"/>
        <v>1</v>
      </c>
      <c r="DO360" s="5" t="s">
        <v>231</v>
      </c>
      <c r="DP360" s="5">
        <f t="shared" si="1080"/>
        <v>2</v>
      </c>
      <c r="DQ360" s="5" t="s">
        <v>231</v>
      </c>
      <c r="DR360" s="5">
        <f t="shared" si="1081"/>
        <v>2</v>
      </c>
      <c r="DS360" s="5" t="s">
        <v>252</v>
      </c>
      <c r="DT360" s="5">
        <f t="shared" si="1082"/>
        <v>3</v>
      </c>
      <c r="DU360" s="5" t="s">
        <v>281</v>
      </c>
      <c r="DV360" s="5">
        <f t="shared" si="1083"/>
        <v>1</v>
      </c>
      <c r="DW360" s="5" t="s">
        <v>231</v>
      </c>
      <c r="DX360" s="5">
        <f t="shared" si="1084"/>
        <v>2</v>
      </c>
      <c r="DY360" s="5">
        <f t="shared" si="1085"/>
        <v>27</v>
      </c>
      <c r="DZ360" s="5" t="str">
        <f t="shared" si="1086"/>
        <v>Nivel de riesgo alto</v>
      </c>
      <c r="EA360" s="5" t="s">
        <v>232</v>
      </c>
      <c r="EB360" s="5">
        <f t="shared" si="1087"/>
        <v>3</v>
      </c>
      <c r="EC360" s="5" t="s">
        <v>232</v>
      </c>
      <c r="ED360" s="5">
        <f t="shared" si="1088"/>
        <v>3</v>
      </c>
      <c r="EE360" s="5" t="s">
        <v>232</v>
      </c>
      <c r="EF360" s="5">
        <f t="shared" si="1089"/>
        <v>3</v>
      </c>
      <c r="EG360" s="5">
        <f t="shared" si="1090"/>
        <v>9</v>
      </c>
      <c r="EH360" s="5" t="str">
        <f t="shared" si="1091"/>
        <v>Nivel de riesgo alto</v>
      </c>
      <c r="EI360" s="5" t="s">
        <v>232</v>
      </c>
      <c r="EJ360" s="5">
        <f t="shared" si="1092"/>
        <v>3</v>
      </c>
      <c r="EK360" s="5" t="s">
        <v>232</v>
      </c>
      <c r="EL360" s="5">
        <f t="shared" si="1093"/>
        <v>3</v>
      </c>
      <c r="EM360" s="5" t="s">
        <v>232</v>
      </c>
      <c r="EN360" s="5">
        <f t="shared" si="1094"/>
        <v>3</v>
      </c>
      <c r="EO360" s="5">
        <f t="shared" si="1095"/>
        <v>9</v>
      </c>
      <c r="EP360" s="5" t="str">
        <f t="shared" si="1096"/>
        <v>Nivel de riesgo alto</v>
      </c>
      <c r="EQ360" s="5" t="s">
        <v>232</v>
      </c>
      <c r="ER360" s="5">
        <f t="shared" si="1097"/>
        <v>1</v>
      </c>
      <c r="ES360" s="5" t="s">
        <v>232</v>
      </c>
      <c r="ET360" s="5">
        <f t="shared" si="1098"/>
        <v>1</v>
      </c>
      <c r="EU360" s="5" t="s">
        <v>232</v>
      </c>
      <c r="EV360" s="5">
        <f t="shared" si="1099"/>
        <v>1</v>
      </c>
      <c r="EW360" s="5" t="s">
        <v>232</v>
      </c>
      <c r="EX360" s="5">
        <f t="shared" si="1100"/>
        <v>1</v>
      </c>
      <c r="EY360" s="5">
        <f t="shared" si="1101"/>
        <v>4</v>
      </c>
      <c r="EZ360" s="5" t="str">
        <f t="shared" si="1102"/>
        <v>Nivel de riesgo medio</v>
      </c>
      <c r="FA360" s="5" t="s">
        <v>232</v>
      </c>
      <c r="FB360" s="5">
        <f t="shared" si="1103"/>
        <v>3</v>
      </c>
      <c r="FC360" s="5" t="s">
        <v>247</v>
      </c>
      <c r="FD360" s="5">
        <f t="shared" si="1104"/>
        <v>2</v>
      </c>
      <c r="FE360" s="5" t="s">
        <v>247</v>
      </c>
      <c r="FF360" s="5">
        <f t="shared" si="1105"/>
        <v>2</v>
      </c>
      <c r="FG360" s="5">
        <f t="shared" si="1106"/>
        <v>7</v>
      </c>
      <c r="FH360" s="5" t="str">
        <f t="shared" si="1107"/>
        <v>Nivel de riesgo alto</v>
      </c>
      <c r="FI360" s="5" t="s">
        <v>254</v>
      </c>
      <c r="FJ360" s="5">
        <f t="shared" si="1108"/>
        <v>4</v>
      </c>
      <c r="FK360" s="5" t="s">
        <v>254</v>
      </c>
      <c r="FL360" s="5">
        <f t="shared" si="1109"/>
        <v>4</v>
      </c>
      <c r="FM360" s="5" t="s">
        <v>254</v>
      </c>
      <c r="FN360" s="5">
        <f t="shared" si="1110"/>
        <v>4</v>
      </c>
      <c r="FO360" s="5">
        <f t="shared" si="1111"/>
        <v>12</v>
      </c>
      <c r="FP360" s="5" t="str">
        <f t="shared" si="1112"/>
        <v>Nivel de riesgo alto</v>
      </c>
      <c r="FQ360" s="5" t="s">
        <v>206</v>
      </c>
      <c r="FR360" s="5">
        <f t="shared" si="1113"/>
        <v>0</v>
      </c>
      <c r="FS360" s="5" t="s">
        <v>206</v>
      </c>
      <c r="FT360" s="5">
        <f t="shared" si="1114"/>
        <v>0</v>
      </c>
      <c r="FU360" s="5" t="s">
        <v>206</v>
      </c>
      <c r="FV360" s="5">
        <f t="shared" si="1115"/>
        <v>0</v>
      </c>
      <c r="FW360" s="5" t="s">
        <v>206</v>
      </c>
      <c r="FX360" s="5">
        <f t="shared" si="1116"/>
        <v>0</v>
      </c>
      <c r="FY360" s="5" t="s">
        <v>206</v>
      </c>
      <c r="FZ360" s="5">
        <f t="shared" si="1117"/>
        <v>0</v>
      </c>
      <c r="GA360" s="5" t="s">
        <v>206</v>
      </c>
      <c r="GB360" s="5">
        <f t="shared" si="1118"/>
        <v>0</v>
      </c>
      <c r="GC360" s="5" t="s">
        <v>206</v>
      </c>
      <c r="GD360" s="5">
        <f t="shared" si="1119"/>
        <v>0</v>
      </c>
      <c r="GE360" s="5">
        <f t="shared" si="1120"/>
        <v>0</v>
      </c>
      <c r="GF360" s="5" t="str">
        <f t="shared" si="1121"/>
        <v>Nivel de riesgo bajo</v>
      </c>
      <c r="GG360" s="5" t="s">
        <v>255</v>
      </c>
      <c r="GH360" s="5" t="s">
        <v>255</v>
      </c>
      <c r="GI360" s="5" t="s">
        <v>255</v>
      </c>
      <c r="GJ360" s="5" t="s">
        <v>255</v>
      </c>
      <c r="GK360" s="5" t="s">
        <v>233</v>
      </c>
      <c r="GL360" s="5" t="s">
        <v>255</v>
      </c>
      <c r="GM360" s="5" t="s">
        <v>255</v>
      </c>
      <c r="GN360" s="5" t="s">
        <v>243</v>
      </c>
      <c r="GO360" s="5" t="s">
        <v>243</v>
      </c>
      <c r="GP360" s="5" t="s">
        <v>243</v>
      </c>
      <c r="GQ360" s="5" t="s">
        <v>243</v>
      </c>
      <c r="GR360" s="5" t="s">
        <v>243</v>
      </c>
      <c r="GS360" s="5" t="s">
        <v>234</v>
      </c>
      <c r="GT360" s="5" t="s">
        <v>234</v>
      </c>
      <c r="GU360" s="5" t="s">
        <v>726</v>
      </c>
      <c r="GV360" s="5" t="str">
        <f>TEXT("6281635700528441519","0")</f>
        <v>6281635700528440000</v>
      </c>
    </row>
    <row r="361" spans="1:204" ht="15.75" customHeight="1" x14ac:dyDescent="0.15">
      <c r="A361" s="1">
        <f t="shared" si="1071"/>
        <v>361</v>
      </c>
      <c r="B361" s="4">
        <v>45850.736747685187</v>
      </c>
      <c r="C361" s="5" t="s">
        <v>204</v>
      </c>
      <c r="D361" s="5" t="s">
        <v>206</v>
      </c>
      <c r="F361" s="5" t="s">
        <v>206</v>
      </c>
      <c r="G361" s="5" t="s">
        <v>204</v>
      </c>
      <c r="H361" s="5" t="s">
        <v>206</v>
      </c>
      <c r="K361" s="5" t="s">
        <v>237</v>
      </c>
      <c r="O361" s="5" t="s">
        <v>209</v>
      </c>
      <c r="T361" s="5" t="s">
        <v>209</v>
      </c>
      <c r="Z361" s="5" t="s">
        <v>237</v>
      </c>
      <c r="AC361" s="5" t="s">
        <v>208</v>
      </c>
      <c r="AH361" s="5" t="s">
        <v>259</v>
      </c>
      <c r="AI361" s="5">
        <v>2019</v>
      </c>
      <c r="AJ361" s="5" t="s">
        <v>238</v>
      </c>
      <c r="AK361" s="5" t="str">
        <f t="shared" si="1072"/>
        <v>Trabajadora por cuenta propia</v>
      </c>
      <c r="AL361" s="5" t="s">
        <v>239</v>
      </c>
      <c r="AP361" s="5" t="s">
        <v>284</v>
      </c>
      <c r="AR361" s="5" t="s">
        <v>241</v>
      </c>
      <c r="AS361" s="5" t="s">
        <v>241</v>
      </c>
      <c r="AT361" s="5" t="s">
        <v>241</v>
      </c>
      <c r="AU361" s="5" t="s">
        <v>241</v>
      </c>
      <c r="AV361" s="5" t="s">
        <v>213</v>
      </c>
      <c r="AW361" s="5" t="s">
        <v>206</v>
      </c>
      <c r="BF361" s="5" t="s">
        <v>204</v>
      </c>
      <c r="BG361" s="5" t="s">
        <v>278</v>
      </c>
      <c r="BH361" s="5" t="s">
        <v>278</v>
      </c>
      <c r="BI361" s="5" t="s">
        <v>278</v>
      </c>
      <c r="BJ361" s="5" t="s">
        <v>278</v>
      </c>
      <c r="BK361" s="5" t="s">
        <v>243</v>
      </c>
      <c r="BL361" s="5" t="s">
        <v>243</v>
      </c>
      <c r="BM361" s="5" t="s">
        <v>245</v>
      </c>
      <c r="BN361" s="5" t="s">
        <v>245</v>
      </c>
      <c r="BO361" s="5" t="s">
        <v>245</v>
      </c>
      <c r="BP361" s="5" t="s">
        <v>245</v>
      </c>
      <c r="BQ361" s="5" t="s">
        <v>245</v>
      </c>
      <c r="BR361" s="5" t="s">
        <v>243</v>
      </c>
      <c r="BS361" s="5" t="s">
        <v>232</v>
      </c>
      <c r="BT361" s="5" t="s">
        <v>254</v>
      </c>
      <c r="BU361" s="5" t="s">
        <v>254</v>
      </c>
      <c r="BV361" s="5" t="s">
        <v>254</v>
      </c>
      <c r="BW361" s="5" t="s">
        <v>232</v>
      </c>
      <c r="BX361" s="5" t="s">
        <v>254</v>
      </c>
      <c r="BY361" s="5" t="s">
        <v>254</v>
      </c>
      <c r="CD361" s="5" t="s">
        <v>206</v>
      </c>
      <c r="CH361" s="5" t="s">
        <v>206</v>
      </c>
      <c r="CI361" s="5" t="s">
        <v>206</v>
      </c>
      <c r="CJ361" s="5">
        <v>1</v>
      </c>
      <c r="CK361" s="5" t="s">
        <v>223</v>
      </c>
      <c r="CU361" s="5" t="s">
        <v>206</v>
      </c>
      <c r="DA361" s="5" t="s">
        <v>252</v>
      </c>
      <c r="DB361" s="5">
        <f t="shared" si="1073"/>
        <v>3</v>
      </c>
      <c r="DC361" s="5" t="s">
        <v>250</v>
      </c>
      <c r="DD361" s="5">
        <f t="shared" si="1074"/>
        <v>3</v>
      </c>
      <c r="DE361" s="5" t="s">
        <v>250</v>
      </c>
      <c r="DF361" s="5">
        <f t="shared" si="1075"/>
        <v>3</v>
      </c>
      <c r="DG361" s="5" t="s">
        <v>250</v>
      </c>
      <c r="DH361" s="5">
        <f t="shared" si="1076"/>
        <v>3</v>
      </c>
      <c r="DI361" s="5" t="s">
        <v>250</v>
      </c>
      <c r="DJ361" s="5">
        <f t="shared" si="1077"/>
        <v>3</v>
      </c>
      <c r="DK361" s="5" t="s">
        <v>250</v>
      </c>
      <c r="DL361" s="5">
        <f t="shared" si="1078"/>
        <v>3</v>
      </c>
      <c r="DM361" s="5" t="s">
        <v>230</v>
      </c>
      <c r="DN361" s="5">
        <f t="shared" si="1079"/>
        <v>2</v>
      </c>
      <c r="DO361" s="5" t="s">
        <v>281</v>
      </c>
      <c r="DP361" s="5">
        <f t="shared" si="1080"/>
        <v>1</v>
      </c>
      <c r="DQ361" s="5" t="s">
        <v>281</v>
      </c>
      <c r="DR361" s="5">
        <f t="shared" si="1081"/>
        <v>1</v>
      </c>
      <c r="DS361" s="5" t="s">
        <v>231</v>
      </c>
      <c r="DT361" s="5">
        <f t="shared" si="1082"/>
        <v>2</v>
      </c>
      <c r="DU361" s="5" t="s">
        <v>281</v>
      </c>
      <c r="DV361" s="5">
        <f t="shared" si="1083"/>
        <v>1</v>
      </c>
      <c r="DW361" s="5" t="s">
        <v>252</v>
      </c>
      <c r="DX361" s="5">
        <f t="shared" si="1084"/>
        <v>3</v>
      </c>
      <c r="DY361" s="5">
        <f t="shared" si="1085"/>
        <v>28</v>
      </c>
      <c r="DZ361" s="5" t="str">
        <f t="shared" si="1086"/>
        <v>Nivel de riesgo alto</v>
      </c>
      <c r="EA361" s="5" t="s">
        <v>248</v>
      </c>
      <c r="EB361" s="5">
        <f t="shared" si="1087"/>
        <v>1</v>
      </c>
      <c r="EC361" s="5" t="s">
        <v>254</v>
      </c>
      <c r="ED361" s="5">
        <f t="shared" si="1088"/>
        <v>4</v>
      </c>
      <c r="EE361" s="5" t="s">
        <v>253</v>
      </c>
      <c r="EF361" s="5">
        <f t="shared" si="1089"/>
        <v>0</v>
      </c>
      <c r="EG361" s="5">
        <f t="shared" si="1090"/>
        <v>5</v>
      </c>
      <c r="EH361" s="5" t="str">
        <f t="shared" si="1091"/>
        <v>Nivel de riesgo alto</v>
      </c>
      <c r="EI361" s="5" t="s">
        <v>254</v>
      </c>
      <c r="EJ361" s="5">
        <f t="shared" si="1092"/>
        <v>4</v>
      </c>
      <c r="EK361" s="5" t="s">
        <v>253</v>
      </c>
      <c r="EL361" s="5">
        <f t="shared" si="1093"/>
        <v>0</v>
      </c>
      <c r="EM361" s="5" t="s">
        <v>254</v>
      </c>
      <c r="EN361" s="5">
        <f t="shared" si="1094"/>
        <v>4</v>
      </c>
      <c r="EO361" s="5">
        <f t="shared" si="1095"/>
        <v>8</v>
      </c>
      <c r="EP361" s="5" t="str">
        <f t="shared" si="1096"/>
        <v>Nivel de riesgo alto</v>
      </c>
      <c r="EQ361" s="5" t="s">
        <v>248</v>
      </c>
      <c r="ER361" s="5">
        <f t="shared" si="1097"/>
        <v>3</v>
      </c>
      <c r="ES361" s="5" t="s">
        <v>253</v>
      </c>
      <c r="ET361" s="5">
        <f t="shared" si="1098"/>
        <v>4</v>
      </c>
      <c r="EU361" s="5" t="s">
        <v>248</v>
      </c>
      <c r="EV361" s="5">
        <f t="shared" si="1099"/>
        <v>3</v>
      </c>
      <c r="EW361" s="5" t="s">
        <v>248</v>
      </c>
      <c r="EX361" s="5">
        <f t="shared" si="1100"/>
        <v>3</v>
      </c>
      <c r="EY361" s="5">
        <f t="shared" si="1101"/>
        <v>13</v>
      </c>
      <c r="EZ361" s="5" t="str">
        <f t="shared" si="1102"/>
        <v>Nivel de riesgo alto</v>
      </c>
      <c r="FA361" s="5" t="s">
        <v>248</v>
      </c>
      <c r="FB361" s="5">
        <f t="shared" si="1103"/>
        <v>1</v>
      </c>
      <c r="FC361" s="5" t="s">
        <v>253</v>
      </c>
      <c r="FD361" s="5">
        <f t="shared" si="1104"/>
        <v>0</v>
      </c>
      <c r="FE361" s="5" t="s">
        <v>253</v>
      </c>
      <c r="FF361" s="5">
        <f t="shared" si="1105"/>
        <v>0</v>
      </c>
      <c r="FG361" s="5">
        <f t="shared" si="1106"/>
        <v>1</v>
      </c>
      <c r="FH361" s="5" t="str">
        <f t="shared" si="1107"/>
        <v>Nivel de riesgo bajo</v>
      </c>
      <c r="FI361" s="5" t="s">
        <v>253</v>
      </c>
      <c r="FJ361" s="5">
        <f t="shared" si="1108"/>
        <v>0</v>
      </c>
      <c r="FK361" s="5" t="s">
        <v>253</v>
      </c>
      <c r="FL361" s="5">
        <f t="shared" si="1109"/>
        <v>0</v>
      </c>
      <c r="FM361" s="5" t="s">
        <v>253</v>
      </c>
      <c r="FN361" s="5">
        <f t="shared" si="1110"/>
        <v>0</v>
      </c>
      <c r="FO361" s="5">
        <f t="shared" si="1111"/>
        <v>0</v>
      </c>
      <c r="FP361" s="5" t="str">
        <f t="shared" si="1112"/>
        <v>Nivel de riesgo bajo</v>
      </c>
      <c r="FQ361" s="5" t="s">
        <v>206</v>
      </c>
      <c r="FR361" s="5">
        <f t="shared" si="1113"/>
        <v>0</v>
      </c>
      <c r="FS361" s="5" t="s">
        <v>206</v>
      </c>
      <c r="FT361" s="5">
        <f t="shared" si="1114"/>
        <v>0</v>
      </c>
      <c r="FU361" s="5" t="s">
        <v>206</v>
      </c>
      <c r="FV361" s="5">
        <f t="shared" si="1115"/>
        <v>0</v>
      </c>
      <c r="FW361" s="5" t="s">
        <v>206</v>
      </c>
      <c r="FX361" s="5">
        <f t="shared" si="1116"/>
        <v>0</v>
      </c>
      <c r="FY361" s="5" t="s">
        <v>206</v>
      </c>
      <c r="FZ361" s="5">
        <f t="shared" si="1117"/>
        <v>0</v>
      </c>
      <c r="GA361" s="5" t="s">
        <v>206</v>
      </c>
      <c r="GB361" s="5">
        <f t="shared" si="1118"/>
        <v>0</v>
      </c>
      <c r="GC361" s="5" t="s">
        <v>206</v>
      </c>
      <c r="GD361" s="5">
        <f t="shared" si="1119"/>
        <v>0</v>
      </c>
      <c r="GE361" s="5">
        <f t="shared" si="1120"/>
        <v>0</v>
      </c>
      <c r="GF361" s="5" t="str">
        <f t="shared" si="1121"/>
        <v>Nivel de riesgo bajo</v>
      </c>
      <c r="GG361" s="5" t="s">
        <v>255</v>
      </c>
      <c r="GH361" s="5" t="s">
        <v>273</v>
      </c>
      <c r="GI361" s="5" t="s">
        <v>273</v>
      </c>
      <c r="GJ361" s="5" t="s">
        <v>233</v>
      </c>
      <c r="GK361" s="5" t="s">
        <v>233</v>
      </c>
      <c r="GL361" s="5" t="s">
        <v>233</v>
      </c>
      <c r="GM361" s="5" t="s">
        <v>233</v>
      </c>
      <c r="GN361" s="5" t="s">
        <v>243</v>
      </c>
      <c r="GO361" s="5" t="s">
        <v>243</v>
      </c>
      <c r="GP361" s="5" t="s">
        <v>243</v>
      </c>
      <c r="GQ361" s="5" t="s">
        <v>257</v>
      </c>
      <c r="GR361" s="5" t="s">
        <v>257</v>
      </c>
      <c r="GS361" s="5" t="s">
        <v>257</v>
      </c>
      <c r="GT361" s="5" t="s">
        <v>257</v>
      </c>
      <c r="GU361" s="5" t="s">
        <v>303</v>
      </c>
      <c r="GV361" s="5" t="str">
        <f>TEXT("6281656557199259145","0")</f>
        <v>6281656557199250000</v>
      </c>
    </row>
    <row r="362" spans="1:204" ht="15.75" customHeight="1" x14ac:dyDescent="0.15">
      <c r="A362" s="1">
        <f t="shared" si="1071"/>
        <v>362</v>
      </c>
      <c r="B362" s="4">
        <v>45850.764768518522</v>
      </c>
      <c r="C362" s="5" t="s">
        <v>204</v>
      </c>
      <c r="D362" s="5" t="s">
        <v>206</v>
      </c>
      <c r="F362" s="5" t="s">
        <v>206</v>
      </c>
      <c r="G362" s="5" t="s">
        <v>204</v>
      </c>
      <c r="H362" s="5" t="s">
        <v>206</v>
      </c>
      <c r="K362" s="5" t="s">
        <v>237</v>
      </c>
      <c r="N362" s="5" t="s">
        <v>208</v>
      </c>
      <c r="T362" s="5" t="s">
        <v>209</v>
      </c>
      <c r="X362" s="5" t="s">
        <v>208</v>
      </c>
      <c r="AC362" s="5" t="s">
        <v>208</v>
      </c>
      <c r="AH362" s="5" t="s">
        <v>210</v>
      </c>
      <c r="AI362" s="5">
        <v>2017</v>
      </c>
      <c r="AJ362" s="5" t="s">
        <v>238</v>
      </c>
      <c r="AK362" s="5" t="str">
        <f t="shared" si="1072"/>
        <v>Trabajadora por cuenta propia</v>
      </c>
      <c r="AO362" s="5" t="s">
        <v>323</v>
      </c>
      <c r="AP362" s="5" t="s">
        <v>284</v>
      </c>
      <c r="AR362" s="5" t="s">
        <v>301</v>
      </c>
      <c r="AS362" s="5" t="s">
        <v>301</v>
      </c>
      <c r="AT362" s="5" t="s">
        <v>301</v>
      </c>
      <c r="AU362" s="5" t="s">
        <v>301</v>
      </c>
      <c r="AV362" s="5" t="s">
        <v>285</v>
      </c>
      <c r="AW362" s="5" t="s">
        <v>204</v>
      </c>
      <c r="AX362" s="5" t="s">
        <v>204</v>
      </c>
      <c r="AY362" s="5" t="s">
        <v>214</v>
      </c>
      <c r="AZ362" s="5" t="s">
        <v>204</v>
      </c>
      <c r="BA362" s="5" t="s">
        <v>295</v>
      </c>
      <c r="BB362" s="5" t="s">
        <v>206</v>
      </c>
      <c r="BC362" s="5" t="s">
        <v>206</v>
      </c>
      <c r="BD362" s="5" t="s">
        <v>206</v>
      </c>
      <c r="BE362" s="5" t="s">
        <v>206</v>
      </c>
      <c r="BF362" s="5" t="s">
        <v>204</v>
      </c>
      <c r="BG362" s="5" t="s">
        <v>207</v>
      </c>
      <c r="BH362" s="5" t="s">
        <v>242</v>
      </c>
      <c r="BI362" s="5" t="s">
        <v>207</v>
      </c>
      <c r="BJ362" s="5" t="s">
        <v>215</v>
      </c>
      <c r="BK362" s="5" t="s">
        <v>216</v>
      </c>
      <c r="BL362" s="5" t="s">
        <v>216</v>
      </c>
      <c r="BM362" s="5" t="s">
        <v>216</v>
      </c>
      <c r="BN362" s="5" t="s">
        <v>216</v>
      </c>
      <c r="BO362" s="5" t="s">
        <v>216</v>
      </c>
      <c r="BP362" s="5" t="s">
        <v>216</v>
      </c>
      <c r="BQ362" s="5" t="s">
        <v>216</v>
      </c>
      <c r="BR362" s="5" t="s">
        <v>216</v>
      </c>
      <c r="BS362" s="5" t="s">
        <v>248</v>
      </c>
      <c r="BT362" s="5" t="s">
        <v>248</v>
      </c>
      <c r="BU362" s="5" t="s">
        <v>248</v>
      </c>
      <c r="BV362" s="5" t="s">
        <v>217</v>
      </c>
      <c r="BW362" s="5" t="s">
        <v>217</v>
      </c>
      <c r="BX362" s="5" t="s">
        <v>217</v>
      </c>
      <c r="BY362" s="5" t="s">
        <v>217</v>
      </c>
      <c r="BZ362" s="5" t="s">
        <v>244</v>
      </c>
      <c r="CA362" s="5" t="s">
        <v>244</v>
      </c>
      <c r="CB362" s="5" t="s">
        <v>244</v>
      </c>
      <c r="CC362" s="5" t="s">
        <v>246</v>
      </c>
      <c r="CD362" s="5" t="s">
        <v>206</v>
      </c>
      <c r="CH362" s="5" t="s">
        <v>206</v>
      </c>
      <c r="CI362" s="5" t="s">
        <v>206</v>
      </c>
      <c r="CJ362" s="5">
        <v>0</v>
      </c>
      <c r="CK362" s="5" t="s">
        <v>223</v>
      </c>
      <c r="CU362" s="5" t="s">
        <v>206</v>
      </c>
      <c r="DA362" s="5" t="s">
        <v>231</v>
      </c>
      <c r="DB362" s="5">
        <f t="shared" si="1073"/>
        <v>2</v>
      </c>
      <c r="DC362" s="5" t="s">
        <v>230</v>
      </c>
      <c r="DD362" s="5">
        <f t="shared" si="1074"/>
        <v>2</v>
      </c>
      <c r="DE362" s="5" t="s">
        <v>230</v>
      </c>
      <c r="DF362" s="5">
        <f t="shared" si="1075"/>
        <v>2</v>
      </c>
      <c r="DG362" s="5" t="s">
        <v>230</v>
      </c>
      <c r="DH362" s="5">
        <f t="shared" si="1076"/>
        <v>2</v>
      </c>
      <c r="DI362" s="5" t="s">
        <v>230</v>
      </c>
      <c r="DJ362" s="5">
        <f t="shared" si="1077"/>
        <v>2</v>
      </c>
      <c r="DK362" s="5" t="s">
        <v>251</v>
      </c>
      <c r="DL362" s="5">
        <f t="shared" si="1078"/>
        <v>1</v>
      </c>
      <c r="DM362" s="5" t="s">
        <v>251</v>
      </c>
      <c r="DN362" s="5">
        <f t="shared" si="1079"/>
        <v>1</v>
      </c>
      <c r="DO362" s="5" t="s">
        <v>281</v>
      </c>
      <c r="DP362" s="5">
        <f t="shared" si="1080"/>
        <v>1</v>
      </c>
      <c r="DQ362" s="5" t="s">
        <v>281</v>
      </c>
      <c r="DR362" s="5">
        <f t="shared" si="1081"/>
        <v>1</v>
      </c>
      <c r="DS362" s="5" t="s">
        <v>281</v>
      </c>
      <c r="DT362" s="5">
        <f t="shared" si="1082"/>
        <v>1</v>
      </c>
      <c r="DU362" s="5" t="s">
        <v>281</v>
      </c>
      <c r="DV362" s="5">
        <f t="shared" si="1083"/>
        <v>1</v>
      </c>
      <c r="DW362" s="5" t="s">
        <v>281</v>
      </c>
      <c r="DX362" s="5">
        <f t="shared" si="1084"/>
        <v>1</v>
      </c>
      <c r="DY362" s="5">
        <f t="shared" si="1085"/>
        <v>17</v>
      </c>
      <c r="DZ362" s="5" t="str">
        <f t="shared" si="1086"/>
        <v>Nivel de riesgo bajo</v>
      </c>
      <c r="EA362" s="5" t="s">
        <v>248</v>
      </c>
      <c r="EB362" s="5">
        <f t="shared" si="1087"/>
        <v>1</v>
      </c>
      <c r="EC362" s="5" t="s">
        <v>248</v>
      </c>
      <c r="ED362" s="5">
        <f t="shared" si="1088"/>
        <v>1</v>
      </c>
      <c r="EE362" s="5" t="s">
        <v>253</v>
      </c>
      <c r="EF362" s="5">
        <f t="shared" si="1089"/>
        <v>0</v>
      </c>
      <c r="EG362" s="5">
        <f t="shared" si="1090"/>
        <v>2</v>
      </c>
      <c r="EH362" s="5" t="str">
        <f t="shared" si="1091"/>
        <v>Nivel de riesgo medio</v>
      </c>
      <c r="EI362" s="5" t="s">
        <v>253</v>
      </c>
      <c r="EJ362" s="5">
        <f t="shared" si="1092"/>
        <v>0</v>
      </c>
      <c r="EK362" s="5" t="s">
        <v>248</v>
      </c>
      <c r="EL362" s="5">
        <f t="shared" si="1093"/>
        <v>1</v>
      </c>
      <c r="EM362" s="5" t="s">
        <v>248</v>
      </c>
      <c r="EN362" s="5">
        <f t="shared" si="1094"/>
        <v>1</v>
      </c>
      <c r="EO362" s="5">
        <f t="shared" si="1095"/>
        <v>2</v>
      </c>
      <c r="EP362" s="5" t="str">
        <f t="shared" si="1096"/>
        <v>Nivel de riesgo medio</v>
      </c>
      <c r="EQ362" s="5" t="s">
        <v>253</v>
      </c>
      <c r="ER362" s="5">
        <f t="shared" si="1097"/>
        <v>4</v>
      </c>
      <c r="ES362" s="5" t="s">
        <v>253</v>
      </c>
      <c r="ET362" s="5">
        <f t="shared" si="1098"/>
        <v>4</v>
      </c>
      <c r="EU362" s="5" t="s">
        <v>254</v>
      </c>
      <c r="EV362" s="5">
        <f t="shared" si="1099"/>
        <v>0</v>
      </c>
      <c r="EW362" s="5" t="s">
        <v>254</v>
      </c>
      <c r="EX362" s="5">
        <f t="shared" si="1100"/>
        <v>0</v>
      </c>
      <c r="EY362" s="5">
        <f t="shared" si="1101"/>
        <v>8</v>
      </c>
      <c r="EZ362" s="5" t="str">
        <f t="shared" si="1102"/>
        <v>Nivel de riesgo alto</v>
      </c>
      <c r="FA362" s="5" t="s">
        <v>247</v>
      </c>
      <c r="FB362" s="5">
        <f t="shared" si="1103"/>
        <v>2</v>
      </c>
      <c r="FC362" s="5" t="s">
        <v>253</v>
      </c>
      <c r="FD362" s="5">
        <f t="shared" si="1104"/>
        <v>0</v>
      </c>
      <c r="FE362" s="5" t="s">
        <v>253</v>
      </c>
      <c r="FF362" s="5">
        <f t="shared" si="1105"/>
        <v>0</v>
      </c>
      <c r="FG362" s="5">
        <f t="shared" si="1106"/>
        <v>2</v>
      </c>
      <c r="FH362" s="5" t="str">
        <f t="shared" si="1107"/>
        <v>Nivel de riesgo bajo</v>
      </c>
      <c r="FI362" s="5" t="s">
        <v>254</v>
      </c>
      <c r="FJ362" s="5">
        <f t="shared" si="1108"/>
        <v>4</v>
      </c>
      <c r="FK362" s="5" t="s">
        <v>254</v>
      </c>
      <c r="FL362" s="5">
        <f t="shared" si="1109"/>
        <v>4</v>
      </c>
      <c r="FM362" s="5" t="s">
        <v>254</v>
      </c>
      <c r="FN362" s="5">
        <f t="shared" si="1110"/>
        <v>4</v>
      </c>
      <c r="FO362" s="5">
        <f t="shared" si="1111"/>
        <v>12</v>
      </c>
      <c r="FP362" s="5" t="str">
        <f t="shared" si="1112"/>
        <v>Nivel de riesgo alto</v>
      </c>
      <c r="FQ362" s="5" t="s">
        <v>206</v>
      </c>
      <c r="FR362" s="5">
        <f t="shared" si="1113"/>
        <v>0</v>
      </c>
      <c r="FS362" s="5" t="s">
        <v>206</v>
      </c>
      <c r="FT362" s="5">
        <f t="shared" si="1114"/>
        <v>0</v>
      </c>
      <c r="FU362" s="5" t="s">
        <v>206</v>
      </c>
      <c r="FV362" s="5">
        <f t="shared" si="1115"/>
        <v>0</v>
      </c>
      <c r="FW362" s="5" t="s">
        <v>206</v>
      </c>
      <c r="FX362" s="5">
        <f t="shared" si="1116"/>
        <v>0</v>
      </c>
      <c r="FY362" s="5" t="s">
        <v>206</v>
      </c>
      <c r="FZ362" s="5">
        <f t="shared" si="1117"/>
        <v>0</v>
      </c>
      <c r="GA362" s="5" t="s">
        <v>206</v>
      </c>
      <c r="GB362" s="5">
        <f t="shared" si="1118"/>
        <v>0</v>
      </c>
      <c r="GC362" s="5" t="s">
        <v>206</v>
      </c>
      <c r="GD362" s="5">
        <f t="shared" si="1119"/>
        <v>0</v>
      </c>
      <c r="GE362" s="5">
        <f t="shared" si="1120"/>
        <v>0</v>
      </c>
      <c r="GF362" s="5" t="str">
        <f t="shared" si="1121"/>
        <v>Nivel de riesgo bajo</v>
      </c>
      <c r="GG362" s="5" t="s">
        <v>266</v>
      </c>
      <c r="GH362" s="5" t="s">
        <v>298</v>
      </c>
      <c r="GI362" s="5" t="s">
        <v>298</v>
      </c>
      <c r="GJ362" s="5" t="s">
        <v>298</v>
      </c>
      <c r="GK362" s="5" t="s">
        <v>233</v>
      </c>
      <c r="GL362" s="5" t="s">
        <v>233</v>
      </c>
      <c r="GM362" s="5" t="s">
        <v>233</v>
      </c>
      <c r="GN362" s="5" t="s">
        <v>256</v>
      </c>
      <c r="GO362" s="5" t="s">
        <v>257</v>
      </c>
      <c r="GP362" s="5" t="s">
        <v>243</v>
      </c>
      <c r="GQ362" s="5" t="s">
        <v>243</v>
      </c>
      <c r="GR362" s="5" t="s">
        <v>243</v>
      </c>
      <c r="GS362" s="5" t="s">
        <v>257</v>
      </c>
      <c r="GT362" s="5" t="s">
        <v>257</v>
      </c>
      <c r="GU362" s="5" t="s">
        <v>727</v>
      </c>
      <c r="GV362" s="5" t="str">
        <f>TEXT("6281680765485913005","0")</f>
        <v>6281680765485910000</v>
      </c>
    </row>
    <row r="363" spans="1:204" ht="15.75" customHeight="1" x14ac:dyDescent="0.15">
      <c r="A363" s="1">
        <f t="shared" si="1071"/>
        <v>363</v>
      </c>
      <c r="B363" s="4">
        <v>45850.808506944442</v>
      </c>
      <c r="C363" s="5" t="s">
        <v>204</v>
      </c>
      <c r="D363" s="5" t="s">
        <v>206</v>
      </c>
      <c r="F363" s="5" t="s">
        <v>206</v>
      </c>
      <c r="G363" s="5" t="s">
        <v>206</v>
      </c>
      <c r="H363" s="5" t="s">
        <v>206</v>
      </c>
      <c r="K363" s="5" t="s">
        <v>237</v>
      </c>
      <c r="O363" s="5" t="s">
        <v>209</v>
      </c>
      <c r="S363" s="5" t="s">
        <v>208</v>
      </c>
      <c r="X363" s="5" t="s">
        <v>208</v>
      </c>
      <c r="AE363" s="5" t="s">
        <v>237</v>
      </c>
      <c r="AH363" s="5" t="s">
        <v>275</v>
      </c>
      <c r="AI363" s="5">
        <v>2009</v>
      </c>
      <c r="AJ363" s="5" t="s">
        <v>238</v>
      </c>
      <c r="AK363" s="5" t="str">
        <f t="shared" si="1072"/>
        <v>Trabajadora por cuenta propia</v>
      </c>
      <c r="AN363" s="5" t="s">
        <v>288</v>
      </c>
      <c r="AP363" s="5" t="s">
        <v>240</v>
      </c>
      <c r="AR363" s="5" t="s">
        <v>261</v>
      </c>
      <c r="AS363" s="5" t="s">
        <v>276</v>
      </c>
      <c r="AT363" s="5" t="s">
        <v>261</v>
      </c>
      <c r="AU363" s="5" t="s">
        <v>294</v>
      </c>
      <c r="AV363" s="5" t="s">
        <v>277</v>
      </c>
      <c r="AW363" s="5" t="s">
        <v>206</v>
      </c>
      <c r="BF363" s="5" t="s">
        <v>204</v>
      </c>
      <c r="BG363" s="5" t="s">
        <v>207</v>
      </c>
      <c r="BH363" s="5" t="s">
        <v>215</v>
      </c>
      <c r="BI363" s="5" t="s">
        <v>207</v>
      </c>
      <c r="BJ363" s="5" t="s">
        <v>242</v>
      </c>
      <c r="BK363" s="5" t="s">
        <v>243</v>
      </c>
      <c r="BL363" s="5" t="s">
        <v>244</v>
      </c>
      <c r="BM363" s="5" t="s">
        <v>216</v>
      </c>
      <c r="BN363" s="5" t="s">
        <v>244</v>
      </c>
      <c r="BO363" s="5" t="s">
        <v>246</v>
      </c>
      <c r="BP363" s="5" t="s">
        <v>243</v>
      </c>
      <c r="BQ363" s="5" t="s">
        <v>243</v>
      </c>
      <c r="BR363" s="5" t="s">
        <v>243</v>
      </c>
      <c r="BS363" s="5" t="s">
        <v>247</v>
      </c>
      <c r="BT363" s="5" t="s">
        <v>217</v>
      </c>
      <c r="BU363" s="5" t="s">
        <v>247</v>
      </c>
      <c r="BV363" s="5" t="s">
        <v>217</v>
      </c>
      <c r="BW363" s="5" t="s">
        <v>247</v>
      </c>
      <c r="BX363" s="5" t="s">
        <v>248</v>
      </c>
      <c r="BY363" s="5" t="s">
        <v>232</v>
      </c>
      <c r="CD363" s="5" t="s">
        <v>206</v>
      </c>
      <c r="CH363" s="5" t="s">
        <v>206</v>
      </c>
      <c r="CI363" s="5" t="s">
        <v>249</v>
      </c>
      <c r="CJ363" s="5">
        <v>1</v>
      </c>
      <c r="CK363" s="5" t="s">
        <v>223</v>
      </c>
      <c r="CU363" s="5" t="s">
        <v>206</v>
      </c>
      <c r="DA363" s="5" t="s">
        <v>231</v>
      </c>
      <c r="DB363" s="5">
        <f t="shared" si="1073"/>
        <v>2</v>
      </c>
      <c r="DC363" s="5" t="s">
        <v>230</v>
      </c>
      <c r="DD363" s="5">
        <f t="shared" si="1074"/>
        <v>2</v>
      </c>
      <c r="DE363" s="5" t="s">
        <v>250</v>
      </c>
      <c r="DF363" s="5">
        <f t="shared" si="1075"/>
        <v>3</v>
      </c>
      <c r="DG363" s="5" t="s">
        <v>250</v>
      </c>
      <c r="DH363" s="5">
        <f t="shared" si="1076"/>
        <v>3</v>
      </c>
      <c r="DI363" s="5" t="s">
        <v>250</v>
      </c>
      <c r="DJ363" s="5">
        <f t="shared" si="1077"/>
        <v>3</v>
      </c>
      <c r="DK363" s="5" t="s">
        <v>251</v>
      </c>
      <c r="DL363" s="5">
        <f t="shared" si="1078"/>
        <v>1</v>
      </c>
      <c r="DM363" s="5" t="s">
        <v>251</v>
      </c>
      <c r="DN363" s="5">
        <f t="shared" si="1079"/>
        <v>1</v>
      </c>
      <c r="DO363" s="5" t="s">
        <v>231</v>
      </c>
      <c r="DP363" s="5">
        <f t="shared" si="1080"/>
        <v>2</v>
      </c>
      <c r="DQ363" s="5" t="s">
        <v>231</v>
      </c>
      <c r="DR363" s="5">
        <f t="shared" si="1081"/>
        <v>2</v>
      </c>
      <c r="DS363" s="5" t="s">
        <v>231</v>
      </c>
      <c r="DT363" s="5">
        <f t="shared" si="1082"/>
        <v>2</v>
      </c>
      <c r="DU363" s="5" t="s">
        <v>231</v>
      </c>
      <c r="DV363" s="5">
        <f t="shared" si="1083"/>
        <v>2</v>
      </c>
      <c r="DW363" s="5" t="s">
        <v>252</v>
      </c>
      <c r="DX363" s="5">
        <f t="shared" si="1084"/>
        <v>3</v>
      </c>
      <c r="DY363" s="5">
        <f t="shared" si="1085"/>
        <v>26</v>
      </c>
      <c r="DZ363" s="5" t="str">
        <f t="shared" si="1086"/>
        <v>Nivel de riesgo alto</v>
      </c>
      <c r="EA363" s="5" t="s">
        <v>247</v>
      </c>
      <c r="EB363" s="5">
        <f t="shared" si="1087"/>
        <v>2</v>
      </c>
      <c r="EC363" s="5" t="s">
        <v>232</v>
      </c>
      <c r="ED363" s="5">
        <f t="shared" si="1088"/>
        <v>3</v>
      </c>
      <c r="EE363" s="5" t="s">
        <v>253</v>
      </c>
      <c r="EF363" s="5">
        <f t="shared" si="1089"/>
        <v>0</v>
      </c>
      <c r="EG363" s="5">
        <f t="shared" si="1090"/>
        <v>5</v>
      </c>
      <c r="EH363" s="5" t="str">
        <f t="shared" si="1091"/>
        <v>Nivel de riesgo alto</v>
      </c>
      <c r="EI363" s="5" t="s">
        <v>248</v>
      </c>
      <c r="EJ363" s="5">
        <f t="shared" si="1092"/>
        <v>1</v>
      </c>
      <c r="EK363" s="5" t="s">
        <v>247</v>
      </c>
      <c r="EL363" s="5">
        <f t="shared" si="1093"/>
        <v>2</v>
      </c>
      <c r="EM363" s="5" t="s">
        <v>232</v>
      </c>
      <c r="EN363" s="5">
        <f t="shared" si="1094"/>
        <v>3</v>
      </c>
      <c r="EO363" s="5">
        <f t="shared" si="1095"/>
        <v>6</v>
      </c>
      <c r="EP363" s="5" t="str">
        <f t="shared" si="1096"/>
        <v>Nivel de riesgo alto</v>
      </c>
      <c r="EQ363" s="5" t="s">
        <v>247</v>
      </c>
      <c r="ER363" s="5">
        <f t="shared" si="1097"/>
        <v>2</v>
      </c>
      <c r="ES363" s="5" t="s">
        <v>232</v>
      </c>
      <c r="ET363" s="5">
        <f t="shared" si="1098"/>
        <v>1</v>
      </c>
      <c r="EU363" s="5" t="s">
        <v>247</v>
      </c>
      <c r="EV363" s="5">
        <f t="shared" si="1099"/>
        <v>2</v>
      </c>
      <c r="EW363" s="5" t="s">
        <v>232</v>
      </c>
      <c r="EX363" s="5">
        <f t="shared" si="1100"/>
        <v>1</v>
      </c>
      <c r="EY363" s="5">
        <f t="shared" si="1101"/>
        <v>6</v>
      </c>
      <c r="EZ363" s="5" t="str">
        <f t="shared" si="1102"/>
        <v>Nivel de riesgo alto</v>
      </c>
      <c r="FA363" s="5" t="s">
        <v>248</v>
      </c>
      <c r="FB363" s="5">
        <f t="shared" si="1103"/>
        <v>1</v>
      </c>
      <c r="FC363" s="5" t="s">
        <v>253</v>
      </c>
      <c r="FD363" s="5">
        <f t="shared" si="1104"/>
        <v>0</v>
      </c>
      <c r="FE363" s="5" t="s">
        <v>253</v>
      </c>
      <c r="FF363" s="5">
        <f t="shared" si="1105"/>
        <v>0</v>
      </c>
      <c r="FG363" s="5">
        <f t="shared" si="1106"/>
        <v>1</v>
      </c>
      <c r="FH363" s="5" t="str">
        <f t="shared" si="1107"/>
        <v>Nivel de riesgo bajo</v>
      </c>
      <c r="FI363" s="5" t="s">
        <v>232</v>
      </c>
      <c r="FJ363" s="5">
        <f t="shared" si="1108"/>
        <v>3</v>
      </c>
      <c r="FK363" s="5" t="s">
        <v>247</v>
      </c>
      <c r="FL363" s="5">
        <f t="shared" si="1109"/>
        <v>2</v>
      </c>
      <c r="FM363" s="5" t="s">
        <v>232</v>
      </c>
      <c r="FN363" s="5">
        <f t="shared" si="1110"/>
        <v>3</v>
      </c>
      <c r="FO363" s="5">
        <f t="shared" si="1111"/>
        <v>8</v>
      </c>
      <c r="FP363" s="5" t="str">
        <f t="shared" si="1112"/>
        <v>Nivel de riesgo alto</v>
      </c>
      <c r="FQ363" s="5" t="s">
        <v>265</v>
      </c>
      <c r="FR363" s="5">
        <f t="shared" si="1113"/>
        <v>1</v>
      </c>
      <c r="FS363" s="5" t="s">
        <v>265</v>
      </c>
      <c r="FT363" s="5">
        <f t="shared" si="1114"/>
        <v>1</v>
      </c>
      <c r="FU363" s="5" t="s">
        <v>206</v>
      </c>
      <c r="FV363" s="5">
        <f t="shared" si="1115"/>
        <v>0</v>
      </c>
      <c r="FW363" s="5" t="s">
        <v>206</v>
      </c>
      <c r="FX363" s="5">
        <f t="shared" si="1116"/>
        <v>0</v>
      </c>
      <c r="FY363" s="5" t="s">
        <v>206</v>
      </c>
      <c r="FZ363" s="5">
        <f t="shared" si="1117"/>
        <v>0</v>
      </c>
      <c r="GA363" s="5" t="s">
        <v>265</v>
      </c>
      <c r="GB363" s="5">
        <f t="shared" si="1118"/>
        <v>1</v>
      </c>
      <c r="GC363" s="5" t="s">
        <v>265</v>
      </c>
      <c r="GD363" s="5">
        <f t="shared" si="1119"/>
        <v>1</v>
      </c>
      <c r="GE363" s="5">
        <f t="shared" si="1120"/>
        <v>4</v>
      </c>
      <c r="GF363" s="5" t="str">
        <f t="shared" si="1121"/>
        <v>Nivel de riesgo medio</v>
      </c>
      <c r="GG363" s="5" t="s">
        <v>266</v>
      </c>
      <c r="GH363" s="5" t="s">
        <v>266</v>
      </c>
      <c r="GI363" s="5" t="s">
        <v>266</v>
      </c>
      <c r="GJ363" s="5" t="s">
        <v>233</v>
      </c>
      <c r="GK363" s="5" t="s">
        <v>233</v>
      </c>
      <c r="GL363" s="5" t="s">
        <v>233</v>
      </c>
      <c r="GM363" s="5" t="s">
        <v>233</v>
      </c>
      <c r="GN363" s="5" t="s">
        <v>244</v>
      </c>
      <c r="GO363" s="5" t="s">
        <v>244</v>
      </c>
      <c r="GP363" s="5" t="s">
        <v>244</v>
      </c>
      <c r="GQ363" s="5" t="s">
        <v>244</v>
      </c>
      <c r="GR363" s="5" t="s">
        <v>244</v>
      </c>
      <c r="GS363" s="5" t="s">
        <v>257</v>
      </c>
      <c r="GT363" s="5" t="s">
        <v>257</v>
      </c>
      <c r="GU363" s="5" t="s">
        <v>360</v>
      </c>
      <c r="GV363" s="5" t="str">
        <f>TEXT("6281718558621100344","0")</f>
        <v>6281718558621100000</v>
      </c>
    </row>
    <row r="364" spans="1:204" ht="15.75" customHeight="1" x14ac:dyDescent="0.15">
      <c r="A364" s="1">
        <f t="shared" si="1071"/>
        <v>364</v>
      </c>
      <c r="B364" s="4">
        <v>45850.924293981479</v>
      </c>
      <c r="C364" s="5" t="s">
        <v>204</v>
      </c>
      <c r="D364" s="5" t="s">
        <v>206</v>
      </c>
      <c r="F364" s="5" t="s">
        <v>204</v>
      </c>
      <c r="G364" s="5" t="s">
        <v>204</v>
      </c>
      <c r="H364" s="5" t="s">
        <v>204</v>
      </c>
      <c r="K364" s="5" t="s">
        <v>237</v>
      </c>
      <c r="O364" s="5" t="s">
        <v>209</v>
      </c>
      <c r="S364" s="5" t="s">
        <v>208</v>
      </c>
      <c r="X364" s="5" t="s">
        <v>208</v>
      </c>
      <c r="AC364" s="5" t="s">
        <v>208</v>
      </c>
      <c r="AH364" s="5" t="s">
        <v>268</v>
      </c>
      <c r="AI364" s="5">
        <v>2023</v>
      </c>
      <c r="AJ364" s="5" t="s">
        <v>238</v>
      </c>
      <c r="AK364" s="5" t="str">
        <f t="shared" si="1072"/>
        <v>Trabajadora por cuenta propia</v>
      </c>
      <c r="AM364" s="5" t="s">
        <v>309</v>
      </c>
      <c r="AP364" s="5" t="s">
        <v>240</v>
      </c>
      <c r="AR364" s="5" t="s">
        <v>241</v>
      </c>
      <c r="AS364" s="5" t="s">
        <v>241</v>
      </c>
      <c r="AT364" s="5" t="s">
        <v>241</v>
      </c>
      <c r="AU364" s="5" t="s">
        <v>301</v>
      </c>
      <c r="AV364" s="5" t="s">
        <v>285</v>
      </c>
      <c r="AW364" s="5" t="s">
        <v>204</v>
      </c>
      <c r="AX364" s="5" t="s">
        <v>204</v>
      </c>
      <c r="AY364" s="5" t="s">
        <v>214</v>
      </c>
      <c r="AZ364" s="5" t="s">
        <v>204</v>
      </c>
      <c r="BA364" s="5" t="s">
        <v>295</v>
      </c>
      <c r="BB364" s="5" t="s">
        <v>206</v>
      </c>
      <c r="BC364" s="5" t="s">
        <v>206</v>
      </c>
      <c r="BD364" s="5" t="s">
        <v>306</v>
      </c>
      <c r="BE364" s="5" t="s">
        <v>204</v>
      </c>
      <c r="BF364" s="5" t="s">
        <v>204</v>
      </c>
      <c r="BG364" s="5" t="s">
        <v>242</v>
      </c>
      <c r="BH364" s="5" t="s">
        <v>242</v>
      </c>
      <c r="BI364" s="5" t="s">
        <v>278</v>
      </c>
      <c r="BJ364" s="5" t="s">
        <v>278</v>
      </c>
      <c r="BK364" s="5" t="s">
        <v>244</v>
      </c>
      <c r="BL364" s="5" t="s">
        <v>246</v>
      </c>
      <c r="BM364" s="5" t="s">
        <v>245</v>
      </c>
      <c r="BN364" s="5" t="s">
        <v>244</v>
      </c>
      <c r="BO364" s="5" t="s">
        <v>244</v>
      </c>
      <c r="BP364" s="5" t="s">
        <v>244</v>
      </c>
      <c r="BQ364" s="5" t="s">
        <v>244</v>
      </c>
      <c r="BR364" s="5" t="s">
        <v>243</v>
      </c>
      <c r="BS364" s="5" t="s">
        <v>217</v>
      </c>
      <c r="BT364" s="5" t="s">
        <v>217</v>
      </c>
      <c r="BU364" s="5" t="s">
        <v>217</v>
      </c>
      <c r="BV364" s="5" t="s">
        <v>217</v>
      </c>
      <c r="BW364" s="5" t="s">
        <v>217</v>
      </c>
      <c r="BX364" s="5" t="s">
        <v>217</v>
      </c>
      <c r="BY364" s="5" t="s">
        <v>217</v>
      </c>
      <c r="BZ364" s="5" t="s">
        <v>216</v>
      </c>
      <c r="CA364" s="5" t="s">
        <v>216</v>
      </c>
      <c r="CB364" s="5" t="s">
        <v>216</v>
      </c>
      <c r="CC364" s="5" t="s">
        <v>216</v>
      </c>
      <c r="CD364" s="5" t="s">
        <v>204</v>
      </c>
      <c r="CE364" s="5" t="s">
        <v>286</v>
      </c>
      <c r="CF364" s="5" t="s">
        <v>219</v>
      </c>
      <c r="CG364" s="5" t="s">
        <v>220</v>
      </c>
      <c r="CH364" s="5" t="s">
        <v>206</v>
      </c>
      <c r="CI364" s="5" t="s">
        <v>307</v>
      </c>
      <c r="CJ364" s="5">
        <v>3</v>
      </c>
      <c r="CK364" s="5" t="s">
        <v>223</v>
      </c>
      <c r="CU364" s="5" t="s">
        <v>206</v>
      </c>
      <c r="DA364" s="5" t="s">
        <v>231</v>
      </c>
      <c r="DB364" s="5">
        <f t="shared" si="1073"/>
        <v>2</v>
      </c>
      <c r="DC364" s="5" t="s">
        <v>230</v>
      </c>
      <c r="DD364" s="5">
        <f t="shared" si="1074"/>
        <v>2</v>
      </c>
      <c r="DE364" s="5" t="s">
        <v>230</v>
      </c>
      <c r="DF364" s="5">
        <f t="shared" si="1075"/>
        <v>2</v>
      </c>
      <c r="DG364" s="5" t="s">
        <v>251</v>
      </c>
      <c r="DH364" s="5">
        <f t="shared" si="1076"/>
        <v>1</v>
      </c>
      <c r="DI364" s="5" t="s">
        <v>251</v>
      </c>
      <c r="DJ364" s="5">
        <f t="shared" si="1077"/>
        <v>1</v>
      </c>
      <c r="DK364" s="5" t="s">
        <v>251</v>
      </c>
      <c r="DL364" s="5">
        <f t="shared" si="1078"/>
        <v>1</v>
      </c>
      <c r="DM364" s="5" t="s">
        <v>251</v>
      </c>
      <c r="DN364" s="5">
        <f t="shared" si="1079"/>
        <v>1</v>
      </c>
      <c r="DO364" s="5" t="s">
        <v>281</v>
      </c>
      <c r="DP364" s="5">
        <f t="shared" si="1080"/>
        <v>1</v>
      </c>
      <c r="DQ364" s="5" t="s">
        <v>231</v>
      </c>
      <c r="DR364" s="5">
        <f t="shared" si="1081"/>
        <v>2</v>
      </c>
      <c r="DS364" s="5" t="s">
        <v>231</v>
      </c>
      <c r="DT364" s="5">
        <f t="shared" si="1082"/>
        <v>2</v>
      </c>
      <c r="DU364" s="5" t="s">
        <v>281</v>
      </c>
      <c r="DV364" s="5">
        <f t="shared" si="1083"/>
        <v>1</v>
      </c>
      <c r="DW364" s="5" t="s">
        <v>281</v>
      </c>
      <c r="DX364" s="5">
        <f t="shared" si="1084"/>
        <v>1</v>
      </c>
      <c r="DY364" s="5">
        <f t="shared" si="1085"/>
        <v>17</v>
      </c>
      <c r="DZ364" s="5" t="str">
        <f t="shared" si="1086"/>
        <v>Nivel de riesgo bajo</v>
      </c>
      <c r="EA364" s="5" t="s">
        <v>248</v>
      </c>
      <c r="EB364" s="5">
        <f t="shared" si="1087"/>
        <v>1</v>
      </c>
      <c r="EC364" s="5" t="s">
        <v>253</v>
      </c>
      <c r="ED364" s="5">
        <f t="shared" si="1088"/>
        <v>0</v>
      </c>
      <c r="EE364" s="5" t="s">
        <v>253</v>
      </c>
      <c r="EF364" s="5">
        <f t="shared" si="1089"/>
        <v>0</v>
      </c>
      <c r="EG364" s="5">
        <f t="shared" si="1090"/>
        <v>1</v>
      </c>
      <c r="EH364" s="5" t="str">
        <f t="shared" si="1091"/>
        <v>Nivel de riesgo bajo</v>
      </c>
      <c r="EI364" s="5" t="s">
        <v>253</v>
      </c>
      <c r="EJ364" s="5">
        <f t="shared" si="1092"/>
        <v>0</v>
      </c>
      <c r="EK364" s="5" t="s">
        <v>253</v>
      </c>
      <c r="EL364" s="5">
        <f t="shared" si="1093"/>
        <v>0</v>
      </c>
      <c r="EM364" s="5" t="s">
        <v>253</v>
      </c>
      <c r="EN364" s="5">
        <f t="shared" si="1094"/>
        <v>0</v>
      </c>
      <c r="EO364" s="5">
        <f t="shared" si="1095"/>
        <v>0</v>
      </c>
      <c r="EP364" s="5" t="str">
        <f t="shared" si="1096"/>
        <v>Nivel de riesgo bajo</v>
      </c>
      <c r="EQ364" s="5" t="s">
        <v>232</v>
      </c>
      <c r="ER364" s="5">
        <f t="shared" si="1097"/>
        <v>1</v>
      </c>
      <c r="ES364" s="5" t="s">
        <v>254</v>
      </c>
      <c r="ET364" s="5">
        <f t="shared" si="1098"/>
        <v>0</v>
      </c>
      <c r="EU364" s="5" t="s">
        <v>232</v>
      </c>
      <c r="EV364" s="5">
        <f t="shared" si="1099"/>
        <v>1</v>
      </c>
      <c r="EW364" s="5" t="s">
        <v>254</v>
      </c>
      <c r="EX364" s="5">
        <f t="shared" si="1100"/>
        <v>0</v>
      </c>
      <c r="EY364" s="5">
        <f t="shared" si="1101"/>
        <v>2</v>
      </c>
      <c r="EZ364" s="5" t="str">
        <f t="shared" si="1102"/>
        <v>Nivel de riesgo medio</v>
      </c>
      <c r="FA364" s="5" t="s">
        <v>253</v>
      </c>
      <c r="FB364" s="5">
        <f t="shared" si="1103"/>
        <v>0</v>
      </c>
      <c r="FC364" s="5" t="s">
        <v>253</v>
      </c>
      <c r="FD364" s="5">
        <f t="shared" si="1104"/>
        <v>0</v>
      </c>
      <c r="FE364" s="5" t="s">
        <v>253</v>
      </c>
      <c r="FF364" s="5">
        <f t="shared" si="1105"/>
        <v>0</v>
      </c>
      <c r="FG364" s="5">
        <f t="shared" si="1106"/>
        <v>0</v>
      </c>
      <c r="FH364" s="5" t="str">
        <f t="shared" si="1107"/>
        <v>Nivel de riesgo bajo</v>
      </c>
      <c r="FI364" s="5" t="s">
        <v>253</v>
      </c>
      <c r="FJ364" s="5">
        <f t="shared" si="1108"/>
        <v>0</v>
      </c>
      <c r="FK364" s="5" t="s">
        <v>253</v>
      </c>
      <c r="FL364" s="5">
        <f t="shared" si="1109"/>
        <v>0</v>
      </c>
      <c r="FM364" s="5" t="s">
        <v>247</v>
      </c>
      <c r="FN364" s="5">
        <f t="shared" si="1110"/>
        <v>2</v>
      </c>
      <c r="FO364" s="5">
        <f t="shared" si="1111"/>
        <v>2</v>
      </c>
      <c r="FP364" s="5" t="str">
        <f t="shared" si="1112"/>
        <v>Nivel de riesgo bajo</v>
      </c>
      <c r="FQ364" s="5" t="s">
        <v>206</v>
      </c>
      <c r="FR364" s="5">
        <f t="shared" si="1113"/>
        <v>0</v>
      </c>
      <c r="FS364" s="5" t="s">
        <v>206</v>
      </c>
      <c r="FT364" s="5">
        <f t="shared" si="1114"/>
        <v>0</v>
      </c>
      <c r="FU364" s="5" t="s">
        <v>206</v>
      </c>
      <c r="FV364" s="5">
        <f t="shared" si="1115"/>
        <v>0</v>
      </c>
      <c r="FW364" s="5" t="s">
        <v>206</v>
      </c>
      <c r="FX364" s="5">
        <f t="shared" si="1116"/>
        <v>0</v>
      </c>
      <c r="FY364" s="5" t="s">
        <v>206</v>
      </c>
      <c r="FZ364" s="5">
        <f t="shared" si="1117"/>
        <v>0</v>
      </c>
      <c r="GA364" s="5" t="s">
        <v>206</v>
      </c>
      <c r="GB364" s="5">
        <f t="shared" si="1118"/>
        <v>0</v>
      </c>
      <c r="GC364" s="5" t="s">
        <v>206</v>
      </c>
      <c r="GD364" s="5">
        <f t="shared" si="1119"/>
        <v>0</v>
      </c>
      <c r="GE364" s="5">
        <f t="shared" si="1120"/>
        <v>0</v>
      </c>
      <c r="GF364" s="5" t="str">
        <f t="shared" si="1121"/>
        <v>Nivel de riesgo bajo</v>
      </c>
      <c r="GG364" s="5" t="s">
        <v>255</v>
      </c>
      <c r="GH364" s="5" t="s">
        <v>255</v>
      </c>
      <c r="GI364" s="5" t="s">
        <v>255</v>
      </c>
      <c r="GJ364" s="5" t="s">
        <v>255</v>
      </c>
      <c r="GK364" s="5" t="s">
        <v>233</v>
      </c>
      <c r="GL364" s="5" t="s">
        <v>255</v>
      </c>
      <c r="GM364" s="5" t="s">
        <v>255</v>
      </c>
      <c r="GN364" s="5" t="s">
        <v>256</v>
      </c>
      <c r="GO364" s="5" t="s">
        <v>243</v>
      </c>
      <c r="GP364" s="5" t="s">
        <v>256</v>
      </c>
      <c r="GQ364" s="5" t="s">
        <v>256</v>
      </c>
      <c r="GR364" s="5" t="s">
        <v>256</v>
      </c>
      <c r="GS364" s="5" t="s">
        <v>243</v>
      </c>
      <c r="GT364" s="5" t="s">
        <v>243</v>
      </c>
      <c r="GU364" s="5" t="s">
        <v>728</v>
      </c>
      <c r="GV364" s="5" t="str">
        <f>TEXT("6281818590931013645","0")</f>
        <v>6281818590931010000</v>
      </c>
    </row>
    <row r="365" spans="1:204" ht="15.75" customHeight="1" x14ac:dyDescent="0.15">
      <c r="A365" s="1">
        <f t="shared" si="1071"/>
        <v>365</v>
      </c>
      <c r="B365" s="4">
        <v>45850.976342592592</v>
      </c>
      <c r="C365" s="5" t="s">
        <v>204</v>
      </c>
      <c r="D365" s="5" t="s">
        <v>206</v>
      </c>
      <c r="F365" s="5" t="s">
        <v>206</v>
      </c>
      <c r="G365" s="5" t="s">
        <v>206</v>
      </c>
      <c r="H365" s="5" t="s">
        <v>206</v>
      </c>
      <c r="K365" s="5" t="s">
        <v>237</v>
      </c>
      <c r="O365" s="5" t="s">
        <v>209</v>
      </c>
      <c r="T365" s="5" t="s">
        <v>209</v>
      </c>
      <c r="X365" s="5" t="s">
        <v>208</v>
      </c>
      <c r="AC365" s="5" t="s">
        <v>208</v>
      </c>
      <c r="AH365" s="5" t="s">
        <v>268</v>
      </c>
      <c r="AI365" s="5">
        <v>2025</v>
      </c>
      <c r="AJ365" s="5" t="s">
        <v>330</v>
      </c>
      <c r="AK365" s="5" t="str">
        <f t="shared" si="1072"/>
        <v>Asalariada</v>
      </c>
      <c r="AQ365" s="5" t="s">
        <v>206</v>
      </c>
      <c r="AR365" s="5" t="s">
        <v>241</v>
      </c>
      <c r="AS365" s="5" t="s">
        <v>301</v>
      </c>
      <c r="AT365" s="5" t="s">
        <v>301</v>
      </c>
      <c r="AU365" s="5" t="s">
        <v>261</v>
      </c>
      <c r="AV365" s="5" t="s">
        <v>277</v>
      </c>
      <c r="AW365" s="5" t="s">
        <v>206</v>
      </c>
      <c r="BF365" s="5" t="s">
        <v>204</v>
      </c>
      <c r="BG365" s="5" t="s">
        <v>207</v>
      </c>
      <c r="BH365" s="5" t="s">
        <v>215</v>
      </c>
      <c r="BI365" s="5" t="s">
        <v>207</v>
      </c>
      <c r="BJ365" s="5" t="s">
        <v>215</v>
      </c>
      <c r="BK365" s="5" t="s">
        <v>216</v>
      </c>
      <c r="BL365" s="5" t="s">
        <v>243</v>
      </c>
      <c r="BM365" s="5" t="s">
        <v>244</v>
      </c>
      <c r="BN365" s="5" t="s">
        <v>216</v>
      </c>
      <c r="BO365" s="5" t="s">
        <v>244</v>
      </c>
      <c r="BP365" s="5" t="s">
        <v>246</v>
      </c>
      <c r="BQ365" s="5" t="s">
        <v>244</v>
      </c>
      <c r="BR365" s="5" t="s">
        <v>244</v>
      </c>
      <c r="BS365" s="5" t="s">
        <v>217</v>
      </c>
      <c r="BT365" s="5" t="s">
        <v>217</v>
      </c>
      <c r="BU365" s="5" t="s">
        <v>217</v>
      </c>
      <c r="BV365" s="5" t="s">
        <v>217</v>
      </c>
      <c r="BW365" s="5" t="s">
        <v>217</v>
      </c>
      <c r="BX365" s="5" t="s">
        <v>217</v>
      </c>
      <c r="BY365" s="5" t="s">
        <v>217</v>
      </c>
      <c r="CD365" s="5" t="s">
        <v>206</v>
      </c>
      <c r="CH365" s="5" t="s">
        <v>206</v>
      </c>
      <c r="CI365" s="5" t="s">
        <v>307</v>
      </c>
      <c r="CJ365" s="5">
        <v>8</v>
      </c>
      <c r="CK365" s="5" t="s">
        <v>223</v>
      </c>
      <c r="CU365" s="5" t="s">
        <v>206</v>
      </c>
      <c r="DA365" s="5" t="s">
        <v>252</v>
      </c>
      <c r="DB365" s="5">
        <f t="shared" si="1073"/>
        <v>3</v>
      </c>
      <c r="DC365" s="5" t="s">
        <v>230</v>
      </c>
      <c r="DD365" s="5">
        <f t="shared" si="1074"/>
        <v>2</v>
      </c>
      <c r="DE365" s="5" t="s">
        <v>250</v>
      </c>
      <c r="DF365" s="5">
        <f t="shared" si="1075"/>
        <v>3</v>
      </c>
      <c r="DG365" s="5" t="s">
        <v>250</v>
      </c>
      <c r="DH365" s="5">
        <f t="shared" si="1076"/>
        <v>3</v>
      </c>
      <c r="DI365" s="5" t="s">
        <v>250</v>
      </c>
      <c r="DJ365" s="5">
        <f t="shared" si="1077"/>
        <v>3</v>
      </c>
      <c r="DK365" s="5" t="s">
        <v>250</v>
      </c>
      <c r="DL365" s="5">
        <f t="shared" si="1078"/>
        <v>3</v>
      </c>
      <c r="DM365" s="5" t="s">
        <v>230</v>
      </c>
      <c r="DN365" s="5">
        <f t="shared" si="1079"/>
        <v>2</v>
      </c>
      <c r="DO365" s="5" t="s">
        <v>252</v>
      </c>
      <c r="DP365" s="5">
        <f t="shared" si="1080"/>
        <v>3</v>
      </c>
      <c r="DQ365" s="5" t="s">
        <v>252</v>
      </c>
      <c r="DR365" s="5">
        <f t="shared" si="1081"/>
        <v>3</v>
      </c>
      <c r="DS365" s="5" t="s">
        <v>252</v>
      </c>
      <c r="DT365" s="5">
        <f t="shared" si="1082"/>
        <v>3</v>
      </c>
      <c r="DU365" s="5" t="s">
        <v>252</v>
      </c>
      <c r="DV365" s="5">
        <f t="shared" si="1083"/>
        <v>3</v>
      </c>
      <c r="DW365" s="5" t="s">
        <v>252</v>
      </c>
      <c r="DX365" s="5">
        <f t="shared" si="1084"/>
        <v>3</v>
      </c>
      <c r="DY365" s="5">
        <f t="shared" si="1085"/>
        <v>34</v>
      </c>
      <c r="DZ365" s="5" t="str">
        <f t="shared" si="1086"/>
        <v>Nivel de riesgo alto</v>
      </c>
      <c r="EA365" s="5" t="s">
        <v>253</v>
      </c>
      <c r="EB365" s="5">
        <f t="shared" si="1087"/>
        <v>0</v>
      </c>
      <c r="EC365" s="5" t="s">
        <v>253</v>
      </c>
      <c r="ED365" s="5">
        <f t="shared" si="1088"/>
        <v>0</v>
      </c>
      <c r="EE365" s="5" t="s">
        <v>253</v>
      </c>
      <c r="EF365" s="5">
        <f t="shared" si="1089"/>
        <v>0</v>
      </c>
      <c r="EG365" s="5">
        <f t="shared" si="1090"/>
        <v>0</v>
      </c>
      <c r="EH365" s="5" t="str">
        <f t="shared" si="1091"/>
        <v>Nivel de riesgo bajo</v>
      </c>
      <c r="EI365" s="5" t="s">
        <v>253</v>
      </c>
      <c r="EJ365" s="5">
        <f t="shared" si="1092"/>
        <v>0</v>
      </c>
      <c r="EK365" s="5" t="s">
        <v>253</v>
      </c>
      <c r="EL365" s="5">
        <f t="shared" si="1093"/>
        <v>0</v>
      </c>
      <c r="EM365" s="5" t="s">
        <v>254</v>
      </c>
      <c r="EN365" s="5">
        <f t="shared" si="1094"/>
        <v>4</v>
      </c>
      <c r="EO365" s="5">
        <f t="shared" si="1095"/>
        <v>4</v>
      </c>
      <c r="EP365" s="5" t="str">
        <f t="shared" si="1096"/>
        <v>Nivel de riesgo medio</v>
      </c>
      <c r="EQ365" s="5" t="s">
        <v>253</v>
      </c>
      <c r="ER365" s="5">
        <f t="shared" si="1097"/>
        <v>4</v>
      </c>
      <c r="ES365" s="5" t="s">
        <v>253</v>
      </c>
      <c r="ET365" s="5">
        <f t="shared" si="1098"/>
        <v>4</v>
      </c>
      <c r="EU365" s="5" t="s">
        <v>253</v>
      </c>
      <c r="EV365" s="5">
        <f t="shared" si="1099"/>
        <v>4</v>
      </c>
      <c r="EW365" s="5" t="s">
        <v>253</v>
      </c>
      <c r="EX365" s="5">
        <f t="shared" si="1100"/>
        <v>4</v>
      </c>
      <c r="EY365" s="5">
        <f t="shared" si="1101"/>
        <v>16</v>
      </c>
      <c r="EZ365" s="5" t="str">
        <f t="shared" si="1102"/>
        <v>Nivel de riesgo alto</v>
      </c>
      <c r="FA365" s="5" t="s">
        <v>253</v>
      </c>
      <c r="FB365" s="5">
        <f t="shared" si="1103"/>
        <v>0</v>
      </c>
      <c r="FC365" s="5" t="s">
        <v>253</v>
      </c>
      <c r="FD365" s="5">
        <f t="shared" si="1104"/>
        <v>0</v>
      </c>
      <c r="FE365" s="5" t="s">
        <v>253</v>
      </c>
      <c r="FF365" s="5">
        <f t="shared" si="1105"/>
        <v>0</v>
      </c>
      <c r="FG365" s="5">
        <f t="shared" si="1106"/>
        <v>0</v>
      </c>
      <c r="FH365" s="5" t="str">
        <f t="shared" si="1107"/>
        <v>Nivel de riesgo bajo</v>
      </c>
      <c r="FI365" s="5" t="s">
        <v>253</v>
      </c>
      <c r="FJ365" s="5">
        <f t="shared" si="1108"/>
        <v>0</v>
      </c>
      <c r="FK365" s="5" t="s">
        <v>253</v>
      </c>
      <c r="FL365" s="5">
        <f t="shared" si="1109"/>
        <v>0</v>
      </c>
      <c r="FM365" s="5" t="s">
        <v>253</v>
      </c>
      <c r="FN365" s="5">
        <f t="shared" si="1110"/>
        <v>0</v>
      </c>
      <c r="FO365" s="5">
        <f t="shared" si="1111"/>
        <v>0</v>
      </c>
      <c r="FP365" s="5" t="str">
        <f t="shared" si="1112"/>
        <v>Nivel de riesgo bajo</v>
      </c>
      <c r="FQ365" s="5" t="s">
        <v>206</v>
      </c>
      <c r="FR365" s="5">
        <f t="shared" si="1113"/>
        <v>0</v>
      </c>
      <c r="FS365" s="5" t="s">
        <v>206</v>
      </c>
      <c r="FT365" s="5">
        <f t="shared" si="1114"/>
        <v>0</v>
      </c>
      <c r="FU365" s="5" t="s">
        <v>206</v>
      </c>
      <c r="FV365" s="5">
        <f t="shared" si="1115"/>
        <v>0</v>
      </c>
      <c r="FW365" s="5" t="s">
        <v>206</v>
      </c>
      <c r="FX365" s="5">
        <f t="shared" si="1116"/>
        <v>0</v>
      </c>
      <c r="FY365" s="5" t="s">
        <v>206</v>
      </c>
      <c r="FZ365" s="5">
        <f t="shared" si="1117"/>
        <v>0</v>
      </c>
      <c r="GA365" s="5" t="s">
        <v>206</v>
      </c>
      <c r="GB365" s="5">
        <f t="shared" si="1118"/>
        <v>0</v>
      </c>
      <c r="GC365" s="5" t="s">
        <v>206</v>
      </c>
      <c r="GD365" s="5">
        <f t="shared" si="1119"/>
        <v>0</v>
      </c>
      <c r="GE365" s="5">
        <f t="shared" si="1120"/>
        <v>0</v>
      </c>
      <c r="GF365" s="5" t="str">
        <f t="shared" si="1121"/>
        <v>Nivel de riesgo bajo</v>
      </c>
      <c r="GG365" s="5" t="s">
        <v>255</v>
      </c>
      <c r="GH365" s="5" t="s">
        <v>255</v>
      </c>
      <c r="GI365" s="5" t="s">
        <v>255</v>
      </c>
      <c r="GJ365" s="5" t="s">
        <v>255</v>
      </c>
      <c r="GK365" s="5" t="s">
        <v>233</v>
      </c>
      <c r="GL365" s="5" t="s">
        <v>255</v>
      </c>
      <c r="GM365" s="5" t="s">
        <v>255</v>
      </c>
      <c r="GN365" s="5" t="s">
        <v>256</v>
      </c>
      <c r="GO365" s="5" t="s">
        <v>256</v>
      </c>
      <c r="GP365" s="5" t="s">
        <v>256</v>
      </c>
      <c r="GQ365" s="5" t="s">
        <v>256</v>
      </c>
      <c r="GR365" s="5" t="s">
        <v>256</v>
      </c>
      <c r="GS365" s="5" t="s">
        <v>256</v>
      </c>
      <c r="GT365" s="5" t="s">
        <v>256</v>
      </c>
      <c r="GU365" s="5" t="s">
        <v>303</v>
      </c>
      <c r="GV365" s="5" t="str">
        <f>TEXT("6281863564831773670","0")</f>
        <v>6281863564831770000</v>
      </c>
    </row>
    <row r="366" spans="1:204" ht="15.75" customHeight="1" x14ac:dyDescent="0.15">
      <c r="A366" s="1">
        <f t="shared" si="1071"/>
        <v>366</v>
      </c>
      <c r="B366" s="4">
        <v>45851.026620370372</v>
      </c>
      <c r="C366" s="5" t="s">
        <v>204</v>
      </c>
      <c r="D366" s="5" t="s">
        <v>206</v>
      </c>
      <c r="F366" s="5" t="s">
        <v>206</v>
      </c>
      <c r="G366" s="5" t="s">
        <v>206</v>
      </c>
      <c r="H366" s="5" t="s">
        <v>206</v>
      </c>
      <c r="K366" s="5" t="s">
        <v>237</v>
      </c>
      <c r="P366" s="5" t="s">
        <v>237</v>
      </c>
      <c r="U366" s="5" t="s">
        <v>237</v>
      </c>
      <c r="X366" s="5" t="s">
        <v>208</v>
      </c>
      <c r="AD366" s="5" t="s">
        <v>209</v>
      </c>
      <c r="AH366" s="5" t="s">
        <v>275</v>
      </c>
      <c r="AI366" s="5">
        <v>2008</v>
      </c>
      <c r="AJ366" s="5" t="s">
        <v>238</v>
      </c>
      <c r="AK366" s="5" t="str">
        <f t="shared" si="1072"/>
        <v>Trabajadora por cuenta propia</v>
      </c>
      <c r="AL366" s="5" t="s">
        <v>239</v>
      </c>
      <c r="AP366" s="5" t="s">
        <v>240</v>
      </c>
      <c r="AR366" s="5" t="s">
        <v>301</v>
      </c>
      <c r="AS366" s="5" t="s">
        <v>261</v>
      </c>
      <c r="AT366" s="5" t="s">
        <v>241</v>
      </c>
      <c r="AU366" s="5" t="s">
        <v>301</v>
      </c>
      <c r="AV366" s="5" t="s">
        <v>285</v>
      </c>
      <c r="AW366" s="5" t="s">
        <v>204</v>
      </c>
      <c r="AX366" s="5" t="s">
        <v>204</v>
      </c>
      <c r="AY366" s="5" t="s">
        <v>214</v>
      </c>
      <c r="AZ366" s="5" t="s">
        <v>204</v>
      </c>
      <c r="BA366" s="5" t="s">
        <v>344</v>
      </c>
      <c r="BF366" s="5" t="s">
        <v>204</v>
      </c>
      <c r="BG366" s="5" t="s">
        <v>215</v>
      </c>
      <c r="BH366" s="5" t="s">
        <v>215</v>
      </c>
      <c r="BI366" s="5" t="s">
        <v>271</v>
      </c>
      <c r="BJ366" s="5" t="s">
        <v>242</v>
      </c>
      <c r="BK366" s="5" t="s">
        <v>244</v>
      </c>
      <c r="BL366" s="5" t="s">
        <v>244</v>
      </c>
      <c r="BM366" s="5" t="s">
        <v>245</v>
      </c>
      <c r="BN366" s="5" t="s">
        <v>246</v>
      </c>
      <c r="BO366" s="5" t="s">
        <v>244</v>
      </c>
      <c r="BP366" s="5" t="s">
        <v>244</v>
      </c>
      <c r="BQ366" s="5" t="s">
        <v>244</v>
      </c>
      <c r="BR366" s="5" t="s">
        <v>243</v>
      </c>
      <c r="BS366" s="5" t="s">
        <v>217</v>
      </c>
      <c r="BT366" s="5" t="s">
        <v>248</v>
      </c>
      <c r="BU366" s="5" t="s">
        <v>254</v>
      </c>
      <c r="BV366" s="5" t="s">
        <v>248</v>
      </c>
      <c r="BW366" s="5" t="s">
        <v>232</v>
      </c>
      <c r="BX366" s="5" t="s">
        <v>232</v>
      </c>
      <c r="BY366" s="5" t="s">
        <v>232</v>
      </c>
      <c r="BZ366" s="5" t="s">
        <v>244</v>
      </c>
      <c r="CA366" s="5" t="s">
        <v>246</v>
      </c>
      <c r="CB366" s="5" t="s">
        <v>216</v>
      </c>
      <c r="CC366" s="5" t="s">
        <v>246</v>
      </c>
      <c r="CD366" s="5" t="s">
        <v>206</v>
      </c>
      <c r="CH366" s="5" t="s">
        <v>206</v>
      </c>
      <c r="CI366" s="5" t="s">
        <v>206</v>
      </c>
      <c r="CJ366" s="5">
        <v>0</v>
      </c>
      <c r="CK366" s="5" t="s">
        <v>223</v>
      </c>
      <c r="CU366" s="5" t="s">
        <v>206</v>
      </c>
      <c r="DA366" s="5" t="s">
        <v>231</v>
      </c>
      <c r="DB366" s="5">
        <f t="shared" si="1073"/>
        <v>2</v>
      </c>
      <c r="DC366" s="5" t="s">
        <v>250</v>
      </c>
      <c r="DD366" s="5">
        <f t="shared" si="1074"/>
        <v>3</v>
      </c>
      <c r="DE366" s="5" t="s">
        <v>250</v>
      </c>
      <c r="DF366" s="5">
        <f t="shared" si="1075"/>
        <v>3</v>
      </c>
      <c r="DG366" s="5" t="s">
        <v>251</v>
      </c>
      <c r="DH366" s="5">
        <f t="shared" si="1076"/>
        <v>1</v>
      </c>
      <c r="DI366" s="5" t="s">
        <v>230</v>
      </c>
      <c r="DJ366" s="5">
        <f t="shared" si="1077"/>
        <v>2</v>
      </c>
      <c r="DK366" s="5" t="s">
        <v>251</v>
      </c>
      <c r="DL366" s="5">
        <f t="shared" si="1078"/>
        <v>1</v>
      </c>
      <c r="DM366" s="5" t="s">
        <v>251</v>
      </c>
      <c r="DN366" s="5">
        <f t="shared" si="1079"/>
        <v>1</v>
      </c>
      <c r="DO366" s="5" t="s">
        <v>229</v>
      </c>
      <c r="DP366" s="5">
        <f t="shared" si="1080"/>
        <v>4</v>
      </c>
      <c r="DQ366" s="5" t="s">
        <v>229</v>
      </c>
      <c r="DR366" s="5">
        <f t="shared" si="1081"/>
        <v>4</v>
      </c>
      <c r="DS366" s="5" t="s">
        <v>252</v>
      </c>
      <c r="DT366" s="5">
        <f t="shared" si="1082"/>
        <v>3</v>
      </c>
      <c r="DU366" s="5" t="s">
        <v>229</v>
      </c>
      <c r="DV366" s="5">
        <f t="shared" si="1083"/>
        <v>4</v>
      </c>
      <c r="DW366" s="5" t="s">
        <v>229</v>
      </c>
      <c r="DX366" s="5">
        <f t="shared" si="1084"/>
        <v>4</v>
      </c>
      <c r="DY366" s="5">
        <f t="shared" si="1085"/>
        <v>32</v>
      </c>
      <c r="DZ366" s="5" t="str">
        <f t="shared" si="1086"/>
        <v>Nivel de riesgo alto</v>
      </c>
      <c r="EA366" s="5" t="s">
        <v>247</v>
      </c>
      <c r="EB366" s="5">
        <f t="shared" si="1087"/>
        <v>2</v>
      </c>
      <c r="EC366" s="5" t="s">
        <v>232</v>
      </c>
      <c r="ED366" s="5">
        <f t="shared" si="1088"/>
        <v>3</v>
      </c>
      <c r="EE366" s="5" t="s">
        <v>248</v>
      </c>
      <c r="EF366" s="5">
        <f t="shared" si="1089"/>
        <v>1</v>
      </c>
      <c r="EG366" s="5">
        <f t="shared" si="1090"/>
        <v>6</v>
      </c>
      <c r="EH366" s="5" t="str">
        <f t="shared" si="1091"/>
        <v>Nivel de riesgo alto</v>
      </c>
      <c r="EI366" s="5" t="s">
        <v>248</v>
      </c>
      <c r="EJ366" s="5">
        <f t="shared" si="1092"/>
        <v>1</v>
      </c>
      <c r="EK366" s="5" t="s">
        <v>254</v>
      </c>
      <c r="EL366" s="5">
        <f t="shared" si="1093"/>
        <v>4</v>
      </c>
      <c r="EM366" s="5" t="s">
        <v>248</v>
      </c>
      <c r="EN366" s="5">
        <f t="shared" si="1094"/>
        <v>1</v>
      </c>
      <c r="EO366" s="5">
        <f t="shared" si="1095"/>
        <v>6</v>
      </c>
      <c r="EP366" s="5" t="str">
        <f t="shared" si="1096"/>
        <v>Nivel de riesgo alto</v>
      </c>
      <c r="EQ366" s="5" t="s">
        <v>248</v>
      </c>
      <c r="ER366" s="5">
        <f t="shared" si="1097"/>
        <v>3</v>
      </c>
      <c r="ES366" s="5" t="s">
        <v>232</v>
      </c>
      <c r="ET366" s="5">
        <f t="shared" si="1098"/>
        <v>1</v>
      </c>
      <c r="EU366" s="5" t="s">
        <v>232</v>
      </c>
      <c r="EV366" s="5">
        <f t="shared" si="1099"/>
        <v>1</v>
      </c>
      <c r="EW366" s="5" t="s">
        <v>247</v>
      </c>
      <c r="EX366" s="5">
        <f t="shared" si="1100"/>
        <v>2</v>
      </c>
      <c r="EY366" s="5">
        <f t="shared" si="1101"/>
        <v>7</v>
      </c>
      <c r="EZ366" s="5" t="str">
        <f t="shared" si="1102"/>
        <v>Nivel de riesgo alto</v>
      </c>
      <c r="FA366" s="5" t="s">
        <v>254</v>
      </c>
      <c r="FB366" s="5">
        <f t="shared" si="1103"/>
        <v>4</v>
      </c>
      <c r="FC366" s="5" t="s">
        <v>248</v>
      </c>
      <c r="FD366" s="5">
        <f t="shared" si="1104"/>
        <v>1</v>
      </c>
      <c r="FE366" s="5" t="s">
        <v>247</v>
      </c>
      <c r="FF366" s="5">
        <f t="shared" si="1105"/>
        <v>2</v>
      </c>
      <c r="FG366" s="5">
        <f t="shared" si="1106"/>
        <v>7</v>
      </c>
      <c r="FH366" s="5" t="str">
        <f t="shared" si="1107"/>
        <v>Nivel de riesgo alto</v>
      </c>
      <c r="FI366" s="5" t="s">
        <v>248</v>
      </c>
      <c r="FJ366" s="5">
        <f t="shared" si="1108"/>
        <v>1</v>
      </c>
      <c r="FK366" s="5" t="s">
        <v>248</v>
      </c>
      <c r="FL366" s="5">
        <f t="shared" si="1109"/>
        <v>1</v>
      </c>
      <c r="FM366" s="5" t="s">
        <v>248</v>
      </c>
      <c r="FN366" s="5">
        <f t="shared" si="1110"/>
        <v>1</v>
      </c>
      <c r="FO366" s="5">
        <f t="shared" si="1111"/>
        <v>3</v>
      </c>
      <c r="FP366" s="5" t="str">
        <f t="shared" si="1112"/>
        <v>Nivel de riesgo medio</v>
      </c>
      <c r="FQ366" s="5" t="s">
        <v>265</v>
      </c>
      <c r="FR366" s="5">
        <f t="shared" si="1113"/>
        <v>1</v>
      </c>
      <c r="FS366" s="5" t="s">
        <v>265</v>
      </c>
      <c r="FT366" s="5">
        <f t="shared" si="1114"/>
        <v>1</v>
      </c>
      <c r="FU366" s="5" t="s">
        <v>206</v>
      </c>
      <c r="FV366" s="5">
        <f t="shared" si="1115"/>
        <v>0</v>
      </c>
      <c r="FW366" s="5" t="s">
        <v>206</v>
      </c>
      <c r="FX366" s="5">
        <f t="shared" si="1116"/>
        <v>0</v>
      </c>
      <c r="FY366" s="5" t="s">
        <v>325</v>
      </c>
      <c r="FZ366" s="5">
        <f t="shared" si="1117"/>
        <v>2</v>
      </c>
      <c r="GA366" s="5" t="s">
        <v>206</v>
      </c>
      <c r="GB366" s="5">
        <f t="shared" si="1118"/>
        <v>0</v>
      </c>
      <c r="GC366" s="5" t="s">
        <v>325</v>
      </c>
      <c r="GD366" s="5">
        <f t="shared" si="1119"/>
        <v>2</v>
      </c>
      <c r="GE366" s="5">
        <f t="shared" si="1120"/>
        <v>6</v>
      </c>
      <c r="GF366" s="5" t="str">
        <f t="shared" si="1121"/>
        <v>Nivel de riesgo medio</v>
      </c>
      <c r="GG366" s="5" t="s">
        <v>266</v>
      </c>
      <c r="GH366" s="5" t="s">
        <v>298</v>
      </c>
      <c r="GI366" s="5" t="s">
        <v>298</v>
      </c>
      <c r="GJ366" s="5" t="s">
        <v>233</v>
      </c>
      <c r="GK366" s="5" t="s">
        <v>233</v>
      </c>
      <c r="GL366" s="5" t="s">
        <v>233</v>
      </c>
      <c r="GM366" s="5" t="s">
        <v>233</v>
      </c>
      <c r="GN366" s="5" t="s">
        <v>257</v>
      </c>
      <c r="GO366" s="5" t="s">
        <v>257</v>
      </c>
      <c r="GP366" s="5" t="s">
        <v>244</v>
      </c>
      <c r="GQ366" s="5" t="s">
        <v>257</v>
      </c>
      <c r="GR366" s="5" t="s">
        <v>243</v>
      </c>
      <c r="GS366" s="5" t="s">
        <v>243</v>
      </c>
      <c r="GT366" s="5" t="s">
        <v>243</v>
      </c>
      <c r="GU366" s="5" t="s">
        <v>729</v>
      </c>
      <c r="GV366" s="5" t="str">
        <f>TEXT("6281907002125645359","0")</f>
        <v>6281907002125640000</v>
      </c>
    </row>
    <row r="367" spans="1:204" ht="15.75" customHeight="1" x14ac:dyDescent="0.15">
      <c r="A367" s="1">
        <f t="shared" si="1071"/>
        <v>367</v>
      </c>
      <c r="B367" s="4">
        <v>45851.048842592594</v>
      </c>
      <c r="C367" s="5" t="s">
        <v>204</v>
      </c>
      <c r="D367" s="5" t="s">
        <v>206</v>
      </c>
      <c r="F367" s="5" t="s">
        <v>206</v>
      </c>
      <c r="G367" s="5" t="s">
        <v>206</v>
      </c>
      <c r="H367" s="5" t="s">
        <v>206</v>
      </c>
      <c r="K367" s="5" t="s">
        <v>237</v>
      </c>
      <c r="O367" s="5" t="s">
        <v>209</v>
      </c>
      <c r="S367" s="5" t="s">
        <v>208</v>
      </c>
      <c r="Y367" s="5" t="s">
        <v>209</v>
      </c>
      <c r="AD367" s="5" t="s">
        <v>209</v>
      </c>
      <c r="AH367" s="5" t="s">
        <v>275</v>
      </c>
      <c r="AI367" s="5">
        <v>2020</v>
      </c>
      <c r="AJ367" s="5" t="s">
        <v>238</v>
      </c>
      <c r="AK367" s="5" t="str">
        <f t="shared" si="1072"/>
        <v>Trabajadora por cuenta propia</v>
      </c>
      <c r="AO367" s="5" t="s">
        <v>323</v>
      </c>
      <c r="AP367" s="5" t="s">
        <v>240</v>
      </c>
      <c r="AR367" s="5" t="s">
        <v>241</v>
      </c>
      <c r="AS367" s="5" t="s">
        <v>241</v>
      </c>
      <c r="AT367" s="5" t="s">
        <v>261</v>
      </c>
      <c r="AU367" s="5" t="s">
        <v>241</v>
      </c>
      <c r="AV367" s="5" t="s">
        <v>269</v>
      </c>
      <c r="AW367" s="5" t="s">
        <v>204</v>
      </c>
      <c r="AX367" s="5" t="s">
        <v>206</v>
      </c>
      <c r="BF367" s="5" t="s">
        <v>204</v>
      </c>
      <c r="BG367" s="5" t="s">
        <v>215</v>
      </c>
      <c r="BH367" s="5" t="s">
        <v>264</v>
      </c>
      <c r="BI367" s="5" t="s">
        <v>207</v>
      </c>
      <c r="BJ367" s="5" t="s">
        <v>264</v>
      </c>
      <c r="BK367" s="5" t="s">
        <v>246</v>
      </c>
      <c r="BL367" s="5" t="s">
        <v>244</v>
      </c>
      <c r="BM367" s="5" t="s">
        <v>244</v>
      </c>
      <c r="BN367" s="5" t="s">
        <v>244</v>
      </c>
      <c r="BO367" s="5" t="s">
        <v>246</v>
      </c>
      <c r="BP367" s="5" t="s">
        <v>244</v>
      </c>
      <c r="BQ367" s="5" t="s">
        <v>244</v>
      </c>
      <c r="BR367" s="5" t="s">
        <v>244</v>
      </c>
      <c r="BS367" s="5" t="s">
        <v>247</v>
      </c>
      <c r="BT367" s="5" t="s">
        <v>217</v>
      </c>
      <c r="BU367" s="5" t="s">
        <v>248</v>
      </c>
      <c r="BV367" s="5" t="s">
        <v>217</v>
      </c>
      <c r="BW367" s="5" t="s">
        <v>247</v>
      </c>
      <c r="BX367" s="5" t="s">
        <v>247</v>
      </c>
      <c r="BY367" s="5" t="s">
        <v>247</v>
      </c>
      <c r="BZ367" s="5" t="s">
        <v>244</v>
      </c>
      <c r="CA367" s="5" t="s">
        <v>246</v>
      </c>
      <c r="CB367" s="5" t="s">
        <v>244</v>
      </c>
      <c r="CC367" s="5" t="s">
        <v>243</v>
      </c>
      <c r="CD367" s="5" t="s">
        <v>206</v>
      </c>
      <c r="CH367" s="5" t="s">
        <v>206</v>
      </c>
      <c r="CI367" s="5" t="s">
        <v>206</v>
      </c>
      <c r="CJ367" s="5">
        <v>2</v>
      </c>
      <c r="CQ367" s="5" t="s">
        <v>349</v>
      </c>
      <c r="CU367" s="5" t="s">
        <v>204</v>
      </c>
      <c r="CV367" s="5" t="s">
        <v>350</v>
      </c>
      <c r="CW367" s="5" t="s">
        <v>351</v>
      </c>
      <c r="CX367" s="5" t="s">
        <v>435</v>
      </c>
      <c r="CY367" s="5" t="s">
        <v>353</v>
      </c>
      <c r="CZ367" s="5" t="s">
        <v>206</v>
      </c>
      <c r="DA367" s="5" t="s">
        <v>272</v>
      </c>
      <c r="DB367" s="5">
        <f t="shared" si="1073"/>
        <v>1</v>
      </c>
      <c r="DC367" s="5" t="s">
        <v>230</v>
      </c>
      <c r="DD367" s="5">
        <f t="shared" si="1074"/>
        <v>2</v>
      </c>
      <c r="DE367" s="5" t="s">
        <v>230</v>
      </c>
      <c r="DF367" s="5">
        <f t="shared" si="1075"/>
        <v>2</v>
      </c>
      <c r="DG367" s="5" t="s">
        <v>230</v>
      </c>
      <c r="DH367" s="5">
        <f t="shared" si="1076"/>
        <v>2</v>
      </c>
      <c r="DI367" s="5" t="s">
        <v>230</v>
      </c>
      <c r="DJ367" s="5">
        <f t="shared" si="1077"/>
        <v>2</v>
      </c>
      <c r="DK367" s="5" t="s">
        <v>251</v>
      </c>
      <c r="DL367" s="5">
        <f t="shared" si="1078"/>
        <v>1</v>
      </c>
      <c r="DM367" s="5" t="s">
        <v>251</v>
      </c>
      <c r="DN367" s="5">
        <f t="shared" si="1079"/>
        <v>1</v>
      </c>
      <c r="DO367" s="5" t="s">
        <v>281</v>
      </c>
      <c r="DP367" s="5">
        <f t="shared" si="1080"/>
        <v>1</v>
      </c>
      <c r="DQ367" s="5" t="s">
        <v>281</v>
      </c>
      <c r="DR367" s="5">
        <f t="shared" si="1081"/>
        <v>1</v>
      </c>
      <c r="DS367" s="5" t="s">
        <v>231</v>
      </c>
      <c r="DT367" s="5">
        <f t="shared" si="1082"/>
        <v>2</v>
      </c>
      <c r="DU367" s="5" t="s">
        <v>231</v>
      </c>
      <c r="DV367" s="5">
        <f t="shared" si="1083"/>
        <v>2</v>
      </c>
      <c r="DW367" s="5" t="s">
        <v>231</v>
      </c>
      <c r="DX367" s="5">
        <f t="shared" si="1084"/>
        <v>2</v>
      </c>
      <c r="DY367" s="5">
        <f t="shared" si="1085"/>
        <v>19</v>
      </c>
      <c r="DZ367" s="5" t="str">
        <f t="shared" si="1086"/>
        <v>Nivel de riesgo medio</v>
      </c>
      <c r="EA367" s="5" t="s">
        <v>247</v>
      </c>
      <c r="EB367" s="5">
        <f t="shared" si="1087"/>
        <v>2</v>
      </c>
      <c r="EC367" s="5" t="s">
        <v>247</v>
      </c>
      <c r="ED367" s="5">
        <f t="shared" si="1088"/>
        <v>2</v>
      </c>
      <c r="EE367" s="5" t="s">
        <v>248</v>
      </c>
      <c r="EF367" s="5">
        <f t="shared" si="1089"/>
        <v>1</v>
      </c>
      <c r="EG367" s="5">
        <f t="shared" si="1090"/>
        <v>5</v>
      </c>
      <c r="EH367" s="5" t="str">
        <f t="shared" si="1091"/>
        <v>Nivel de riesgo alto</v>
      </c>
      <c r="EI367" s="5" t="s">
        <v>253</v>
      </c>
      <c r="EJ367" s="5">
        <f t="shared" si="1092"/>
        <v>0</v>
      </c>
      <c r="EK367" s="5" t="s">
        <v>232</v>
      </c>
      <c r="EL367" s="5">
        <f t="shared" si="1093"/>
        <v>3</v>
      </c>
      <c r="EM367" s="5" t="s">
        <v>247</v>
      </c>
      <c r="EN367" s="5">
        <f t="shared" si="1094"/>
        <v>2</v>
      </c>
      <c r="EO367" s="5">
        <f t="shared" si="1095"/>
        <v>5</v>
      </c>
      <c r="EP367" s="5" t="str">
        <f t="shared" si="1096"/>
        <v>Nivel de riesgo medio</v>
      </c>
      <c r="EQ367" s="5" t="s">
        <v>253</v>
      </c>
      <c r="ER367" s="5">
        <f t="shared" si="1097"/>
        <v>4</v>
      </c>
      <c r="ES367" s="5" t="s">
        <v>253</v>
      </c>
      <c r="ET367" s="5">
        <f t="shared" si="1098"/>
        <v>4</v>
      </c>
      <c r="EU367" s="5" t="s">
        <v>248</v>
      </c>
      <c r="EV367" s="5">
        <f t="shared" si="1099"/>
        <v>3</v>
      </c>
      <c r="EW367" s="5" t="s">
        <v>248</v>
      </c>
      <c r="EX367" s="5">
        <f t="shared" si="1100"/>
        <v>3</v>
      </c>
      <c r="EY367" s="5">
        <f t="shared" si="1101"/>
        <v>14</v>
      </c>
      <c r="EZ367" s="5" t="str">
        <f t="shared" si="1102"/>
        <v>Nivel de riesgo alto</v>
      </c>
      <c r="FA367" s="5" t="s">
        <v>248</v>
      </c>
      <c r="FB367" s="5">
        <f t="shared" si="1103"/>
        <v>1</v>
      </c>
      <c r="FC367" s="5" t="s">
        <v>247</v>
      </c>
      <c r="FD367" s="5">
        <f t="shared" si="1104"/>
        <v>2</v>
      </c>
      <c r="FE367" s="5" t="s">
        <v>247</v>
      </c>
      <c r="FF367" s="5">
        <f t="shared" si="1105"/>
        <v>2</v>
      </c>
      <c r="FG367" s="5">
        <f t="shared" si="1106"/>
        <v>5</v>
      </c>
      <c r="FH367" s="5" t="str">
        <f t="shared" si="1107"/>
        <v>Nivel de riesgo medio</v>
      </c>
      <c r="FI367" s="5" t="s">
        <v>247</v>
      </c>
      <c r="FJ367" s="5">
        <f t="shared" si="1108"/>
        <v>2</v>
      </c>
      <c r="FK367" s="5" t="s">
        <v>248</v>
      </c>
      <c r="FL367" s="5">
        <f t="shared" si="1109"/>
        <v>1</v>
      </c>
      <c r="FM367" s="5" t="s">
        <v>248</v>
      </c>
      <c r="FN367" s="5">
        <f t="shared" si="1110"/>
        <v>1</v>
      </c>
      <c r="FO367" s="5">
        <f t="shared" si="1111"/>
        <v>4</v>
      </c>
      <c r="FP367" s="5" t="str">
        <f t="shared" si="1112"/>
        <v>Nivel de riesgo medio</v>
      </c>
      <c r="FQ367" s="5" t="s">
        <v>206</v>
      </c>
      <c r="FR367" s="5">
        <f t="shared" si="1113"/>
        <v>0</v>
      </c>
      <c r="FS367" s="5" t="s">
        <v>206</v>
      </c>
      <c r="FT367" s="5">
        <f t="shared" si="1114"/>
        <v>0</v>
      </c>
      <c r="FU367" s="5" t="s">
        <v>206</v>
      </c>
      <c r="FV367" s="5">
        <f t="shared" si="1115"/>
        <v>0</v>
      </c>
      <c r="FW367" s="5" t="s">
        <v>206</v>
      </c>
      <c r="FX367" s="5">
        <f t="shared" si="1116"/>
        <v>0</v>
      </c>
      <c r="FY367" s="5" t="s">
        <v>206</v>
      </c>
      <c r="FZ367" s="5">
        <f t="shared" si="1117"/>
        <v>0</v>
      </c>
      <c r="GA367" s="5" t="s">
        <v>206</v>
      </c>
      <c r="GB367" s="5">
        <f t="shared" si="1118"/>
        <v>0</v>
      </c>
      <c r="GC367" s="5" t="s">
        <v>206</v>
      </c>
      <c r="GD367" s="5">
        <f t="shared" si="1119"/>
        <v>0</v>
      </c>
      <c r="GE367" s="5">
        <f t="shared" si="1120"/>
        <v>0</v>
      </c>
      <c r="GF367" s="5" t="str">
        <f t="shared" si="1121"/>
        <v>Nivel de riesgo bajo</v>
      </c>
      <c r="GG367" s="5" t="s">
        <v>273</v>
      </c>
      <c r="GH367" s="5" t="s">
        <v>273</v>
      </c>
      <c r="GI367" s="5" t="s">
        <v>273</v>
      </c>
      <c r="GJ367" s="5" t="s">
        <v>298</v>
      </c>
      <c r="GK367" s="5" t="s">
        <v>233</v>
      </c>
      <c r="GL367" s="5" t="s">
        <v>233</v>
      </c>
      <c r="GM367" s="5" t="s">
        <v>273</v>
      </c>
      <c r="GN367" s="5" t="s">
        <v>244</v>
      </c>
      <c r="GO367" s="5" t="s">
        <v>257</v>
      </c>
      <c r="GP367" s="5" t="s">
        <v>243</v>
      </c>
      <c r="GQ367" s="5" t="s">
        <v>243</v>
      </c>
      <c r="GR367" s="5" t="s">
        <v>244</v>
      </c>
      <c r="GS367" s="5" t="s">
        <v>257</v>
      </c>
      <c r="GT367" s="5" t="s">
        <v>257</v>
      </c>
      <c r="GU367" s="5" t="s">
        <v>730</v>
      </c>
      <c r="GV367" s="5" t="str">
        <f>TEXT("6281926204833396469","0")</f>
        <v>6281926204833390000</v>
      </c>
    </row>
    <row r="368" spans="1:204" ht="15.75" customHeight="1" x14ac:dyDescent="0.15">
      <c r="A368" s="1">
        <f t="shared" si="1071"/>
        <v>368</v>
      </c>
      <c r="B368" s="4">
        <v>45851.307581018518</v>
      </c>
      <c r="C368" s="5" t="s">
        <v>204</v>
      </c>
      <c r="D368" s="5" t="s">
        <v>206</v>
      </c>
      <c r="F368" s="5" t="s">
        <v>206</v>
      </c>
      <c r="G368" s="5" t="s">
        <v>206</v>
      </c>
      <c r="H368" s="5" t="s">
        <v>206</v>
      </c>
      <c r="J368" s="5" t="s">
        <v>209</v>
      </c>
      <c r="O368" s="5" t="s">
        <v>209</v>
      </c>
      <c r="S368" s="5" t="s">
        <v>208</v>
      </c>
      <c r="X368" s="5" t="s">
        <v>208</v>
      </c>
      <c r="AC368" s="5" t="s">
        <v>208</v>
      </c>
      <c r="AH368" s="5" t="s">
        <v>268</v>
      </c>
      <c r="AI368" s="5">
        <v>2023</v>
      </c>
      <c r="AJ368" s="5" t="s">
        <v>238</v>
      </c>
      <c r="AK368" s="5" t="str">
        <f t="shared" si="1072"/>
        <v>Trabajadora por cuenta propia</v>
      </c>
      <c r="AM368" s="5" t="s">
        <v>309</v>
      </c>
      <c r="AP368" s="5" t="s">
        <v>284</v>
      </c>
      <c r="AR368" s="5" t="s">
        <v>241</v>
      </c>
      <c r="AS368" s="5" t="s">
        <v>301</v>
      </c>
      <c r="AT368" s="5" t="s">
        <v>301</v>
      </c>
      <c r="AU368" s="5" t="s">
        <v>301</v>
      </c>
      <c r="AV368" s="5" t="s">
        <v>302</v>
      </c>
      <c r="AW368" s="5" t="s">
        <v>206</v>
      </c>
      <c r="BF368" s="5" t="s">
        <v>204</v>
      </c>
      <c r="BG368" s="5" t="s">
        <v>242</v>
      </c>
      <c r="BH368" s="5" t="s">
        <v>242</v>
      </c>
      <c r="BI368" s="5" t="s">
        <v>278</v>
      </c>
      <c r="BJ368" s="5" t="s">
        <v>271</v>
      </c>
      <c r="BK368" s="5" t="s">
        <v>243</v>
      </c>
      <c r="BL368" s="5" t="s">
        <v>244</v>
      </c>
      <c r="BM368" s="5" t="s">
        <v>243</v>
      </c>
      <c r="BN368" s="5" t="s">
        <v>244</v>
      </c>
      <c r="BO368" s="5" t="s">
        <v>244</v>
      </c>
      <c r="BP368" s="5" t="s">
        <v>244</v>
      </c>
      <c r="BQ368" s="5" t="s">
        <v>244</v>
      </c>
      <c r="BR368" s="5" t="s">
        <v>245</v>
      </c>
      <c r="BS368" s="5" t="s">
        <v>254</v>
      </c>
      <c r="BT368" s="5" t="s">
        <v>217</v>
      </c>
      <c r="BU368" s="5" t="s">
        <v>217</v>
      </c>
      <c r="BV368" s="5" t="s">
        <v>217</v>
      </c>
      <c r="BW368" s="5" t="s">
        <v>217</v>
      </c>
      <c r="BX368" s="5" t="s">
        <v>217</v>
      </c>
      <c r="BY368" s="5" t="s">
        <v>217</v>
      </c>
      <c r="CD368" s="5" t="s">
        <v>204</v>
      </c>
      <c r="CE368" s="5" t="s">
        <v>286</v>
      </c>
      <c r="CF368" s="5" t="s">
        <v>219</v>
      </c>
      <c r="CG368" s="5" t="s">
        <v>220</v>
      </c>
      <c r="CH368" s="5" t="s">
        <v>206</v>
      </c>
      <c r="CI368" s="5" t="s">
        <v>206</v>
      </c>
      <c r="CJ368" s="5">
        <v>0</v>
      </c>
      <c r="CT368" s="5" t="s">
        <v>731</v>
      </c>
      <c r="CU368" s="5" t="s">
        <v>204</v>
      </c>
      <c r="CV368" s="5" t="s">
        <v>350</v>
      </c>
      <c r="CW368" s="5" t="s">
        <v>619</v>
      </c>
      <c r="CX368" s="5" t="s">
        <v>683</v>
      </c>
      <c r="CY368" s="5" t="s">
        <v>353</v>
      </c>
      <c r="CZ368" s="5" t="s">
        <v>206</v>
      </c>
      <c r="DA368" s="5" t="s">
        <v>272</v>
      </c>
      <c r="DB368" s="5">
        <f t="shared" si="1073"/>
        <v>1</v>
      </c>
      <c r="DC368" s="5" t="s">
        <v>230</v>
      </c>
      <c r="DD368" s="5">
        <f t="shared" si="1074"/>
        <v>2</v>
      </c>
      <c r="DE368" s="5" t="s">
        <v>251</v>
      </c>
      <c r="DF368" s="5">
        <f t="shared" si="1075"/>
        <v>1</v>
      </c>
      <c r="DG368" s="5" t="s">
        <v>251</v>
      </c>
      <c r="DH368" s="5">
        <f t="shared" si="1076"/>
        <v>1</v>
      </c>
      <c r="DI368" s="5" t="s">
        <v>251</v>
      </c>
      <c r="DJ368" s="5">
        <f t="shared" si="1077"/>
        <v>1</v>
      </c>
      <c r="DK368" s="5" t="s">
        <v>251</v>
      </c>
      <c r="DL368" s="5">
        <f t="shared" si="1078"/>
        <v>1</v>
      </c>
      <c r="DM368" s="5" t="s">
        <v>251</v>
      </c>
      <c r="DN368" s="5">
        <f t="shared" si="1079"/>
        <v>1</v>
      </c>
      <c r="DO368" s="5" t="s">
        <v>281</v>
      </c>
      <c r="DP368" s="5">
        <f t="shared" si="1080"/>
        <v>1</v>
      </c>
      <c r="DQ368" s="5" t="s">
        <v>229</v>
      </c>
      <c r="DR368" s="5">
        <f t="shared" si="1081"/>
        <v>4</v>
      </c>
      <c r="DS368" s="5" t="s">
        <v>229</v>
      </c>
      <c r="DT368" s="5">
        <f t="shared" si="1082"/>
        <v>4</v>
      </c>
      <c r="DU368" s="5" t="s">
        <v>229</v>
      </c>
      <c r="DV368" s="5">
        <f t="shared" si="1083"/>
        <v>4</v>
      </c>
      <c r="DW368" s="5" t="s">
        <v>229</v>
      </c>
      <c r="DX368" s="5">
        <f t="shared" si="1084"/>
        <v>4</v>
      </c>
      <c r="DY368" s="5">
        <f t="shared" si="1085"/>
        <v>25</v>
      </c>
      <c r="DZ368" s="5" t="str">
        <f t="shared" si="1086"/>
        <v>Nivel de riesgo alto</v>
      </c>
      <c r="EA368" s="5" t="s">
        <v>232</v>
      </c>
      <c r="EB368" s="5">
        <f t="shared" si="1087"/>
        <v>3</v>
      </c>
      <c r="EC368" s="5" t="s">
        <v>247</v>
      </c>
      <c r="ED368" s="5">
        <f t="shared" si="1088"/>
        <v>2</v>
      </c>
      <c r="EE368" s="5" t="s">
        <v>248</v>
      </c>
      <c r="EF368" s="5">
        <f t="shared" si="1089"/>
        <v>1</v>
      </c>
      <c r="EG368" s="5">
        <f t="shared" si="1090"/>
        <v>6</v>
      </c>
      <c r="EH368" s="5" t="str">
        <f t="shared" si="1091"/>
        <v>Nivel de riesgo alto</v>
      </c>
      <c r="EI368" s="5" t="s">
        <v>253</v>
      </c>
      <c r="EJ368" s="5">
        <f t="shared" si="1092"/>
        <v>0</v>
      </c>
      <c r="EK368" s="5" t="s">
        <v>253</v>
      </c>
      <c r="EL368" s="5">
        <f t="shared" si="1093"/>
        <v>0</v>
      </c>
      <c r="EM368" s="5" t="s">
        <v>253</v>
      </c>
      <c r="EN368" s="5">
        <f t="shared" si="1094"/>
        <v>0</v>
      </c>
      <c r="EO368" s="5">
        <f t="shared" si="1095"/>
        <v>0</v>
      </c>
      <c r="EP368" s="5" t="str">
        <f t="shared" si="1096"/>
        <v>Nivel de riesgo bajo</v>
      </c>
      <c r="EQ368" s="5" t="s">
        <v>253</v>
      </c>
      <c r="ER368" s="5">
        <f t="shared" si="1097"/>
        <v>4</v>
      </c>
      <c r="ES368" s="5" t="s">
        <v>253</v>
      </c>
      <c r="ET368" s="5">
        <f t="shared" si="1098"/>
        <v>4</v>
      </c>
      <c r="EU368" s="5" t="s">
        <v>253</v>
      </c>
      <c r="EV368" s="5">
        <f t="shared" si="1099"/>
        <v>4</v>
      </c>
      <c r="EW368" s="5" t="s">
        <v>254</v>
      </c>
      <c r="EX368" s="5">
        <f t="shared" si="1100"/>
        <v>0</v>
      </c>
      <c r="EY368" s="5">
        <f t="shared" si="1101"/>
        <v>12</v>
      </c>
      <c r="EZ368" s="5" t="str">
        <f t="shared" si="1102"/>
        <v>Nivel de riesgo alto</v>
      </c>
      <c r="FA368" s="5" t="s">
        <v>253</v>
      </c>
      <c r="FB368" s="5">
        <f t="shared" si="1103"/>
        <v>0</v>
      </c>
      <c r="FC368" s="5" t="s">
        <v>253</v>
      </c>
      <c r="FD368" s="5">
        <f t="shared" si="1104"/>
        <v>0</v>
      </c>
      <c r="FE368" s="5" t="s">
        <v>253</v>
      </c>
      <c r="FF368" s="5">
        <f t="shared" si="1105"/>
        <v>0</v>
      </c>
      <c r="FG368" s="5">
        <f t="shared" si="1106"/>
        <v>0</v>
      </c>
      <c r="FH368" s="5" t="str">
        <f t="shared" si="1107"/>
        <v>Nivel de riesgo bajo</v>
      </c>
      <c r="FI368" s="5" t="s">
        <v>253</v>
      </c>
      <c r="FJ368" s="5">
        <f t="shared" si="1108"/>
        <v>0</v>
      </c>
      <c r="FK368" s="5" t="s">
        <v>253</v>
      </c>
      <c r="FL368" s="5">
        <f t="shared" si="1109"/>
        <v>0</v>
      </c>
      <c r="FM368" s="5" t="s">
        <v>253</v>
      </c>
      <c r="FN368" s="5">
        <f t="shared" si="1110"/>
        <v>0</v>
      </c>
      <c r="FO368" s="5">
        <f t="shared" si="1111"/>
        <v>0</v>
      </c>
      <c r="FP368" s="5" t="str">
        <f t="shared" si="1112"/>
        <v>Nivel de riesgo bajo</v>
      </c>
      <c r="FQ368" s="5" t="s">
        <v>206</v>
      </c>
      <c r="FR368" s="5">
        <f t="shared" si="1113"/>
        <v>0</v>
      </c>
      <c r="FS368" s="5" t="s">
        <v>206</v>
      </c>
      <c r="FT368" s="5">
        <f t="shared" si="1114"/>
        <v>0</v>
      </c>
      <c r="FU368" s="5" t="s">
        <v>206</v>
      </c>
      <c r="FV368" s="5">
        <f t="shared" si="1115"/>
        <v>0</v>
      </c>
      <c r="FW368" s="5" t="s">
        <v>206</v>
      </c>
      <c r="FX368" s="5">
        <f t="shared" si="1116"/>
        <v>0</v>
      </c>
      <c r="FY368" s="5" t="s">
        <v>206</v>
      </c>
      <c r="FZ368" s="5">
        <f t="shared" si="1117"/>
        <v>0</v>
      </c>
      <c r="GA368" s="5" t="s">
        <v>206</v>
      </c>
      <c r="GB368" s="5">
        <f t="shared" si="1118"/>
        <v>0</v>
      </c>
      <c r="GC368" s="5" t="s">
        <v>206</v>
      </c>
      <c r="GD368" s="5">
        <f t="shared" si="1119"/>
        <v>0</v>
      </c>
      <c r="GE368" s="5">
        <f t="shared" si="1120"/>
        <v>0</v>
      </c>
      <c r="GF368" s="5" t="str">
        <f t="shared" si="1121"/>
        <v>Nivel de riesgo bajo</v>
      </c>
      <c r="GG368" s="5" t="s">
        <v>273</v>
      </c>
      <c r="GH368" s="5" t="s">
        <v>273</v>
      </c>
      <c r="GI368" s="5" t="s">
        <v>233</v>
      </c>
      <c r="GJ368" s="5" t="s">
        <v>233</v>
      </c>
      <c r="GK368" s="5" t="s">
        <v>233</v>
      </c>
      <c r="GL368" s="5" t="s">
        <v>233</v>
      </c>
      <c r="GM368" s="5" t="s">
        <v>233</v>
      </c>
      <c r="GN368" s="5" t="s">
        <v>243</v>
      </c>
      <c r="GO368" s="5" t="s">
        <v>234</v>
      </c>
      <c r="GP368" s="5" t="s">
        <v>234</v>
      </c>
      <c r="GQ368" s="5" t="s">
        <v>243</v>
      </c>
      <c r="GR368" s="5" t="s">
        <v>243</v>
      </c>
      <c r="GS368" s="5" t="s">
        <v>257</v>
      </c>
      <c r="GT368" s="5" t="s">
        <v>243</v>
      </c>
      <c r="GU368" s="5" t="s">
        <v>732</v>
      </c>
      <c r="GV368" s="5" t="str">
        <f>TEXT("6282149751884723374","0")</f>
        <v>6282149751884720000</v>
      </c>
    </row>
    <row r="369" spans="1:204" ht="15.75" hidden="1" customHeight="1" x14ac:dyDescent="0.15">
      <c r="B369" s="4">
        <v>45851.471296296295</v>
      </c>
      <c r="C369" s="5" t="s">
        <v>204</v>
      </c>
      <c r="D369" s="5" t="s">
        <v>206</v>
      </c>
      <c r="F369" s="5" t="s">
        <v>204</v>
      </c>
      <c r="G369" s="5" t="s">
        <v>206</v>
      </c>
      <c r="H369" s="5" t="s">
        <v>204</v>
      </c>
      <c r="L369" s="5" t="s">
        <v>236</v>
      </c>
      <c r="Q369" s="5" t="s">
        <v>236</v>
      </c>
      <c r="S369" s="5" t="s">
        <v>208</v>
      </c>
      <c r="Z369" s="5" t="s">
        <v>237</v>
      </c>
      <c r="AC369" s="5" t="s">
        <v>208</v>
      </c>
      <c r="AH369" s="5" t="s">
        <v>210</v>
      </c>
      <c r="AI369" s="5">
        <v>2018</v>
      </c>
      <c r="AJ369" s="5" t="s">
        <v>293</v>
      </c>
      <c r="AK369" s="5"/>
      <c r="AR369" s="5" t="s">
        <v>241</v>
      </c>
      <c r="AS369" s="5" t="s">
        <v>294</v>
      </c>
      <c r="AT369" s="5" t="s">
        <v>294</v>
      </c>
      <c r="AU369" s="5" t="s">
        <v>261</v>
      </c>
      <c r="AV369" s="5" t="s">
        <v>277</v>
      </c>
      <c r="AW369" s="5" t="s">
        <v>204</v>
      </c>
      <c r="AX369" s="5" t="s">
        <v>206</v>
      </c>
      <c r="BF369" s="5" t="s">
        <v>204</v>
      </c>
      <c r="BG369" s="5" t="s">
        <v>242</v>
      </c>
      <c r="BH369" s="5" t="s">
        <v>215</v>
      </c>
      <c r="BI369" s="5" t="s">
        <v>271</v>
      </c>
      <c r="BJ369" s="5" t="s">
        <v>215</v>
      </c>
      <c r="BK369" s="5" t="s">
        <v>243</v>
      </c>
      <c r="BL369" s="5" t="s">
        <v>243</v>
      </c>
      <c r="BM369" s="5" t="s">
        <v>246</v>
      </c>
      <c r="BN369" s="5" t="s">
        <v>246</v>
      </c>
      <c r="BO369" s="5" t="s">
        <v>246</v>
      </c>
      <c r="BP369" s="5" t="s">
        <v>245</v>
      </c>
      <c r="BQ369" s="5" t="s">
        <v>245</v>
      </c>
      <c r="BR369" s="5" t="s">
        <v>243</v>
      </c>
      <c r="BS369" s="5" t="s">
        <v>254</v>
      </c>
      <c r="BT369" s="5" t="s">
        <v>254</v>
      </c>
      <c r="BU369" s="5" t="s">
        <v>254</v>
      </c>
      <c r="BV369" s="5" t="s">
        <v>232</v>
      </c>
      <c r="BW369" s="5" t="s">
        <v>254</v>
      </c>
      <c r="BX369" s="5" t="s">
        <v>254</v>
      </c>
      <c r="BY369" s="5" t="s">
        <v>232</v>
      </c>
      <c r="BZ369" s="5" t="s">
        <v>243</v>
      </c>
      <c r="CA369" s="5" t="s">
        <v>245</v>
      </c>
      <c r="CB369" s="5" t="s">
        <v>245</v>
      </c>
      <c r="CC369" s="5" t="s">
        <v>245</v>
      </c>
      <c r="CD369" s="5" t="s">
        <v>204</v>
      </c>
      <c r="CE369" s="5" t="s">
        <v>218</v>
      </c>
      <c r="CF369" s="5" t="s">
        <v>219</v>
      </c>
      <c r="CG369" s="5" t="s">
        <v>206</v>
      </c>
      <c r="CH369" s="5" t="s">
        <v>206</v>
      </c>
      <c r="CI369" s="5" t="s">
        <v>318</v>
      </c>
      <c r="CJ369" s="5">
        <v>2</v>
      </c>
      <c r="CM369" s="5" t="s">
        <v>358</v>
      </c>
      <c r="CU369" s="5" t="s">
        <v>204</v>
      </c>
      <c r="CV369" s="5" t="s">
        <v>350</v>
      </c>
      <c r="CW369" s="5" t="s">
        <v>351</v>
      </c>
      <c r="CX369" s="5" t="s">
        <v>352</v>
      </c>
      <c r="CY369" s="5" t="s">
        <v>359</v>
      </c>
      <c r="CZ369" s="5" t="s">
        <v>228</v>
      </c>
      <c r="DA369" s="5" t="s">
        <v>229</v>
      </c>
      <c r="DB369" s="5"/>
      <c r="DC369" s="5" t="s">
        <v>280</v>
      </c>
      <c r="DD369" s="5"/>
      <c r="DE369" s="5" t="s">
        <v>280</v>
      </c>
      <c r="DF369" s="5"/>
      <c r="DG369" s="5" t="s">
        <v>250</v>
      </c>
      <c r="DH369" s="5"/>
      <c r="DI369" s="5" t="s">
        <v>280</v>
      </c>
      <c r="DJ369" s="5"/>
      <c r="DK369" s="5" t="s">
        <v>280</v>
      </c>
      <c r="DL369" s="5"/>
      <c r="DM369" s="5" t="s">
        <v>251</v>
      </c>
      <c r="DN369" s="5"/>
      <c r="DO369" s="5" t="s">
        <v>252</v>
      </c>
      <c r="DP369" s="5"/>
      <c r="DQ369" s="5" t="s">
        <v>252</v>
      </c>
      <c r="DR369" s="5"/>
      <c r="DS369" s="5" t="s">
        <v>252</v>
      </c>
      <c r="DT369" s="5"/>
      <c r="DU369" s="5" t="s">
        <v>231</v>
      </c>
      <c r="DV369" s="5"/>
      <c r="DW369" s="5" t="s">
        <v>252</v>
      </c>
      <c r="DX369" s="5"/>
      <c r="DY369" s="5"/>
      <c r="DZ369" s="5"/>
      <c r="EA369" s="5" t="s">
        <v>254</v>
      </c>
      <c r="EB369" s="5"/>
      <c r="EC369" s="5" t="s">
        <v>254</v>
      </c>
      <c r="ED369" s="5"/>
      <c r="EE369" s="5" t="s">
        <v>247</v>
      </c>
      <c r="EF369" s="5"/>
      <c r="EG369" s="5"/>
      <c r="EH369" s="5"/>
      <c r="EI369" s="5" t="s">
        <v>254</v>
      </c>
      <c r="EJ369" s="5"/>
      <c r="EK369" s="5" t="s">
        <v>254</v>
      </c>
      <c r="EL369" s="5"/>
      <c r="EM369" s="5" t="s">
        <v>254</v>
      </c>
      <c r="EN369" s="5"/>
      <c r="EO369" s="5"/>
      <c r="EP369" s="5"/>
      <c r="EQ369" s="5" t="s">
        <v>247</v>
      </c>
      <c r="ER369" s="5"/>
      <c r="ES369" s="5" t="s">
        <v>247</v>
      </c>
      <c r="ET369" s="5"/>
      <c r="EU369" s="5" t="s">
        <v>247</v>
      </c>
      <c r="EV369" s="5"/>
      <c r="EW369" s="5" t="s">
        <v>254</v>
      </c>
      <c r="EX369" s="5"/>
      <c r="EY369" s="5"/>
      <c r="EZ369" s="5"/>
      <c r="FA369" s="5" t="s">
        <v>254</v>
      </c>
      <c r="FB369" s="5"/>
      <c r="FC369" s="5" t="s">
        <v>248</v>
      </c>
      <c r="FD369" s="5"/>
      <c r="FE369" s="5" t="s">
        <v>248</v>
      </c>
      <c r="FF369" s="5"/>
      <c r="FG369" s="5"/>
      <c r="FH369" s="5"/>
      <c r="FI369" s="5" t="s">
        <v>247</v>
      </c>
      <c r="FJ369" s="5"/>
      <c r="FK369" s="5" t="s">
        <v>247</v>
      </c>
      <c r="FL369" s="5"/>
      <c r="FM369" s="5" t="s">
        <v>232</v>
      </c>
      <c r="FN369" s="5"/>
      <c r="FO369" s="5"/>
      <c r="FP369" s="5"/>
      <c r="FQ369" s="5" t="s">
        <v>265</v>
      </c>
      <c r="FR369" s="5"/>
      <c r="FS369" s="5" t="s">
        <v>265</v>
      </c>
      <c r="FT369" s="5"/>
      <c r="FU369" s="5" t="s">
        <v>206</v>
      </c>
      <c r="FV369" s="5"/>
      <c r="FW369" s="5" t="s">
        <v>206</v>
      </c>
      <c r="FX369" s="5"/>
      <c r="FY369" s="5" t="s">
        <v>206</v>
      </c>
      <c r="FZ369" s="5"/>
      <c r="GA369" s="5" t="s">
        <v>265</v>
      </c>
      <c r="GB369" s="5"/>
      <c r="GC369" s="5" t="s">
        <v>265</v>
      </c>
      <c r="GD369" s="5"/>
      <c r="GE369" s="5"/>
      <c r="GF369" s="5"/>
      <c r="GG369" s="5" t="s">
        <v>255</v>
      </c>
      <c r="GH369" s="5" t="s">
        <v>255</v>
      </c>
      <c r="GI369" s="5" t="s">
        <v>255</v>
      </c>
      <c r="GJ369" s="5" t="s">
        <v>255</v>
      </c>
      <c r="GK369" s="5" t="s">
        <v>233</v>
      </c>
      <c r="GL369" s="5" t="s">
        <v>273</v>
      </c>
      <c r="GM369" s="5" t="s">
        <v>266</v>
      </c>
      <c r="GN369" s="5" t="s">
        <v>256</v>
      </c>
      <c r="GO369" s="5" t="s">
        <v>256</v>
      </c>
      <c r="GP369" s="5" t="s">
        <v>257</v>
      </c>
      <c r="GQ369" s="5" t="s">
        <v>243</v>
      </c>
      <c r="GR369" s="5" t="s">
        <v>257</v>
      </c>
      <c r="GS369" s="5" t="s">
        <v>256</v>
      </c>
      <c r="GT369" s="5" t="s">
        <v>256</v>
      </c>
      <c r="GU369" s="5" t="s">
        <v>733</v>
      </c>
      <c r="GV369" s="5" t="str">
        <f>TEXT("6282291207785020552","0")</f>
        <v>6282291207785020000</v>
      </c>
    </row>
    <row r="370" spans="1:204" ht="15.75" customHeight="1" x14ac:dyDescent="0.15">
      <c r="A370" s="1">
        <f>ROW(A370)</f>
        <v>370</v>
      </c>
      <c r="B370" s="4">
        <v>45851.679351851853</v>
      </c>
      <c r="C370" s="5" t="s">
        <v>204</v>
      </c>
      <c r="D370" s="5" t="s">
        <v>206</v>
      </c>
      <c r="F370" s="5" t="s">
        <v>204</v>
      </c>
      <c r="G370" s="5" t="s">
        <v>204</v>
      </c>
      <c r="H370" s="5" t="s">
        <v>204</v>
      </c>
      <c r="K370" s="5" t="s">
        <v>237</v>
      </c>
      <c r="O370" s="5" t="s">
        <v>209</v>
      </c>
      <c r="T370" s="5" t="s">
        <v>209</v>
      </c>
      <c r="X370" s="5" t="s">
        <v>208</v>
      </c>
      <c r="AC370" s="5" t="s">
        <v>208</v>
      </c>
      <c r="AH370" s="5" t="s">
        <v>210</v>
      </c>
      <c r="AI370" s="5">
        <v>2018</v>
      </c>
      <c r="AJ370" s="5" t="s">
        <v>330</v>
      </c>
      <c r="AK370" s="5" t="str">
        <f>IF(OR(AJ370="Empleada del sector privado",AJ370="Empleada del sector público"),"Asalariada",
IF(AJ370="Trabajadora por cuenta propia","Trabajadora por cuenta propia",""))</f>
        <v>Asalariada</v>
      </c>
      <c r="AQ370" s="5" t="s">
        <v>206</v>
      </c>
      <c r="AR370" s="5" t="s">
        <v>241</v>
      </c>
      <c r="AS370" s="5" t="s">
        <v>241</v>
      </c>
      <c r="AT370" s="5" t="s">
        <v>261</v>
      </c>
      <c r="AU370" s="5" t="s">
        <v>294</v>
      </c>
      <c r="AV370" s="5" t="s">
        <v>277</v>
      </c>
      <c r="AW370" s="5" t="s">
        <v>206</v>
      </c>
      <c r="BF370" s="5" t="s">
        <v>204</v>
      </c>
      <c r="BG370" s="5" t="s">
        <v>278</v>
      </c>
      <c r="BH370" s="5" t="s">
        <v>278</v>
      </c>
      <c r="BI370" s="5" t="s">
        <v>207</v>
      </c>
      <c r="BJ370" s="5" t="s">
        <v>242</v>
      </c>
      <c r="BK370" s="5" t="s">
        <v>244</v>
      </c>
      <c r="BL370" s="5" t="s">
        <v>243</v>
      </c>
      <c r="BM370" s="5" t="s">
        <v>245</v>
      </c>
      <c r="BN370" s="5" t="s">
        <v>245</v>
      </c>
      <c r="BO370" s="5" t="s">
        <v>244</v>
      </c>
      <c r="BP370" s="5" t="s">
        <v>245</v>
      </c>
      <c r="BQ370" s="5" t="s">
        <v>244</v>
      </c>
      <c r="BR370" s="5" t="s">
        <v>244</v>
      </c>
      <c r="BS370" s="5" t="s">
        <v>248</v>
      </c>
      <c r="BT370" s="5" t="s">
        <v>247</v>
      </c>
      <c r="BU370" s="5" t="s">
        <v>248</v>
      </c>
      <c r="BV370" s="5" t="s">
        <v>247</v>
      </c>
      <c r="BW370" s="5" t="s">
        <v>217</v>
      </c>
      <c r="BX370" s="5" t="s">
        <v>247</v>
      </c>
      <c r="BY370" s="5" t="s">
        <v>217</v>
      </c>
      <c r="CD370" s="5" t="s">
        <v>206</v>
      </c>
      <c r="CH370" s="5" t="s">
        <v>331</v>
      </c>
      <c r="CI370" s="5" t="s">
        <v>291</v>
      </c>
      <c r="CJ370" s="5">
        <v>1</v>
      </c>
      <c r="CK370" s="5" t="s">
        <v>223</v>
      </c>
      <c r="CU370" s="5" t="s">
        <v>206</v>
      </c>
      <c r="DA370" s="5" t="s">
        <v>272</v>
      </c>
      <c r="DB370" s="5">
        <f>IF(DA370="Mejor que lo habitual",1,
IF(DA370="Igual que lo habitual",2,
IF(DA370="Menos que lo habitual",3,
IF(DA370="Mucho menos que lo habitual",4,""))))</f>
        <v>1</v>
      </c>
      <c r="DC370" s="5" t="s">
        <v>230</v>
      </c>
      <c r="DD370" s="5">
        <f>IF(DC370="No, en absoluto",1,
IF(DC370="No más que lo habitual",2,
IF(DC370="Bastante más que lo habitual",3,
IF(DC370="Mucho más que lo habitual",4,""))))</f>
        <v>2</v>
      </c>
      <c r="DE370" s="5" t="s">
        <v>250</v>
      </c>
      <c r="DF370" s="5">
        <f>IF(DE370="No, en absoluto",1,
IF(DE370="No más que lo habitual",2,
IF(DE370="Bastante más que lo habitual",3,
IF(DE370="Mucho más que lo habitual",4,""))))</f>
        <v>3</v>
      </c>
      <c r="DG370" s="5" t="s">
        <v>251</v>
      </c>
      <c r="DH370" s="5">
        <f>IF(DG370="No, en absoluto",1,
IF(DG370="No más que lo habitual",2,
IF(DG370="Bastante más que lo habitual",3,
IF(DG370="Mucho más que lo habitual",4,""))))</f>
        <v>1</v>
      </c>
      <c r="DI370" s="5" t="s">
        <v>251</v>
      </c>
      <c r="DJ370" s="5">
        <f>IF(DI370="No, en absoluto",1,
IF(DI370="No más que lo habitual",2,
IF(DI370="Bastante más que lo habitual",3,
IF(DI370="Mucho más que lo habitual",4,""))))</f>
        <v>1</v>
      </c>
      <c r="DK370" s="5" t="s">
        <v>251</v>
      </c>
      <c r="DL370" s="5">
        <f>IF(DK370="No, en absoluto",1,
IF(DK370="No más que lo habitual",2,
IF(DK370="Bastante más que lo habitual",3,
IF(DK370="Mucho más que lo habitual",4,""))))</f>
        <v>1</v>
      </c>
      <c r="DM370" s="5" t="s">
        <v>251</v>
      </c>
      <c r="DN370" s="5">
        <f>IF(DM370="No, en absoluto",1,
IF(DM370="No más que lo habitual",2,
IF(DM370="Bastante más que lo habitual",3,
IF(DM370="Mucho más que lo habitual",4,""))))</f>
        <v>1</v>
      </c>
      <c r="DO370" s="5" t="s">
        <v>281</v>
      </c>
      <c r="DP370" s="5">
        <f>IF(DO370="Más que lo habitual",1,
IF(DO370="Igual que lo habitual",2,
IF(DO370="Menos que lo habitual",3,
IF(DO370="Mucho menos que lo habitual",4,""))))</f>
        <v>1</v>
      </c>
      <c r="DQ370" s="5" t="s">
        <v>281</v>
      </c>
      <c r="DR370" s="5">
        <f>IF(DQ370="Más que lo habitual",1,
IF(DQ370="Igual que lo habitual",2,
IF(DQ370="Menos que lo habitual",3,
IF(DQ370="Mucho menos que lo habitual",4,""))))</f>
        <v>1</v>
      </c>
      <c r="DS370" s="5" t="s">
        <v>281</v>
      </c>
      <c r="DT370" s="5">
        <f>IF(DS370="Más que lo habitual",1,
IF(DS370="Igual que lo habitual",2,
IF(DS370="Menos que lo habitual",3,
IF(DS370="Mucho menos que lo habitual",4,""))))</f>
        <v>1</v>
      </c>
      <c r="DU370" s="5" t="s">
        <v>281</v>
      </c>
      <c r="DV370" s="5">
        <f>IF(DU370="Más que lo habitual",1,
IF(DU370="Igual que lo habitual",2,
IF(DU370="Menos que lo habitual",3,
IF(DU370="Mucho menos que lo habitual",4,""))))</f>
        <v>1</v>
      </c>
      <c r="DW370" s="5" t="s">
        <v>281</v>
      </c>
      <c r="DX370" s="5">
        <f>IF(DW370="Más que lo habitual",1,
IF(DW370="Igual que lo habitual",2,
IF(DW370="Menos que lo habitual",3,
IF(DW370="Mucho menos que lo habitual",4,""))))</f>
        <v>1</v>
      </c>
      <c r="DY370" s="5">
        <f>SUM(DB370,DD370,DF370,DH370,DJ370,DL370,DN370,DP370,DR370,DT370,DV370,DX370)</f>
        <v>15</v>
      </c>
      <c r="DZ370" s="5" t="str">
        <f>IF(DY370&lt;=18,"Nivel de riesgo bajo",
IF(DY370&lt;=23,"Nivel de riesgo medio",
"Nivel de riesgo alto"))</f>
        <v>Nivel de riesgo bajo</v>
      </c>
      <c r="EA370" s="5" t="s">
        <v>247</v>
      </c>
      <c r="EB370" s="5">
        <f>IF(EA370="Nunca/ casi nunca",0,
IF(EA370="Rara vez",1,
IF(EA370="A veces",2,
IF(EA370="A menudo",3,
IF(EA370="Siempre",4,"")))))</f>
        <v>2</v>
      </c>
      <c r="EC370" s="5" t="s">
        <v>247</v>
      </c>
      <c r="ED370" s="5">
        <f>IF(EC370="Nunca/ casi nunca",0,
IF(EC370="Rara vez",1,
IF(EC370="A veces",2,
IF(EC370="A menudo",3,
IF(EC370="Siempre",4,"")))))</f>
        <v>2</v>
      </c>
      <c r="EE370" s="5" t="s">
        <v>248</v>
      </c>
      <c r="EF370" s="5">
        <f>IF(EE370="Nunca/ casi nunca",0,
IF(EE370="Rara vez",1,
IF(EE370="A veces",2,
IF(EE370="A menudo",3,
IF(EE370="Siempre",4,"")))))</f>
        <v>1</v>
      </c>
      <c r="EG370" s="5">
        <f>SUM(EB370,ED370,EF370)</f>
        <v>5</v>
      </c>
      <c r="EH370" s="5" t="str">
        <f>IF(EG370&lt;=1,"Nivel de riesgo bajo",
IF(EG370&lt;=4,"Nivel de riesgo medio",
"Nivel de riesgo alto"))</f>
        <v>Nivel de riesgo alto</v>
      </c>
      <c r="EI370" s="5" t="s">
        <v>253</v>
      </c>
      <c r="EJ370" s="5">
        <f>IF(EI370="Nunca/ casi nunca",0,
IF(EI370="Rara vez",1,
IF(EI370="A veces",2,
IF(EI370="A menudo",3,
IF(EI370="Siempre",4,"")))))</f>
        <v>0</v>
      </c>
      <c r="EK370" s="5" t="s">
        <v>247</v>
      </c>
      <c r="EL370" s="5">
        <f>IF(EK370="Nunca/ casi nunca",0,
IF(EK370="Rara vez",1,
IF(EK370="A veces",2,
IF(EK370="A menudo",3,
IF(EK370="Siempre",4,"")))))</f>
        <v>2</v>
      </c>
      <c r="EM370" s="5" t="s">
        <v>248</v>
      </c>
      <c r="EN370" s="5">
        <f>IF(EM370="Nunca/ casi nunca",0,
IF(EM370="Rara vez",1,
IF(EM370="A veces",2,
IF(EM370="A menudo",3,
IF(EM370="Siempre",4,"")))))</f>
        <v>1</v>
      </c>
      <c r="EO370" s="5">
        <f>SUM(EJ370,EL370,EN370)</f>
        <v>3</v>
      </c>
      <c r="EP370" s="5" t="str">
        <f>IF(EO370&lt;=1,"Nivel de riesgo bajo",
IF(EO370&lt;=5,"Nivel de riesgo medio",
"Nivel de riesgo alto"))</f>
        <v>Nivel de riesgo medio</v>
      </c>
      <c r="EQ370" s="5" t="s">
        <v>254</v>
      </c>
      <c r="ER370" s="5">
        <f>IF(EQ370="Nunca/ casi nunca",4,
IF(EQ370="Rara vez",3,
IF(EQ370="A veces",2,
IF(EQ370="A menudo",1,
IF(EQ370="Siempre",0,"")))))</f>
        <v>0</v>
      </c>
      <c r="ES370" s="5" t="s">
        <v>254</v>
      </c>
      <c r="ET370" s="5">
        <f>IF(ES370="Nunca/ casi nunca",4,
IF(ES370="Rara vez",3,
IF(ES370="A veces",2,
IF(ES370="A menudo",1,
IF(ES370="Siempre",0,"")))))</f>
        <v>0</v>
      </c>
      <c r="EU370" s="5" t="s">
        <v>254</v>
      </c>
      <c r="EV370" s="5">
        <f>IF(EU370="Nunca/ casi nunca",4,
IF(EU370="Rara vez",3,
IF(EU370="A veces",2,
IF(EU370="A menudo",1,
IF(EU370="Siempre",0,"")))))</f>
        <v>0</v>
      </c>
      <c r="EW370" s="5" t="s">
        <v>254</v>
      </c>
      <c r="EX370" s="5">
        <f>IF(EW370="Nunca/ casi nunca",4,
IF(EW370="Rara vez",3,
IF(EW370="A veces",2,
IF(EW370="A menudo",1,
IF(EW370="Siempre",0,"")))))</f>
        <v>0</v>
      </c>
      <c r="EY370" s="5">
        <f>SUM(ER370,ET370,EV370,EX370)</f>
        <v>0</v>
      </c>
      <c r="EZ370" s="5" t="str">
        <f>IF(EY370&lt;=0,"Nivel de riesgo bajo",
IF(EY370&lt;=4,"Nivel de riesgo medio",
"Nivel de riesgo alto"))</f>
        <v>Nivel de riesgo bajo</v>
      </c>
      <c r="FA370" s="5" t="s">
        <v>232</v>
      </c>
      <c r="FB370" s="5">
        <f>IF(FA370="Nunca/ casi nunca",0,
IF(FA370="Rara vez",1,
IF(FA370="A veces",2,
IF(FA370="A menudo",3,
IF(FA370="Siempre",4,"")))))</f>
        <v>3</v>
      </c>
      <c r="FC370" s="5" t="s">
        <v>248</v>
      </c>
      <c r="FD370" s="5">
        <f>IF(FC370="Nunca/ casi nunca",0,
IF(FC370="Rara vez",1,
IF(FC370="A veces",2,
IF(FC370="A menudo",3,
IF(FC370="Siempre",4,"")))))</f>
        <v>1</v>
      </c>
      <c r="FE370" s="5" t="s">
        <v>248</v>
      </c>
      <c r="FF370" s="5">
        <f>IF(FE370="Nunca/ casi nunca",0,
IF(FE370="Rara vez",1,
IF(FE370="A veces",2,
IF(FE370="A menudo",3,
IF(FE370="Siempre",4,"")))))</f>
        <v>1</v>
      </c>
      <c r="FG370" s="5">
        <f>SUM(FB370,FD370,FF370)</f>
        <v>5</v>
      </c>
      <c r="FH370" s="5" t="str">
        <f>IF(FG370&lt;=2,"Nivel de riesgo bajo",
IF(FG370&lt;=5,"Nivel de riesgo medio",
"Nivel de riesgo alto"))</f>
        <v>Nivel de riesgo medio</v>
      </c>
      <c r="FI370" s="5" t="s">
        <v>253</v>
      </c>
      <c r="FJ370" s="5">
        <f>IF(FI370="Nunca/ casi nunca",0,
IF(FI370="Rara vez",1,
IF(FI370="A veces",2,
IF(FI370="A menudo",3,
IF(FI370="Siempre",4,"")))))</f>
        <v>0</v>
      </c>
      <c r="FK370" s="5" t="s">
        <v>253</v>
      </c>
      <c r="FL370" s="5">
        <f>IF(FK370="Nunca/ casi nunca",0,
IF(FK370="Rara vez",1,
IF(FK370="A veces",2,
IF(FK370="A menudo",3,
IF(FK370="Siempre",4,"")))))</f>
        <v>0</v>
      </c>
      <c r="FM370" s="5" t="s">
        <v>248</v>
      </c>
      <c r="FN370" s="5">
        <f>IF(FM370="Nunca/ casi nunca",0,
IF(FM370="Rara vez",1,
IF(FM370="A veces",2,
IF(FM370="A menudo",3,
IF(FM370="Siempre",4,"")))))</f>
        <v>1</v>
      </c>
      <c r="FO370" s="5">
        <f>SUM(FJ370,FL370,FN370)</f>
        <v>1</v>
      </c>
      <c r="FP370" s="5" t="str">
        <f>IF(FO370&lt;=2,"Nivel de riesgo bajo",
IF(FO370&lt;=5,"Nivel de riesgo medio",
"Nivel de riesgo alto"))</f>
        <v>Nivel de riesgo bajo</v>
      </c>
      <c r="FQ370" s="5" t="s">
        <v>206</v>
      </c>
      <c r="FR370" s="5">
        <f>IF(FQ370="No",0,
IF(FQ370="Sí, unas pocas veces",1,
IF(FQ370="Sí, mensualmente",2,
IF(FQ370="Sí, semanalmente",3,
IF(FQ370="Sí, diariamente",4,"")))))</f>
        <v>0</v>
      </c>
      <c r="FS370" s="5" t="s">
        <v>206</v>
      </c>
      <c r="FT370" s="5">
        <f>IF(FS370="No",0,
IF(FS370="Sí, unas pocas veces",1,
IF(FS370="Sí, mensualmente",2,
IF(FS370="Sí, semanalmente",3,
IF(FS370="Sí, diariamente",4,"")))))</f>
        <v>0</v>
      </c>
      <c r="FU370" s="5" t="s">
        <v>206</v>
      </c>
      <c r="FV370" s="5">
        <f>IF(FU370="No",0,
IF(FU370="Sí, unas pocas veces",1,
IF(FU370="Sí, mensualmente",2,
IF(FU370="Sí, semanalmente",3,
IF(FU370="Sí, diariamente",4,"")))))</f>
        <v>0</v>
      </c>
      <c r="FW370" s="5" t="s">
        <v>206</v>
      </c>
      <c r="FX370" s="5">
        <f>IF(FW370="No",0,
IF(FW370="Sí, unas pocas veces",1,
IF(FW370="Sí, mensualmente",2,
IF(FW370="Sí, semanalmente",3,
IF(FW370="Sí, diariamente",4,"")))))</f>
        <v>0</v>
      </c>
      <c r="FY370" s="5" t="s">
        <v>206</v>
      </c>
      <c r="FZ370" s="5">
        <f>IF(FY370="No",0,
IF(FY370="Sí, unas pocas veces",1,
IF(FY370="Sí, mensualmente",2,
IF(FY370="Sí, semanalmente",3,
IF(FY370="Sí, diariamente",4,"")))))</f>
        <v>0</v>
      </c>
      <c r="GA370" s="5" t="s">
        <v>206</v>
      </c>
      <c r="GB370" s="5">
        <f>IF(GA370="No",0,
IF(GA370="Sí, unas pocas veces",1,
IF(GA370="Sí, mensualmente",2,
IF(GA370="Sí, semanalmente",3,
IF(GA370="Sí, diariamente",4,"")))))</f>
        <v>0</v>
      </c>
      <c r="GC370" s="5" t="s">
        <v>206</v>
      </c>
      <c r="GD370" s="5">
        <f>IF(GC370="No",0,
IF(GC370="Sí, unas pocas veces",1,
IF(GC370="Sí, mensualmente",2,
IF(GC370="Sí, semanalmente",3,
IF(GC370="Sí, diariamente",4,"")))))</f>
        <v>0</v>
      </c>
      <c r="GE370" s="5">
        <f>SUM(FR370,FT370,FV370,FX370,FZ370,GB370,GD370)</f>
        <v>0</v>
      </c>
      <c r="GF370" s="5" t="str">
        <f>IF(GE370&lt;=0,"Nivel de riesgo bajo",
IF(GE370&lt;=14,"Nivel de riesgo medio",
"Nivel de riesgo alto"))</f>
        <v>Nivel de riesgo bajo</v>
      </c>
      <c r="GG370" s="5" t="s">
        <v>255</v>
      </c>
      <c r="GH370" s="5" t="s">
        <v>255</v>
      </c>
      <c r="GI370" s="5" t="s">
        <v>255</v>
      </c>
      <c r="GJ370" s="5" t="s">
        <v>255</v>
      </c>
      <c r="GK370" s="5" t="s">
        <v>233</v>
      </c>
      <c r="GL370" s="5" t="s">
        <v>233</v>
      </c>
      <c r="GM370" s="5" t="s">
        <v>266</v>
      </c>
      <c r="GN370" s="5" t="s">
        <v>256</v>
      </c>
      <c r="GO370" s="5" t="s">
        <v>256</v>
      </c>
      <c r="GP370" s="5" t="s">
        <v>256</v>
      </c>
      <c r="GQ370" s="5" t="s">
        <v>256</v>
      </c>
      <c r="GR370" s="5" t="s">
        <v>256</v>
      </c>
      <c r="GS370" s="5" t="s">
        <v>256</v>
      </c>
      <c r="GT370" s="5" t="s">
        <v>256</v>
      </c>
      <c r="GU370" s="5" t="s">
        <v>734</v>
      </c>
      <c r="GV370" s="5" t="str">
        <f>TEXT("6282470960643462893","0")</f>
        <v>6282470960643460000</v>
      </c>
    </row>
    <row r="371" spans="1:204" ht="15.75" customHeight="1" x14ac:dyDescent="0.15">
      <c r="A371" s="1">
        <f>ROW(A371)</f>
        <v>371</v>
      </c>
      <c r="B371" s="4">
        <v>45851.760081018518</v>
      </c>
      <c r="C371" s="5" t="s">
        <v>204</v>
      </c>
      <c r="D371" s="5" t="s">
        <v>206</v>
      </c>
      <c r="F371" s="5" t="s">
        <v>206</v>
      </c>
      <c r="G371" s="5" t="s">
        <v>204</v>
      </c>
      <c r="H371" s="5" t="s">
        <v>206</v>
      </c>
      <c r="K371" s="5" t="s">
        <v>237</v>
      </c>
      <c r="O371" s="5" t="s">
        <v>209</v>
      </c>
      <c r="S371" s="5" t="s">
        <v>208</v>
      </c>
      <c r="X371" s="5" t="s">
        <v>208</v>
      </c>
      <c r="AD371" s="5" t="s">
        <v>209</v>
      </c>
      <c r="AH371" s="5" t="s">
        <v>268</v>
      </c>
      <c r="AI371" s="5">
        <v>2015</v>
      </c>
      <c r="AJ371" s="5" t="s">
        <v>238</v>
      </c>
      <c r="AK371" s="5" t="str">
        <f>IF(OR(AJ371="Empleada del sector privado",AJ371="Empleada del sector público"),"Asalariada",
IF(AJ371="Trabajadora por cuenta propia","Trabajadora por cuenta propia",""))</f>
        <v>Trabajadora por cuenta propia</v>
      </c>
      <c r="AM371" s="5" t="s">
        <v>309</v>
      </c>
      <c r="AP371" s="5" t="s">
        <v>284</v>
      </c>
      <c r="AR371" s="5" t="s">
        <v>261</v>
      </c>
      <c r="AS371" s="5" t="s">
        <v>261</v>
      </c>
      <c r="AT371" s="5" t="s">
        <v>261</v>
      </c>
      <c r="AU371" s="5" t="s">
        <v>261</v>
      </c>
      <c r="AV371" s="5" t="s">
        <v>285</v>
      </c>
      <c r="AW371" s="5" t="s">
        <v>204</v>
      </c>
      <c r="AX371" s="5" t="s">
        <v>206</v>
      </c>
      <c r="BF371" s="5" t="s">
        <v>204</v>
      </c>
      <c r="BG371" s="5" t="s">
        <v>215</v>
      </c>
      <c r="BH371" s="5" t="s">
        <v>242</v>
      </c>
      <c r="BI371" s="5" t="s">
        <v>264</v>
      </c>
      <c r="BJ371" s="5" t="s">
        <v>215</v>
      </c>
      <c r="BK371" s="5" t="s">
        <v>246</v>
      </c>
      <c r="BL371" s="5" t="s">
        <v>246</v>
      </c>
      <c r="BM371" s="5" t="s">
        <v>246</v>
      </c>
      <c r="BN371" s="5" t="s">
        <v>246</v>
      </c>
      <c r="BO371" s="5" t="s">
        <v>246</v>
      </c>
      <c r="BP371" s="5" t="s">
        <v>246</v>
      </c>
      <c r="BQ371" s="5" t="s">
        <v>246</v>
      </c>
      <c r="BR371" s="5" t="s">
        <v>246</v>
      </c>
      <c r="BS371" s="5" t="s">
        <v>232</v>
      </c>
      <c r="BT371" s="5" t="s">
        <v>232</v>
      </c>
      <c r="BU371" s="5" t="s">
        <v>232</v>
      </c>
      <c r="BV371" s="5" t="s">
        <v>232</v>
      </c>
      <c r="BW371" s="5" t="s">
        <v>232</v>
      </c>
      <c r="BX371" s="5" t="s">
        <v>232</v>
      </c>
      <c r="BY371" s="5" t="s">
        <v>232</v>
      </c>
      <c r="BZ371" s="5" t="s">
        <v>244</v>
      </c>
      <c r="CA371" s="5" t="s">
        <v>216</v>
      </c>
      <c r="CB371" s="5" t="s">
        <v>216</v>
      </c>
      <c r="CC371" s="5" t="s">
        <v>216</v>
      </c>
      <c r="CD371" s="5" t="s">
        <v>206</v>
      </c>
      <c r="CH371" s="5" t="s">
        <v>331</v>
      </c>
      <c r="CI371" s="5" t="s">
        <v>291</v>
      </c>
      <c r="CJ371" s="5">
        <v>3</v>
      </c>
      <c r="CK371" s="5" t="s">
        <v>223</v>
      </c>
      <c r="CU371" s="5" t="s">
        <v>206</v>
      </c>
      <c r="DA371" s="5" t="s">
        <v>252</v>
      </c>
      <c r="DB371" s="5">
        <f>IF(DA371="Mejor que lo habitual",1,
IF(DA371="Igual que lo habitual",2,
IF(DA371="Menos que lo habitual",3,
IF(DA371="Mucho menos que lo habitual",4,""))))</f>
        <v>3</v>
      </c>
      <c r="DC371" s="5" t="s">
        <v>250</v>
      </c>
      <c r="DD371" s="5">
        <f>IF(DC371="No, en absoluto",1,
IF(DC371="No más que lo habitual",2,
IF(DC371="Bastante más que lo habitual",3,
IF(DC371="Mucho más que lo habitual",4,""))))</f>
        <v>3</v>
      </c>
      <c r="DE371" s="5" t="s">
        <v>250</v>
      </c>
      <c r="DF371" s="5">
        <f>IF(DE371="No, en absoluto",1,
IF(DE371="No más que lo habitual",2,
IF(DE371="Bastante más que lo habitual",3,
IF(DE371="Mucho más que lo habitual",4,""))))</f>
        <v>3</v>
      </c>
      <c r="DG371" s="5" t="s">
        <v>250</v>
      </c>
      <c r="DH371" s="5">
        <f>IF(DG371="No, en absoluto",1,
IF(DG371="No más que lo habitual",2,
IF(DG371="Bastante más que lo habitual",3,
IF(DG371="Mucho más que lo habitual",4,""))))</f>
        <v>3</v>
      </c>
      <c r="DI371" s="5" t="s">
        <v>230</v>
      </c>
      <c r="DJ371" s="5">
        <f>IF(DI371="No, en absoluto",1,
IF(DI371="No más que lo habitual",2,
IF(DI371="Bastante más que lo habitual",3,
IF(DI371="Mucho más que lo habitual",4,""))))</f>
        <v>2</v>
      </c>
      <c r="DK371" s="5" t="s">
        <v>230</v>
      </c>
      <c r="DL371" s="5">
        <f>IF(DK371="No, en absoluto",1,
IF(DK371="No más que lo habitual",2,
IF(DK371="Bastante más que lo habitual",3,
IF(DK371="Mucho más que lo habitual",4,""))))</f>
        <v>2</v>
      </c>
      <c r="DM371" s="5" t="s">
        <v>230</v>
      </c>
      <c r="DN371" s="5">
        <f>IF(DM371="No, en absoluto",1,
IF(DM371="No más que lo habitual",2,
IF(DM371="Bastante más que lo habitual",3,
IF(DM371="Mucho más que lo habitual",4,""))))</f>
        <v>2</v>
      </c>
      <c r="DO371" s="5" t="s">
        <v>231</v>
      </c>
      <c r="DP371" s="5">
        <f>IF(DO371="Más que lo habitual",1,
IF(DO371="Igual que lo habitual",2,
IF(DO371="Menos que lo habitual",3,
IF(DO371="Mucho menos que lo habitual",4,""))))</f>
        <v>2</v>
      </c>
      <c r="DQ371" s="5" t="s">
        <v>231</v>
      </c>
      <c r="DR371" s="5">
        <f>IF(DQ371="Más que lo habitual",1,
IF(DQ371="Igual que lo habitual",2,
IF(DQ371="Menos que lo habitual",3,
IF(DQ371="Mucho menos que lo habitual",4,""))))</f>
        <v>2</v>
      </c>
      <c r="DS371" s="5" t="s">
        <v>231</v>
      </c>
      <c r="DT371" s="5">
        <f>IF(DS371="Más que lo habitual",1,
IF(DS371="Igual que lo habitual",2,
IF(DS371="Menos que lo habitual",3,
IF(DS371="Mucho menos que lo habitual",4,""))))</f>
        <v>2</v>
      </c>
      <c r="DU371" s="5" t="s">
        <v>231</v>
      </c>
      <c r="DV371" s="5">
        <f>IF(DU371="Más que lo habitual",1,
IF(DU371="Igual que lo habitual",2,
IF(DU371="Menos que lo habitual",3,
IF(DU371="Mucho menos que lo habitual",4,""))))</f>
        <v>2</v>
      </c>
      <c r="DW371" s="5" t="s">
        <v>231</v>
      </c>
      <c r="DX371" s="5">
        <f>IF(DW371="Más que lo habitual",1,
IF(DW371="Igual que lo habitual",2,
IF(DW371="Menos que lo habitual",3,
IF(DW371="Mucho menos que lo habitual",4,""))))</f>
        <v>2</v>
      </c>
      <c r="DY371" s="5">
        <f>SUM(DB371,DD371,DF371,DH371,DJ371,DL371,DN371,DP371,DR371,DT371,DV371,DX371)</f>
        <v>28</v>
      </c>
      <c r="DZ371" s="5" t="str">
        <f>IF(DY371&lt;=18,"Nivel de riesgo bajo",
IF(DY371&lt;=23,"Nivel de riesgo medio",
"Nivel de riesgo alto"))</f>
        <v>Nivel de riesgo alto</v>
      </c>
      <c r="EA371" s="5" t="s">
        <v>232</v>
      </c>
      <c r="EB371" s="5">
        <f>IF(EA371="Nunca/ casi nunca",0,
IF(EA371="Rara vez",1,
IF(EA371="A veces",2,
IF(EA371="A menudo",3,
IF(EA371="Siempre",4,"")))))</f>
        <v>3</v>
      </c>
      <c r="EC371" s="5" t="s">
        <v>232</v>
      </c>
      <c r="ED371" s="5">
        <f>IF(EC371="Nunca/ casi nunca",0,
IF(EC371="Rara vez",1,
IF(EC371="A veces",2,
IF(EC371="A menudo",3,
IF(EC371="Siempre",4,"")))))</f>
        <v>3</v>
      </c>
      <c r="EE371" s="5" t="s">
        <v>247</v>
      </c>
      <c r="EF371" s="5">
        <f>IF(EE371="Nunca/ casi nunca",0,
IF(EE371="Rara vez",1,
IF(EE371="A veces",2,
IF(EE371="A menudo",3,
IF(EE371="Siempre",4,"")))))</f>
        <v>2</v>
      </c>
      <c r="EG371" s="5">
        <f>SUM(EB371,ED371,EF371)</f>
        <v>8</v>
      </c>
      <c r="EH371" s="5" t="str">
        <f>IF(EG371&lt;=1,"Nivel de riesgo bajo",
IF(EG371&lt;=4,"Nivel de riesgo medio",
"Nivel de riesgo alto"))</f>
        <v>Nivel de riesgo alto</v>
      </c>
      <c r="EI371" s="5" t="s">
        <v>247</v>
      </c>
      <c r="EJ371" s="5">
        <f>IF(EI371="Nunca/ casi nunca",0,
IF(EI371="Rara vez",1,
IF(EI371="A veces",2,
IF(EI371="A menudo",3,
IF(EI371="Siempre",4,"")))))</f>
        <v>2</v>
      </c>
      <c r="EK371" s="5" t="s">
        <v>232</v>
      </c>
      <c r="EL371" s="5">
        <f>IF(EK371="Nunca/ casi nunca",0,
IF(EK371="Rara vez",1,
IF(EK371="A veces",2,
IF(EK371="A menudo",3,
IF(EK371="Siempre",4,"")))))</f>
        <v>3</v>
      </c>
      <c r="EM371" s="5" t="s">
        <v>232</v>
      </c>
      <c r="EN371" s="5">
        <f>IF(EM371="Nunca/ casi nunca",0,
IF(EM371="Rara vez",1,
IF(EM371="A veces",2,
IF(EM371="A menudo",3,
IF(EM371="Siempre",4,"")))))</f>
        <v>3</v>
      </c>
      <c r="EO371" s="5">
        <f>SUM(EJ371,EL371,EN371)</f>
        <v>8</v>
      </c>
      <c r="EP371" s="5" t="str">
        <f>IF(EO371&lt;=1,"Nivel de riesgo bajo",
IF(EO371&lt;=5,"Nivel de riesgo medio",
"Nivel de riesgo alto"))</f>
        <v>Nivel de riesgo alto</v>
      </c>
      <c r="EQ371" s="5" t="s">
        <v>232</v>
      </c>
      <c r="ER371" s="5">
        <f>IF(EQ371="Nunca/ casi nunca",4,
IF(EQ371="Rara vez",3,
IF(EQ371="A veces",2,
IF(EQ371="A menudo",1,
IF(EQ371="Siempre",0,"")))))</f>
        <v>1</v>
      </c>
      <c r="ES371" s="5" t="s">
        <v>232</v>
      </c>
      <c r="ET371" s="5">
        <f>IF(ES371="Nunca/ casi nunca",4,
IF(ES371="Rara vez",3,
IF(ES371="A veces",2,
IF(ES371="A menudo",1,
IF(ES371="Siempre",0,"")))))</f>
        <v>1</v>
      </c>
      <c r="EU371" s="5" t="s">
        <v>232</v>
      </c>
      <c r="EV371" s="5">
        <f>IF(EU371="Nunca/ casi nunca",4,
IF(EU371="Rara vez",3,
IF(EU371="A veces",2,
IF(EU371="A menudo",1,
IF(EU371="Siempre",0,"")))))</f>
        <v>1</v>
      </c>
      <c r="EW371" s="5" t="s">
        <v>232</v>
      </c>
      <c r="EX371" s="5">
        <f>IF(EW371="Nunca/ casi nunca",4,
IF(EW371="Rara vez",3,
IF(EW371="A veces",2,
IF(EW371="A menudo",1,
IF(EW371="Siempre",0,"")))))</f>
        <v>1</v>
      </c>
      <c r="EY371" s="5">
        <f>SUM(ER371,ET371,EV371,EX371)</f>
        <v>4</v>
      </c>
      <c r="EZ371" s="5" t="str">
        <f>IF(EY371&lt;=0,"Nivel de riesgo bajo",
IF(EY371&lt;=4,"Nivel de riesgo medio",
"Nivel de riesgo alto"))</f>
        <v>Nivel de riesgo medio</v>
      </c>
      <c r="FA371" s="5" t="s">
        <v>232</v>
      </c>
      <c r="FB371" s="5">
        <f>IF(FA371="Nunca/ casi nunca",0,
IF(FA371="Rara vez",1,
IF(FA371="A veces",2,
IF(FA371="A menudo",3,
IF(FA371="Siempre",4,"")))))</f>
        <v>3</v>
      </c>
      <c r="FC371" s="5" t="s">
        <v>232</v>
      </c>
      <c r="FD371" s="5">
        <f>IF(FC371="Nunca/ casi nunca",0,
IF(FC371="Rara vez",1,
IF(FC371="A veces",2,
IF(FC371="A menudo",3,
IF(FC371="Siempre",4,"")))))</f>
        <v>3</v>
      </c>
      <c r="FE371" s="5" t="s">
        <v>232</v>
      </c>
      <c r="FF371" s="5">
        <f>IF(FE371="Nunca/ casi nunca",0,
IF(FE371="Rara vez",1,
IF(FE371="A veces",2,
IF(FE371="A menudo",3,
IF(FE371="Siempre",4,"")))))</f>
        <v>3</v>
      </c>
      <c r="FG371" s="5">
        <f>SUM(FB371,FD371,FF371)</f>
        <v>9</v>
      </c>
      <c r="FH371" s="5" t="str">
        <f>IF(FG371&lt;=2,"Nivel de riesgo bajo",
IF(FG371&lt;=5,"Nivel de riesgo medio",
"Nivel de riesgo alto"))</f>
        <v>Nivel de riesgo alto</v>
      </c>
      <c r="FI371" s="5" t="s">
        <v>232</v>
      </c>
      <c r="FJ371" s="5">
        <f>IF(FI371="Nunca/ casi nunca",0,
IF(FI371="Rara vez",1,
IF(FI371="A veces",2,
IF(FI371="A menudo",3,
IF(FI371="Siempre",4,"")))))</f>
        <v>3</v>
      </c>
      <c r="FK371" s="5" t="s">
        <v>232</v>
      </c>
      <c r="FL371" s="5">
        <f>IF(FK371="Nunca/ casi nunca",0,
IF(FK371="Rara vez",1,
IF(FK371="A veces",2,
IF(FK371="A menudo",3,
IF(FK371="Siempre",4,"")))))</f>
        <v>3</v>
      </c>
      <c r="FM371" s="5" t="s">
        <v>232</v>
      </c>
      <c r="FN371" s="5">
        <f>IF(FM371="Nunca/ casi nunca",0,
IF(FM371="Rara vez",1,
IF(FM371="A veces",2,
IF(FM371="A menudo",3,
IF(FM371="Siempre",4,"")))))</f>
        <v>3</v>
      </c>
      <c r="FO371" s="5">
        <f>SUM(FJ371,FL371,FN371)</f>
        <v>9</v>
      </c>
      <c r="FP371" s="5" t="str">
        <f>IF(FO371&lt;=2,"Nivel de riesgo bajo",
IF(FO371&lt;=5,"Nivel de riesgo medio",
"Nivel de riesgo alto"))</f>
        <v>Nivel de riesgo alto</v>
      </c>
      <c r="FQ371" s="5" t="s">
        <v>206</v>
      </c>
      <c r="FR371" s="5">
        <f>IF(FQ371="No",0,
IF(FQ371="Sí, unas pocas veces",1,
IF(FQ371="Sí, mensualmente",2,
IF(FQ371="Sí, semanalmente",3,
IF(FQ371="Sí, diariamente",4,"")))))</f>
        <v>0</v>
      </c>
      <c r="FS371" s="5" t="s">
        <v>206</v>
      </c>
      <c r="FT371" s="5">
        <f>IF(FS371="No",0,
IF(FS371="Sí, unas pocas veces",1,
IF(FS371="Sí, mensualmente",2,
IF(FS371="Sí, semanalmente",3,
IF(FS371="Sí, diariamente",4,"")))))</f>
        <v>0</v>
      </c>
      <c r="FU371" s="5" t="s">
        <v>206</v>
      </c>
      <c r="FV371" s="5">
        <f>IF(FU371="No",0,
IF(FU371="Sí, unas pocas veces",1,
IF(FU371="Sí, mensualmente",2,
IF(FU371="Sí, semanalmente",3,
IF(FU371="Sí, diariamente",4,"")))))</f>
        <v>0</v>
      </c>
      <c r="FW371" s="5" t="s">
        <v>206</v>
      </c>
      <c r="FX371" s="5">
        <f>IF(FW371="No",0,
IF(FW371="Sí, unas pocas veces",1,
IF(FW371="Sí, mensualmente",2,
IF(FW371="Sí, semanalmente",3,
IF(FW371="Sí, diariamente",4,"")))))</f>
        <v>0</v>
      </c>
      <c r="FY371" s="5" t="s">
        <v>206</v>
      </c>
      <c r="FZ371" s="5">
        <f>IF(FY371="No",0,
IF(FY371="Sí, unas pocas veces",1,
IF(FY371="Sí, mensualmente",2,
IF(FY371="Sí, semanalmente",3,
IF(FY371="Sí, diariamente",4,"")))))</f>
        <v>0</v>
      </c>
      <c r="GA371" s="5" t="s">
        <v>206</v>
      </c>
      <c r="GB371" s="5">
        <f>IF(GA371="No",0,
IF(GA371="Sí, unas pocas veces",1,
IF(GA371="Sí, mensualmente",2,
IF(GA371="Sí, semanalmente",3,
IF(GA371="Sí, diariamente",4,"")))))</f>
        <v>0</v>
      </c>
      <c r="GC371" s="5" t="s">
        <v>206</v>
      </c>
      <c r="GD371" s="5">
        <f>IF(GC371="No",0,
IF(GC371="Sí, unas pocas veces",1,
IF(GC371="Sí, mensualmente",2,
IF(GC371="Sí, semanalmente",3,
IF(GC371="Sí, diariamente",4,"")))))</f>
        <v>0</v>
      </c>
      <c r="GE371" s="5">
        <f>SUM(FR371,FT371,FV371,FX371,FZ371,GB371,GD371)</f>
        <v>0</v>
      </c>
      <c r="GF371" s="5" t="str">
        <f>IF(GE371&lt;=0,"Nivel de riesgo bajo",
IF(GE371&lt;=14,"Nivel de riesgo medio",
"Nivel de riesgo alto"))</f>
        <v>Nivel de riesgo bajo</v>
      </c>
      <c r="GG371" s="5" t="s">
        <v>273</v>
      </c>
      <c r="GH371" s="5" t="s">
        <v>298</v>
      </c>
      <c r="GI371" s="5" t="s">
        <v>298</v>
      </c>
      <c r="GJ371" s="5" t="s">
        <v>233</v>
      </c>
      <c r="GK371" s="5" t="s">
        <v>233</v>
      </c>
      <c r="GL371" s="5" t="s">
        <v>298</v>
      </c>
      <c r="GM371" s="5" t="s">
        <v>298</v>
      </c>
      <c r="GN371" s="5" t="s">
        <v>234</v>
      </c>
      <c r="GO371" s="5" t="s">
        <v>234</v>
      </c>
      <c r="GP371" s="5" t="s">
        <v>234</v>
      </c>
      <c r="GQ371" s="5" t="s">
        <v>234</v>
      </c>
      <c r="GR371" s="5" t="s">
        <v>234</v>
      </c>
      <c r="GS371" s="5" t="s">
        <v>234</v>
      </c>
      <c r="GT371" s="5" t="s">
        <v>234</v>
      </c>
      <c r="GU371" s="5" t="s">
        <v>735</v>
      </c>
      <c r="GV371" s="5" t="str">
        <f>TEXT("6282540718852945771","0")</f>
        <v>6282540718852940000</v>
      </c>
    </row>
    <row r="372" spans="1:204" ht="15.75" customHeight="1" x14ac:dyDescent="0.15">
      <c r="A372" s="1">
        <f>ROW(A372)</f>
        <v>372</v>
      </c>
      <c r="B372" s="4">
        <v>45851.862592592595</v>
      </c>
      <c r="C372" s="5" t="s">
        <v>204</v>
      </c>
      <c r="D372" s="5" t="s">
        <v>206</v>
      </c>
      <c r="F372" s="5" t="s">
        <v>206</v>
      </c>
      <c r="G372" s="5" t="s">
        <v>206</v>
      </c>
      <c r="H372" s="5" t="s">
        <v>206</v>
      </c>
      <c r="J372" s="5" t="s">
        <v>209</v>
      </c>
      <c r="P372" s="5" t="s">
        <v>237</v>
      </c>
      <c r="T372" s="5" t="s">
        <v>209</v>
      </c>
      <c r="Z372" s="5" t="s">
        <v>237</v>
      </c>
      <c r="AE372" s="5" t="s">
        <v>237</v>
      </c>
      <c r="AH372" s="5" t="s">
        <v>268</v>
      </c>
      <c r="AI372" s="5">
        <v>1996</v>
      </c>
      <c r="AJ372" s="5" t="s">
        <v>337</v>
      </c>
      <c r="AK372" s="5" t="str">
        <f>IF(OR(AJ372="Empleada del sector privado",AJ372="Empleada del sector público"),"Asalariada",
IF(AJ372="Trabajadora por cuenta propia","Trabajadora por cuenta propia",""))</f>
        <v>Asalariada</v>
      </c>
      <c r="AQ372" s="5" t="s">
        <v>204</v>
      </c>
      <c r="AR372" s="5" t="s">
        <v>261</v>
      </c>
      <c r="AS372" s="5" t="s">
        <v>261</v>
      </c>
      <c r="AT372" s="5" t="s">
        <v>261</v>
      </c>
      <c r="AU372" s="5" t="s">
        <v>261</v>
      </c>
      <c r="AV372" s="5" t="s">
        <v>213</v>
      </c>
      <c r="AW372" s="5" t="s">
        <v>206</v>
      </c>
      <c r="BF372" s="5" t="s">
        <v>204</v>
      </c>
      <c r="BG372" s="5" t="s">
        <v>242</v>
      </c>
      <c r="BH372" s="5" t="s">
        <v>207</v>
      </c>
      <c r="BI372" s="5" t="s">
        <v>242</v>
      </c>
      <c r="BJ372" s="5" t="s">
        <v>242</v>
      </c>
      <c r="BK372" s="5" t="s">
        <v>246</v>
      </c>
      <c r="BL372" s="5" t="s">
        <v>246</v>
      </c>
      <c r="BM372" s="5" t="s">
        <v>246</v>
      </c>
      <c r="BN372" s="5" t="s">
        <v>246</v>
      </c>
      <c r="BO372" s="5" t="s">
        <v>246</v>
      </c>
      <c r="BP372" s="5" t="s">
        <v>246</v>
      </c>
      <c r="BQ372" s="5" t="s">
        <v>246</v>
      </c>
      <c r="BR372" s="5" t="s">
        <v>246</v>
      </c>
      <c r="BS372" s="5" t="s">
        <v>254</v>
      </c>
      <c r="BT372" s="5" t="s">
        <v>254</v>
      </c>
      <c r="BU372" s="5" t="s">
        <v>254</v>
      </c>
      <c r="BV372" s="5" t="s">
        <v>254</v>
      </c>
      <c r="BW372" s="5" t="s">
        <v>254</v>
      </c>
      <c r="BX372" s="5" t="s">
        <v>254</v>
      </c>
      <c r="BY372" s="5" t="s">
        <v>254</v>
      </c>
      <c r="CD372" s="5" t="s">
        <v>206</v>
      </c>
      <c r="CH372" s="5" t="s">
        <v>206</v>
      </c>
      <c r="CI372" s="5" t="s">
        <v>206</v>
      </c>
      <c r="CJ372" s="5">
        <v>1</v>
      </c>
      <c r="CK372" s="5" t="s">
        <v>223</v>
      </c>
      <c r="CU372" s="5" t="s">
        <v>206</v>
      </c>
      <c r="DA372" s="5" t="s">
        <v>229</v>
      </c>
      <c r="DB372" s="5">
        <f>IF(DA372="Mejor que lo habitual",1,
IF(DA372="Igual que lo habitual",2,
IF(DA372="Menos que lo habitual",3,
IF(DA372="Mucho menos que lo habitual",4,""))))</f>
        <v>4</v>
      </c>
      <c r="DC372" s="5" t="s">
        <v>250</v>
      </c>
      <c r="DD372" s="5">
        <f>IF(DC372="No, en absoluto",1,
IF(DC372="No más que lo habitual",2,
IF(DC372="Bastante más que lo habitual",3,
IF(DC372="Mucho más que lo habitual",4,""))))</f>
        <v>3</v>
      </c>
      <c r="DE372" s="5" t="s">
        <v>250</v>
      </c>
      <c r="DF372" s="5">
        <f>IF(DE372="No, en absoluto",1,
IF(DE372="No más que lo habitual",2,
IF(DE372="Bastante más que lo habitual",3,
IF(DE372="Mucho más que lo habitual",4,""))))</f>
        <v>3</v>
      </c>
      <c r="DG372" s="5" t="s">
        <v>250</v>
      </c>
      <c r="DH372" s="5">
        <f>IF(DG372="No, en absoluto",1,
IF(DG372="No más que lo habitual",2,
IF(DG372="Bastante más que lo habitual",3,
IF(DG372="Mucho más que lo habitual",4,""))))</f>
        <v>3</v>
      </c>
      <c r="DI372" s="5" t="s">
        <v>250</v>
      </c>
      <c r="DJ372" s="5">
        <f>IF(DI372="No, en absoluto",1,
IF(DI372="No más que lo habitual",2,
IF(DI372="Bastante más que lo habitual",3,
IF(DI372="Mucho más que lo habitual",4,""))))</f>
        <v>3</v>
      </c>
      <c r="DK372" s="5" t="s">
        <v>250</v>
      </c>
      <c r="DL372" s="5">
        <f>IF(DK372="No, en absoluto",1,
IF(DK372="No más que lo habitual",2,
IF(DK372="Bastante más que lo habitual",3,
IF(DK372="Mucho más que lo habitual",4,""))))</f>
        <v>3</v>
      </c>
      <c r="DM372" s="5" t="s">
        <v>250</v>
      </c>
      <c r="DN372" s="5">
        <f>IF(DM372="No, en absoluto",1,
IF(DM372="No más que lo habitual",2,
IF(DM372="Bastante más que lo habitual",3,
IF(DM372="Mucho más que lo habitual",4,""))))</f>
        <v>3</v>
      </c>
      <c r="DO372" s="5" t="s">
        <v>231</v>
      </c>
      <c r="DP372" s="5">
        <f>IF(DO372="Más que lo habitual",1,
IF(DO372="Igual que lo habitual",2,
IF(DO372="Menos que lo habitual",3,
IF(DO372="Mucho menos que lo habitual",4,""))))</f>
        <v>2</v>
      </c>
      <c r="DQ372" s="5" t="s">
        <v>231</v>
      </c>
      <c r="DR372" s="5">
        <f>IF(DQ372="Más que lo habitual",1,
IF(DQ372="Igual que lo habitual",2,
IF(DQ372="Menos que lo habitual",3,
IF(DQ372="Mucho menos que lo habitual",4,""))))</f>
        <v>2</v>
      </c>
      <c r="DS372" s="5" t="s">
        <v>231</v>
      </c>
      <c r="DT372" s="5">
        <f>IF(DS372="Más que lo habitual",1,
IF(DS372="Igual que lo habitual",2,
IF(DS372="Menos que lo habitual",3,
IF(DS372="Mucho menos que lo habitual",4,""))))</f>
        <v>2</v>
      </c>
      <c r="DU372" s="5" t="s">
        <v>231</v>
      </c>
      <c r="DV372" s="5">
        <f>IF(DU372="Más que lo habitual",1,
IF(DU372="Igual que lo habitual",2,
IF(DU372="Menos que lo habitual",3,
IF(DU372="Mucho menos que lo habitual",4,""))))</f>
        <v>2</v>
      </c>
      <c r="DW372" s="5" t="s">
        <v>231</v>
      </c>
      <c r="DX372" s="5">
        <f>IF(DW372="Más que lo habitual",1,
IF(DW372="Igual que lo habitual",2,
IF(DW372="Menos que lo habitual",3,
IF(DW372="Mucho menos que lo habitual",4,""))))</f>
        <v>2</v>
      </c>
      <c r="DY372" s="5">
        <f>SUM(DB372,DD372,DF372,DH372,DJ372,DL372,DN372,DP372,DR372,DT372,DV372,DX372)</f>
        <v>32</v>
      </c>
      <c r="DZ372" s="5" t="str">
        <f>IF(DY372&lt;=18,"Nivel de riesgo bajo",
IF(DY372&lt;=23,"Nivel de riesgo medio",
"Nivel de riesgo alto"))</f>
        <v>Nivel de riesgo alto</v>
      </c>
      <c r="EA372" s="5" t="s">
        <v>248</v>
      </c>
      <c r="EB372" s="5">
        <f>IF(EA372="Nunca/ casi nunca",0,
IF(EA372="Rara vez",1,
IF(EA372="A veces",2,
IF(EA372="A menudo",3,
IF(EA372="Siempre",4,"")))))</f>
        <v>1</v>
      </c>
      <c r="EC372" s="5" t="s">
        <v>248</v>
      </c>
      <c r="ED372" s="5">
        <f>IF(EC372="Nunca/ casi nunca",0,
IF(EC372="Rara vez",1,
IF(EC372="A veces",2,
IF(EC372="A menudo",3,
IF(EC372="Siempre",4,"")))))</f>
        <v>1</v>
      </c>
      <c r="EE372" s="5" t="s">
        <v>248</v>
      </c>
      <c r="EF372" s="5">
        <f>IF(EE372="Nunca/ casi nunca",0,
IF(EE372="Rara vez",1,
IF(EE372="A veces",2,
IF(EE372="A menudo",3,
IF(EE372="Siempre",4,"")))))</f>
        <v>1</v>
      </c>
      <c r="EG372" s="5">
        <f>SUM(EB372,ED372,EF372)</f>
        <v>3</v>
      </c>
      <c r="EH372" s="5" t="str">
        <f>IF(EG372&lt;=1,"Nivel de riesgo bajo",
IF(EG372&lt;=4,"Nivel de riesgo medio",
"Nivel de riesgo alto"))</f>
        <v>Nivel de riesgo medio</v>
      </c>
      <c r="EI372" s="5" t="s">
        <v>248</v>
      </c>
      <c r="EJ372" s="5">
        <f>IF(EI372="Nunca/ casi nunca",0,
IF(EI372="Rara vez",1,
IF(EI372="A veces",2,
IF(EI372="A menudo",3,
IF(EI372="Siempre",4,"")))))</f>
        <v>1</v>
      </c>
      <c r="EK372" s="5" t="s">
        <v>248</v>
      </c>
      <c r="EL372" s="5">
        <f>IF(EK372="Nunca/ casi nunca",0,
IF(EK372="Rara vez",1,
IF(EK372="A veces",2,
IF(EK372="A menudo",3,
IF(EK372="Siempre",4,"")))))</f>
        <v>1</v>
      </c>
      <c r="EM372" s="5" t="s">
        <v>248</v>
      </c>
      <c r="EN372" s="5">
        <f>IF(EM372="Nunca/ casi nunca",0,
IF(EM372="Rara vez",1,
IF(EM372="A veces",2,
IF(EM372="A menudo",3,
IF(EM372="Siempre",4,"")))))</f>
        <v>1</v>
      </c>
      <c r="EO372" s="5">
        <f>SUM(EJ372,EL372,EN372)</f>
        <v>3</v>
      </c>
      <c r="EP372" s="5" t="str">
        <f>IF(EO372&lt;=1,"Nivel de riesgo bajo",
IF(EO372&lt;=5,"Nivel de riesgo medio",
"Nivel de riesgo alto"))</f>
        <v>Nivel de riesgo medio</v>
      </c>
      <c r="EQ372" s="5" t="s">
        <v>248</v>
      </c>
      <c r="ER372" s="5">
        <f>IF(EQ372="Nunca/ casi nunca",4,
IF(EQ372="Rara vez",3,
IF(EQ372="A veces",2,
IF(EQ372="A menudo",1,
IF(EQ372="Siempre",0,"")))))</f>
        <v>3</v>
      </c>
      <c r="ES372" s="5" t="s">
        <v>248</v>
      </c>
      <c r="ET372" s="5">
        <f>IF(ES372="Nunca/ casi nunca",4,
IF(ES372="Rara vez",3,
IF(ES372="A veces",2,
IF(ES372="A menudo",1,
IF(ES372="Siempre",0,"")))))</f>
        <v>3</v>
      </c>
      <c r="EU372" s="5" t="s">
        <v>248</v>
      </c>
      <c r="EV372" s="5">
        <f>IF(EU372="Nunca/ casi nunca",4,
IF(EU372="Rara vez",3,
IF(EU372="A veces",2,
IF(EU372="A menudo",1,
IF(EU372="Siempre",0,"")))))</f>
        <v>3</v>
      </c>
      <c r="EW372" s="5" t="s">
        <v>248</v>
      </c>
      <c r="EX372" s="5">
        <f>IF(EW372="Nunca/ casi nunca",4,
IF(EW372="Rara vez",3,
IF(EW372="A veces",2,
IF(EW372="A menudo",1,
IF(EW372="Siempre",0,"")))))</f>
        <v>3</v>
      </c>
      <c r="EY372" s="5">
        <f>SUM(ER372,ET372,EV372,EX372)</f>
        <v>12</v>
      </c>
      <c r="EZ372" s="5" t="str">
        <f>IF(EY372&lt;=0,"Nivel de riesgo bajo",
IF(EY372&lt;=4,"Nivel de riesgo medio",
"Nivel de riesgo alto"))</f>
        <v>Nivel de riesgo alto</v>
      </c>
      <c r="FA372" s="5" t="s">
        <v>248</v>
      </c>
      <c r="FB372" s="5">
        <f>IF(FA372="Nunca/ casi nunca",0,
IF(FA372="Rara vez",1,
IF(FA372="A veces",2,
IF(FA372="A menudo",3,
IF(FA372="Siempre",4,"")))))</f>
        <v>1</v>
      </c>
      <c r="FC372" s="5" t="s">
        <v>248</v>
      </c>
      <c r="FD372" s="5">
        <f>IF(FC372="Nunca/ casi nunca",0,
IF(FC372="Rara vez",1,
IF(FC372="A veces",2,
IF(FC372="A menudo",3,
IF(FC372="Siempre",4,"")))))</f>
        <v>1</v>
      </c>
      <c r="FE372" s="5" t="s">
        <v>248</v>
      </c>
      <c r="FF372" s="5">
        <f>IF(FE372="Nunca/ casi nunca",0,
IF(FE372="Rara vez",1,
IF(FE372="A veces",2,
IF(FE372="A menudo",3,
IF(FE372="Siempre",4,"")))))</f>
        <v>1</v>
      </c>
      <c r="FG372" s="5">
        <f>SUM(FB372,FD372,FF372)</f>
        <v>3</v>
      </c>
      <c r="FH372" s="5" t="str">
        <f>IF(FG372&lt;=2,"Nivel de riesgo bajo",
IF(FG372&lt;=5,"Nivel de riesgo medio",
"Nivel de riesgo alto"))</f>
        <v>Nivel de riesgo medio</v>
      </c>
      <c r="FI372" s="5" t="s">
        <v>248</v>
      </c>
      <c r="FJ372" s="5">
        <f>IF(FI372="Nunca/ casi nunca",0,
IF(FI372="Rara vez",1,
IF(FI372="A veces",2,
IF(FI372="A menudo",3,
IF(FI372="Siempre",4,"")))))</f>
        <v>1</v>
      </c>
      <c r="FK372" s="5" t="s">
        <v>248</v>
      </c>
      <c r="FL372" s="5">
        <f>IF(FK372="Nunca/ casi nunca",0,
IF(FK372="Rara vez",1,
IF(FK372="A veces",2,
IF(FK372="A menudo",3,
IF(FK372="Siempre",4,"")))))</f>
        <v>1</v>
      </c>
      <c r="FM372" s="5" t="s">
        <v>248</v>
      </c>
      <c r="FN372" s="5">
        <f>IF(FM372="Nunca/ casi nunca",0,
IF(FM372="Rara vez",1,
IF(FM372="A veces",2,
IF(FM372="A menudo",3,
IF(FM372="Siempre",4,"")))))</f>
        <v>1</v>
      </c>
      <c r="FO372" s="5">
        <f>SUM(FJ372,FL372,FN372)</f>
        <v>3</v>
      </c>
      <c r="FP372" s="5" t="str">
        <f>IF(FO372&lt;=2,"Nivel de riesgo bajo",
IF(FO372&lt;=5,"Nivel de riesgo medio",
"Nivel de riesgo alto"))</f>
        <v>Nivel de riesgo medio</v>
      </c>
      <c r="FQ372" s="5" t="s">
        <v>265</v>
      </c>
      <c r="FR372" s="5">
        <f>IF(FQ372="No",0,
IF(FQ372="Sí, unas pocas veces",1,
IF(FQ372="Sí, mensualmente",2,
IF(FQ372="Sí, semanalmente",3,
IF(FQ372="Sí, diariamente",4,"")))))</f>
        <v>1</v>
      </c>
      <c r="FS372" s="5" t="s">
        <v>265</v>
      </c>
      <c r="FT372" s="5">
        <f>IF(FS372="No",0,
IF(FS372="Sí, unas pocas veces",1,
IF(FS372="Sí, mensualmente",2,
IF(FS372="Sí, semanalmente",3,
IF(FS372="Sí, diariamente",4,"")))))</f>
        <v>1</v>
      </c>
      <c r="FU372" s="5" t="s">
        <v>265</v>
      </c>
      <c r="FV372" s="5">
        <f>IF(FU372="No",0,
IF(FU372="Sí, unas pocas veces",1,
IF(FU372="Sí, mensualmente",2,
IF(FU372="Sí, semanalmente",3,
IF(FU372="Sí, diariamente",4,"")))))</f>
        <v>1</v>
      </c>
      <c r="FW372" s="5" t="s">
        <v>265</v>
      </c>
      <c r="FX372" s="5">
        <f>IF(FW372="No",0,
IF(FW372="Sí, unas pocas veces",1,
IF(FW372="Sí, mensualmente",2,
IF(FW372="Sí, semanalmente",3,
IF(FW372="Sí, diariamente",4,"")))))</f>
        <v>1</v>
      </c>
      <c r="FY372" s="5" t="s">
        <v>265</v>
      </c>
      <c r="FZ372" s="5">
        <f>IF(FY372="No",0,
IF(FY372="Sí, unas pocas veces",1,
IF(FY372="Sí, mensualmente",2,
IF(FY372="Sí, semanalmente",3,
IF(FY372="Sí, diariamente",4,"")))))</f>
        <v>1</v>
      </c>
      <c r="GA372" s="5" t="s">
        <v>265</v>
      </c>
      <c r="GB372" s="5">
        <f>IF(GA372="No",0,
IF(GA372="Sí, unas pocas veces",1,
IF(GA372="Sí, mensualmente",2,
IF(GA372="Sí, semanalmente",3,
IF(GA372="Sí, diariamente",4,"")))))</f>
        <v>1</v>
      </c>
      <c r="GC372" s="5" t="s">
        <v>265</v>
      </c>
      <c r="GD372" s="5">
        <f>IF(GC372="No",0,
IF(GC372="Sí, unas pocas veces",1,
IF(GC372="Sí, mensualmente",2,
IF(GC372="Sí, semanalmente",3,
IF(GC372="Sí, diariamente",4,"")))))</f>
        <v>1</v>
      </c>
      <c r="GE372" s="5">
        <f>SUM(FR372,FT372,FV372,FX372,FZ372,GB372,GD372)</f>
        <v>7</v>
      </c>
      <c r="GF372" s="5" t="str">
        <f>IF(GE372&lt;=0,"Nivel de riesgo bajo",
IF(GE372&lt;=14,"Nivel de riesgo medio",
"Nivel de riesgo alto"))</f>
        <v>Nivel de riesgo medio</v>
      </c>
      <c r="GG372" s="5" t="s">
        <v>255</v>
      </c>
      <c r="GH372" s="5" t="s">
        <v>255</v>
      </c>
      <c r="GI372" s="5" t="s">
        <v>255</v>
      </c>
      <c r="GJ372" s="5" t="s">
        <v>255</v>
      </c>
      <c r="GK372" s="5" t="s">
        <v>255</v>
      </c>
      <c r="GL372" s="5" t="s">
        <v>255</v>
      </c>
      <c r="GM372" s="5" t="s">
        <v>255</v>
      </c>
      <c r="GN372" s="5" t="s">
        <v>256</v>
      </c>
      <c r="GO372" s="5" t="s">
        <v>256</v>
      </c>
      <c r="GP372" s="5" t="s">
        <v>256</v>
      </c>
      <c r="GQ372" s="5" t="s">
        <v>256</v>
      </c>
      <c r="GR372" s="5" t="s">
        <v>256</v>
      </c>
      <c r="GS372" s="5" t="s">
        <v>256</v>
      </c>
      <c r="GT372" s="5" t="s">
        <v>256</v>
      </c>
      <c r="GU372" s="5" t="s">
        <v>308</v>
      </c>
      <c r="GV372" s="5" t="str">
        <f>TEXT("6282629289246511065","0")</f>
        <v>6282629289246510000</v>
      </c>
    </row>
    <row r="373" spans="1:204" ht="15.75" customHeight="1" x14ac:dyDescent="0.15">
      <c r="A373" s="1">
        <f>ROW(A373)</f>
        <v>373</v>
      </c>
      <c r="B373" s="4">
        <v>45851.912800925929</v>
      </c>
      <c r="C373" s="5" t="s">
        <v>204</v>
      </c>
      <c r="D373" s="5" t="s">
        <v>206</v>
      </c>
      <c r="F373" s="5" t="s">
        <v>206</v>
      </c>
      <c r="G373" s="5" t="s">
        <v>206</v>
      </c>
      <c r="H373" s="5" t="s">
        <v>206</v>
      </c>
      <c r="K373" s="5" t="s">
        <v>237</v>
      </c>
      <c r="O373" s="5" t="s">
        <v>209</v>
      </c>
      <c r="S373" s="5" t="s">
        <v>208</v>
      </c>
      <c r="X373" s="5" t="s">
        <v>208</v>
      </c>
      <c r="AC373" s="5" t="s">
        <v>208</v>
      </c>
      <c r="AH373" s="5" t="s">
        <v>275</v>
      </c>
      <c r="AI373" s="5">
        <v>2020</v>
      </c>
      <c r="AJ373" s="5" t="s">
        <v>238</v>
      </c>
      <c r="AK373" s="5" t="str">
        <f>IF(OR(AJ373="Empleada del sector privado",AJ373="Empleada del sector público"),"Asalariada",
IF(AJ373="Trabajadora por cuenta propia","Trabajadora por cuenta propia",""))</f>
        <v>Trabajadora por cuenta propia</v>
      </c>
      <c r="AM373" s="5" t="s">
        <v>309</v>
      </c>
      <c r="AP373" s="5" t="s">
        <v>297</v>
      </c>
      <c r="AR373" s="5" t="s">
        <v>241</v>
      </c>
      <c r="AS373" s="5" t="s">
        <v>241</v>
      </c>
      <c r="AT373" s="5" t="s">
        <v>241</v>
      </c>
      <c r="AU373" s="5" t="s">
        <v>241</v>
      </c>
      <c r="AV373" s="5" t="s">
        <v>269</v>
      </c>
      <c r="AW373" s="5" t="s">
        <v>204</v>
      </c>
      <c r="AX373" s="5" t="s">
        <v>206</v>
      </c>
      <c r="BF373" s="5" t="s">
        <v>204</v>
      </c>
      <c r="BG373" s="5" t="s">
        <v>207</v>
      </c>
      <c r="BH373" s="5" t="s">
        <v>215</v>
      </c>
      <c r="BI373" s="5" t="s">
        <v>207</v>
      </c>
      <c r="BJ373" s="5" t="s">
        <v>215</v>
      </c>
      <c r="BK373" s="5" t="s">
        <v>245</v>
      </c>
      <c r="BL373" s="5" t="s">
        <v>243</v>
      </c>
      <c r="BM373" s="5" t="s">
        <v>245</v>
      </c>
      <c r="BN373" s="5" t="s">
        <v>243</v>
      </c>
      <c r="BO373" s="5" t="s">
        <v>243</v>
      </c>
      <c r="BP373" s="5" t="s">
        <v>246</v>
      </c>
      <c r="BQ373" s="5" t="s">
        <v>246</v>
      </c>
      <c r="BR373" s="5" t="s">
        <v>246</v>
      </c>
      <c r="BS373" s="5" t="s">
        <v>247</v>
      </c>
      <c r="BT373" s="5" t="s">
        <v>247</v>
      </c>
      <c r="BU373" s="5" t="s">
        <v>248</v>
      </c>
      <c r="BV373" s="5" t="s">
        <v>248</v>
      </c>
      <c r="BW373" s="5" t="s">
        <v>217</v>
      </c>
      <c r="BX373" s="5" t="s">
        <v>247</v>
      </c>
      <c r="BY373" s="5" t="s">
        <v>248</v>
      </c>
      <c r="BZ373" s="5" t="s">
        <v>243</v>
      </c>
      <c r="CA373" s="5" t="s">
        <v>243</v>
      </c>
      <c r="CB373" s="5" t="s">
        <v>216</v>
      </c>
      <c r="CC373" s="5" t="s">
        <v>243</v>
      </c>
      <c r="CD373" s="5" t="s">
        <v>206</v>
      </c>
      <c r="CH373" s="5" t="s">
        <v>206</v>
      </c>
      <c r="CI373" s="5" t="s">
        <v>206</v>
      </c>
      <c r="CJ373" s="5">
        <v>0</v>
      </c>
      <c r="CK373" s="5" t="s">
        <v>223</v>
      </c>
      <c r="CU373" s="5" t="s">
        <v>206</v>
      </c>
      <c r="DA373" s="5" t="s">
        <v>231</v>
      </c>
      <c r="DB373" s="5">
        <f>IF(DA373="Mejor que lo habitual",1,
IF(DA373="Igual que lo habitual",2,
IF(DA373="Menos que lo habitual",3,
IF(DA373="Mucho menos que lo habitual",4,""))))</f>
        <v>2</v>
      </c>
      <c r="DC373" s="5" t="s">
        <v>251</v>
      </c>
      <c r="DD373" s="5">
        <f>IF(DC373="No, en absoluto",1,
IF(DC373="No más que lo habitual",2,
IF(DC373="Bastante más que lo habitual",3,
IF(DC373="Mucho más que lo habitual",4,""))))</f>
        <v>1</v>
      </c>
      <c r="DE373" s="5" t="s">
        <v>230</v>
      </c>
      <c r="DF373" s="5">
        <f>IF(DE373="No, en absoluto",1,
IF(DE373="No más que lo habitual",2,
IF(DE373="Bastante más que lo habitual",3,
IF(DE373="Mucho más que lo habitual",4,""))))</f>
        <v>2</v>
      </c>
      <c r="DG373" s="5" t="s">
        <v>230</v>
      </c>
      <c r="DH373" s="5">
        <f>IF(DG373="No, en absoluto",1,
IF(DG373="No más que lo habitual",2,
IF(DG373="Bastante más que lo habitual",3,
IF(DG373="Mucho más que lo habitual",4,""))))</f>
        <v>2</v>
      </c>
      <c r="DI373" s="5" t="s">
        <v>230</v>
      </c>
      <c r="DJ373" s="5">
        <f>IF(DI373="No, en absoluto",1,
IF(DI373="No más que lo habitual",2,
IF(DI373="Bastante más que lo habitual",3,
IF(DI373="Mucho más que lo habitual",4,""))))</f>
        <v>2</v>
      </c>
      <c r="DK373" s="5" t="s">
        <v>251</v>
      </c>
      <c r="DL373" s="5">
        <f>IF(DK373="No, en absoluto",1,
IF(DK373="No más que lo habitual",2,
IF(DK373="Bastante más que lo habitual",3,
IF(DK373="Mucho más que lo habitual",4,""))))</f>
        <v>1</v>
      </c>
      <c r="DM373" s="5" t="s">
        <v>251</v>
      </c>
      <c r="DN373" s="5">
        <f>IF(DM373="No, en absoluto",1,
IF(DM373="No más que lo habitual",2,
IF(DM373="Bastante más que lo habitual",3,
IF(DM373="Mucho más que lo habitual",4,""))))</f>
        <v>1</v>
      </c>
      <c r="DO373" s="5" t="s">
        <v>231</v>
      </c>
      <c r="DP373" s="5">
        <f>IF(DO373="Más que lo habitual",1,
IF(DO373="Igual que lo habitual",2,
IF(DO373="Menos que lo habitual",3,
IF(DO373="Mucho menos que lo habitual",4,""))))</f>
        <v>2</v>
      </c>
      <c r="DQ373" s="5" t="s">
        <v>231</v>
      </c>
      <c r="DR373" s="5">
        <f>IF(DQ373="Más que lo habitual",1,
IF(DQ373="Igual que lo habitual",2,
IF(DQ373="Menos que lo habitual",3,
IF(DQ373="Mucho menos que lo habitual",4,""))))</f>
        <v>2</v>
      </c>
      <c r="DS373" s="5" t="s">
        <v>252</v>
      </c>
      <c r="DT373" s="5">
        <f>IF(DS373="Más que lo habitual",1,
IF(DS373="Igual que lo habitual",2,
IF(DS373="Menos que lo habitual",3,
IF(DS373="Mucho menos que lo habitual",4,""))))</f>
        <v>3</v>
      </c>
      <c r="DU373" s="5" t="s">
        <v>252</v>
      </c>
      <c r="DV373" s="5">
        <f>IF(DU373="Más que lo habitual",1,
IF(DU373="Igual que lo habitual",2,
IF(DU373="Menos que lo habitual",3,
IF(DU373="Mucho menos que lo habitual",4,""))))</f>
        <v>3</v>
      </c>
      <c r="DW373" s="5" t="s">
        <v>231</v>
      </c>
      <c r="DX373" s="5">
        <f>IF(DW373="Más que lo habitual",1,
IF(DW373="Igual que lo habitual",2,
IF(DW373="Menos que lo habitual",3,
IF(DW373="Mucho menos que lo habitual",4,""))))</f>
        <v>2</v>
      </c>
      <c r="DY373" s="5">
        <f>SUM(DB373,DD373,DF373,DH373,DJ373,DL373,DN373,DP373,DR373,DT373,DV373,DX373)</f>
        <v>23</v>
      </c>
      <c r="DZ373" s="5" t="str">
        <f>IF(DY373&lt;=18,"Nivel de riesgo bajo",
IF(DY373&lt;=23,"Nivel de riesgo medio",
"Nivel de riesgo alto"))</f>
        <v>Nivel de riesgo medio</v>
      </c>
      <c r="EA373" s="5" t="s">
        <v>247</v>
      </c>
      <c r="EB373" s="5">
        <f>IF(EA373="Nunca/ casi nunca",0,
IF(EA373="Rara vez",1,
IF(EA373="A veces",2,
IF(EA373="A menudo",3,
IF(EA373="Siempre",4,"")))))</f>
        <v>2</v>
      </c>
      <c r="EC373" s="5" t="s">
        <v>248</v>
      </c>
      <c r="ED373" s="5">
        <f>IF(EC373="Nunca/ casi nunca",0,
IF(EC373="Rara vez",1,
IF(EC373="A veces",2,
IF(EC373="A menudo",3,
IF(EC373="Siempre",4,"")))))</f>
        <v>1</v>
      </c>
      <c r="EE373" s="5" t="s">
        <v>248</v>
      </c>
      <c r="EF373" s="5">
        <f>IF(EE373="Nunca/ casi nunca",0,
IF(EE373="Rara vez",1,
IF(EE373="A veces",2,
IF(EE373="A menudo",3,
IF(EE373="Siempre",4,"")))))</f>
        <v>1</v>
      </c>
      <c r="EG373" s="5">
        <f>SUM(EB373,ED373,EF373)</f>
        <v>4</v>
      </c>
      <c r="EH373" s="5" t="str">
        <f>IF(EG373&lt;=1,"Nivel de riesgo bajo",
IF(EG373&lt;=4,"Nivel de riesgo medio",
"Nivel de riesgo alto"))</f>
        <v>Nivel de riesgo medio</v>
      </c>
      <c r="EI373" s="5" t="s">
        <v>253</v>
      </c>
      <c r="EJ373" s="5">
        <f>IF(EI373="Nunca/ casi nunca",0,
IF(EI373="Rara vez",1,
IF(EI373="A veces",2,
IF(EI373="A menudo",3,
IF(EI373="Siempre",4,"")))))</f>
        <v>0</v>
      </c>
      <c r="EK373" s="5" t="s">
        <v>248</v>
      </c>
      <c r="EL373" s="5">
        <f>IF(EK373="Nunca/ casi nunca",0,
IF(EK373="Rara vez",1,
IF(EK373="A veces",2,
IF(EK373="A menudo",3,
IF(EK373="Siempre",4,"")))))</f>
        <v>1</v>
      </c>
      <c r="EM373" s="5" t="s">
        <v>253</v>
      </c>
      <c r="EN373" s="5">
        <f>IF(EM373="Nunca/ casi nunca",0,
IF(EM373="Rara vez",1,
IF(EM373="A veces",2,
IF(EM373="A menudo",3,
IF(EM373="Siempre",4,"")))))</f>
        <v>0</v>
      </c>
      <c r="EO373" s="5">
        <f>SUM(EJ373,EL373,EN373)</f>
        <v>1</v>
      </c>
      <c r="EP373" s="5" t="str">
        <f>IF(EO373&lt;=1,"Nivel de riesgo bajo",
IF(EO373&lt;=5,"Nivel de riesgo medio",
"Nivel de riesgo alto"))</f>
        <v>Nivel de riesgo bajo</v>
      </c>
      <c r="EQ373" s="5" t="s">
        <v>248</v>
      </c>
      <c r="ER373" s="5">
        <f>IF(EQ373="Nunca/ casi nunca",4,
IF(EQ373="Rara vez",3,
IF(EQ373="A veces",2,
IF(EQ373="A menudo",1,
IF(EQ373="Siempre",0,"")))))</f>
        <v>3</v>
      </c>
      <c r="ES373" s="5" t="s">
        <v>253</v>
      </c>
      <c r="ET373" s="5">
        <f>IF(ES373="Nunca/ casi nunca",4,
IF(ES373="Rara vez",3,
IF(ES373="A veces",2,
IF(ES373="A menudo",1,
IF(ES373="Siempre",0,"")))))</f>
        <v>4</v>
      </c>
      <c r="EU373" s="5" t="s">
        <v>254</v>
      </c>
      <c r="EV373" s="5">
        <f>IF(EU373="Nunca/ casi nunca",4,
IF(EU373="Rara vez",3,
IF(EU373="A veces",2,
IF(EU373="A menudo",1,
IF(EU373="Siempre",0,"")))))</f>
        <v>0</v>
      </c>
      <c r="EW373" s="5" t="s">
        <v>254</v>
      </c>
      <c r="EX373" s="5">
        <f>IF(EW373="Nunca/ casi nunca",4,
IF(EW373="Rara vez",3,
IF(EW373="A veces",2,
IF(EW373="A menudo",1,
IF(EW373="Siempre",0,"")))))</f>
        <v>0</v>
      </c>
      <c r="EY373" s="5">
        <f>SUM(ER373,ET373,EV373,EX373)</f>
        <v>7</v>
      </c>
      <c r="EZ373" s="5" t="str">
        <f>IF(EY373&lt;=0,"Nivel de riesgo bajo",
IF(EY373&lt;=4,"Nivel de riesgo medio",
"Nivel de riesgo alto"))</f>
        <v>Nivel de riesgo alto</v>
      </c>
      <c r="FA373" s="5" t="s">
        <v>248</v>
      </c>
      <c r="FB373" s="5">
        <f>IF(FA373="Nunca/ casi nunca",0,
IF(FA373="Rara vez",1,
IF(FA373="A veces",2,
IF(FA373="A menudo",3,
IF(FA373="Siempre",4,"")))))</f>
        <v>1</v>
      </c>
      <c r="FC373" s="5" t="s">
        <v>248</v>
      </c>
      <c r="FD373" s="5">
        <f>IF(FC373="Nunca/ casi nunca",0,
IF(FC373="Rara vez",1,
IF(FC373="A veces",2,
IF(FC373="A menudo",3,
IF(FC373="Siempre",4,"")))))</f>
        <v>1</v>
      </c>
      <c r="FE373" s="5" t="s">
        <v>248</v>
      </c>
      <c r="FF373" s="5">
        <f>IF(FE373="Nunca/ casi nunca",0,
IF(FE373="Rara vez",1,
IF(FE373="A veces",2,
IF(FE373="A menudo",3,
IF(FE373="Siempre",4,"")))))</f>
        <v>1</v>
      </c>
      <c r="FG373" s="5">
        <f>SUM(FB373,FD373,FF373)</f>
        <v>3</v>
      </c>
      <c r="FH373" s="5" t="str">
        <f>IF(FG373&lt;=2,"Nivel de riesgo bajo",
IF(FG373&lt;=5,"Nivel de riesgo medio",
"Nivel de riesgo alto"))</f>
        <v>Nivel de riesgo medio</v>
      </c>
      <c r="FI373" s="5" t="s">
        <v>248</v>
      </c>
      <c r="FJ373" s="5">
        <f>IF(FI373="Nunca/ casi nunca",0,
IF(FI373="Rara vez",1,
IF(FI373="A veces",2,
IF(FI373="A menudo",3,
IF(FI373="Siempre",4,"")))))</f>
        <v>1</v>
      </c>
      <c r="FK373" s="5" t="s">
        <v>248</v>
      </c>
      <c r="FL373" s="5">
        <f>IF(FK373="Nunca/ casi nunca",0,
IF(FK373="Rara vez",1,
IF(FK373="A veces",2,
IF(FK373="A menudo",3,
IF(FK373="Siempre",4,"")))))</f>
        <v>1</v>
      </c>
      <c r="FM373" s="5" t="s">
        <v>248</v>
      </c>
      <c r="FN373" s="5">
        <f>IF(FM373="Nunca/ casi nunca",0,
IF(FM373="Rara vez",1,
IF(FM373="A veces",2,
IF(FM373="A menudo",3,
IF(FM373="Siempre",4,"")))))</f>
        <v>1</v>
      </c>
      <c r="FO373" s="5">
        <f>SUM(FJ373,FL373,FN373)</f>
        <v>3</v>
      </c>
      <c r="FP373" s="5" t="str">
        <f>IF(FO373&lt;=2,"Nivel de riesgo bajo",
IF(FO373&lt;=5,"Nivel de riesgo medio",
"Nivel de riesgo alto"))</f>
        <v>Nivel de riesgo medio</v>
      </c>
      <c r="FQ373" s="5" t="s">
        <v>206</v>
      </c>
      <c r="FR373" s="5">
        <f>IF(FQ373="No",0,
IF(FQ373="Sí, unas pocas veces",1,
IF(FQ373="Sí, mensualmente",2,
IF(FQ373="Sí, semanalmente",3,
IF(FQ373="Sí, diariamente",4,"")))))</f>
        <v>0</v>
      </c>
      <c r="FS373" s="5" t="s">
        <v>206</v>
      </c>
      <c r="FT373" s="5">
        <f>IF(FS373="No",0,
IF(FS373="Sí, unas pocas veces",1,
IF(FS373="Sí, mensualmente",2,
IF(FS373="Sí, semanalmente",3,
IF(FS373="Sí, diariamente",4,"")))))</f>
        <v>0</v>
      </c>
      <c r="FU373" s="5" t="s">
        <v>206</v>
      </c>
      <c r="FV373" s="5">
        <f>IF(FU373="No",0,
IF(FU373="Sí, unas pocas veces",1,
IF(FU373="Sí, mensualmente",2,
IF(FU373="Sí, semanalmente",3,
IF(FU373="Sí, diariamente",4,"")))))</f>
        <v>0</v>
      </c>
      <c r="FW373" s="5" t="s">
        <v>206</v>
      </c>
      <c r="FX373" s="5">
        <f>IF(FW373="No",0,
IF(FW373="Sí, unas pocas veces",1,
IF(FW373="Sí, mensualmente",2,
IF(FW373="Sí, semanalmente",3,
IF(FW373="Sí, diariamente",4,"")))))</f>
        <v>0</v>
      </c>
      <c r="FY373" s="5" t="s">
        <v>206</v>
      </c>
      <c r="FZ373" s="5">
        <f>IF(FY373="No",0,
IF(FY373="Sí, unas pocas veces",1,
IF(FY373="Sí, mensualmente",2,
IF(FY373="Sí, semanalmente",3,
IF(FY373="Sí, diariamente",4,"")))))</f>
        <v>0</v>
      </c>
      <c r="GA373" s="5" t="s">
        <v>206</v>
      </c>
      <c r="GB373" s="5">
        <f>IF(GA373="No",0,
IF(GA373="Sí, unas pocas veces",1,
IF(GA373="Sí, mensualmente",2,
IF(GA373="Sí, semanalmente",3,
IF(GA373="Sí, diariamente",4,"")))))</f>
        <v>0</v>
      </c>
      <c r="GC373" s="5" t="s">
        <v>206</v>
      </c>
      <c r="GD373" s="5">
        <f>IF(GC373="No",0,
IF(GC373="Sí, unas pocas veces",1,
IF(GC373="Sí, mensualmente",2,
IF(GC373="Sí, semanalmente",3,
IF(GC373="Sí, diariamente",4,"")))))</f>
        <v>0</v>
      </c>
      <c r="GE373" s="5">
        <f>SUM(FR373,FT373,FV373,FX373,FZ373,GB373,GD373)</f>
        <v>0</v>
      </c>
      <c r="GF373" s="5" t="str">
        <f>IF(GE373&lt;=0,"Nivel de riesgo bajo",
IF(GE373&lt;=14,"Nivel de riesgo medio",
"Nivel de riesgo alto"))</f>
        <v>Nivel de riesgo bajo</v>
      </c>
      <c r="GG373" s="5" t="s">
        <v>255</v>
      </c>
      <c r="GH373" s="5" t="s">
        <v>255</v>
      </c>
      <c r="GI373" s="5" t="s">
        <v>255</v>
      </c>
      <c r="GJ373" s="5" t="s">
        <v>233</v>
      </c>
      <c r="GK373" s="5" t="s">
        <v>233</v>
      </c>
      <c r="GL373" s="5" t="s">
        <v>273</v>
      </c>
      <c r="GM373" s="5" t="s">
        <v>233</v>
      </c>
      <c r="GN373" s="5" t="s">
        <v>256</v>
      </c>
      <c r="GO373" s="5" t="s">
        <v>243</v>
      </c>
      <c r="GP373" s="5" t="s">
        <v>257</v>
      </c>
      <c r="GQ373" s="5" t="s">
        <v>234</v>
      </c>
      <c r="GR373" s="5" t="s">
        <v>234</v>
      </c>
      <c r="GS373" s="5" t="s">
        <v>234</v>
      </c>
      <c r="GT373" s="5" t="s">
        <v>234</v>
      </c>
      <c r="GU373" s="5" t="s">
        <v>736</v>
      </c>
      <c r="GV373" s="5" t="str">
        <f>TEXT("6282672663679240587","0")</f>
        <v>6282672663679240000</v>
      </c>
    </row>
    <row r="374" spans="1:204" ht="15.75" customHeight="1" x14ac:dyDescent="0.15">
      <c r="A374" s="1">
        <f>ROW(A374)</f>
        <v>374</v>
      </c>
      <c r="B374" s="4">
        <v>45851.91547453704</v>
      </c>
      <c r="C374" s="5" t="s">
        <v>204</v>
      </c>
      <c r="D374" s="5" t="s">
        <v>206</v>
      </c>
      <c r="F374" s="5" t="s">
        <v>206</v>
      </c>
      <c r="G374" s="5" t="s">
        <v>206</v>
      </c>
      <c r="H374" s="5" t="s">
        <v>206</v>
      </c>
      <c r="K374" s="5" t="s">
        <v>237</v>
      </c>
      <c r="O374" s="5" t="s">
        <v>209</v>
      </c>
      <c r="T374" s="5" t="s">
        <v>209</v>
      </c>
      <c r="X374" s="5" t="s">
        <v>208</v>
      </c>
      <c r="AE374" s="5" t="s">
        <v>237</v>
      </c>
      <c r="AH374" s="5" t="s">
        <v>268</v>
      </c>
      <c r="AI374" s="5">
        <v>2025</v>
      </c>
      <c r="AJ374" s="5" t="s">
        <v>330</v>
      </c>
      <c r="AK374" s="5" t="str">
        <f>IF(OR(AJ374="Empleada del sector privado",AJ374="Empleada del sector público"),"Asalariada",
IF(AJ374="Trabajadora por cuenta propia","Trabajadora por cuenta propia",""))</f>
        <v>Asalariada</v>
      </c>
      <c r="AQ374" s="5" t="s">
        <v>204</v>
      </c>
      <c r="AR374" s="5" t="s">
        <v>261</v>
      </c>
      <c r="AS374" s="5" t="s">
        <v>261</v>
      </c>
      <c r="AT374" s="5" t="s">
        <v>261</v>
      </c>
      <c r="AU374" s="5" t="s">
        <v>261</v>
      </c>
      <c r="AV374" s="5" t="s">
        <v>277</v>
      </c>
      <c r="AW374" s="5" t="s">
        <v>206</v>
      </c>
      <c r="BF374" s="5" t="s">
        <v>204</v>
      </c>
      <c r="BG374" s="5" t="s">
        <v>207</v>
      </c>
      <c r="BH374" s="5" t="s">
        <v>215</v>
      </c>
      <c r="BI374" s="5" t="s">
        <v>207</v>
      </c>
      <c r="BJ374" s="5" t="s">
        <v>242</v>
      </c>
      <c r="BK374" s="5" t="s">
        <v>246</v>
      </c>
      <c r="BL374" s="5" t="s">
        <v>246</v>
      </c>
      <c r="BM374" s="5" t="s">
        <v>246</v>
      </c>
      <c r="BN374" s="5" t="s">
        <v>246</v>
      </c>
      <c r="BO374" s="5" t="s">
        <v>246</v>
      </c>
      <c r="BP374" s="5" t="s">
        <v>246</v>
      </c>
      <c r="BQ374" s="5" t="s">
        <v>246</v>
      </c>
      <c r="BR374" s="5" t="s">
        <v>246</v>
      </c>
      <c r="BS374" s="5" t="s">
        <v>247</v>
      </c>
      <c r="BT374" s="5" t="s">
        <v>247</v>
      </c>
      <c r="BU374" s="5" t="s">
        <v>247</v>
      </c>
      <c r="BV374" s="5" t="s">
        <v>247</v>
      </c>
      <c r="BW374" s="5" t="s">
        <v>247</v>
      </c>
      <c r="BX374" s="5" t="s">
        <v>247</v>
      </c>
      <c r="BY374" s="5" t="s">
        <v>247</v>
      </c>
      <c r="CD374" s="5" t="s">
        <v>206</v>
      </c>
      <c r="CH374" s="5" t="s">
        <v>206</v>
      </c>
      <c r="CI374" s="5" t="s">
        <v>206</v>
      </c>
      <c r="CJ374" s="5">
        <v>0</v>
      </c>
      <c r="CK374" s="5" t="s">
        <v>223</v>
      </c>
      <c r="CU374" s="5" t="s">
        <v>206</v>
      </c>
      <c r="DA374" s="5" t="s">
        <v>252</v>
      </c>
      <c r="DB374" s="5">
        <f>IF(DA374="Mejor que lo habitual",1,
IF(DA374="Igual que lo habitual",2,
IF(DA374="Menos que lo habitual",3,
IF(DA374="Mucho menos que lo habitual",4,""))))</f>
        <v>3</v>
      </c>
      <c r="DC374" s="5" t="s">
        <v>230</v>
      </c>
      <c r="DD374" s="5">
        <f>IF(DC374="No, en absoluto",1,
IF(DC374="No más que lo habitual",2,
IF(DC374="Bastante más que lo habitual",3,
IF(DC374="Mucho más que lo habitual",4,""))))</f>
        <v>2</v>
      </c>
      <c r="DE374" s="5" t="s">
        <v>230</v>
      </c>
      <c r="DF374" s="5">
        <f>IF(DE374="No, en absoluto",1,
IF(DE374="No más que lo habitual",2,
IF(DE374="Bastante más que lo habitual",3,
IF(DE374="Mucho más que lo habitual",4,""))))</f>
        <v>2</v>
      </c>
      <c r="DG374" s="5" t="s">
        <v>230</v>
      </c>
      <c r="DH374" s="5">
        <f>IF(DG374="No, en absoluto",1,
IF(DG374="No más que lo habitual",2,
IF(DG374="Bastante más que lo habitual",3,
IF(DG374="Mucho más que lo habitual",4,""))))</f>
        <v>2</v>
      </c>
      <c r="DI374" s="5" t="s">
        <v>230</v>
      </c>
      <c r="DJ374" s="5">
        <f>IF(DI374="No, en absoluto",1,
IF(DI374="No más que lo habitual",2,
IF(DI374="Bastante más que lo habitual",3,
IF(DI374="Mucho más que lo habitual",4,""))))</f>
        <v>2</v>
      </c>
      <c r="DK374" s="5" t="s">
        <v>230</v>
      </c>
      <c r="DL374" s="5">
        <f>IF(DK374="No, en absoluto",1,
IF(DK374="No más que lo habitual",2,
IF(DK374="Bastante más que lo habitual",3,
IF(DK374="Mucho más que lo habitual",4,""))))</f>
        <v>2</v>
      </c>
      <c r="DM374" s="5" t="s">
        <v>230</v>
      </c>
      <c r="DN374" s="5">
        <f>IF(DM374="No, en absoluto",1,
IF(DM374="No más que lo habitual",2,
IF(DM374="Bastante más que lo habitual",3,
IF(DM374="Mucho más que lo habitual",4,""))))</f>
        <v>2</v>
      </c>
      <c r="DO374" s="5" t="s">
        <v>231</v>
      </c>
      <c r="DP374" s="5">
        <f>IF(DO374="Más que lo habitual",1,
IF(DO374="Igual que lo habitual",2,
IF(DO374="Menos que lo habitual",3,
IF(DO374="Mucho menos que lo habitual",4,""))))</f>
        <v>2</v>
      </c>
      <c r="DQ374" s="5" t="s">
        <v>231</v>
      </c>
      <c r="DR374" s="5">
        <f>IF(DQ374="Más que lo habitual",1,
IF(DQ374="Igual que lo habitual",2,
IF(DQ374="Menos que lo habitual",3,
IF(DQ374="Mucho menos que lo habitual",4,""))))</f>
        <v>2</v>
      </c>
      <c r="DS374" s="5" t="s">
        <v>231</v>
      </c>
      <c r="DT374" s="5">
        <f>IF(DS374="Más que lo habitual",1,
IF(DS374="Igual que lo habitual",2,
IF(DS374="Menos que lo habitual",3,
IF(DS374="Mucho menos que lo habitual",4,""))))</f>
        <v>2</v>
      </c>
      <c r="DU374" s="5" t="s">
        <v>231</v>
      </c>
      <c r="DV374" s="5">
        <f>IF(DU374="Más que lo habitual",1,
IF(DU374="Igual que lo habitual",2,
IF(DU374="Menos que lo habitual",3,
IF(DU374="Mucho menos que lo habitual",4,""))))</f>
        <v>2</v>
      </c>
      <c r="DW374" s="5" t="s">
        <v>231</v>
      </c>
      <c r="DX374" s="5">
        <f>IF(DW374="Más que lo habitual",1,
IF(DW374="Igual que lo habitual",2,
IF(DW374="Menos que lo habitual",3,
IF(DW374="Mucho menos que lo habitual",4,""))))</f>
        <v>2</v>
      </c>
      <c r="DY374" s="5">
        <f>SUM(DB374,DD374,DF374,DH374,DJ374,DL374,DN374,DP374,DR374,DT374,DV374,DX374)</f>
        <v>25</v>
      </c>
      <c r="DZ374" s="5" t="str">
        <f>IF(DY374&lt;=18,"Nivel de riesgo bajo",
IF(DY374&lt;=23,"Nivel de riesgo medio",
"Nivel de riesgo alto"))</f>
        <v>Nivel de riesgo alto</v>
      </c>
      <c r="EA374" s="5" t="s">
        <v>232</v>
      </c>
      <c r="EB374" s="5">
        <f>IF(EA374="Nunca/ casi nunca",0,
IF(EA374="Rara vez",1,
IF(EA374="A veces",2,
IF(EA374="A menudo",3,
IF(EA374="Siempre",4,"")))))</f>
        <v>3</v>
      </c>
      <c r="EC374" s="5" t="s">
        <v>232</v>
      </c>
      <c r="ED374" s="5">
        <f>IF(EC374="Nunca/ casi nunca",0,
IF(EC374="Rara vez",1,
IF(EC374="A veces",2,
IF(EC374="A menudo",3,
IF(EC374="Siempre",4,"")))))</f>
        <v>3</v>
      </c>
      <c r="EE374" s="5" t="s">
        <v>232</v>
      </c>
      <c r="EF374" s="5">
        <f>IF(EE374="Nunca/ casi nunca",0,
IF(EE374="Rara vez",1,
IF(EE374="A veces",2,
IF(EE374="A menudo",3,
IF(EE374="Siempre",4,"")))))</f>
        <v>3</v>
      </c>
      <c r="EG374" s="5">
        <f>SUM(EB374,ED374,EF374)</f>
        <v>9</v>
      </c>
      <c r="EH374" s="5" t="str">
        <f>IF(EG374&lt;=1,"Nivel de riesgo bajo",
IF(EG374&lt;=4,"Nivel de riesgo medio",
"Nivel de riesgo alto"))</f>
        <v>Nivel de riesgo alto</v>
      </c>
      <c r="EI374" s="5" t="s">
        <v>232</v>
      </c>
      <c r="EJ374" s="5">
        <f>IF(EI374="Nunca/ casi nunca",0,
IF(EI374="Rara vez",1,
IF(EI374="A veces",2,
IF(EI374="A menudo",3,
IF(EI374="Siempre",4,"")))))</f>
        <v>3</v>
      </c>
      <c r="EK374" s="5" t="s">
        <v>232</v>
      </c>
      <c r="EL374" s="5">
        <f>IF(EK374="Nunca/ casi nunca",0,
IF(EK374="Rara vez",1,
IF(EK374="A veces",2,
IF(EK374="A menudo",3,
IF(EK374="Siempre",4,"")))))</f>
        <v>3</v>
      </c>
      <c r="EM374" s="5" t="s">
        <v>232</v>
      </c>
      <c r="EN374" s="5">
        <f>IF(EM374="Nunca/ casi nunca",0,
IF(EM374="Rara vez",1,
IF(EM374="A veces",2,
IF(EM374="A menudo",3,
IF(EM374="Siempre",4,"")))))</f>
        <v>3</v>
      </c>
      <c r="EO374" s="5">
        <f>SUM(EJ374,EL374,EN374)</f>
        <v>9</v>
      </c>
      <c r="EP374" s="5" t="str">
        <f>IF(EO374&lt;=1,"Nivel de riesgo bajo",
IF(EO374&lt;=5,"Nivel de riesgo medio",
"Nivel de riesgo alto"))</f>
        <v>Nivel de riesgo alto</v>
      </c>
      <c r="EQ374" s="5" t="s">
        <v>232</v>
      </c>
      <c r="ER374" s="5">
        <f>IF(EQ374="Nunca/ casi nunca",4,
IF(EQ374="Rara vez",3,
IF(EQ374="A veces",2,
IF(EQ374="A menudo",1,
IF(EQ374="Siempre",0,"")))))</f>
        <v>1</v>
      </c>
      <c r="ES374" s="5" t="s">
        <v>232</v>
      </c>
      <c r="ET374" s="5">
        <f>IF(ES374="Nunca/ casi nunca",4,
IF(ES374="Rara vez",3,
IF(ES374="A veces",2,
IF(ES374="A menudo",1,
IF(ES374="Siempre",0,"")))))</f>
        <v>1</v>
      </c>
      <c r="EU374" s="5" t="s">
        <v>232</v>
      </c>
      <c r="EV374" s="5">
        <f>IF(EU374="Nunca/ casi nunca",4,
IF(EU374="Rara vez",3,
IF(EU374="A veces",2,
IF(EU374="A menudo",1,
IF(EU374="Siempre",0,"")))))</f>
        <v>1</v>
      </c>
      <c r="EW374" s="5" t="s">
        <v>232</v>
      </c>
      <c r="EX374" s="5">
        <f>IF(EW374="Nunca/ casi nunca",4,
IF(EW374="Rara vez",3,
IF(EW374="A veces",2,
IF(EW374="A menudo",1,
IF(EW374="Siempre",0,"")))))</f>
        <v>1</v>
      </c>
      <c r="EY374" s="5">
        <f>SUM(ER374,ET374,EV374,EX374)</f>
        <v>4</v>
      </c>
      <c r="EZ374" s="5" t="str">
        <f>IF(EY374&lt;=0,"Nivel de riesgo bajo",
IF(EY374&lt;=4,"Nivel de riesgo medio",
"Nivel de riesgo alto"))</f>
        <v>Nivel de riesgo medio</v>
      </c>
      <c r="FA374" s="5" t="s">
        <v>232</v>
      </c>
      <c r="FB374" s="5">
        <f>IF(FA374="Nunca/ casi nunca",0,
IF(FA374="Rara vez",1,
IF(FA374="A veces",2,
IF(FA374="A menudo",3,
IF(FA374="Siempre",4,"")))))</f>
        <v>3</v>
      </c>
      <c r="FC374" s="5" t="s">
        <v>232</v>
      </c>
      <c r="FD374" s="5">
        <f>IF(FC374="Nunca/ casi nunca",0,
IF(FC374="Rara vez",1,
IF(FC374="A veces",2,
IF(FC374="A menudo",3,
IF(FC374="Siempre",4,"")))))</f>
        <v>3</v>
      </c>
      <c r="FE374" s="5" t="s">
        <v>232</v>
      </c>
      <c r="FF374" s="5">
        <f>IF(FE374="Nunca/ casi nunca",0,
IF(FE374="Rara vez",1,
IF(FE374="A veces",2,
IF(FE374="A menudo",3,
IF(FE374="Siempre",4,"")))))</f>
        <v>3</v>
      </c>
      <c r="FG374" s="5">
        <f>SUM(FB374,FD374,FF374)</f>
        <v>9</v>
      </c>
      <c r="FH374" s="5" t="str">
        <f>IF(FG374&lt;=2,"Nivel de riesgo bajo",
IF(FG374&lt;=5,"Nivel de riesgo medio",
"Nivel de riesgo alto"))</f>
        <v>Nivel de riesgo alto</v>
      </c>
      <c r="FI374" s="5" t="s">
        <v>232</v>
      </c>
      <c r="FJ374" s="5">
        <f>IF(FI374="Nunca/ casi nunca",0,
IF(FI374="Rara vez",1,
IF(FI374="A veces",2,
IF(FI374="A menudo",3,
IF(FI374="Siempre",4,"")))))</f>
        <v>3</v>
      </c>
      <c r="FK374" s="5" t="s">
        <v>232</v>
      </c>
      <c r="FL374" s="5">
        <f>IF(FK374="Nunca/ casi nunca",0,
IF(FK374="Rara vez",1,
IF(FK374="A veces",2,
IF(FK374="A menudo",3,
IF(FK374="Siempre",4,"")))))</f>
        <v>3</v>
      </c>
      <c r="FM374" s="5" t="s">
        <v>232</v>
      </c>
      <c r="FN374" s="5">
        <f>IF(FM374="Nunca/ casi nunca",0,
IF(FM374="Rara vez",1,
IF(FM374="A veces",2,
IF(FM374="A menudo",3,
IF(FM374="Siempre",4,"")))))</f>
        <v>3</v>
      </c>
      <c r="FO374" s="5">
        <f>SUM(FJ374,FL374,FN374)</f>
        <v>9</v>
      </c>
      <c r="FP374" s="5" t="str">
        <f>IF(FO374&lt;=2,"Nivel de riesgo bajo",
IF(FO374&lt;=5,"Nivel de riesgo medio",
"Nivel de riesgo alto"))</f>
        <v>Nivel de riesgo alto</v>
      </c>
      <c r="FQ374" s="5" t="s">
        <v>206</v>
      </c>
      <c r="FR374" s="5">
        <f>IF(FQ374="No",0,
IF(FQ374="Sí, unas pocas veces",1,
IF(FQ374="Sí, mensualmente",2,
IF(FQ374="Sí, semanalmente",3,
IF(FQ374="Sí, diariamente",4,"")))))</f>
        <v>0</v>
      </c>
      <c r="FS374" s="5" t="s">
        <v>206</v>
      </c>
      <c r="FT374" s="5">
        <f>IF(FS374="No",0,
IF(FS374="Sí, unas pocas veces",1,
IF(FS374="Sí, mensualmente",2,
IF(FS374="Sí, semanalmente",3,
IF(FS374="Sí, diariamente",4,"")))))</f>
        <v>0</v>
      </c>
      <c r="FU374" s="5" t="s">
        <v>206</v>
      </c>
      <c r="FV374" s="5">
        <f>IF(FU374="No",0,
IF(FU374="Sí, unas pocas veces",1,
IF(FU374="Sí, mensualmente",2,
IF(FU374="Sí, semanalmente",3,
IF(FU374="Sí, diariamente",4,"")))))</f>
        <v>0</v>
      </c>
      <c r="FW374" s="5" t="s">
        <v>206</v>
      </c>
      <c r="FX374" s="5">
        <f>IF(FW374="No",0,
IF(FW374="Sí, unas pocas veces",1,
IF(FW374="Sí, mensualmente",2,
IF(FW374="Sí, semanalmente",3,
IF(FW374="Sí, diariamente",4,"")))))</f>
        <v>0</v>
      </c>
      <c r="FY374" s="5" t="s">
        <v>206</v>
      </c>
      <c r="FZ374" s="5">
        <f>IF(FY374="No",0,
IF(FY374="Sí, unas pocas veces",1,
IF(FY374="Sí, mensualmente",2,
IF(FY374="Sí, semanalmente",3,
IF(FY374="Sí, diariamente",4,"")))))</f>
        <v>0</v>
      </c>
      <c r="GA374" s="5" t="s">
        <v>206</v>
      </c>
      <c r="GB374" s="5">
        <f>IF(GA374="No",0,
IF(GA374="Sí, unas pocas veces",1,
IF(GA374="Sí, mensualmente",2,
IF(GA374="Sí, semanalmente",3,
IF(GA374="Sí, diariamente",4,"")))))</f>
        <v>0</v>
      </c>
      <c r="GC374" s="5" t="s">
        <v>206</v>
      </c>
      <c r="GD374" s="5">
        <f>IF(GC374="No",0,
IF(GC374="Sí, unas pocas veces",1,
IF(GC374="Sí, mensualmente",2,
IF(GC374="Sí, semanalmente",3,
IF(GC374="Sí, diariamente",4,"")))))</f>
        <v>0</v>
      </c>
      <c r="GE374" s="5">
        <f>SUM(FR374,FT374,FV374,FX374,FZ374,GB374,GD374)</f>
        <v>0</v>
      </c>
      <c r="GF374" s="5" t="str">
        <f>IF(GE374&lt;=0,"Nivel de riesgo bajo",
IF(GE374&lt;=14,"Nivel de riesgo medio",
"Nivel de riesgo alto"))</f>
        <v>Nivel de riesgo bajo</v>
      </c>
      <c r="GG374" s="5" t="s">
        <v>273</v>
      </c>
      <c r="GH374" s="5" t="s">
        <v>273</v>
      </c>
      <c r="GI374" s="5" t="s">
        <v>273</v>
      </c>
      <c r="GJ374" s="5" t="s">
        <v>273</v>
      </c>
      <c r="GK374" s="5" t="s">
        <v>233</v>
      </c>
      <c r="GL374" s="5" t="s">
        <v>233</v>
      </c>
      <c r="GM374" s="5" t="s">
        <v>233</v>
      </c>
      <c r="GN374" s="5" t="s">
        <v>257</v>
      </c>
      <c r="GO374" s="5" t="s">
        <v>257</v>
      </c>
      <c r="GP374" s="5" t="s">
        <v>257</v>
      </c>
      <c r="GQ374" s="5" t="s">
        <v>257</v>
      </c>
      <c r="GR374" s="5" t="s">
        <v>257</v>
      </c>
      <c r="GS374" s="5" t="s">
        <v>257</v>
      </c>
      <c r="GT374" s="5" t="s">
        <v>257</v>
      </c>
      <c r="GU374" s="5" t="s">
        <v>737</v>
      </c>
      <c r="GV374" s="5" t="str">
        <f>TEXT("6282674972357261219","0")</f>
        <v>6282674972357260000</v>
      </c>
    </row>
    <row r="375" spans="1:204" ht="15.75" hidden="1" customHeight="1" x14ac:dyDescent="0.15">
      <c r="B375" s="4">
        <v>45851.933587962965</v>
      </c>
      <c r="C375" s="5" t="s">
        <v>204</v>
      </c>
      <c r="D375" s="5" t="s">
        <v>206</v>
      </c>
      <c r="F375" s="5" t="s">
        <v>206</v>
      </c>
      <c r="G375" s="5" t="s">
        <v>204</v>
      </c>
      <c r="H375" s="5" t="s">
        <v>206</v>
      </c>
      <c r="K375" s="5" t="s">
        <v>237</v>
      </c>
      <c r="O375" s="5" t="s">
        <v>209</v>
      </c>
      <c r="T375" s="5" t="s">
        <v>209</v>
      </c>
      <c r="Y375" s="5" t="s">
        <v>209</v>
      </c>
      <c r="AD375" s="5" t="s">
        <v>209</v>
      </c>
      <c r="AH375" s="5" t="s">
        <v>275</v>
      </c>
      <c r="AI375" s="5">
        <v>2018</v>
      </c>
      <c r="AJ375" s="5" t="s">
        <v>293</v>
      </c>
      <c r="AK375" s="5"/>
      <c r="AR375" s="5" t="s">
        <v>241</v>
      </c>
      <c r="AS375" s="5" t="s">
        <v>241</v>
      </c>
      <c r="AT375" s="5" t="s">
        <v>241</v>
      </c>
      <c r="AU375" s="5" t="s">
        <v>241</v>
      </c>
      <c r="AV375" s="5" t="s">
        <v>213</v>
      </c>
      <c r="AW375" s="5" t="s">
        <v>206</v>
      </c>
      <c r="BF375" s="5" t="s">
        <v>204</v>
      </c>
      <c r="BG375" s="5" t="s">
        <v>278</v>
      </c>
      <c r="BH375" s="5" t="s">
        <v>278</v>
      </c>
      <c r="BI375" s="5" t="s">
        <v>242</v>
      </c>
      <c r="BJ375" s="5" t="s">
        <v>242</v>
      </c>
      <c r="BK375" s="5" t="s">
        <v>246</v>
      </c>
      <c r="BL375" s="5" t="s">
        <v>246</v>
      </c>
      <c r="BM375" s="5" t="s">
        <v>246</v>
      </c>
      <c r="BN375" s="5" t="s">
        <v>246</v>
      </c>
      <c r="BO375" s="5" t="s">
        <v>246</v>
      </c>
      <c r="BP375" s="5" t="s">
        <v>243</v>
      </c>
      <c r="BQ375" s="5" t="s">
        <v>246</v>
      </c>
      <c r="BR375" s="5" t="s">
        <v>244</v>
      </c>
      <c r="BS375" s="5" t="s">
        <v>247</v>
      </c>
      <c r="BT375" s="5" t="s">
        <v>247</v>
      </c>
      <c r="BU375" s="5" t="s">
        <v>248</v>
      </c>
      <c r="BV375" s="5" t="s">
        <v>248</v>
      </c>
      <c r="BW375" s="5" t="s">
        <v>217</v>
      </c>
      <c r="BX375" s="5" t="s">
        <v>217</v>
      </c>
      <c r="BY375" s="5" t="s">
        <v>217</v>
      </c>
      <c r="CD375" s="5" t="s">
        <v>204</v>
      </c>
      <c r="CE375" s="5" t="s">
        <v>286</v>
      </c>
      <c r="CF375" s="5" t="s">
        <v>219</v>
      </c>
      <c r="CG375" s="5" t="s">
        <v>220</v>
      </c>
      <c r="CH375" s="5" t="s">
        <v>738</v>
      </c>
      <c r="CI375" s="5" t="s">
        <v>347</v>
      </c>
      <c r="CJ375" s="5">
        <v>2</v>
      </c>
      <c r="CK375" s="5" t="s">
        <v>223</v>
      </c>
      <c r="CU375" s="5" t="s">
        <v>206</v>
      </c>
      <c r="DA375" s="5" t="s">
        <v>272</v>
      </c>
      <c r="DB375" s="5"/>
      <c r="DC375" s="5" t="s">
        <v>251</v>
      </c>
      <c r="DD375" s="5"/>
      <c r="DE375" s="5" t="s">
        <v>251</v>
      </c>
      <c r="DF375" s="5"/>
      <c r="DG375" s="5" t="s">
        <v>251</v>
      </c>
      <c r="DH375" s="5"/>
      <c r="DI375" s="5" t="s">
        <v>251</v>
      </c>
      <c r="DJ375" s="5"/>
      <c r="DK375" s="5" t="s">
        <v>251</v>
      </c>
      <c r="DL375" s="5"/>
      <c r="DM375" s="5" t="s">
        <v>251</v>
      </c>
      <c r="DN375" s="5"/>
      <c r="DO375" s="5" t="s">
        <v>281</v>
      </c>
      <c r="DP375" s="5"/>
      <c r="DQ375" s="5" t="s">
        <v>281</v>
      </c>
      <c r="DR375" s="5"/>
      <c r="DS375" s="5" t="s">
        <v>281</v>
      </c>
      <c r="DT375" s="5"/>
      <c r="DU375" s="5" t="s">
        <v>281</v>
      </c>
      <c r="DV375" s="5"/>
      <c r="DW375" s="5" t="s">
        <v>281</v>
      </c>
      <c r="DX375" s="5"/>
      <c r="DY375" s="5"/>
      <c r="DZ375" s="5"/>
      <c r="EA375" s="5" t="s">
        <v>247</v>
      </c>
      <c r="EB375" s="5"/>
      <c r="EC375" s="5" t="s">
        <v>247</v>
      </c>
      <c r="ED375" s="5"/>
      <c r="EE375" s="5" t="s">
        <v>248</v>
      </c>
      <c r="EF375" s="5"/>
      <c r="EG375" s="5"/>
      <c r="EH375" s="5"/>
      <c r="EI375" s="5" t="s">
        <v>253</v>
      </c>
      <c r="EJ375" s="5"/>
      <c r="EK375" s="5" t="s">
        <v>248</v>
      </c>
      <c r="EL375" s="5"/>
      <c r="EM375" s="5" t="s">
        <v>253</v>
      </c>
      <c r="EN375" s="5"/>
      <c r="EO375" s="5"/>
      <c r="EP375" s="5"/>
      <c r="EQ375" s="5" t="s">
        <v>253</v>
      </c>
      <c r="ER375" s="5"/>
      <c r="ES375" s="5" t="s">
        <v>253</v>
      </c>
      <c r="ET375" s="5"/>
      <c r="EU375" s="5" t="s">
        <v>253</v>
      </c>
      <c r="EV375" s="5"/>
      <c r="EW375" s="5" t="s">
        <v>253</v>
      </c>
      <c r="EX375" s="5"/>
      <c r="EY375" s="5"/>
      <c r="EZ375" s="5"/>
      <c r="FA375" s="5" t="s">
        <v>253</v>
      </c>
      <c r="FB375" s="5"/>
      <c r="FC375" s="5" t="s">
        <v>253</v>
      </c>
      <c r="FD375" s="5"/>
      <c r="FE375" s="5" t="s">
        <v>253</v>
      </c>
      <c r="FF375" s="5"/>
      <c r="FG375" s="5"/>
      <c r="FH375" s="5"/>
      <c r="FI375" s="5" t="s">
        <v>253</v>
      </c>
      <c r="FJ375" s="5"/>
      <c r="FK375" s="5" t="s">
        <v>253</v>
      </c>
      <c r="FL375" s="5"/>
      <c r="FM375" s="5" t="s">
        <v>253</v>
      </c>
      <c r="FN375" s="5"/>
      <c r="FO375" s="5"/>
      <c r="FP375" s="5"/>
      <c r="FQ375" s="5" t="s">
        <v>206</v>
      </c>
      <c r="FR375" s="5"/>
      <c r="FS375" s="5" t="s">
        <v>206</v>
      </c>
      <c r="FT375" s="5"/>
      <c r="FU375" s="5" t="s">
        <v>206</v>
      </c>
      <c r="FV375" s="5"/>
      <c r="FW375" s="5" t="s">
        <v>206</v>
      </c>
      <c r="FX375" s="5"/>
      <c r="FY375" s="5" t="s">
        <v>206</v>
      </c>
      <c r="FZ375" s="5"/>
      <c r="GA375" s="5" t="s">
        <v>206</v>
      </c>
      <c r="GB375" s="5"/>
      <c r="GC375" s="5" t="s">
        <v>206</v>
      </c>
      <c r="GD375" s="5"/>
      <c r="GE375" s="5"/>
      <c r="GF375" s="5"/>
      <c r="GG375" s="5" t="s">
        <v>255</v>
      </c>
      <c r="GH375" s="5" t="s">
        <v>255</v>
      </c>
      <c r="GI375" s="5" t="s">
        <v>255</v>
      </c>
      <c r="GJ375" s="5" t="s">
        <v>255</v>
      </c>
      <c r="GK375" s="5" t="s">
        <v>233</v>
      </c>
      <c r="GL375" s="5" t="s">
        <v>255</v>
      </c>
      <c r="GM375" s="5" t="s">
        <v>255</v>
      </c>
      <c r="GN375" s="5" t="s">
        <v>256</v>
      </c>
      <c r="GO375" s="5" t="s">
        <v>256</v>
      </c>
      <c r="GP375" s="5" t="s">
        <v>256</v>
      </c>
      <c r="GQ375" s="5" t="s">
        <v>256</v>
      </c>
      <c r="GR375" s="5" t="s">
        <v>256</v>
      </c>
      <c r="GS375" s="5" t="s">
        <v>256</v>
      </c>
      <c r="GT375" s="5" t="s">
        <v>256</v>
      </c>
      <c r="GU375" s="5" t="s">
        <v>739</v>
      </c>
      <c r="GV375" s="5" t="str">
        <f>TEXT("6282690627117994541","0")</f>
        <v>6282690627117990000</v>
      </c>
    </row>
    <row r="376" spans="1:204" ht="15.75" customHeight="1" x14ac:dyDescent="0.15">
      <c r="A376" s="1">
        <f t="shared" ref="A376:A384" si="1122">ROW(A376)</f>
        <v>376</v>
      </c>
      <c r="B376" s="4">
        <v>45851.966435185182</v>
      </c>
      <c r="C376" s="5" t="s">
        <v>204</v>
      </c>
      <c r="D376" s="5" t="s">
        <v>206</v>
      </c>
      <c r="F376" s="5" t="s">
        <v>206</v>
      </c>
      <c r="G376" s="5" t="s">
        <v>204</v>
      </c>
      <c r="H376" s="5" t="s">
        <v>206</v>
      </c>
      <c r="K376" s="5" t="s">
        <v>237</v>
      </c>
      <c r="O376" s="5" t="s">
        <v>209</v>
      </c>
      <c r="S376" s="5" t="s">
        <v>208</v>
      </c>
      <c r="X376" s="5" t="s">
        <v>208</v>
      </c>
      <c r="AC376" s="5" t="s">
        <v>208</v>
      </c>
      <c r="AH376" s="5" t="s">
        <v>210</v>
      </c>
      <c r="AI376" s="5">
        <v>2023</v>
      </c>
      <c r="AJ376" s="5" t="s">
        <v>238</v>
      </c>
      <c r="AK376" s="5" t="str">
        <f t="shared" ref="AK376:AK384" si="1123">IF(OR(AJ376="Empleada del sector privado",AJ376="Empleada del sector público"),"Asalariada",
IF(AJ376="Trabajadora por cuenta propia","Trabajadora por cuenta propia",""))</f>
        <v>Trabajadora por cuenta propia</v>
      </c>
      <c r="AL376" s="5" t="s">
        <v>239</v>
      </c>
      <c r="AO376" s="5" t="s">
        <v>390</v>
      </c>
      <c r="AP376" s="5" t="s">
        <v>240</v>
      </c>
      <c r="AR376" s="5" t="s">
        <v>261</v>
      </c>
      <c r="AS376" s="5" t="s">
        <v>261</v>
      </c>
      <c r="AT376" s="5" t="s">
        <v>261</v>
      </c>
      <c r="AU376" s="5" t="s">
        <v>261</v>
      </c>
      <c r="AV376" s="5" t="s">
        <v>285</v>
      </c>
      <c r="AW376" s="5" t="s">
        <v>204</v>
      </c>
      <c r="AX376" s="5" t="s">
        <v>206</v>
      </c>
      <c r="BF376" s="5" t="s">
        <v>204</v>
      </c>
      <c r="BG376" s="5" t="s">
        <v>278</v>
      </c>
      <c r="BH376" s="5" t="s">
        <v>278</v>
      </c>
      <c r="BI376" s="5" t="s">
        <v>278</v>
      </c>
      <c r="BJ376" s="5" t="s">
        <v>278</v>
      </c>
      <c r="BK376" s="5" t="s">
        <v>245</v>
      </c>
      <c r="BL376" s="5" t="s">
        <v>245</v>
      </c>
      <c r="BM376" s="5" t="s">
        <v>245</v>
      </c>
      <c r="BN376" s="5" t="s">
        <v>245</v>
      </c>
      <c r="BO376" s="5" t="s">
        <v>243</v>
      </c>
      <c r="BP376" s="5" t="s">
        <v>245</v>
      </c>
      <c r="BQ376" s="5" t="s">
        <v>245</v>
      </c>
      <c r="BR376" s="5" t="s">
        <v>245</v>
      </c>
      <c r="BS376" s="5" t="s">
        <v>248</v>
      </c>
      <c r="BT376" s="5" t="s">
        <v>247</v>
      </c>
      <c r="BU376" s="5" t="s">
        <v>248</v>
      </c>
      <c r="BV376" s="5" t="s">
        <v>248</v>
      </c>
      <c r="BW376" s="5" t="s">
        <v>248</v>
      </c>
      <c r="BX376" s="5" t="s">
        <v>248</v>
      </c>
      <c r="BY376" s="5" t="s">
        <v>248</v>
      </c>
      <c r="BZ376" s="5" t="s">
        <v>246</v>
      </c>
      <c r="CA376" s="5" t="s">
        <v>246</v>
      </c>
      <c r="CB376" s="5" t="s">
        <v>245</v>
      </c>
      <c r="CC376" s="5" t="s">
        <v>246</v>
      </c>
      <c r="CD376" s="5" t="s">
        <v>206</v>
      </c>
      <c r="CH376" s="5" t="s">
        <v>206</v>
      </c>
      <c r="CI376" s="5" t="s">
        <v>307</v>
      </c>
      <c r="CJ376" s="5">
        <v>3</v>
      </c>
      <c r="CO376" s="5" t="s">
        <v>433</v>
      </c>
      <c r="CU376" s="5" t="s">
        <v>204</v>
      </c>
      <c r="CV376" s="5" t="s">
        <v>350</v>
      </c>
      <c r="CW376" s="5" t="s">
        <v>351</v>
      </c>
      <c r="CX376" s="5" t="s">
        <v>352</v>
      </c>
      <c r="CY376" s="5" t="s">
        <v>359</v>
      </c>
      <c r="CZ376" s="5" t="s">
        <v>228</v>
      </c>
      <c r="DA376" s="5" t="s">
        <v>231</v>
      </c>
      <c r="DB376" s="5">
        <f t="shared" ref="DB376:DB384" si="1124">IF(DA376="Mejor que lo habitual",1,
IF(DA376="Igual que lo habitual",2,
IF(DA376="Menos que lo habitual",3,
IF(DA376="Mucho menos que lo habitual",4,""))))</f>
        <v>2</v>
      </c>
      <c r="DC376" s="5" t="s">
        <v>250</v>
      </c>
      <c r="DD376" s="5">
        <f t="shared" ref="DD376:DD384" si="1125">IF(DC376="No, en absoluto",1,
IF(DC376="No más que lo habitual",2,
IF(DC376="Bastante más que lo habitual",3,
IF(DC376="Mucho más que lo habitual",4,""))))</f>
        <v>3</v>
      </c>
      <c r="DE376" s="5" t="s">
        <v>230</v>
      </c>
      <c r="DF376" s="5">
        <f t="shared" ref="DF376:DF384" si="1126">IF(DE376="No, en absoluto",1,
IF(DE376="No más que lo habitual",2,
IF(DE376="Bastante más que lo habitual",3,
IF(DE376="Mucho más que lo habitual",4,""))))</f>
        <v>2</v>
      </c>
      <c r="DG376" s="5" t="s">
        <v>230</v>
      </c>
      <c r="DH376" s="5">
        <f t="shared" ref="DH376:DH384" si="1127">IF(DG376="No, en absoluto",1,
IF(DG376="No más que lo habitual",2,
IF(DG376="Bastante más que lo habitual",3,
IF(DG376="Mucho más que lo habitual",4,""))))</f>
        <v>2</v>
      </c>
      <c r="DI376" s="5" t="s">
        <v>230</v>
      </c>
      <c r="DJ376" s="5">
        <f t="shared" ref="DJ376:DJ384" si="1128">IF(DI376="No, en absoluto",1,
IF(DI376="No más que lo habitual",2,
IF(DI376="Bastante más que lo habitual",3,
IF(DI376="Mucho más que lo habitual",4,""))))</f>
        <v>2</v>
      </c>
      <c r="DK376" s="5" t="s">
        <v>250</v>
      </c>
      <c r="DL376" s="5">
        <f t="shared" ref="DL376:DL384" si="1129">IF(DK376="No, en absoluto",1,
IF(DK376="No más que lo habitual",2,
IF(DK376="Bastante más que lo habitual",3,
IF(DK376="Mucho más que lo habitual",4,""))))</f>
        <v>3</v>
      </c>
      <c r="DM376" s="5" t="s">
        <v>230</v>
      </c>
      <c r="DN376" s="5">
        <f t="shared" ref="DN376:DN384" si="1130">IF(DM376="No, en absoluto",1,
IF(DM376="No más que lo habitual",2,
IF(DM376="Bastante más que lo habitual",3,
IF(DM376="Mucho más que lo habitual",4,""))))</f>
        <v>2</v>
      </c>
      <c r="DO376" s="5" t="s">
        <v>231</v>
      </c>
      <c r="DP376" s="5">
        <f t="shared" ref="DP376:DP384" si="1131">IF(DO376="Más que lo habitual",1,
IF(DO376="Igual que lo habitual",2,
IF(DO376="Menos que lo habitual",3,
IF(DO376="Mucho menos que lo habitual",4,""))))</f>
        <v>2</v>
      </c>
      <c r="DQ376" s="5" t="s">
        <v>231</v>
      </c>
      <c r="DR376" s="5">
        <f t="shared" ref="DR376:DR384" si="1132">IF(DQ376="Más que lo habitual",1,
IF(DQ376="Igual que lo habitual",2,
IF(DQ376="Menos que lo habitual",3,
IF(DQ376="Mucho menos que lo habitual",4,""))))</f>
        <v>2</v>
      </c>
      <c r="DS376" s="5" t="s">
        <v>231</v>
      </c>
      <c r="DT376" s="5">
        <f t="shared" ref="DT376:DT384" si="1133">IF(DS376="Más que lo habitual",1,
IF(DS376="Igual que lo habitual",2,
IF(DS376="Menos que lo habitual",3,
IF(DS376="Mucho menos que lo habitual",4,""))))</f>
        <v>2</v>
      </c>
      <c r="DU376" s="5" t="s">
        <v>231</v>
      </c>
      <c r="DV376" s="5">
        <f t="shared" ref="DV376:DV384" si="1134">IF(DU376="Más que lo habitual",1,
IF(DU376="Igual que lo habitual",2,
IF(DU376="Menos que lo habitual",3,
IF(DU376="Mucho menos que lo habitual",4,""))))</f>
        <v>2</v>
      </c>
      <c r="DW376" s="5" t="s">
        <v>231</v>
      </c>
      <c r="DX376" s="5">
        <f t="shared" ref="DX376:DX384" si="1135">IF(DW376="Más que lo habitual",1,
IF(DW376="Igual que lo habitual",2,
IF(DW376="Menos que lo habitual",3,
IF(DW376="Mucho menos que lo habitual",4,""))))</f>
        <v>2</v>
      </c>
      <c r="DY376" s="5">
        <f t="shared" ref="DY376:DY384" si="1136">SUM(DB376,DD376,DF376,DH376,DJ376,DL376,DN376,DP376,DR376,DT376,DV376,DX376)</f>
        <v>26</v>
      </c>
      <c r="DZ376" s="5" t="str">
        <f t="shared" ref="DZ376:DZ384" si="1137">IF(DY376&lt;=18,"Nivel de riesgo bajo",
IF(DY376&lt;=23,"Nivel de riesgo medio",
"Nivel de riesgo alto"))</f>
        <v>Nivel de riesgo alto</v>
      </c>
      <c r="EA376" s="5" t="s">
        <v>247</v>
      </c>
      <c r="EB376" s="5">
        <f t="shared" ref="EB376:EB384" si="1138">IF(EA376="Nunca/ casi nunca",0,
IF(EA376="Rara vez",1,
IF(EA376="A veces",2,
IF(EA376="A menudo",3,
IF(EA376="Siempre",4,"")))))</f>
        <v>2</v>
      </c>
      <c r="EC376" s="5" t="s">
        <v>232</v>
      </c>
      <c r="ED376" s="5">
        <f t="shared" ref="ED376:ED384" si="1139">IF(EC376="Nunca/ casi nunca",0,
IF(EC376="Rara vez",1,
IF(EC376="A veces",2,
IF(EC376="A menudo",3,
IF(EC376="Siempre",4,"")))))</f>
        <v>3</v>
      </c>
      <c r="EE376" s="5" t="s">
        <v>247</v>
      </c>
      <c r="EF376" s="5">
        <f t="shared" ref="EF376:EF384" si="1140">IF(EE376="Nunca/ casi nunca",0,
IF(EE376="Rara vez",1,
IF(EE376="A veces",2,
IF(EE376="A menudo",3,
IF(EE376="Siempre",4,"")))))</f>
        <v>2</v>
      </c>
      <c r="EG376" s="5">
        <f t="shared" ref="EG376:EG384" si="1141">SUM(EB376,ED376,EF376)</f>
        <v>7</v>
      </c>
      <c r="EH376" s="5" t="str">
        <f t="shared" ref="EH376:EH384" si="1142">IF(EG376&lt;=1,"Nivel de riesgo bajo",
IF(EG376&lt;=4,"Nivel de riesgo medio",
"Nivel de riesgo alto"))</f>
        <v>Nivel de riesgo alto</v>
      </c>
      <c r="EI376" s="5" t="s">
        <v>248</v>
      </c>
      <c r="EJ376" s="5">
        <f t="shared" ref="EJ376:EJ384" si="1143">IF(EI376="Nunca/ casi nunca",0,
IF(EI376="Rara vez",1,
IF(EI376="A veces",2,
IF(EI376="A menudo",3,
IF(EI376="Siempre",4,"")))))</f>
        <v>1</v>
      </c>
      <c r="EK376" s="5" t="s">
        <v>248</v>
      </c>
      <c r="EL376" s="5">
        <f t="shared" ref="EL376:EL384" si="1144">IF(EK376="Nunca/ casi nunca",0,
IF(EK376="Rara vez",1,
IF(EK376="A veces",2,
IF(EK376="A menudo",3,
IF(EK376="Siempre",4,"")))))</f>
        <v>1</v>
      </c>
      <c r="EM376" s="5" t="s">
        <v>248</v>
      </c>
      <c r="EN376" s="5">
        <f t="shared" ref="EN376:EN384" si="1145">IF(EM376="Nunca/ casi nunca",0,
IF(EM376="Rara vez",1,
IF(EM376="A veces",2,
IF(EM376="A menudo",3,
IF(EM376="Siempre",4,"")))))</f>
        <v>1</v>
      </c>
      <c r="EO376" s="5">
        <f t="shared" ref="EO376:EO384" si="1146">SUM(EJ376,EL376,EN376)</f>
        <v>3</v>
      </c>
      <c r="EP376" s="5" t="str">
        <f t="shared" ref="EP376:EP384" si="1147">IF(EO376&lt;=1,"Nivel de riesgo bajo",
IF(EO376&lt;=5,"Nivel de riesgo medio",
"Nivel de riesgo alto"))</f>
        <v>Nivel de riesgo medio</v>
      </c>
      <c r="EQ376" s="5" t="s">
        <v>232</v>
      </c>
      <c r="ER376" s="5">
        <f t="shared" ref="ER376:ER384" si="1148">IF(EQ376="Nunca/ casi nunca",4,
IF(EQ376="Rara vez",3,
IF(EQ376="A veces",2,
IF(EQ376="A menudo",1,
IF(EQ376="Siempre",0,"")))))</f>
        <v>1</v>
      </c>
      <c r="ES376" s="5" t="s">
        <v>247</v>
      </c>
      <c r="ET376" s="5">
        <f t="shared" ref="ET376:ET384" si="1149">IF(ES376="Nunca/ casi nunca",4,
IF(ES376="Rara vez",3,
IF(ES376="A veces",2,
IF(ES376="A menudo",1,
IF(ES376="Siempre",0,"")))))</f>
        <v>2</v>
      </c>
      <c r="EU376" s="5" t="s">
        <v>232</v>
      </c>
      <c r="EV376" s="5">
        <f t="shared" ref="EV376:EV384" si="1150">IF(EU376="Nunca/ casi nunca",4,
IF(EU376="Rara vez",3,
IF(EU376="A veces",2,
IF(EU376="A menudo",1,
IF(EU376="Siempre",0,"")))))</f>
        <v>1</v>
      </c>
      <c r="EW376" s="5" t="s">
        <v>232</v>
      </c>
      <c r="EX376" s="5">
        <f t="shared" ref="EX376:EX384" si="1151">IF(EW376="Nunca/ casi nunca",4,
IF(EW376="Rara vez",3,
IF(EW376="A veces",2,
IF(EW376="A menudo",1,
IF(EW376="Siempre",0,"")))))</f>
        <v>1</v>
      </c>
      <c r="EY376" s="5">
        <f t="shared" ref="EY376:EY384" si="1152">SUM(ER376,ET376,EV376,EX376)</f>
        <v>5</v>
      </c>
      <c r="EZ376" s="5" t="str">
        <f t="shared" ref="EZ376:EZ384" si="1153">IF(EY376&lt;=0,"Nivel de riesgo bajo",
IF(EY376&lt;=4,"Nivel de riesgo medio",
"Nivel de riesgo alto"))</f>
        <v>Nivel de riesgo alto</v>
      </c>
      <c r="FA376" s="5" t="s">
        <v>248</v>
      </c>
      <c r="FB376" s="5">
        <f t="shared" ref="FB376:FB384" si="1154">IF(FA376="Nunca/ casi nunca",0,
IF(FA376="Rara vez",1,
IF(FA376="A veces",2,
IF(FA376="A menudo",3,
IF(FA376="Siempre",4,"")))))</f>
        <v>1</v>
      </c>
      <c r="FC376" s="5" t="s">
        <v>253</v>
      </c>
      <c r="FD376" s="5">
        <f t="shared" ref="FD376:FD384" si="1155">IF(FC376="Nunca/ casi nunca",0,
IF(FC376="Rara vez",1,
IF(FC376="A veces",2,
IF(FC376="A menudo",3,
IF(FC376="Siempre",4,"")))))</f>
        <v>0</v>
      </c>
      <c r="FE376" s="5" t="s">
        <v>247</v>
      </c>
      <c r="FF376" s="5">
        <f t="shared" ref="FF376:FF384" si="1156">IF(FE376="Nunca/ casi nunca",0,
IF(FE376="Rara vez",1,
IF(FE376="A veces",2,
IF(FE376="A menudo",3,
IF(FE376="Siempre",4,"")))))</f>
        <v>2</v>
      </c>
      <c r="FG376" s="5">
        <f t="shared" ref="FG376:FG384" si="1157">SUM(FB376,FD376,FF376)</f>
        <v>3</v>
      </c>
      <c r="FH376" s="5" t="str">
        <f t="shared" ref="FH376:FH384" si="1158">IF(FG376&lt;=2,"Nivel de riesgo bajo",
IF(FG376&lt;=5,"Nivel de riesgo medio",
"Nivel de riesgo alto"))</f>
        <v>Nivel de riesgo medio</v>
      </c>
      <c r="FI376" s="5" t="s">
        <v>253</v>
      </c>
      <c r="FJ376" s="5">
        <f t="shared" ref="FJ376:FJ384" si="1159">IF(FI376="Nunca/ casi nunca",0,
IF(FI376="Rara vez",1,
IF(FI376="A veces",2,
IF(FI376="A menudo",3,
IF(FI376="Siempre",4,"")))))</f>
        <v>0</v>
      </c>
      <c r="FK376" s="5" t="s">
        <v>248</v>
      </c>
      <c r="FL376" s="5">
        <f t="shared" ref="FL376:FL384" si="1160">IF(FK376="Nunca/ casi nunca",0,
IF(FK376="Rara vez",1,
IF(FK376="A veces",2,
IF(FK376="A menudo",3,
IF(FK376="Siempre",4,"")))))</f>
        <v>1</v>
      </c>
      <c r="FM376" s="5" t="s">
        <v>248</v>
      </c>
      <c r="FN376" s="5">
        <f t="shared" ref="FN376:FN384" si="1161">IF(FM376="Nunca/ casi nunca",0,
IF(FM376="Rara vez",1,
IF(FM376="A veces",2,
IF(FM376="A menudo",3,
IF(FM376="Siempre",4,"")))))</f>
        <v>1</v>
      </c>
      <c r="FO376" s="5">
        <f t="shared" ref="FO376:FO384" si="1162">SUM(FJ376,FL376,FN376)</f>
        <v>2</v>
      </c>
      <c r="FP376" s="5" t="str">
        <f t="shared" ref="FP376:FP384" si="1163">IF(FO376&lt;=2,"Nivel de riesgo bajo",
IF(FO376&lt;=5,"Nivel de riesgo medio",
"Nivel de riesgo alto"))</f>
        <v>Nivel de riesgo bajo</v>
      </c>
      <c r="FQ376" s="5" t="s">
        <v>206</v>
      </c>
      <c r="FR376" s="5">
        <f t="shared" ref="FR376:FR384" si="1164">IF(FQ376="No",0,
IF(FQ376="Sí, unas pocas veces",1,
IF(FQ376="Sí, mensualmente",2,
IF(FQ376="Sí, semanalmente",3,
IF(FQ376="Sí, diariamente",4,"")))))</f>
        <v>0</v>
      </c>
      <c r="FS376" s="5" t="s">
        <v>206</v>
      </c>
      <c r="FT376" s="5">
        <f t="shared" ref="FT376:FT384" si="1165">IF(FS376="No",0,
IF(FS376="Sí, unas pocas veces",1,
IF(FS376="Sí, mensualmente",2,
IF(FS376="Sí, semanalmente",3,
IF(FS376="Sí, diariamente",4,"")))))</f>
        <v>0</v>
      </c>
      <c r="FU376" s="5" t="s">
        <v>206</v>
      </c>
      <c r="FV376" s="5">
        <f t="shared" ref="FV376:FV384" si="1166">IF(FU376="No",0,
IF(FU376="Sí, unas pocas veces",1,
IF(FU376="Sí, mensualmente",2,
IF(FU376="Sí, semanalmente",3,
IF(FU376="Sí, diariamente",4,"")))))</f>
        <v>0</v>
      </c>
      <c r="FW376" s="5" t="s">
        <v>206</v>
      </c>
      <c r="FX376" s="5">
        <f t="shared" ref="FX376:FX384" si="1167">IF(FW376="No",0,
IF(FW376="Sí, unas pocas veces",1,
IF(FW376="Sí, mensualmente",2,
IF(FW376="Sí, semanalmente",3,
IF(FW376="Sí, diariamente",4,"")))))</f>
        <v>0</v>
      </c>
      <c r="FY376" s="5" t="s">
        <v>206</v>
      </c>
      <c r="FZ376" s="5">
        <f t="shared" ref="FZ376:FZ384" si="1168">IF(FY376="No",0,
IF(FY376="Sí, unas pocas veces",1,
IF(FY376="Sí, mensualmente",2,
IF(FY376="Sí, semanalmente",3,
IF(FY376="Sí, diariamente",4,"")))))</f>
        <v>0</v>
      </c>
      <c r="GA376" s="5" t="s">
        <v>206</v>
      </c>
      <c r="GB376" s="5">
        <f t="shared" ref="GB376:GB384" si="1169">IF(GA376="No",0,
IF(GA376="Sí, unas pocas veces",1,
IF(GA376="Sí, mensualmente",2,
IF(GA376="Sí, semanalmente",3,
IF(GA376="Sí, diariamente",4,"")))))</f>
        <v>0</v>
      </c>
      <c r="GC376" s="5" t="s">
        <v>206</v>
      </c>
      <c r="GD376" s="5">
        <f t="shared" ref="GD376:GD384" si="1170">IF(GC376="No",0,
IF(GC376="Sí, unas pocas veces",1,
IF(GC376="Sí, mensualmente",2,
IF(GC376="Sí, semanalmente",3,
IF(GC376="Sí, diariamente",4,"")))))</f>
        <v>0</v>
      </c>
      <c r="GE376" s="5">
        <f t="shared" ref="GE376:GE384" si="1171">SUM(FR376,FT376,FV376,FX376,FZ376,GB376,GD376)</f>
        <v>0</v>
      </c>
      <c r="GF376" s="5" t="str">
        <f t="shared" ref="GF376:GF384" si="1172">IF(GE376&lt;=0,"Nivel de riesgo bajo",
IF(GE376&lt;=14,"Nivel de riesgo medio",
"Nivel de riesgo alto"))</f>
        <v>Nivel de riesgo bajo</v>
      </c>
      <c r="GG376" s="5" t="s">
        <v>255</v>
      </c>
      <c r="GH376" s="5" t="s">
        <v>273</v>
      </c>
      <c r="GI376" s="5" t="s">
        <v>255</v>
      </c>
      <c r="GJ376" s="5" t="s">
        <v>255</v>
      </c>
      <c r="GK376" s="5" t="s">
        <v>233</v>
      </c>
      <c r="GL376" s="5" t="s">
        <v>255</v>
      </c>
      <c r="GM376" s="5" t="s">
        <v>255</v>
      </c>
      <c r="GN376" s="5" t="s">
        <v>256</v>
      </c>
      <c r="GO376" s="5" t="s">
        <v>256</v>
      </c>
      <c r="GP376" s="5" t="s">
        <v>256</v>
      </c>
      <c r="GQ376" s="5" t="s">
        <v>256</v>
      </c>
      <c r="GR376" s="5" t="s">
        <v>256</v>
      </c>
      <c r="GS376" s="5" t="s">
        <v>256</v>
      </c>
      <c r="GT376" s="5" t="s">
        <v>256</v>
      </c>
      <c r="GU376" s="5" t="s">
        <v>740</v>
      </c>
      <c r="GV376" s="5" t="str">
        <f>TEXT("6282719005195697944","0")</f>
        <v>6282719005195690000</v>
      </c>
    </row>
    <row r="377" spans="1:204" ht="15.75" customHeight="1" x14ac:dyDescent="0.15">
      <c r="A377" s="1">
        <f t="shared" si="1122"/>
        <v>377</v>
      </c>
      <c r="B377" s="4">
        <v>45851.97315972222</v>
      </c>
      <c r="C377" s="5" t="s">
        <v>204</v>
      </c>
      <c r="D377" s="5" t="s">
        <v>206</v>
      </c>
      <c r="F377" s="5" t="s">
        <v>204</v>
      </c>
      <c r="G377" s="5" t="s">
        <v>204</v>
      </c>
      <c r="H377" s="5" t="s">
        <v>206</v>
      </c>
      <c r="K377" s="5" t="s">
        <v>237</v>
      </c>
      <c r="N377" s="5" t="s">
        <v>208</v>
      </c>
      <c r="S377" s="5" t="s">
        <v>208</v>
      </c>
      <c r="Y377" s="5" t="s">
        <v>209</v>
      </c>
      <c r="AD377" s="5" t="s">
        <v>209</v>
      </c>
      <c r="AH377" s="5" t="s">
        <v>210</v>
      </c>
      <c r="AI377" s="5">
        <v>2015</v>
      </c>
      <c r="AJ377" s="5" t="s">
        <v>238</v>
      </c>
      <c r="AK377" s="5" t="str">
        <f t="shared" si="1123"/>
        <v>Trabajadora por cuenta propia</v>
      </c>
      <c r="AN377" s="5" t="s">
        <v>288</v>
      </c>
      <c r="AP377" s="5" t="s">
        <v>321</v>
      </c>
      <c r="AR377" s="5" t="s">
        <v>241</v>
      </c>
      <c r="AS377" s="5" t="s">
        <v>241</v>
      </c>
      <c r="AT377" s="5" t="s">
        <v>261</v>
      </c>
      <c r="AU377" s="5" t="s">
        <v>261</v>
      </c>
      <c r="AV377" s="5" t="s">
        <v>302</v>
      </c>
      <c r="AW377" s="5" t="s">
        <v>206</v>
      </c>
      <c r="BF377" s="5" t="s">
        <v>204</v>
      </c>
      <c r="BG377" s="5" t="s">
        <v>278</v>
      </c>
      <c r="BH377" s="5" t="s">
        <v>242</v>
      </c>
      <c r="BI377" s="5" t="s">
        <v>278</v>
      </c>
      <c r="BJ377" s="5" t="s">
        <v>271</v>
      </c>
      <c r="BK377" s="5" t="s">
        <v>245</v>
      </c>
      <c r="BL377" s="5" t="s">
        <v>243</v>
      </c>
      <c r="BM377" s="5" t="s">
        <v>243</v>
      </c>
      <c r="BN377" s="5" t="s">
        <v>245</v>
      </c>
      <c r="BO377" s="5" t="s">
        <v>243</v>
      </c>
      <c r="BP377" s="5" t="s">
        <v>245</v>
      </c>
      <c r="BQ377" s="5" t="s">
        <v>245</v>
      </c>
      <c r="BR377" s="5" t="s">
        <v>246</v>
      </c>
      <c r="BS377" s="5" t="s">
        <v>254</v>
      </c>
      <c r="BT377" s="5" t="s">
        <v>232</v>
      </c>
      <c r="BU377" s="5" t="s">
        <v>232</v>
      </c>
      <c r="BV377" s="5" t="s">
        <v>232</v>
      </c>
      <c r="BW377" s="5" t="s">
        <v>232</v>
      </c>
      <c r="BX377" s="5" t="s">
        <v>232</v>
      </c>
      <c r="BY377" s="5" t="s">
        <v>232</v>
      </c>
      <c r="CD377" s="5" t="s">
        <v>204</v>
      </c>
      <c r="CE377" s="5" t="s">
        <v>286</v>
      </c>
      <c r="CF377" s="5" t="s">
        <v>219</v>
      </c>
      <c r="CG377" s="5" t="s">
        <v>206</v>
      </c>
      <c r="CH377" s="5" t="s">
        <v>206</v>
      </c>
      <c r="CI377" s="5" t="s">
        <v>206</v>
      </c>
      <c r="CJ377" s="5">
        <v>0</v>
      </c>
      <c r="CK377" s="5" t="s">
        <v>223</v>
      </c>
      <c r="CU377" s="5" t="s">
        <v>206</v>
      </c>
      <c r="DA377" s="5" t="s">
        <v>252</v>
      </c>
      <c r="DB377" s="5">
        <f t="shared" si="1124"/>
        <v>3</v>
      </c>
      <c r="DC377" s="5" t="s">
        <v>250</v>
      </c>
      <c r="DD377" s="5">
        <f t="shared" si="1125"/>
        <v>3</v>
      </c>
      <c r="DE377" s="5" t="s">
        <v>250</v>
      </c>
      <c r="DF377" s="5">
        <f t="shared" si="1126"/>
        <v>3</v>
      </c>
      <c r="DG377" s="5" t="s">
        <v>230</v>
      </c>
      <c r="DH377" s="5">
        <f t="shared" si="1127"/>
        <v>2</v>
      </c>
      <c r="DI377" s="5" t="s">
        <v>230</v>
      </c>
      <c r="DJ377" s="5">
        <f t="shared" si="1128"/>
        <v>2</v>
      </c>
      <c r="DK377" s="5" t="s">
        <v>230</v>
      </c>
      <c r="DL377" s="5">
        <f t="shared" si="1129"/>
        <v>2</v>
      </c>
      <c r="DM377" s="5" t="s">
        <v>251</v>
      </c>
      <c r="DN377" s="5">
        <f t="shared" si="1130"/>
        <v>1</v>
      </c>
      <c r="DO377" s="5" t="s">
        <v>231</v>
      </c>
      <c r="DP377" s="5">
        <f t="shared" si="1131"/>
        <v>2</v>
      </c>
      <c r="DQ377" s="5" t="s">
        <v>281</v>
      </c>
      <c r="DR377" s="5">
        <f t="shared" si="1132"/>
        <v>1</v>
      </c>
      <c r="DS377" s="5" t="s">
        <v>281</v>
      </c>
      <c r="DT377" s="5">
        <f t="shared" si="1133"/>
        <v>1</v>
      </c>
      <c r="DU377" s="5" t="s">
        <v>231</v>
      </c>
      <c r="DV377" s="5">
        <f t="shared" si="1134"/>
        <v>2</v>
      </c>
      <c r="DW377" s="5" t="s">
        <v>231</v>
      </c>
      <c r="DX377" s="5">
        <f t="shared" si="1135"/>
        <v>2</v>
      </c>
      <c r="DY377" s="5">
        <f t="shared" si="1136"/>
        <v>24</v>
      </c>
      <c r="DZ377" s="5" t="str">
        <f t="shared" si="1137"/>
        <v>Nivel de riesgo alto</v>
      </c>
      <c r="EA377" s="5" t="s">
        <v>232</v>
      </c>
      <c r="EB377" s="5">
        <f t="shared" si="1138"/>
        <v>3</v>
      </c>
      <c r="EC377" s="5" t="s">
        <v>232</v>
      </c>
      <c r="ED377" s="5">
        <f t="shared" si="1139"/>
        <v>3</v>
      </c>
      <c r="EE377" s="5" t="s">
        <v>247</v>
      </c>
      <c r="EF377" s="5">
        <f t="shared" si="1140"/>
        <v>2</v>
      </c>
      <c r="EG377" s="5">
        <f t="shared" si="1141"/>
        <v>8</v>
      </c>
      <c r="EH377" s="5" t="str">
        <f t="shared" si="1142"/>
        <v>Nivel de riesgo alto</v>
      </c>
      <c r="EI377" s="5" t="s">
        <v>232</v>
      </c>
      <c r="EJ377" s="5">
        <f t="shared" si="1143"/>
        <v>3</v>
      </c>
      <c r="EK377" s="5" t="s">
        <v>232</v>
      </c>
      <c r="EL377" s="5">
        <f t="shared" si="1144"/>
        <v>3</v>
      </c>
      <c r="EM377" s="5" t="s">
        <v>232</v>
      </c>
      <c r="EN377" s="5">
        <f t="shared" si="1145"/>
        <v>3</v>
      </c>
      <c r="EO377" s="5">
        <f t="shared" si="1146"/>
        <v>9</v>
      </c>
      <c r="EP377" s="5" t="str">
        <f t="shared" si="1147"/>
        <v>Nivel de riesgo alto</v>
      </c>
      <c r="EQ377" s="5" t="s">
        <v>247</v>
      </c>
      <c r="ER377" s="5">
        <f t="shared" si="1148"/>
        <v>2</v>
      </c>
      <c r="ES377" s="5" t="s">
        <v>232</v>
      </c>
      <c r="ET377" s="5">
        <f t="shared" si="1149"/>
        <v>1</v>
      </c>
      <c r="EU377" s="5" t="s">
        <v>247</v>
      </c>
      <c r="EV377" s="5">
        <f t="shared" si="1150"/>
        <v>2</v>
      </c>
      <c r="EW377" s="5" t="s">
        <v>247</v>
      </c>
      <c r="EX377" s="5">
        <f t="shared" si="1151"/>
        <v>2</v>
      </c>
      <c r="EY377" s="5">
        <f t="shared" si="1152"/>
        <v>7</v>
      </c>
      <c r="EZ377" s="5" t="str">
        <f t="shared" si="1153"/>
        <v>Nivel de riesgo alto</v>
      </c>
      <c r="FA377" s="5" t="s">
        <v>232</v>
      </c>
      <c r="FB377" s="5">
        <f t="shared" si="1154"/>
        <v>3</v>
      </c>
      <c r="FC377" s="5" t="s">
        <v>247</v>
      </c>
      <c r="FD377" s="5">
        <f t="shared" si="1155"/>
        <v>2</v>
      </c>
      <c r="FE377" s="5" t="s">
        <v>247</v>
      </c>
      <c r="FF377" s="5">
        <f t="shared" si="1156"/>
        <v>2</v>
      </c>
      <c r="FG377" s="5">
        <f t="shared" si="1157"/>
        <v>7</v>
      </c>
      <c r="FH377" s="5" t="str">
        <f t="shared" si="1158"/>
        <v>Nivel de riesgo alto</v>
      </c>
      <c r="FI377" s="5" t="s">
        <v>247</v>
      </c>
      <c r="FJ377" s="5">
        <f t="shared" si="1159"/>
        <v>2</v>
      </c>
      <c r="FK377" s="5" t="s">
        <v>247</v>
      </c>
      <c r="FL377" s="5">
        <f t="shared" si="1160"/>
        <v>2</v>
      </c>
      <c r="FM377" s="5" t="s">
        <v>247</v>
      </c>
      <c r="FN377" s="5">
        <f t="shared" si="1161"/>
        <v>2</v>
      </c>
      <c r="FO377" s="5">
        <f t="shared" si="1162"/>
        <v>6</v>
      </c>
      <c r="FP377" s="5" t="str">
        <f t="shared" si="1163"/>
        <v>Nivel de riesgo alto</v>
      </c>
      <c r="FQ377" s="5" t="s">
        <v>206</v>
      </c>
      <c r="FR377" s="5">
        <f t="shared" si="1164"/>
        <v>0</v>
      </c>
      <c r="FS377" s="5" t="s">
        <v>206</v>
      </c>
      <c r="FT377" s="5">
        <f t="shared" si="1165"/>
        <v>0</v>
      </c>
      <c r="FU377" s="5" t="s">
        <v>206</v>
      </c>
      <c r="FV377" s="5">
        <f t="shared" si="1166"/>
        <v>0</v>
      </c>
      <c r="FW377" s="5" t="s">
        <v>206</v>
      </c>
      <c r="FX377" s="5">
        <f t="shared" si="1167"/>
        <v>0</v>
      </c>
      <c r="FY377" s="5" t="s">
        <v>206</v>
      </c>
      <c r="FZ377" s="5">
        <f t="shared" si="1168"/>
        <v>0</v>
      </c>
      <c r="GA377" s="5" t="s">
        <v>206</v>
      </c>
      <c r="GB377" s="5">
        <f t="shared" si="1169"/>
        <v>0</v>
      </c>
      <c r="GC377" s="5" t="s">
        <v>206</v>
      </c>
      <c r="GD377" s="5">
        <f t="shared" si="1170"/>
        <v>0</v>
      </c>
      <c r="GE377" s="5">
        <f t="shared" si="1171"/>
        <v>0</v>
      </c>
      <c r="GF377" s="5" t="str">
        <f t="shared" si="1172"/>
        <v>Nivel de riesgo bajo</v>
      </c>
      <c r="GG377" s="5" t="s">
        <v>255</v>
      </c>
      <c r="GH377" s="5" t="s">
        <v>255</v>
      </c>
      <c r="GI377" s="5" t="s">
        <v>255</v>
      </c>
      <c r="GJ377" s="5" t="s">
        <v>255</v>
      </c>
      <c r="GK377" s="5" t="s">
        <v>233</v>
      </c>
      <c r="GL377" s="5" t="s">
        <v>233</v>
      </c>
      <c r="GM377" s="5" t="s">
        <v>266</v>
      </c>
      <c r="GN377" s="5" t="s">
        <v>256</v>
      </c>
      <c r="GO377" s="5" t="s">
        <v>257</v>
      </c>
      <c r="GP377" s="5" t="s">
        <v>257</v>
      </c>
      <c r="GQ377" s="5" t="s">
        <v>244</v>
      </c>
      <c r="GR377" s="5" t="s">
        <v>244</v>
      </c>
      <c r="GS377" s="5" t="s">
        <v>244</v>
      </c>
      <c r="GT377" s="5" t="s">
        <v>244</v>
      </c>
      <c r="GU377" s="5" t="s">
        <v>741</v>
      </c>
      <c r="GV377" s="5" t="str">
        <f>TEXT("6282724816933768201","0")</f>
        <v>6282724816933760000</v>
      </c>
    </row>
    <row r="378" spans="1:204" ht="15.75" customHeight="1" x14ac:dyDescent="0.15">
      <c r="A378" s="1">
        <f t="shared" si="1122"/>
        <v>378</v>
      </c>
      <c r="B378" s="4">
        <v>45851.986006944448</v>
      </c>
      <c r="C378" s="5" t="s">
        <v>204</v>
      </c>
      <c r="D378" s="5" t="s">
        <v>206</v>
      </c>
      <c r="F378" s="5" t="s">
        <v>206</v>
      </c>
      <c r="G378" s="5" t="s">
        <v>206</v>
      </c>
      <c r="H378" s="5" t="s">
        <v>206</v>
      </c>
      <c r="I378" s="5" t="s">
        <v>208</v>
      </c>
      <c r="N378" s="5" t="s">
        <v>208</v>
      </c>
      <c r="S378" s="5" t="s">
        <v>208</v>
      </c>
      <c r="X378" s="5" t="s">
        <v>208</v>
      </c>
      <c r="AC378" s="5" t="s">
        <v>208</v>
      </c>
      <c r="AH378" s="5" t="s">
        <v>275</v>
      </c>
      <c r="AI378" s="5">
        <v>2019</v>
      </c>
      <c r="AJ378" s="5" t="s">
        <v>337</v>
      </c>
      <c r="AK378" s="5" t="str">
        <f t="shared" si="1123"/>
        <v>Asalariada</v>
      </c>
      <c r="AQ378" s="5" t="s">
        <v>204</v>
      </c>
      <c r="AR378" s="5" t="s">
        <v>261</v>
      </c>
      <c r="AS378" s="5" t="s">
        <v>261</v>
      </c>
      <c r="AT378" s="5" t="s">
        <v>261</v>
      </c>
      <c r="AU378" s="5" t="s">
        <v>261</v>
      </c>
      <c r="AV378" s="5" t="s">
        <v>285</v>
      </c>
      <c r="AW378" s="5" t="s">
        <v>204</v>
      </c>
      <c r="AX378" s="5" t="s">
        <v>204</v>
      </c>
      <c r="AY378" s="5" t="s">
        <v>214</v>
      </c>
      <c r="AZ378" s="5" t="s">
        <v>204</v>
      </c>
      <c r="BA378" s="5" t="s">
        <v>344</v>
      </c>
      <c r="BF378" s="5" t="s">
        <v>206</v>
      </c>
      <c r="CK378" s="5" t="s">
        <v>223</v>
      </c>
      <c r="CU378" s="5" t="s">
        <v>206</v>
      </c>
      <c r="DA378" s="5" t="s">
        <v>272</v>
      </c>
      <c r="DB378" s="5">
        <f t="shared" si="1124"/>
        <v>1</v>
      </c>
      <c r="DC378" s="5" t="s">
        <v>251</v>
      </c>
      <c r="DD378" s="5">
        <f t="shared" si="1125"/>
        <v>1</v>
      </c>
      <c r="DE378" s="5" t="s">
        <v>251</v>
      </c>
      <c r="DF378" s="5">
        <f t="shared" si="1126"/>
        <v>1</v>
      </c>
      <c r="DG378" s="5" t="s">
        <v>251</v>
      </c>
      <c r="DH378" s="5">
        <f t="shared" si="1127"/>
        <v>1</v>
      </c>
      <c r="DI378" s="5" t="s">
        <v>251</v>
      </c>
      <c r="DJ378" s="5">
        <f t="shared" si="1128"/>
        <v>1</v>
      </c>
      <c r="DK378" s="5" t="s">
        <v>251</v>
      </c>
      <c r="DL378" s="5">
        <f t="shared" si="1129"/>
        <v>1</v>
      </c>
      <c r="DM378" s="5" t="s">
        <v>251</v>
      </c>
      <c r="DN378" s="5">
        <f t="shared" si="1130"/>
        <v>1</v>
      </c>
      <c r="DO378" s="5" t="s">
        <v>281</v>
      </c>
      <c r="DP378" s="5">
        <f t="shared" si="1131"/>
        <v>1</v>
      </c>
      <c r="DQ378" s="5" t="s">
        <v>281</v>
      </c>
      <c r="DR378" s="5">
        <f t="shared" si="1132"/>
        <v>1</v>
      </c>
      <c r="DS378" s="5" t="s">
        <v>281</v>
      </c>
      <c r="DT378" s="5">
        <f t="shared" si="1133"/>
        <v>1</v>
      </c>
      <c r="DU378" s="5" t="s">
        <v>281</v>
      </c>
      <c r="DV378" s="5">
        <f t="shared" si="1134"/>
        <v>1</v>
      </c>
      <c r="DW378" s="5" t="s">
        <v>281</v>
      </c>
      <c r="DX378" s="5">
        <f t="shared" si="1135"/>
        <v>1</v>
      </c>
      <c r="DY378" s="5">
        <f t="shared" si="1136"/>
        <v>12</v>
      </c>
      <c r="DZ378" s="5" t="str">
        <f t="shared" si="1137"/>
        <v>Nivel de riesgo bajo</v>
      </c>
      <c r="EA378" s="5" t="s">
        <v>253</v>
      </c>
      <c r="EB378" s="5">
        <f t="shared" si="1138"/>
        <v>0</v>
      </c>
      <c r="EC378" s="5" t="s">
        <v>253</v>
      </c>
      <c r="ED378" s="5">
        <f t="shared" si="1139"/>
        <v>0</v>
      </c>
      <c r="EE378" s="5" t="s">
        <v>253</v>
      </c>
      <c r="EF378" s="5">
        <f t="shared" si="1140"/>
        <v>0</v>
      </c>
      <c r="EG378" s="5">
        <f t="shared" si="1141"/>
        <v>0</v>
      </c>
      <c r="EH378" s="5" t="str">
        <f t="shared" si="1142"/>
        <v>Nivel de riesgo bajo</v>
      </c>
      <c r="EI378" s="5" t="s">
        <v>253</v>
      </c>
      <c r="EJ378" s="5">
        <f t="shared" si="1143"/>
        <v>0</v>
      </c>
      <c r="EK378" s="5" t="s">
        <v>253</v>
      </c>
      <c r="EL378" s="5">
        <f t="shared" si="1144"/>
        <v>0</v>
      </c>
      <c r="EM378" s="5" t="s">
        <v>248</v>
      </c>
      <c r="EN378" s="5">
        <f t="shared" si="1145"/>
        <v>1</v>
      </c>
      <c r="EO378" s="5">
        <f t="shared" si="1146"/>
        <v>1</v>
      </c>
      <c r="EP378" s="5" t="str">
        <f t="shared" si="1147"/>
        <v>Nivel de riesgo bajo</v>
      </c>
      <c r="EQ378" s="5" t="s">
        <v>253</v>
      </c>
      <c r="ER378" s="5">
        <f t="shared" si="1148"/>
        <v>4</v>
      </c>
      <c r="ES378" s="5" t="s">
        <v>248</v>
      </c>
      <c r="ET378" s="5">
        <f t="shared" si="1149"/>
        <v>3</v>
      </c>
      <c r="EU378" s="5" t="s">
        <v>253</v>
      </c>
      <c r="EV378" s="5">
        <f t="shared" si="1150"/>
        <v>4</v>
      </c>
      <c r="EW378" s="5" t="s">
        <v>253</v>
      </c>
      <c r="EX378" s="5">
        <f t="shared" si="1151"/>
        <v>4</v>
      </c>
      <c r="EY378" s="5">
        <f t="shared" si="1152"/>
        <v>15</v>
      </c>
      <c r="EZ378" s="5" t="str">
        <f t="shared" si="1153"/>
        <v>Nivel de riesgo alto</v>
      </c>
      <c r="FA378" s="5" t="s">
        <v>253</v>
      </c>
      <c r="FB378" s="5">
        <f t="shared" si="1154"/>
        <v>0</v>
      </c>
      <c r="FC378" s="5" t="s">
        <v>253</v>
      </c>
      <c r="FD378" s="5">
        <f t="shared" si="1155"/>
        <v>0</v>
      </c>
      <c r="FE378" s="5" t="s">
        <v>253</v>
      </c>
      <c r="FF378" s="5">
        <f t="shared" si="1156"/>
        <v>0</v>
      </c>
      <c r="FG378" s="5">
        <f t="shared" si="1157"/>
        <v>0</v>
      </c>
      <c r="FH378" s="5" t="str">
        <f t="shared" si="1158"/>
        <v>Nivel de riesgo bajo</v>
      </c>
      <c r="FI378" s="5" t="s">
        <v>253</v>
      </c>
      <c r="FJ378" s="5">
        <f t="shared" si="1159"/>
        <v>0</v>
      </c>
      <c r="FK378" s="5" t="s">
        <v>253</v>
      </c>
      <c r="FL378" s="5">
        <f t="shared" si="1160"/>
        <v>0</v>
      </c>
      <c r="FM378" s="5" t="s">
        <v>253</v>
      </c>
      <c r="FN378" s="5">
        <f t="shared" si="1161"/>
        <v>0</v>
      </c>
      <c r="FO378" s="5">
        <f t="shared" si="1162"/>
        <v>0</v>
      </c>
      <c r="FP378" s="5" t="str">
        <f t="shared" si="1163"/>
        <v>Nivel de riesgo bajo</v>
      </c>
      <c r="FQ378" s="5" t="s">
        <v>206</v>
      </c>
      <c r="FR378" s="5">
        <f t="shared" si="1164"/>
        <v>0</v>
      </c>
      <c r="FS378" s="5" t="s">
        <v>206</v>
      </c>
      <c r="FT378" s="5">
        <f t="shared" si="1165"/>
        <v>0</v>
      </c>
      <c r="FU378" s="5" t="s">
        <v>206</v>
      </c>
      <c r="FV378" s="5">
        <f t="shared" si="1166"/>
        <v>0</v>
      </c>
      <c r="FW378" s="5" t="s">
        <v>206</v>
      </c>
      <c r="FX378" s="5">
        <f t="shared" si="1167"/>
        <v>0</v>
      </c>
      <c r="FY378" s="5" t="s">
        <v>206</v>
      </c>
      <c r="FZ378" s="5">
        <f t="shared" si="1168"/>
        <v>0</v>
      </c>
      <c r="GA378" s="5" t="s">
        <v>206</v>
      </c>
      <c r="GB378" s="5">
        <f t="shared" si="1169"/>
        <v>0</v>
      </c>
      <c r="GC378" s="5" t="s">
        <v>206</v>
      </c>
      <c r="GD378" s="5">
        <f t="shared" si="1170"/>
        <v>0</v>
      </c>
      <c r="GE378" s="5">
        <f t="shared" si="1171"/>
        <v>0</v>
      </c>
      <c r="GF378" s="5" t="str">
        <f t="shared" si="1172"/>
        <v>Nivel de riesgo bajo</v>
      </c>
      <c r="GG378" s="5" t="s">
        <v>255</v>
      </c>
      <c r="GH378" s="5" t="s">
        <v>255</v>
      </c>
      <c r="GI378" s="5" t="s">
        <v>255</v>
      </c>
      <c r="GJ378" s="5" t="s">
        <v>255</v>
      </c>
      <c r="GK378" s="5" t="s">
        <v>233</v>
      </c>
      <c r="GL378" s="5" t="s">
        <v>233</v>
      </c>
      <c r="GM378" s="5" t="s">
        <v>233</v>
      </c>
      <c r="GN378" s="5" t="s">
        <v>256</v>
      </c>
      <c r="GO378" s="5" t="s">
        <v>256</v>
      </c>
      <c r="GP378" s="5" t="s">
        <v>256</v>
      </c>
      <c r="GQ378" s="5" t="s">
        <v>256</v>
      </c>
      <c r="GR378" s="5" t="s">
        <v>256</v>
      </c>
      <c r="GS378" s="5" t="s">
        <v>256</v>
      </c>
      <c r="GT378" s="5" t="s">
        <v>256</v>
      </c>
      <c r="GU378" s="5" t="s">
        <v>742</v>
      </c>
      <c r="GV378" s="5" t="str">
        <f>TEXT("6282735917422726578","0")</f>
        <v>6282735917422720000</v>
      </c>
    </row>
    <row r="379" spans="1:204" ht="15.75" customHeight="1" x14ac:dyDescent="0.15">
      <c r="A379" s="1">
        <f t="shared" si="1122"/>
        <v>379</v>
      </c>
      <c r="B379" s="4">
        <v>45852.014837962961</v>
      </c>
      <c r="C379" s="5" t="s">
        <v>204</v>
      </c>
      <c r="D379" s="5" t="s">
        <v>204</v>
      </c>
      <c r="E379" s="5" t="s">
        <v>335</v>
      </c>
      <c r="F379" s="5" t="s">
        <v>204</v>
      </c>
      <c r="G379" s="5" t="s">
        <v>206</v>
      </c>
      <c r="H379" s="5" t="s">
        <v>206</v>
      </c>
      <c r="J379" s="5" t="s">
        <v>209</v>
      </c>
      <c r="O379" s="5" t="s">
        <v>209</v>
      </c>
      <c r="S379" s="5" t="s">
        <v>208</v>
      </c>
      <c r="X379" s="5" t="s">
        <v>208</v>
      </c>
      <c r="AC379" s="5" t="s">
        <v>208</v>
      </c>
      <c r="AH379" s="5" t="s">
        <v>268</v>
      </c>
      <c r="AI379" s="5">
        <v>2024</v>
      </c>
      <c r="AJ379" s="5" t="s">
        <v>330</v>
      </c>
      <c r="AK379" s="5" t="str">
        <f t="shared" si="1123"/>
        <v>Asalariada</v>
      </c>
      <c r="AQ379" s="5" t="s">
        <v>204</v>
      </c>
      <c r="AR379" s="5" t="s">
        <v>261</v>
      </c>
      <c r="AS379" s="5" t="s">
        <v>241</v>
      </c>
      <c r="AT379" s="5" t="s">
        <v>241</v>
      </c>
      <c r="AU379" s="5" t="s">
        <v>294</v>
      </c>
      <c r="AV379" s="5" t="s">
        <v>213</v>
      </c>
      <c r="AW379" s="5" t="s">
        <v>206</v>
      </c>
      <c r="BF379" s="5" t="s">
        <v>204</v>
      </c>
      <c r="BG379" s="5" t="s">
        <v>207</v>
      </c>
      <c r="BH379" s="5" t="s">
        <v>264</v>
      </c>
      <c r="BI379" s="5" t="s">
        <v>207</v>
      </c>
      <c r="BJ379" s="5" t="s">
        <v>215</v>
      </c>
      <c r="BK379" s="5" t="s">
        <v>243</v>
      </c>
      <c r="BL379" s="5" t="s">
        <v>243</v>
      </c>
      <c r="BM379" s="5" t="s">
        <v>243</v>
      </c>
      <c r="BN379" s="5" t="s">
        <v>243</v>
      </c>
      <c r="BO379" s="5" t="s">
        <v>246</v>
      </c>
      <c r="BP379" s="5" t="s">
        <v>246</v>
      </c>
      <c r="BQ379" s="5" t="s">
        <v>246</v>
      </c>
      <c r="BR379" s="5" t="s">
        <v>243</v>
      </c>
      <c r="BS379" s="5" t="s">
        <v>232</v>
      </c>
      <c r="BT379" s="5" t="s">
        <v>232</v>
      </c>
      <c r="BU379" s="5" t="s">
        <v>254</v>
      </c>
      <c r="BV379" s="5" t="s">
        <v>247</v>
      </c>
      <c r="BW379" s="5" t="s">
        <v>247</v>
      </c>
      <c r="BX379" s="5" t="s">
        <v>247</v>
      </c>
      <c r="BY379" s="5" t="s">
        <v>248</v>
      </c>
      <c r="CD379" s="5" t="s">
        <v>206</v>
      </c>
      <c r="CH379" s="5" t="s">
        <v>206</v>
      </c>
      <c r="CI379" s="5" t="s">
        <v>307</v>
      </c>
      <c r="CJ379" s="5">
        <v>2</v>
      </c>
      <c r="CK379" s="5" t="s">
        <v>223</v>
      </c>
      <c r="CU379" s="5" t="s">
        <v>206</v>
      </c>
      <c r="DA379" s="5" t="s">
        <v>231</v>
      </c>
      <c r="DB379" s="5">
        <f t="shared" si="1124"/>
        <v>2</v>
      </c>
      <c r="DC379" s="5" t="s">
        <v>250</v>
      </c>
      <c r="DD379" s="5">
        <f t="shared" si="1125"/>
        <v>3</v>
      </c>
      <c r="DE379" s="5" t="s">
        <v>230</v>
      </c>
      <c r="DF379" s="5">
        <f t="shared" si="1126"/>
        <v>2</v>
      </c>
      <c r="DG379" s="5" t="s">
        <v>230</v>
      </c>
      <c r="DH379" s="5">
        <f t="shared" si="1127"/>
        <v>2</v>
      </c>
      <c r="DI379" s="5" t="s">
        <v>230</v>
      </c>
      <c r="DJ379" s="5">
        <f t="shared" si="1128"/>
        <v>2</v>
      </c>
      <c r="DK379" s="5" t="s">
        <v>230</v>
      </c>
      <c r="DL379" s="5">
        <f t="shared" si="1129"/>
        <v>2</v>
      </c>
      <c r="DM379" s="5" t="s">
        <v>230</v>
      </c>
      <c r="DN379" s="5">
        <f t="shared" si="1130"/>
        <v>2</v>
      </c>
      <c r="DO379" s="5" t="s">
        <v>231</v>
      </c>
      <c r="DP379" s="5">
        <f t="shared" si="1131"/>
        <v>2</v>
      </c>
      <c r="DQ379" s="5" t="s">
        <v>231</v>
      </c>
      <c r="DR379" s="5">
        <f t="shared" si="1132"/>
        <v>2</v>
      </c>
      <c r="DS379" s="5" t="s">
        <v>231</v>
      </c>
      <c r="DT379" s="5">
        <f t="shared" si="1133"/>
        <v>2</v>
      </c>
      <c r="DU379" s="5" t="s">
        <v>231</v>
      </c>
      <c r="DV379" s="5">
        <f t="shared" si="1134"/>
        <v>2</v>
      </c>
      <c r="DW379" s="5" t="s">
        <v>231</v>
      </c>
      <c r="DX379" s="5">
        <f t="shared" si="1135"/>
        <v>2</v>
      </c>
      <c r="DY379" s="5">
        <f t="shared" si="1136"/>
        <v>25</v>
      </c>
      <c r="DZ379" s="5" t="str">
        <f t="shared" si="1137"/>
        <v>Nivel de riesgo alto</v>
      </c>
      <c r="EA379" s="5" t="s">
        <v>232</v>
      </c>
      <c r="EB379" s="5">
        <f t="shared" si="1138"/>
        <v>3</v>
      </c>
      <c r="EC379" s="5" t="s">
        <v>247</v>
      </c>
      <c r="ED379" s="5">
        <f t="shared" si="1139"/>
        <v>2</v>
      </c>
      <c r="EE379" s="5" t="s">
        <v>248</v>
      </c>
      <c r="EF379" s="5">
        <f t="shared" si="1140"/>
        <v>1</v>
      </c>
      <c r="EG379" s="5">
        <f t="shared" si="1141"/>
        <v>6</v>
      </c>
      <c r="EH379" s="5" t="str">
        <f t="shared" si="1142"/>
        <v>Nivel de riesgo alto</v>
      </c>
      <c r="EI379" s="5" t="s">
        <v>247</v>
      </c>
      <c r="EJ379" s="5">
        <f t="shared" si="1143"/>
        <v>2</v>
      </c>
      <c r="EK379" s="5" t="s">
        <v>247</v>
      </c>
      <c r="EL379" s="5">
        <f t="shared" si="1144"/>
        <v>2</v>
      </c>
      <c r="EM379" s="5" t="s">
        <v>232</v>
      </c>
      <c r="EN379" s="5">
        <f t="shared" si="1145"/>
        <v>3</v>
      </c>
      <c r="EO379" s="5">
        <f t="shared" si="1146"/>
        <v>7</v>
      </c>
      <c r="EP379" s="5" t="str">
        <f t="shared" si="1147"/>
        <v>Nivel de riesgo alto</v>
      </c>
      <c r="EQ379" s="5" t="s">
        <v>232</v>
      </c>
      <c r="ER379" s="5">
        <f t="shared" si="1148"/>
        <v>1</v>
      </c>
      <c r="ES379" s="5" t="s">
        <v>232</v>
      </c>
      <c r="ET379" s="5">
        <f t="shared" si="1149"/>
        <v>1</v>
      </c>
      <c r="EU379" s="5" t="s">
        <v>247</v>
      </c>
      <c r="EV379" s="5">
        <f t="shared" si="1150"/>
        <v>2</v>
      </c>
      <c r="EW379" s="5" t="s">
        <v>232</v>
      </c>
      <c r="EX379" s="5">
        <f t="shared" si="1151"/>
        <v>1</v>
      </c>
      <c r="EY379" s="5">
        <f t="shared" si="1152"/>
        <v>5</v>
      </c>
      <c r="EZ379" s="5" t="str">
        <f t="shared" si="1153"/>
        <v>Nivel de riesgo alto</v>
      </c>
      <c r="FA379" s="5" t="s">
        <v>247</v>
      </c>
      <c r="FB379" s="5">
        <f t="shared" si="1154"/>
        <v>2</v>
      </c>
      <c r="FC379" s="5" t="s">
        <v>248</v>
      </c>
      <c r="FD379" s="5">
        <f t="shared" si="1155"/>
        <v>1</v>
      </c>
      <c r="FE379" s="5" t="s">
        <v>248</v>
      </c>
      <c r="FF379" s="5">
        <f t="shared" si="1156"/>
        <v>1</v>
      </c>
      <c r="FG379" s="5">
        <f t="shared" si="1157"/>
        <v>4</v>
      </c>
      <c r="FH379" s="5" t="str">
        <f t="shared" si="1158"/>
        <v>Nivel de riesgo medio</v>
      </c>
      <c r="FI379" s="5" t="s">
        <v>247</v>
      </c>
      <c r="FJ379" s="5">
        <f t="shared" si="1159"/>
        <v>2</v>
      </c>
      <c r="FK379" s="5" t="s">
        <v>247</v>
      </c>
      <c r="FL379" s="5">
        <f t="shared" si="1160"/>
        <v>2</v>
      </c>
      <c r="FM379" s="5" t="s">
        <v>247</v>
      </c>
      <c r="FN379" s="5">
        <f t="shared" si="1161"/>
        <v>2</v>
      </c>
      <c r="FO379" s="5">
        <f t="shared" si="1162"/>
        <v>6</v>
      </c>
      <c r="FP379" s="5" t="str">
        <f t="shared" si="1163"/>
        <v>Nivel de riesgo alto</v>
      </c>
      <c r="FQ379" s="5" t="s">
        <v>206</v>
      </c>
      <c r="FR379" s="5">
        <f t="shared" si="1164"/>
        <v>0</v>
      </c>
      <c r="FS379" s="5" t="s">
        <v>265</v>
      </c>
      <c r="FT379" s="5">
        <f t="shared" si="1165"/>
        <v>1</v>
      </c>
      <c r="FU379" s="5" t="s">
        <v>265</v>
      </c>
      <c r="FV379" s="5">
        <f t="shared" si="1166"/>
        <v>1</v>
      </c>
      <c r="FW379" s="5" t="s">
        <v>206</v>
      </c>
      <c r="FX379" s="5">
        <f t="shared" si="1167"/>
        <v>0</v>
      </c>
      <c r="FY379" s="5" t="s">
        <v>206</v>
      </c>
      <c r="FZ379" s="5">
        <f t="shared" si="1168"/>
        <v>0</v>
      </c>
      <c r="GA379" s="5" t="s">
        <v>265</v>
      </c>
      <c r="GB379" s="5">
        <f t="shared" si="1169"/>
        <v>1</v>
      </c>
      <c r="GC379" s="5" t="s">
        <v>265</v>
      </c>
      <c r="GD379" s="5">
        <f t="shared" si="1170"/>
        <v>1</v>
      </c>
      <c r="GE379" s="5">
        <f t="shared" si="1171"/>
        <v>4</v>
      </c>
      <c r="GF379" s="5" t="str">
        <f t="shared" si="1172"/>
        <v>Nivel de riesgo medio</v>
      </c>
      <c r="GG379" s="5" t="s">
        <v>255</v>
      </c>
      <c r="GH379" s="5" t="s">
        <v>233</v>
      </c>
      <c r="GI379" s="5" t="s">
        <v>255</v>
      </c>
      <c r="GJ379" s="5" t="s">
        <v>255</v>
      </c>
      <c r="GK379" s="5" t="s">
        <v>233</v>
      </c>
      <c r="GL379" s="5" t="s">
        <v>255</v>
      </c>
      <c r="GM379" s="5" t="s">
        <v>255</v>
      </c>
      <c r="GN379" s="5" t="s">
        <v>256</v>
      </c>
      <c r="GO379" s="5" t="s">
        <v>256</v>
      </c>
      <c r="GP379" s="5" t="s">
        <v>256</v>
      </c>
      <c r="GQ379" s="5" t="s">
        <v>256</v>
      </c>
      <c r="GR379" s="5" t="s">
        <v>256</v>
      </c>
      <c r="GS379" s="5" t="s">
        <v>256</v>
      </c>
      <c r="GT379" s="5" t="s">
        <v>256</v>
      </c>
      <c r="GU379" s="5" t="s">
        <v>743</v>
      </c>
      <c r="GV379" s="5" t="str">
        <f>TEXT("6282760822868116482","0")</f>
        <v>6282760822868110000</v>
      </c>
    </row>
    <row r="380" spans="1:204" ht="15.75" customHeight="1" x14ac:dyDescent="0.15">
      <c r="A380" s="1">
        <f t="shared" si="1122"/>
        <v>380</v>
      </c>
      <c r="B380" s="4">
        <v>45852.045555555553</v>
      </c>
      <c r="C380" s="5" t="s">
        <v>204</v>
      </c>
      <c r="D380" s="5" t="s">
        <v>206</v>
      </c>
      <c r="F380" s="5" t="s">
        <v>204</v>
      </c>
      <c r="G380" s="5" t="s">
        <v>204</v>
      </c>
      <c r="H380" s="5" t="s">
        <v>206</v>
      </c>
      <c r="L380" s="5" t="s">
        <v>236</v>
      </c>
      <c r="O380" s="5" t="s">
        <v>209</v>
      </c>
      <c r="T380" s="5" t="s">
        <v>209</v>
      </c>
      <c r="Y380" s="5" t="s">
        <v>209</v>
      </c>
      <c r="AD380" s="5" t="s">
        <v>209</v>
      </c>
      <c r="AH380" s="5" t="s">
        <v>275</v>
      </c>
      <c r="AI380" s="5">
        <v>2023</v>
      </c>
      <c r="AJ380" s="5" t="s">
        <v>238</v>
      </c>
      <c r="AK380" s="5" t="str">
        <f t="shared" si="1123"/>
        <v>Trabajadora por cuenta propia</v>
      </c>
      <c r="AM380" s="5" t="s">
        <v>309</v>
      </c>
      <c r="AP380" s="5" t="s">
        <v>240</v>
      </c>
      <c r="AR380" s="5" t="s">
        <v>294</v>
      </c>
      <c r="AS380" s="5" t="s">
        <v>294</v>
      </c>
      <c r="AT380" s="5" t="s">
        <v>294</v>
      </c>
      <c r="AU380" s="5" t="s">
        <v>276</v>
      </c>
      <c r="AV380" s="5" t="s">
        <v>213</v>
      </c>
      <c r="AW380" s="5" t="s">
        <v>206</v>
      </c>
      <c r="BF380" s="5" t="s">
        <v>204</v>
      </c>
      <c r="BG380" s="5" t="s">
        <v>278</v>
      </c>
      <c r="BH380" s="5" t="s">
        <v>242</v>
      </c>
      <c r="BI380" s="5" t="s">
        <v>278</v>
      </c>
      <c r="BJ380" s="5" t="s">
        <v>242</v>
      </c>
      <c r="BK380" s="5" t="s">
        <v>245</v>
      </c>
      <c r="BL380" s="5" t="s">
        <v>246</v>
      </c>
      <c r="BM380" s="5" t="s">
        <v>246</v>
      </c>
      <c r="BN380" s="5" t="s">
        <v>245</v>
      </c>
      <c r="BO380" s="5" t="s">
        <v>244</v>
      </c>
      <c r="BP380" s="5" t="s">
        <v>243</v>
      </c>
      <c r="BQ380" s="5" t="s">
        <v>243</v>
      </c>
      <c r="BR380" s="5" t="s">
        <v>243</v>
      </c>
      <c r="BS380" s="5" t="s">
        <v>232</v>
      </c>
      <c r="BT380" s="5" t="s">
        <v>232</v>
      </c>
      <c r="BU380" s="5" t="s">
        <v>232</v>
      </c>
      <c r="BV380" s="5" t="s">
        <v>232</v>
      </c>
      <c r="BW380" s="5" t="s">
        <v>254</v>
      </c>
      <c r="BX380" s="5" t="s">
        <v>254</v>
      </c>
      <c r="BY380" s="5" t="s">
        <v>247</v>
      </c>
      <c r="CD380" s="5" t="s">
        <v>206</v>
      </c>
      <c r="CH380" s="5" t="s">
        <v>206</v>
      </c>
      <c r="CI380" s="5" t="s">
        <v>249</v>
      </c>
      <c r="CJ380" s="5">
        <v>4</v>
      </c>
      <c r="CK380" s="5" t="s">
        <v>223</v>
      </c>
      <c r="CU380" s="5" t="s">
        <v>206</v>
      </c>
      <c r="DA380" s="5" t="s">
        <v>252</v>
      </c>
      <c r="DB380" s="5">
        <f t="shared" si="1124"/>
        <v>3</v>
      </c>
      <c r="DC380" s="5" t="s">
        <v>250</v>
      </c>
      <c r="DD380" s="5">
        <f t="shared" si="1125"/>
        <v>3</v>
      </c>
      <c r="DE380" s="5" t="s">
        <v>250</v>
      </c>
      <c r="DF380" s="5">
        <f t="shared" si="1126"/>
        <v>3</v>
      </c>
      <c r="DG380" s="5" t="s">
        <v>250</v>
      </c>
      <c r="DH380" s="5">
        <f t="shared" si="1127"/>
        <v>3</v>
      </c>
      <c r="DI380" s="5" t="s">
        <v>250</v>
      </c>
      <c r="DJ380" s="5">
        <f t="shared" si="1128"/>
        <v>3</v>
      </c>
      <c r="DK380" s="5" t="s">
        <v>250</v>
      </c>
      <c r="DL380" s="5">
        <f t="shared" si="1129"/>
        <v>3</v>
      </c>
      <c r="DM380" s="5" t="s">
        <v>250</v>
      </c>
      <c r="DN380" s="5">
        <f t="shared" si="1130"/>
        <v>3</v>
      </c>
      <c r="DO380" s="5" t="s">
        <v>252</v>
      </c>
      <c r="DP380" s="5">
        <f t="shared" si="1131"/>
        <v>3</v>
      </c>
      <c r="DQ380" s="5" t="s">
        <v>252</v>
      </c>
      <c r="DR380" s="5">
        <f t="shared" si="1132"/>
        <v>3</v>
      </c>
      <c r="DS380" s="5" t="s">
        <v>252</v>
      </c>
      <c r="DT380" s="5">
        <f t="shared" si="1133"/>
        <v>3</v>
      </c>
      <c r="DU380" s="5" t="s">
        <v>252</v>
      </c>
      <c r="DV380" s="5">
        <f t="shared" si="1134"/>
        <v>3</v>
      </c>
      <c r="DW380" s="5" t="s">
        <v>252</v>
      </c>
      <c r="DX380" s="5">
        <f t="shared" si="1135"/>
        <v>3</v>
      </c>
      <c r="DY380" s="5">
        <f t="shared" si="1136"/>
        <v>36</v>
      </c>
      <c r="DZ380" s="5" t="str">
        <f t="shared" si="1137"/>
        <v>Nivel de riesgo alto</v>
      </c>
      <c r="EA380" s="5" t="s">
        <v>248</v>
      </c>
      <c r="EB380" s="5">
        <f t="shared" si="1138"/>
        <v>1</v>
      </c>
      <c r="EC380" s="5" t="s">
        <v>232</v>
      </c>
      <c r="ED380" s="5">
        <f t="shared" si="1139"/>
        <v>3</v>
      </c>
      <c r="EE380" s="5" t="s">
        <v>248</v>
      </c>
      <c r="EF380" s="5">
        <f t="shared" si="1140"/>
        <v>1</v>
      </c>
      <c r="EG380" s="5">
        <f t="shared" si="1141"/>
        <v>5</v>
      </c>
      <c r="EH380" s="5" t="str">
        <f t="shared" si="1142"/>
        <v>Nivel de riesgo alto</v>
      </c>
      <c r="EI380" s="5" t="s">
        <v>232</v>
      </c>
      <c r="EJ380" s="5">
        <f t="shared" si="1143"/>
        <v>3</v>
      </c>
      <c r="EK380" s="5" t="s">
        <v>254</v>
      </c>
      <c r="EL380" s="5">
        <f t="shared" si="1144"/>
        <v>4</v>
      </c>
      <c r="EM380" s="5" t="s">
        <v>248</v>
      </c>
      <c r="EN380" s="5">
        <f t="shared" si="1145"/>
        <v>1</v>
      </c>
      <c r="EO380" s="5">
        <f t="shared" si="1146"/>
        <v>8</v>
      </c>
      <c r="EP380" s="5" t="str">
        <f t="shared" si="1147"/>
        <v>Nivel de riesgo alto</v>
      </c>
      <c r="EQ380" s="5" t="s">
        <v>253</v>
      </c>
      <c r="ER380" s="5">
        <f t="shared" si="1148"/>
        <v>4</v>
      </c>
      <c r="ES380" s="5" t="s">
        <v>253</v>
      </c>
      <c r="ET380" s="5">
        <f t="shared" si="1149"/>
        <v>4</v>
      </c>
      <c r="EU380" s="5" t="s">
        <v>253</v>
      </c>
      <c r="EV380" s="5">
        <f t="shared" si="1150"/>
        <v>4</v>
      </c>
      <c r="EW380" s="5" t="s">
        <v>253</v>
      </c>
      <c r="EX380" s="5">
        <f t="shared" si="1151"/>
        <v>4</v>
      </c>
      <c r="EY380" s="5">
        <f t="shared" si="1152"/>
        <v>16</v>
      </c>
      <c r="EZ380" s="5" t="str">
        <f t="shared" si="1153"/>
        <v>Nivel de riesgo alto</v>
      </c>
      <c r="FA380" s="5" t="s">
        <v>248</v>
      </c>
      <c r="FB380" s="5">
        <f t="shared" si="1154"/>
        <v>1</v>
      </c>
      <c r="FC380" s="5" t="s">
        <v>253</v>
      </c>
      <c r="FD380" s="5">
        <f t="shared" si="1155"/>
        <v>0</v>
      </c>
      <c r="FE380" s="5" t="s">
        <v>253</v>
      </c>
      <c r="FF380" s="5">
        <f t="shared" si="1156"/>
        <v>0</v>
      </c>
      <c r="FG380" s="5">
        <f t="shared" si="1157"/>
        <v>1</v>
      </c>
      <c r="FH380" s="5" t="str">
        <f t="shared" si="1158"/>
        <v>Nivel de riesgo bajo</v>
      </c>
      <c r="FI380" s="5" t="s">
        <v>232</v>
      </c>
      <c r="FJ380" s="5">
        <f t="shared" si="1159"/>
        <v>3</v>
      </c>
      <c r="FK380" s="5" t="s">
        <v>232</v>
      </c>
      <c r="FL380" s="5">
        <f t="shared" si="1160"/>
        <v>3</v>
      </c>
      <c r="FM380" s="5" t="s">
        <v>232</v>
      </c>
      <c r="FN380" s="5">
        <f t="shared" si="1161"/>
        <v>3</v>
      </c>
      <c r="FO380" s="5">
        <f t="shared" si="1162"/>
        <v>9</v>
      </c>
      <c r="FP380" s="5" t="str">
        <f t="shared" si="1163"/>
        <v>Nivel de riesgo alto</v>
      </c>
      <c r="FQ380" s="5" t="s">
        <v>206</v>
      </c>
      <c r="FR380" s="5">
        <f t="shared" si="1164"/>
        <v>0</v>
      </c>
      <c r="FS380" s="5" t="s">
        <v>206</v>
      </c>
      <c r="FT380" s="5">
        <f t="shared" si="1165"/>
        <v>0</v>
      </c>
      <c r="FU380" s="5" t="s">
        <v>206</v>
      </c>
      <c r="FV380" s="5">
        <f t="shared" si="1166"/>
        <v>0</v>
      </c>
      <c r="FW380" s="5" t="s">
        <v>206</v>
      </c>
      <c r="FX380" s="5">
        <f t="shared" si="1167"/>
        <v>0</v>
      </c>
      <c r="FY380" s="5" t="s">
        <v>206</v>
      </c>
      <c r="FZ380" s="5">
        <f t="shared" si="1168"/>
        <v>0</v>
      </c>
      <c r="GA380" s="5" t="s">
        <v>206</v>
      </c>
      <c r="GB380" s="5">
        <f t="shared" si="1169"/>
        <v>0</v>
      </c>
      <c r="GC380" s="5" t="s">
        <v>206</v>
      </c>
      <c r="GD380" s="5">
        <f t="shared" si="1170"/>
        <v>0</v>
      </c>
      <c r="GE380" s="5">
        <f t="shared" si="1171"/>
        <v>0</v>
      </c>
      <c r="GF380" s="5" t="str">
        <f t="shared" si="1172"/>
        <v>Nivel de riesgo bajo</v>
      </c>
      <c r="GG380" s="5" t="s">
        <v>255</v>
      </c>
      <c r="GH380" s="5" t="s">
        <v>255</v>
      </c>
      <c r="GI380" s="5" t="s">
        <v>255</v>
      </c>
      <c r="GJ380" s="5" t="s">
        <v>255</v>
      </c>
      <c r="GK380" s="5" t="s">
        <v>233</v>
      </c>
      <c r="GL380" s="5" t="s">
        <v>233</v>
      </c>
      <c r="GM380" s="5" t="s">
        <v>255</v>
      </c>
      <c r="GN380" s="5" t="s">
        <v>256</v>
      </c>
      <c r="GO380" s="5" t="s">
        <v>256</v>
      </c>
      <c r="GP380" s="5" t="s">
        <v>256</v>
      </c>
      <c r="GQ380" s="5" t="s">
        <v>256</v>
      </c>
      <c r="GR380" s="5" t="s">
        <v>256</v>
      </c>
      <c r="GS380" s="5" t="s">
        <v>256</v>
      </c>
      <c r="GT380" s="5" t="s">
        <v>256</v>
      </c>
      <c r="GU380" s="5" t="s">
        <v>744</v>
      </c>
      <c r="GV380" s="5" t="str">
        <f>TEXT("6282787367314794693","0")</f>
        <v>6282787367314790000</v>
      </c>
    </row>
    <row r="381" spans="1:204" ht="15.75" customHeight="1" x14ac:dyDescent="0.15">
      <c r="A381" s="1">
        <f t="shared" si="1122"/>
        <v>381</v>
      </c>
      <c r="B381" s="4">
        <v>45852.320243055554</v>
      </c>
      <c r="C381" s="5" t="s">
        <v>204</v>
      </c>
      <c r="D381" s="5" t="s">
        <v>204</v>
      </c>
      <c r="E381" s="5" t="s">
        <v>335</v>
      </c>
      <c r="F381" s="5" t="s">
        <v>206</v>
      </c>
      <c r="G381" s="5" t="s">
        <v>206</v>
      </c>
      <c r="H381" s="5" t="s">
        <v>206</v>
      </c>
      <c r="K381" s="5" t="s">
        <v>237</v>
      </c>
      <c r="N381" s="5" t="s">
        <v>208</v>
      </c>
      <c r="S381" s="5" t="s">
        <v>208</v>
      </c>
      <c r="Y381" s="5" t="s">
        <v>209</v>
      </c>
      <c r="AD381" s="5" t="s">
        <v>209</v>
      </c>
      <c r="AH381" s="5" t="s">
        <v>745</v>
      </c>
      <c r="AI381" s="5">
        <v>2020</v>
      </c>
      <c r="AJ381" s="5" t="s">
        <v>238</v>
      </c>
      <c r="AK381" s="5" t="str">
        <f t="shared" si="1123"/>
        <v>Trabajadora por cuenta propia</v>
      </c>
      <c r="AL381" s="5" t="s">
        <v>239</v>
      </c>
      <c r="AP381" s="5" t="s">
        <v>240</v>
      </c>
      <c r="AR381" s="5" t="s">
        <v>294</v>
      </c>
      <c r="AS381" s="5" t="s">
        <v>294</v>
      </c>
      <c r="AT381" s="5" t="s">
        <v>294</v>
      </c>
      <c r="AU381" s="5" t="s">
        <v>294</v>
      </c>
      <c r="AV381" s="5" t="s">
        <v>285</v>
      </c>
      <c r="AW381" s="5" t="s">
        <v>204</v>
      </c>
      <c r="AX381" s="5" t="s">
        <v>204</v>
      </c>
      <c r="AY381" s="5" t="s">
        <v>366</v>
      </c>
      <c r="AZ381" s="5" t="s">
        <v>204</v>
      </c>
      <c r="BA381" s="5" t="s">
        <v>295</v>
      </c>
      <c r="BB381" s="5" t="s">
        <v>206</v>
      </c>
      <c r="BC381" s="5" t="s">
        <v>206</v>
      </c>
      <c r="BD381" s="5" t="s">
        <v>206</v>
      </c>
      <c r="BE381" s="5" t="s">
        <v>206</v>
      </c>
      <c r="BF381" s="5" t="s">
        <v>204</v>
      </c>
      <c r="BG381" s="5" t="s">
        <v>242</v>
      </c>
      <c r="BH381" s="5" t="s">
        <v>242</v>
      </c>
      <c r="BI381" s="5" t="s">
        <v>242</v>
      </c>
      <c r="BJ381" s="5" t="s">
        <v>242</v>
      </c>
      <c r="BK381" s="5" t="s">
        <v>244</v>
      </c>
      <c r="BL381" s="5" t="s">
        <v>246</v>
      </c>
      <c r="BM381" s="5" t="s">
        <v>245</v>
      </c>
      <c r="BN381" s="5" t="s">
        <v>245</v>
      </c>
      <c r="BO381" s="5" t="s">
        <v>246</v>
      </c>
      <c r="BP381" s="5" t="s">
        <v>245</v>
      </c>
      <c r="BQ381" s="5" t="s">
        <v>243</v>
      </c>
      <c r="BR381" s="5" t="s">
        <v>243</v>
      </c>
      <c r="BS381" s="5" t="s">
        <v>247</v>
      </c>
      <c r="BT381" s="5" t="s">
        <v>232</v>
      </c>
      <c r="BU381" s="5" t="s">
        <v>232</v>
      </c>
      <c r="BV381" s="5" t="s">
        <v>247</v>
      </c>
      <c r="BW381" s="5" t="s">
        <v>254</v>
      </c>
      <c r="BX381" s="5" t="s">
        <v>247</v>
      </c>
      <c r="BY381" s="5" t="s">
        <v>247</v>
      </c>
      <c r="BZ381" s="5" t="s">
        <v>246</v>
      </c>
      <c r="CA381" s="5" t="s">
        <v>244</v>
      </c>
      <c r="CB381" s="5" t="s">
        <v>244</v>
      </c>
      <c r="CC381" s="5" t="s">
        <v>243</v>
      </c>
      <c r="CD381" s="5" t="s">
        <v>206</v>
      </c>
      <c r="CH381" s="5" t="s">
        <v>465</v>
      </c>
      <c r="CI381" s="5" t="s">
        <v>332</v>
      </c>
      <c r="CJ381" s="5">
        <v>3</v>
      </c>
      <c r="CK381" s="5" t="s">
        <v>223</v>
      </c>
      <c r="CU381" s="5" t="s">
        <v>206</v>
      </c>
      <c r="DA381" s="5" t="s">
        <v>229</v>
      </c>
      <c r="DB381" s="5">
        <f t="shared" si="1124"/>
        <v>4</v>
      </c>
      <c r="DC381" s="5" t="s">
        <v>250</v>
      </c>
      <c r="DD381" s="5">
        <f t="shared" si="1125"/>
        <v>3</v>
      </c>
      <c r="DE381" s="5" t="s">
        <v>230</v>
      </c>
      <c r="DF381" s="5">
        <f t="shared" si="1126"/>
        <v>2</v>
      </c>
      <c r="DG381" s="5" t="s">
        <v>230</v>
      </c>
      <c r="DH381" s="5">
        <f t="shared" si="1127"/>
        <v>2</v>
      </c>
      <c r="DI381" s="5" t="s">
        <v>230</v>
      </c>
      <c r="DJ381" s="5">
        <f t="shared" si="1128"/>
        <v>2</v>
      </c>
      <c r="DK381" s="5" t="s">
        <v>230</v>
      </c>
      <c r="DL381" s="5">
        <f t="shared" si="1129"/>
        <v>2</v>
      </c>
      <c r="DM381" s="5" t="s">
        <v>230</v>
      </c>
      <c r="DN381" s="5">
        <f t="shared" si="1130"/>
        <v>2</v>
      </c>
      <c r="DO381" s="5" t="s">
        <v>231</v>
      </c>
      <c r="DP381" s="5">
        <f t="shared" si="1131"/>
        <v>2</v>
      </c>
      <c r="DQ381" s="5" t="s">
        <v>231</v>
      </c>
      <c r="DR381" s="5">
        <f t="shared" si="1132"/>
        <v>2</v>
      </c>
      <c r="DS381" s="5" t="s">
        <v>231</v>
      </c>
      <c r="DT381" s="5">
        <f t="shared" si="1133"/>
        <v>2</v>
      </c>
      <c r="DU381" s="5" t="s">
        <v>231</v>
      </c>
      <c r="DV381" s="5">
        <f t="shared" si="1134"/>
        <v>2</v>
      </c>
      <c r="DW381" s="5" t="s">
        <v>231</v>
      </c>
      <c r="DX381" s="5">
        <f t="shared" si="1135"/>
        <v>2</v>
      </c>
      <c r="DY381" s="5">
        <f t="shared" si="1136"/>
        <v>27</v>
      </c>
      <c r="DZ381" s="5" t="str">
        <f t="shared" si="1137"/>
        <v>Nivel de riesgo alto</v>
      </c>
      <c r="EA381" s="5" t="s">
        <v>247</v>
      </c>
      <c r="EB381" s="5">
        <f t="shared" si="1138"/>
        <v>2</v>
      </c>
      <c r="EC381" s="5" t="s">
        <v>247</v>
      </c>
      <c r="ED381" s="5">
        <f t="shared" si="1139"/>
        <v>2</v>
      </c>
      <c r="EE381" s="5" t="s">
        <v>247</v>
      </c>
      <c r="EF381" s="5">
        <f t="shared" si="1140"/>
        <v>2</v>
      </c>
      <c r="EG381" s="5">
        <f t="shared" si="1141"/>
        <v>6</v>
      </c>
      <c r="EH381" s="5" t="str">
        <f t="shared" si="1142"/>
        <v>Nivel de riesgo alto</v>
      </c>
      <c r="EI381" s="5" t="s">
        <v>247</v>
      </c>
      <c r="EJ381" s="5">
        <f t="shared" si="1143"/>
        <v>2</v>
      </c>
      <c r="EK381" s="5" t="s">
        <v>247</v>
      </c>
      <c r="EL381" s="5">
        <f t="shared" si="1144"/>
        <v>2</v>
      </c>
      <c r="EM381" s="5" t="s">
        <v>247</v>
      </c>
      <c r="EN381" s="5">
        <f t="shared" si="1145"/>
        <v>2</v>
      </c>
      <c r="EO381" s="5">
        <f t="shared" si="1146"/>
        <v>6</v>
      </c>
      <c r="EP381" s="5" t="str">
        <f t="shared" si="1147"/>
        <v>Nivel de riesgo alto</v>
      </c>
      <c r="EQ381" s="5" t="s">
        <v>232</v>
      </c>
      <c r="ER381" s="5">
        <f t="shared" si="1148"/>
        <v>1</v>
      </c>
      <c r="ES381" s="5" t="s">
        <v>232</v>
      </c>
      <c r="ET381" s="5">
        <f t="shared" si="1149"/>
        <v>1</v>
      </c>
      <c r="EU381" s="5" t="s">
        <v>232</v>
      </c>
      <c r="EV381" s="5">
        <f t="shared" si="1150"/>
        <v>1</v>
      </c>
      <c r="EW381" s="5" t="s">
        <v>232</v>
      </c>
      <c r="EX381" s="5">
        <f t="shared" si="1151"/>
        <v>1</v>
      </c>
      <c r="EY381" s="5">
        <f t="shared" si="1152"/>
        <v>4</v>
      </c>
      <c r="EZ381" s="5" t="str">
        <f t="shared" si="1153"/>
        <v>Nivel de riesgo medio</v>
      </c>
      <c r="FA381" s="5" t="s">
        <v>232</v>
      </c>
      <c r="FB381" s="5">
        <f t="shared" si="1154"/>
        <v>3</v>
      </c>
      <c r="FC381" s="5" t="s">
        <v>232</v>
      </c>
      <c r="FD381" s="5">
        <f t="shared" si="1155"/>
        <v>3</v>
      </c>
      <c r="FE381" s="5" t="s">
        <v>232</v>
      </c>
      <c r="FF381" s="5">
        <f t="shared" si="1156"/>
        <v>3</v>
      </c>
      <c r="FG381" s="5">
        <f t="shared" si="1157"/>
        <v>9</v>
      </c>
      <c r="FH381" s="5" t="str">
        <f t="shared" si="1158"/>
        <v>Nivel de riesgo alto</v>
      </c>
      <c r="FI381" s="5" t="s">
        <v>232</v>
      </c>
      <c r="FJ381" s="5">
        <f t="shared" si="1159"/>
        <v>3</v>
      </c>
      <c r="FK381" s="5" t="s">
        <v>232</v>
      </c>
      <c r="FL381" s="5">
        <f t="shared" si="1160"/>
        <v>3</v>
      </c>
      <c r="FM381" s="5" t="s">
        <v>232</v>
      </c>
      <c r="FN381" s="5">
        <f t="shared" si="1161"/>
        <v>3</v>
      </c>
      <c r="FO381" s="5">
        <f t="shared" si="1162"/>
        <v>9</v>
      </c>
      <c r="FP381" s="5" t="str">
        <f t="shared" si="1163"/>
        <v>Nivel de riesgo alto</v>
      </c>
      <c r="FQ381" s="5" t="s">
        <v>206</v>
      </c>
      <c r="FR381" s="5">
        <f t="shared" si="1164"/>
        <v>0</v>
      </c>
      <c r="FS381" s="5" t="s">
        <v>206</v>
      </c>
      <c r="FT381" s="5">
        <f t="shared" si="1165"/>
        <v>0</v>
      </c>
      <c r="FU381" s="5" t="s">
        <v>206</v>
      </c>
      <c r="FV381" s="5">
        <f t="shared" si="1166"/>
        <v>0</v>
      </c>
      <c r="FW381" s="5" t="s">
        <v>206</v>
      </c>
      <c r="FX381" s="5">
        <f t="shared" si="1167"/>
        <v>0</v>
      </c>
      <c r="FY381" s="5" t="s">
        <v>206</v>
      </c>
      <c r="FZ381" s="5">
        <f t="shared" si="1168"/>
        <v>0</v>
      </c>
      <c r="GA381" s="5" t="s">
        <v>206</v>
      </c>
      <c r="GB381" s="5">
        <f t="shared" si="1169"/>
        <v>0</v>
      </c>
      <c r="GC381" s="5" t="s">
        <v>206</v>
      </c>
      <c r="GD381" s="5">
        <f t="shared" si="1170"/>
        <v>0</v>
      </c>
      <c r="GE381" s="5">
        <f t="shared" si="1171"/>
        <v>0</v>
      </c>
      <c r="GF381" s="5" t="str">
        <f t="shared" si="1172"/>
        <v>Nivel de riesgo bajo</v>
      </c>
      <c r="GG381" s="5" t="s">
        <v>255</v>
      </c>
      <c r="GH381" s="5" t="s">
        <v>255</v>
      </c>
      <c r="GI381" s="5" t="s">
        <v>255</v>
      </c>
      <c r="GJ381" s="5" t="s">
        <v>255</v>
      </c>
      <c r="GK381" s="5" t="s">
        <v>266</v>
      </c>
      <c r="GL381" s="5" t="s">
        <v>266</v>
      </c>
      <c r="GM381" s="5" t="s">
        <v>266</v>
      </c>
      <c r="GN381" s="5" t="s">
        <v>243</v>
      </c>
      <c r="GO381" s="5" t="s">
        <v>243</v>
      </c>
      <c r="GP381" s="5" t="s">
        <v>243</v>
      </c>
      <c r="GQ381" s="5" t="s">
        <v>243</v>
      </c>
      <c r="GR381" s="5" t="s">
        <v>257</v>
      </c>
      <c r="GS381" s="5" t="s">
        <v>257</v>
      </c>
      <c r="GT381" s="5" t="s">
        <v>257</v>
      </c>
      <c r="GU381" s="5" t="s">
        <v>746</v>
      </c>
      <c r="GV381" s="5" t="str">
        <f>TEXT("6283024693423061987","0")</f>
        <v>6283024693423060000</v>
      </c>
    </row>
    <row r="382" spans="1:204" ht="15.75" customHeight="1" x14ac:dyDescent="0.15">
      <c r="A382" s="1">
        <f t="shared" si="1122"/>
        <v>382</v>
      </c>
      <c r="B382" s="4">
        <v>45852.327986111108</v>
      </c>
      <c r="C382" s="5" t="s">
        <v>204</v>
      </c>
      <c r="D382" s="5" t="s">
        <v>206</v>
      </c>
      <c r="F382" s="5" t="s">
        <v>206</v>
      </c>
      <c r="G382" s="5" t="s">
        <v>206</v>
      </c>
      <c r="H382" s="5" t="s">
        <v>206</v>
      </c>
      <c r="K382" s="5" t="s">
        <v>237</v>
      </c>
      <c r="O382" s="5" t="s">
        <v>209</v>
      </c>
      <c r="T382" s="5" t="s">
        <v>209</v>
      </c>
      <c r="Y382" s="5" t="s">
        <v>209</v>
      </c>
      <c r="AC382" s="5" t="s">
        <v>208</v>
      </c>
      <c r="AH382" s="5" t="s">
        <v>268</v>
      </c>
      <c r="AI382" s="5">
        <v>2008</v>
      </c>
      <c r="AJ382" s="5" t="s">
        <v>238</v>
      </c>
      <c r="AK382" s="5" t="str">
        <f t="shared" si="1123"/>
        <v>Trabajadora por cuenta propia</v>
      </c>
      <c r="AL382" s="5" t="s">
        <v>239</v>
      </c>
      <c r="AP382" s="5" t="s">
        <v>284</v>
      </c>
      <c r="AR382" s="5" t="s">
        <v>276</v>
      </c>
      <c r="AS382" s="5" t="s">
        <v>276</v>
      </c>
      <c r="AT382" s="5" t="s">
        <v>276</v>
      </c>
      <c r="AU382" s="5" t="s">
        <v>276</v>
      </c>
      <c r="AV382" s="5" t="s">
        <v>317</v>
      </c>
      <c r="AW382" s="5" t="s">
        <v>206</v>
      </c>
      <c r="BF382" s="5" t="s">
        <v>204</v>
      </c>
      <c r="BG382" s="5" t="s">
        <v>207</v>
      </c>
      <c r="BH382" s="5" t="s">
        <v>264</v>
      </c>
      <c r="BI382" s="5" t="s">
        <v>207</v>
      </c>
      <c r="BJ382" s="5" t="s">
        <v>264</v>
      </c>
      <c r="BK382" s="5" t="s">
        <v>244</v>
      </c>
      <c r="BL382" s="5" t="s">
        <v>243</v>
      </c>
      <c r="BM382" s="5" t="s">
        <v>216</v>
      </c>
      <c r="BN382" s="5" t="s">
        <v>216</v>
      </c>
      <c r="BO382" s="5" t="s">
        <v>216</v>
      </c>
      <c r="BP382" s="5" t="s">
        <v>216</v>
      </c>
      <c r="BQ382" s="5" t="s">
        <v>216</v>
      </c>
      <c r="BR382" s="5" t="s">
        <v>216</v>
      </c>
      <c r="BS382" s="5" t="s">
        <v>217</v>
      </c>
      <c r="BT382" s="5" t="s">
        <v>217</v>
      </c>
      <c r="BU382" s="5" t="s">
        <v>217</v>
      </c>
      <c r="BV382" s="5" t="s">
        <v>217</v>
      </c>
      <c r="BW382" s="5" t="s">
        <v>217</v>
      </c>
      <c r="BX382" s="5" t="s">
        <v>217</v>
      </c>
      <c r="BY382" s="5" t="s">
        <v>217</v>
      </c>
      <c r="CD382" s="5" t="s">
        <v>206</v>
      </c>
      <c r="CH382" s="5" t="s">
        <v>206</v>
      </c>
      <c r="CI382" s="5" t="s">
        <v>206</v>
      </c>
      <c r="CJ382" s="5">
        <v>0</v>
      </c>
      <c r="CK382" s="5" t="s">
        <v>223</v>
      </c>
      <c r="CU382" s="5" t="s">
        <v>206</v>
      </c>
      <c r="DA382" s="5" t="s">
        <v>272</v>
      </c>
      <c r="DB382" s="5">
        <f t="shared" si="1124"/>
        <v>1</v>
      </c>
      <c r="DC382" s="5" t="s">
        <v>251</v>
      </c>
      <c r="DD382" s="5">
        <f t="shared" si="1125"/>
        <v>1</v>
      </c>
      <c r="DE382" s="5" t="s">
        <v>251</v>
      </c>
      <c r="DF382" s="5">
        <f t="shared" si="1126"/>
        <v>1</v>
      </c>
      <c r="DG382" s="5" t="s">
        <v>251</v>
      </c>
      <c r="DH382" s="5">
        <f t="shared" si="1127"/>
        <v>1</v>
      </c>
      <c r="DI382" s="5" t="s">
        <v>230</v>
      </c>
      <c r="DJ382" s="5">
        <f t="shared" si="1128"/>
        <v>2</v>
      </c>
      <c r="DK382" s="5" t="s">
        <v>251</v>
      </c>
      <c r="DL382" s="5">
        <f t="shared" si="1129"/>
        <v>1</v>
      </c>
      <c r="DM382" s="5" t="s">
        <v>251</v>
      </c>
      <c r="DN382" s="5">
        <f t="shared" si="1130"/>
        <v>1</v>
      </c>
      <c r="DO382" s="5" t="s">
        <v>281</v>
      </c>
      <c r="DP382" s="5">
        <f t="shared" si="1131"/>
        <v>1</v>
      </c>
      <c r="DQ382" s="5" t="s">
        <v>281</v>
      </c>
      <c r="DR382" s="5">
        <f t="shared" si="1132"/>
        <v>1</v>
      </c>
      <c r="DS382" s="5" t="s">
        <v>231</v>
      </c>
      <c r="DT382" s="5">
        <f t="shared" si="1133"/>
        <v>2</v>
      </c>
      <c r="DU382" s="5" t="s">
        <v>231</v>
      </c>
      <c r="DV382" s="5">
        <f t="shared" si="1134"/>
        <v>2</v>
      </c>
      <c r="DW382" s="5" t="s">
        <v>281</v>
      </c>
      <c r="DX382" s="5">
        <f t="shared" si="1135"/>
        <v>1</v>
      </c>
      <c r="DY382" s="5">
        <f t="shared" si="1136"/>
        <v>15</v>
      </c>
      <c r="DZ382" s="5" t="str">
        <f t="shared" si="1137"/>
        <v>Nivel de riesgo bajo</v>
      </c>
      <c r="EA382" s="5" t="s">
        <v>254</v>
      </c>
      <c r="EB382" s="5">
        <f t="shared" si="1138"/>
        <v>4</v>
      </c>
      <c r="EC382" s="5" t="s">
        <v>248</v>
      </c>
      <c r="ED382" s="5">
        <f t="shared" si="1139"/>
        <v>1</v>
      </c>
      <c r="EE382" s="5" t="s">
        <v>253</v>
      </c>
      <c r="EF382" s="5">
        <f t="shared" si="1140"/>
        <v>0</v>
      </c>
      <c r="EG382" s="5">
        <f t="shared" si="1141"/>
        <v>5</v>
      </c>
      <c r="EH382" s="5" t="str">
        <f t="shared" si="1142"/>
        <v>Nivel de riesgo alto</v>
      </c>
      <c r="EI382" s="5" t="s">
        <v>253</v>
      </c>
      <c r="EJ382" s="5">
        <f t="shared" si="1143"/>
        <v>0</v>
      </c>
      <c r="EK382" s="5" t="s">
        <v>253</v>
      </c>
      <c r="EL382" s="5">
        <f t="shared" si="1144"/>
        <v>0</v>
      </c>
      <c r="EM382" s="5" t="s">
        <v>253</v>
      </c>
      <c r="EN382" s="5">
        <f t="shared" si="1145"/>
        <v>0</v>
      </c>
      <c r="EO382" s="5">
        <f t="shared" si="1146"/>
        <v>0</v>
      </c>
      <c r="EP382" s="5" t="str">
        <f t="shared" si="1147"/>
        <v>Nivel de riesgo bajo</v>
      </c>
      <c r="EQ382" s="5" t="s">
        <v>232</v>
      </c>
      <c r="ER382" s="5">
        <f t="shared" si="1148"/>
        <v>1</v>
      </c>
      <c r="ES382" s="5" t="s">
        <v>232</v>
      </c>
      <c r="ET382" s="5">
        <f t="shared" si="1149"/>
        <v>1</v>
      </c>
      <c r="EU382" s="5" t="s">
        <v>254</v>
      </c>
      <c r="EV382" s="5">
        <f t="shared" si="1150"/>
        <v>0</v>
      </c>
      <c r="EW382" s="5" t="s">
        <v>247</v>
      </c>
      <c r="EX382" s="5">
        <f t="shared" si="1151"/>
        <v>2</v>
      </c>
      <c r="EY382" s="5">
        <f t="shared" si="1152"/>
        <v>4</v>
      </c>
      <c r="EZ382" s="5" t="str">
        <f t="shared" si="1153"/>
        <v>Nivel de riesgo medio</v>
      </c>
      <c r="FA382" s="5" t="s">
        <v>254</v>
      </c>
      <c r="FB382" s="5">
        <f t="shared" si="1154"/>
        <v>4</v>
      </c>
      <c r="FC382" s="5" t="s">
        <v>253</v>
      </c>
      <c r="FD382" s="5">
        <f t="shared" si="1155"/>
        <v>0</v>
      </c>
      <c r="FE382" s="5" t="s">
        <v>247</v>
      </c>
      <c r="FF382" s="5">
        <f t="shared" si="1156"/>
        <v>2</v>
      </c>
      <c r="FG382" s="5">
        <f t="shared" si="1157"/>
        <v>6</v>
      </c>
      <c r="FH382" s="5" t="str">
        <f t="shared" si="1158"/>
        <v>Nivel de riesgo alto</v>
      </c>
      <c r="FI382" s="5" t="s">
        <v>247</v>
      </c>
      <c r="FJ382" s="5">
        <f t="shared" si="1159"/>
        <v>2</v>
      </c>
      <c r="FK382" s="5" t="s">
        <v>253</v>
      </c>
      <c r="FL382" s="5">
        <f t="shared" si="1160"/>
        <v>0</v>
      </c>
      <c r="FM382" s="5" t="s">
        <v>247</v>
      </c>
      <c r="FN382" s="5">
        <f t="shared" si="1161"/>
        <v>2</v>
      </c>
      <c r="FO382" s="5">
        <f t="shared" si="1162"/>
        <v>4</v>
      </c>
      <c r="FP382" s="5" t="str">
        <f t="shared" si="1163"/>
        <v>Nivel de riesgo medio</v>
      </c>
      <c r="FQ382" s="5" t="s">
        <v>206</v>
      </c>
      <c r="FR382" s="5">
        <f t="shared" si="1164"/>
        <v>0</v>
      </c>
      <c r="FS382" s="5" t="s">
        <v>206</v>
      </c>
      <c r="FT382" s="5">
        <f t="shared" si="1165"/>
        <v>0</v>
      </c>
      <c r="FU382" s="5" t="s">
        <v>206</v>
      </c>
      <c r="FV382" s="5">
        <f t="shared" si="1166"/>
        <v>0</v>
      </c>
      <c r="FW382" s="5" t="s">
        <v>206</v>
      </c>
      <c r="FX382" s="5">
        <f t="shared" si="1167"/>
        <v>0</v>
      </c>
      <c r="FY382" s="5" t="s">
        <v>206</v>
      </c>
      <c r="FZ382" s="5">
        <f t="shared" si="1168"/>
        <v>0</v>
      </c>
      <c r="GA382" s="5" t="s">
        <v>206</v>
      </c>
      <c r="GB382" s="5">
        <f t="shared" si="1169"/>
        <v>0</v>
      </c>
      <c r="GC382" s="5" t="s">
        <v>206</v>
      </c>
      <c r="GD382" s="5">
        <f t="shared" si="1170"/>
        <v>0</v>
      </c>
      <c r="GE382" s="5">
        <f t="shared" si="1171"/>
        <v>0</v>
      </c>
      <c r="GF382" s="5" t="str">
        <f t="shared" si="1172"/>
        <v>Nivel de riesgo bajo</v>
      </c>
      <c r="GG382" s="5" t="s">
        <v>255</v>
      </c>
      <c r="GH382" s="5" t="s">
        <v>255</v>
      </c>
      <c r="GI382" s="5" t="s">
        <v>255</v>
      </c>
      <c r="GJ382" s="5" t="s">
        <v>255</v>
      </c>
      <c r="GK382" s="5" t="s">
        <v>255</v>
      </c>
      <c r="GL382" s="5" t="s">
        <v>255</v>
      </c>
      <c r="GM382" s="5" t="s">
        <v>255</v>
      </c>
      <c r="GN382" s="5" t="s">
        <v>243</v>
      </c>
      <c r="GO382" s="5" t="s">
        <v>243</v>
      </c>
      <c r="GP382" s="5" t="s">
        <v>243</v>
      </c>
      <c r="GQ382" s="5" t="s">
        <v>243</v>
      </c>
      <c r="GR382" s="5" t="s">
        <v>243</v>
      </c>
      <c r="GS382" s="5" t="s">
        <v>243</v>
      </c>
      <c r="GT382" s="5" t="s">
        <v>243</v>
      </c>
      <c r="GU382" s="5" t="s">
        <v>747</v>
      </c>
      <c r="GV382" s="5" t="str">
        <f>TEXT("6283031381017562202","0")</f>
        <v>6283031381017560000</v>
      </c>
    </row>
    <row r="383" spans="1:204" ht="15.75" customHeight="1" x14ac:dyDescent="0.15">
      <c r="A383" s="1">
        <f t="shared" si="1122"/>
        <v>383</v>
      </c>
      <c r="B383" s="4">
        <v>45852.382557870369</v>
      </c>
      <c r="C383" s="5" t="s">
        <v>204</v>
      </c>
      <c r="D383" s="5" t="s">
        <v>206</v>
      </c>
      <c r="F383" s="5" t="s">
        <v>206</v>
      </c>
      <c r="G383" s="5" t="s">
        <v>204</v>
      </c>
      <c r="H383" s="5" t="s">
        <v>206</v>
      </c>
      <c r="K383" s="5" t="s">
        <v>237</v>
      </c>
      <c r="O383" s="5" t="s">
        <v>209</v>
      </c>
      <c r="U383" s="5" t="s">
        <v>237</v>
      </c>
      <c r="Y383" s="5" t="s">
        <v>209</v>
      </c>
      <c r="AD383" s="5" t="s">
        <v>209</v>
      </c>
      <c r="AH383" s="5" t="s">
        <v>268</v>
      </c>
      <c r="AI383" s="5">
        <v>2016</v>
      </c>
      <c r="AJ383" s="5" t="s">
        <v>238</v>
      </c>
      <c r="AK383" s="5" t="str">
        <f t="shared" si="1123"/>
        <v>Trabajadora por cuenta propia</v>
      </c>
      <c r="AL383" s="5" t="s">
        <v>239</v>
      </c>
      <c r="AP383" s="5" t="s">
        <v>284</v>
      </c>
      <c r="AR383" s="5" t="s">
        <v>301</v>
      </c>
      <c r="AS383" s="5" t="s">
        <v>301</v>
      </c>
      <c r="AT383" s="5" t="s">
        <v>301</v>
      </c>
      <c r="AU383" s="5" t="s">
        <v>301</v>
      </c>
      <c r="AV383" s="5" t="s">
        <v>213</v>
      </c>
      <c r="AW383" s="5" t="s">
        <v>204</v>
      </c>
      <c r="AX383" s="5" t="s">
        <v>204</v>
      </c>
      <c r="AY383" s="5" t="s">
        <v>270</v>
      </c>
      <c r="AZ383" s="5" t="s">
        <v>206</v>
      </c>
      <c r="BA383" s="5" t="s">
        <v>263</v>
      </c>
      <c r="BF383" s="5" t="s">
        <v>204</v>
      </c>
      <c r="BG383" s="5" t="s">
        <v>215</v>
      </c>
      <c r="BH383" s="5" t="s">
        <v>242</v>
      </c>
      <c r="BI383" s="5" t="s">
        <v>242</v>
      </c>
      <c r="BJ383" s="5" t="s">
        <v>242</v>
      </c>
      <c r="BK383" s="5" t="s">
        <v>243</v>
      </c>
      <c r="BL383" s="5" t="s">
        <v>246</v>
      </c>
      <c r="BM383" s="5" t="s">
        <v>245</v>
      </c>
      <c r="BN383" s="5" t="s">
        <v>243</v>
      </c>
      <c r="BO383" s="5" t="s">
        <v>243</v>
      </c>
      <c r="BP383" s="5" t="s">
        <v>246</v>
      </c>
      <c r="BQ383" s="5" t="s">
        <v>246</v>
      </c>
      <c r="BR383" s="5" t="s">
        <v>246</v>
      </c>
      <c r="BS383" s="5" t="s">
        <v>247</v>
      </c>
      <c r="BT383" s="5" t="s">
        <v>217</v>
      </c>
      <c r="BU383" s="5" t="s">
        <v>232</v>
      </c>
      <c r="BV383" s="5" t="s">
        <v>247</v>
      </c>
      <c r="BW383" s="5" t="s">
        <v>247</v>
      </c>
      <c r="BX383" s="5" t="s">
        <v>247</v>
      </c>
      <c r="BY383" s="5" t="s">
        <v>247</v>
      </c>
      <c r="BZ383" s="5" t="s">
        <v>246</v>
      </c>
      <c r="CA383" s="5" t="s">
        <v>243</v>
      </c>
      <c r="CB383" s="5" t="s">
        <v>246</v>
      </c>
      <c r="CC383" s="5" t="s">
        <v>243</v>
      </c>
      <c r="CD383" s="5" t="s">
        <v>206</v>
      </c>
      <c r="CH383" s="5" t="s">
        <v>206</v>
      </c>
      <c r="CI383" s="5" t="s">
        <v>206</v>
      </c>
      <c r="CJ383" s="5">
        <v>2</v>
      </c>
      <c r="CK383" s="5" t="s">
        <v>223</v>
      </c>
      <c r="CU383" s="5" t="s">
        <v>206</v>
      </c>
      <c r="DA383" s="5" t="s">
        <v>231</v>
      </c>
      <c r="DB383" s="5">
        <f t="shared" si="1124"/>
        <v>2</v>
      </c>
      <c r="DC383" s="5" t="s">
        <v>230</v>
      </c>
      <c r="DD383" s="5">
        <f t="shared" si="1125"/>
        <v>2</v>
      </c>
      <c r="DE383" s="5" t="s">
        <v>230</v>
      </c>
      <c r="DF383" s="5">
        <f t="shared" si="1126"/>
        <v>2</v>
      </c>
      <c r="DG383" s="5" t="s">
        <v>230</v>
      </c>
      <c r="DH383" s="5">
        <f t="shared" si="1127"/>
        <v>2</v>
      </c>
      <c r="DI383" s="5" t="s">
        <v>251</v>
      </c>
      <c r="DJ383" s="5">
        <f t="shared" si="1128"/>
        <v>1</v>
      </c>
      <c r="DK383" s="5" t="s">
        <v>251</v>
      </c>
      <c r="DL383" s="5">
        <f t="shared" si="1129"/>
        <v>1</v>
      </c>
      <c r="DM383" s="5" t="s">
        <v>251</v>
      </c>
      <c r="DN383" s="5">
        <f t="shared" si="1130"/>
        <v>1</v>
      </c>
      <c r="DO383" s="5" t="s">
        <v>229</v>
      </c>
      <c r="DP383" s="5">
        <f t="shared" si="1131"/>
        <v>4</v>
      </c>
      <c r="DQ383" s="5" t="s">
        <v>231</v>
      </c>
      <c r="DR383" s="5">
        <f t="shared" si="1132"/>
        <v>2</v>
      </c>
      <c r="DS383" s="5" t="s">
        <v>231</v>
      </c>
      <c r="DT383" s="5">
        <f t="shared" si="1133"/>
        <v>2</v>
      </c>
      <c r="DU383" s="5" t="s">
        <v>231</v>
      </c>
      <c r="DV383" s="5">
        <f t="shared" si="1134"/>
        <v>2</v>
      </c>
      <c r="DW383" s="5" t="s">
        <v>231</v>
      </c>
      <c r="DX383" s="5">
        <f t="shared" si="1135"/>
        <v>2</v>
      </c>
      <c r="DY383" s="5">
        <f t="shared" si="1136"/>
        <v>23</v>
      </c>
      <c r="DZ383" s="5" t="str">
        <f t="shared" si="1137"/>
        <v>Nivel de riesgo medio</v>
      </c>
      <c r="EA383" s="5" t="s">
        <v>248</v>
      </c>
      <c r="EB383" s="5">
        <f t="shared" si="1138"/>
        <v>1</v>
      </c>
      <c r="EC383" s="5" t="s">
        <v>247</v>
      </c>
      <c r="ED383" s="5">
        <f t="shared" si="1139"/>
        <v>2</v>
      </c>
      <c r="EE383" s="5" t="s">
        <v>253</v>
      </c>
      <c r="EF383" s="5">
        <f t="shared" si="1140"/>
        <v>0</v>
      </c>
      <c r="EG383" s="5">
        <f t="shared" si="1141"/>
        <v>3</v>
      </c>
      <c r="EH383" s="5" t="str">
        <f t="shared" si="1142"/>
        <v>Nivel de riesgo medio</v>
      </c>
      <c r="EI383" s="5" t="s">
        <v>247</v>
      </c>
      <c r="EJ383" s="5">
        <f t="shared" si="1143"/>
        <v>2</v>
      </c>
      <c r="EK383" s="5" t="s">
        <v>247</v>
      </c>
      <c r="EL383" s="5">
        <f t="shared" si="1144"/>
        <v>2</v>
      </c>
      <c r="EM383" s="5" t="s">
        <v>254</v>
      </c>
      <c r="EN383" s="5">
        <f t="shared" si="1145"/>
        <v>4</v>
      </c>
      <c r="EO383" s="5">
        <f t="shared" si="1146"/>
        <v>8</v>
      </c>
      <c r="EP383" s="5" t="str">
        <f t="shared" si="1147"/>
        <v>Nivel de riesgo alto</v>
      </c>
      <c r="EQ383" s="5" t="s">
        <v>253</v>
      </c>
      <c r="ER383" s="5">
        <f t="shared" si="1148"/>
        <v>4</v>
      </c>
      <c r="ES383" s="5" t="s">
        <v>253</v>
      </c>
      <c r="ET383" s="5">
        <f t="shared" si="1149"/>
        <v>4</v>
      </c>
      <c r="EU383" s="5" t="s">
        <v>253</v>
      </c>
      <c r="EV383" s="5">
        <f t="shared" si="1150"/>
        <v>4</v>
      </c>
      <c r="EW383" s="5" t="s">
        <v>253</v>
      </c>
      <c r="EX383" s="5">
        <f t="shared" si="1151"/>
        <v>4</v>
      </c>
      <c r="EY383" s="5">
        <f t="shared" si="1152"/>
        <v>16</v>
      </c>
      <c r="EZ383" s="5" t="str">
        <f t="shared" si="1153"/>
        <v>Nivel de riesgo alto</v>
      </c>
      <c r="FA383" s="5" t="s">
        <v>247</v>
      </c>
      <c r="FB383" s="5">
        <f t="shared" si="1154"/>
        <v>2</v>
      </c>
      <c r="FC383" s="5" t="s">
        <v>253</v>
      </c>
      <c r="FD383" s="5">
        <f t="shared" si="1155"/>
        <v>0</v>
      </c>
      <c r="FE383" s="5" t="s">
        <v>253</v>
      </c>
      <c r="FF383" s="5">
        <f t="shared" si="1156"/>
        <v>0</v>
      </c>
      <c r="FG383" s="5">
        <f t="shared" si="1157"/>
        <v>2</v>
      </c>
      <c r="FH383" s="5" t="str">
        <f t="shared" si="1158"/>
        <v>Nivel de riesgo bajo</v>
      </c>
      <c r="FI383" s="5" t="s">
        <v>247</v>
      </c>
      <c r="FJ383" s="5">
        <f t="shared" si="1159"/>
        <v>2</v>
      </c>
      <c r="FK383" s="5" t="s">
        <v>247</v>
      </c>
      <c r="FL383" s="5">
        <f t="shared" si="1160"/>
        <v>2</v>
      </c>
      <c r="FM383" s="5" t="s">
        <v>247</v>
      </c>
      <c r="FN383" s="5">
        <f t="shared" si="1161"/>
        <v>2</v>
      </c>
      <c r="FO383" s="5">
        <f t="shared" si="1162"/>
        <v>6</v>
      </c>
      <c r="FP383" s="5" t="str">
        <f t="shared" si="1163"/>
        <v>Nivel de riesgo alto</v>
      </c>
      <c r="FQ383" s="5" t="s">
        <v>206</v>
      </c>
      <c r="FR383" s="5">
        <f t="shared" si="1164"/>
        <v>0</v>
      </c>
      <c r="FS383" s="5" t="s">
        <v>206</v>
      </c>
      <c r="FT383" s="5">
        <f t="shared" si="1165"/>
        <v>0</v>
      </c>
      <c r="FU383" s="5" t="s">
        <v>206</v>
      </c>
      <c r="FV383" s="5">
        <f t="shared" si="1166"/>
        <v>0</v>
      </c>
      <c r="FW383" s="5" t="s">
        <v>206</v>
      </c>
      <c r="FX383" s="5">
        <f t="shared" si="1167"/>
        <v>0</v>
      </c>
      <c r="FY383" s="5" t="s">
        <v>206</v>
      </c>
      <c r="FZ383" s="5">
        <f t="shared" si="1168"/>
        <v>0</v>
      </c>
      <c r="GA383" s="5" t="s">
        <v>206</v>
      </c>
      <c r="GB383" s="5">
        <f t="shared" si="1169"/>
        <v>0</v>
      </c>
      <c r="GC383" s="5" t="s">
        <v>206</v>
      </c>
      <c r="GD383" s="5">
        <f t="shared" si="1170"/>
        <v>0</v>
      </c>
      <c r="GE383" s="5">
        <f t="shared" si="1171"/>
        <v>0</v>
      </c>
      <c r="GF383" s="5" t="str">
        <f t="shared" si="1172"/>
        <v>Nivel de riesgo bajo</v>
      </c>
      <c r="GG383" s="5" t="s">
        <v>255</v>
      </c>
      <c r="GH383" s="5" t="s">
        <v>255</v>
      </c>
      <c r="GI383" s="5" t="s">
        <v>255</v>
      </c>
      <c r="GJ383" s="5" t="s">
        <v>273</v>
      </c>
      <c r="GK383" s="5" t="s">
        <v>273</v>
      </c>
      <c r="GL383" s="5" t="s">
        <v>266</v>
      </c>
      <c r="GM383" s="5" t="s">
        <v>273</v>
      </c>
      <c r="GN383" s="5" t="s">
        <v>256</v>
      </c>
      <c r="GO383" s="5" t="s">
        <v>257</v>
      </c>
      <c r="GP383" s="5" t="s">
        <v>257</v>
      </c>
      <c r="GQ383" s="5" t="s">
        <v>257</v>
      </c>
      <c r="GR383" s="5" t="s">
        <v>243</v>
      </c>
      <c r="GS383" s="5" t="s">
        <v>243</v>
      </c>
      <c r="GT383" s="5" t="s">
        <v>243</v>
      </c>
      <c r="GU383" s="5" t="s">
        <v>748</v>
      </c>
      <c r="GV383" s="5" t="str">
        <f>TEXT("6283078534655958867","0")</f>
        <v>6283078534655950000</v>
      </c>
    </row>
    <row r="384" spans="1:204" ht="15.75" customHeight="1" x14ac:dyDescent="0.15">
      <c r="A384" s="1">
        <f t="shared" si="1122"/>
        <v>384</v>
      </c>
      <c r="B384" s="4">
        <v>45852.389386574076</v>
      </c>
      <c r="C384" s="5" t="s">
        <v>204</v>
      </c>
      <c r="D384" s="5" t="s">
        <v>206</v>
      </c>
      <c r="F384" s="5" t="s">
        <v>204</v>
      </c>
      <c r="G384" s="5" t="s">
        <v>204</v>
      </c>
      <c r="H384" s="5" t="s">
        <v>206</v>
      </c>
      <c r="K384" s="5" t="s">
        <v>237</v>
      </c>
      <c r="N384" s="5" t="s">
        <v>208</v>
      </c>
      <c r="S384" s="5" t="s">
        <v>208</v>
      </c>
      <c r="X384" s="5" t="s">
        <v>208</v>
      </c>
      <c r="AG384" s="5" t="s">
        <v>207</v>
      </c>
      <c r="AH384" s="5" t="s">
        <v>210</v>
      </c>
      <c r="AI384" s="5">
        <v>2006</v>
      </c>
      <c r="AJ384" s="5" t="s">
        <v>238</v>
      </c>
      <c r="AK384" s="5" t="str">
        <f t="shared" si="1123"/>
        <v>Trabajadora por cuenta propia</v>
      </c>
      <c r="AM384" s="5" t="s">
        <v>309</v>
      </c>
      <c r="AP384" s="5" t="s">
        <v>749</v>
      </c>
      <c r="AR384" s="5" t="s">
        <v>301</v>
      </c>
      <c r="AS384" s="5" t="s">
        <v>301</v>
      </c>
      <c r="AT384" s="5" t="s">
        <v>241</v>
      </c>
      <c r="AU384" s="5" t="s">
        <v>241</v>
      </c>
      <c r="AV384" s="5" t="s">
        <v>457</v>
      </c>
      <c r="AW384" s="5" t="s">
        <v>206</v>
      </c>
      <c r="BF384" s="5" t="s">
        <v>204</v>
      </c>
      <c r="BG384" s="5" t="s">
        <v>207</v>
      </c>
      <c r="BH384" s="5" t="s">
        <v>215</v>
      </c>
      <c r="BI384" s="5" t="s">
        <v>207</v>
      </c>
      <c r="BJ384" s="5" t="s">
        <v>242</v>
      </c>
      <c r="BK384" s="5" t="s">
        <v>246</v>
      </c>
      <c r="BL384" s="5" t="s">
        <v>244</v>
      </c>
      <c r="BM384" s="5" t="s">
        <v>244</v>
      </c>
      <c r="BN384" s="5" t="s">
        <v>244</v>
      </c>
      <c r="BO384" s="5" t="s">
        <v>244</v>
      </c>
      <c r="BP384" s="5" t="s">
        <v>244</v>
      </c>
      <c r="BQ384" s="5" t="s">
        <v>244</v>
      </c>
      <c r="BR384" s="5" t="s">
        <v>244</v>
      </c>
      <c r="BS384" s="5" t="s">
        <v>248</v>
      </c>
      <c r="BT384" s="5" t="s">
        <v>248</v>
      </c>
      <c r="BU384" s="5" t="s">
        <v>248</v>
      </c>
      <c r="BV384" s="5" t="s">
        <v>248</v>
      </c>
      <c r="BW384" s="5" t="s">
        <v>248</v>
      </c>
      <c r="BX384" s="5" t="s">
        <v>248</v>
      </c>
      <c r="BY384" s="5" t="s">
        <v>248</v>
      </c>
      <c r="CD384" s="5" t="s">
        <v>204</v>
      </c>
      <c r="CE384" s="5" t="s">
        <v>218</v>
      </c>
      <c r="CF384" s="5" t="s">
        <v>219</v>
      </c>
      <c r="CG384" s="5" t="s">
        <v>220</v>
      </c>
      <c r="CH384" s="5" t="s">
        <v>206</v>
      </c>
      <c r="CI384" s="5" t="s">
        <v>206</v>
      </c>
      <c r="CJ384" s="5">
        <v>0</v>
      </c>
      <c r="CK384" s="5" t="s">
        <v>223</v>
      </c>
      <c r="CU384" s="5" t="s">
        <v>206</v>
      </c>
      <c r="DA384" s="5" t="s">
        <v>272</v>
      </c>
      <c r="DB384" s="5">
        <f t="shared" si="1124"/>
        <v>1</v>
      </c>
      <c r="DC384" s="5" t="s">
        <v>230</v>
      </c>
      <c r="DD384" s="5">
        <f t="shared" si="1125"/>
        <v>2</v>
      </c>
      <c r="DE384" s="5" t="s">
        <v>251</v>
      </c>
      <c r="DF384" s="5">
        <f t="shared" si="1126"/>
        <v>1</v>
      </c>
      <c r="DG384" s="5" t="s">
        <v>251</v>
      </c>
      <c r="DH384" s="5">
        <f t="shared" si="1127"/>
        <v>1</v>
      </c>
      <c r="DI384" s="5" t="s">
        <v>251</v>
      </c>
      <c r="DJ384" s="5">
        <f t="shared" si="1128"/>
        <v>1</v>
      </c>
      <c r="DK384" s="5" t="s">
        <v>251</v>
      </c>
      <c r="DL384" s="5">
        <f t="shared" si="1129"/>
        <v>1</v>
      </c>
      <c r="DM384" s="5" t="s">
        <v>251</v>
      </c>
      <c r="DN384" s="5">
        <f t="shared" si="1130"/>
        <v>1</v>
      </c>
      <c r="DO384" s="5" t="s">
        <v>231</v>
      </c>
      <c r="DP384" s="5">
        <f t="shared" si="1131"/>
        <v>2</v>
      </c>
      <c r="DQ384" s="5" t="s">
        <v>231</v>
      </c>
      <c r="DR384" s="5">
        <f t="shared" si="1132"/>
        <v>2</v>
      </c>
      <c r="DS384" s="5" t="s">
        <v>231</v>
      </c>
      <c r="DT384" s="5">
        <f t="shared" si="1133"/>
        <v>2</v>
      </c>
      <c r="DU384" s="5" t="s">
        <v>231</v>
      </c>
      <c r="DV384" s="5">
        <f t="shared" si="1134"/>
        <v>2</v>
      </c>
      <c r="DW384" s="5" t="s">
        <v>231</v>
      </c>
      <c r="DX384" s="5">
        <f t="shared" si="1135"/>
        <v>2</v>
      </c>
      <c r="DY384" s="5">
        <f t="shared" si="1136"/>
        <v>18</v>
      </c>
      <c r="DZ384" s="5" t="str">
        <f t="shared" si="1137"/>
        <v>Nivel de riesgo bajo</v>
      </c>
      <c r="EA384" s="5" t="s">
        <v>253</v>
      </c>
      <c r="EB384" s="5">
        <f t="shared" si="1138"/>
        <v>0</v>
      </c>
      <c r="EC384" s="5" t="s">
        <v>248</v>
      </c>
      <c r="ED384" s="5">
        <f t="shared" si="1139"/>
        <v>1</v>
      </c>
      <c r="EE384" s="5" t="s">
        <v>253</v>
      </c>
      <c r="EF384" s="5">
        <f t="shared" si="1140"/>
        <v>0</v>
      </c>
      <c r="EG384" s="5">
        <f t="shared" si="1141"/>
        <v>1</v>
      </c>
      <c r="EH384" s="5" t="str">
        <f t="shared" si="1142"/>
        <v>Nivel de riesgo bajo</v>
      </c>
      <c r="EI384" s="5" t="s">
        <v>253</v>
      </c>
      <c r="EJ384" s="5">
        <f t="shared" si="1143"/>
        <v>0</v>
      </c>
      <c r="EK384" s="5" t="s">
        <v>253</v>
      </c>
      <c r="EL384" s="5">
        <f t="shared" si="1144"/>
        <v>0</v>
      </c>
      <c r="EM384" s="5" t="s">
        <v>253</v>
      </c>
      <c r="EN384" s="5">
        <f t="shared" si="1145"/>
        <v>0</v>
      </c>
      <c r="EO384" s="5">
        <f t="shared" si="1146"/>
        <v>0</v>
      </c>
      <c r="EP384" s="5" t="str">
        <f t="shared" si="1147"/>
        <v>Nivel de riesgo bajo</v>
      </c>
      <c r="EQ384" s="5" t="s">
        <v>253</v>
      </c>
      <c r="ER384" s="5">
        <f t="shared" si="1148"/>
        <v>4</v>
      </c>
      <c r="ES384" s="5" t="s">
        <v>254</v>
      </c>
      <c r="ET384" s="5">
        <f t="shared" si="1149"/>
        <v>0</v>
      </c>
      <c r="EU384" s="5" t="s">
        <v>254</v>
      </c>
      <c r="EV384" s="5">
        <f t="shared" si="1150"/>
        <v>0</v>
      </c>
      <c r="EW384" s="5" t="s">
        <v>254</v>
      </c>
      <c r="EX384" s="5">
        <f t="shared" si="1151"/>
        <v>0</v>
      </c>
      <c r="EY384" s="5">
        <f t="shared" si="1152"/>
        <v>4</v>
      </c>
      <c r="EZ384" s="5" t="str">
        <f t="shared" si="1153"/>
        <v>Nivel de riesgo medio</v>
      </c>
      <c r="FA384" s="5" t="s">
        <v>253</v>
      </c>
      <c r="FB384" s="5">
        <f t="shared" si="1154"/>
        <v>0</v>
      </c>
      <c r="FC384" s="5" t="s">
        <v>253</v>
      </c>
      <c r="FD384" s="5">
        <f t="shared" si="1155"/>
        <v>0</v>
      </c>
      <c r="FE384" s="5" t="s">
        <v>253</v>
      </c>
      <c r="FF384" s="5">
        <f t="shared" si="1156"/>
        <v>0</v>
      </c>
      <c r="FG384" s="5">
        <f t="shared" si="1157"/>
        <v>0</v>
      </c>
      <c r="FH384" s="5" t="str">
        <f t="shared" si="1158"/>
        <v>Nivel de riesgo bajo</v>
      </c>
      <c r="FI384" s="5" t="s">
        <v>253</v>
      </c>
      <c r="FJ384" s="5">
        <f t="shared" si="1159"/>
        <v>0</v>
      </c>
      <c r="FK384" s="5" t="s">
        <v>253</v>
      </c>
      <c r="FL384" s="5">
        <f t="shared" si="1160"/>
        <v>0</v>
      </c>
      <c r="FM384" s="5" t="s">
        <v>248</v>
      </c>
      <c r="FN384" s="5">
        <f t="shared" si="1161"/>
        <v>1</v>
      </c>
      <c r="FO384" s="5">
        <f t="shared" si="1162"/>
        <v>1</v>
      </c>
      <c r="FP384" s="5" t="str">
        <f t="shared" si="1163"/>
        <v>Nivel de riesgo bajo</v>
      </c>
      <c r="FQ384" s="5" t="s">
        <v>206</v>
      </c>
      <c r="FR384" s="5">
        <f t="shared" si="1164"/>
        <v>0</v>
      </c>
      <c r="FS384" s="5" t="s">
        <v>206</v>
      </c>
      <c r="FT384" s="5">
        <f t="shared" si="1165"/>
        <v>0</v>
      </c>
      <c r="FU384" s="5" t="s">
        <v>206</v>
      </c>
      <c r="FV384" s="5">
        <f t="shared" si="1166"/>
        <v>0</v>
      </c>
      <c r="FW384" s="5" t="s">
        <v>206</v>
      </c>
      <c r="FX384" s="5">
        <f t="shared" si="1167"/>
        <v>0</v>
      </c>
      <c r="FY384" s="5" t="s">
        <v>206</v>
      </c>
      <c r="FZ384" s="5">
        <f t="shared" si="1168"/>
        <v>0</v>
      </c>
      <c r="GA384" s="5" t="s">
        <v>206</v>
      </c>
      <c r="GB384" s="5">
        <f t="shared" si="1169"/>
        <v>0</v>
      </c>
      <c r="GC384" s="5" t="s">
        <v>206</v>
      </c>
      <c r="GD384" s="5">
        <f t="shared" si="1170"/>
        <v>0</v>
      </c>
      <c r="GE384" s="5">
        <f t="shared" si="1171"/>
        <v>0</v>
      </c>
      <c r="GF384" s="5" t="str">
        <f t="shared" si="1172"/>
        <v>Nivel de riesgo bajo</v>
      </c>
      <c r="GG384" s="5" t="s">
        <v>255</v>
      </c>
      <c r="GH384" s="5" t="s">
        <v>273</v>
      </c>
      <c r="GI384" s="5" t="s">
        <v>255</v>
      </c>
      <c r="GJ384" s="5" t="s">
        <v>273</v>
      </c>
      <c r="GK384" s="5" t="s">
        <v>233</v>
      </c>
      <c r="GL384" s="5" t="s">
        <v>255</v>
      </c>
      <c r="GM384" s="5" t="s">
        <v>255</v>
      </c>
      <c r="GN384" s="5" t="s">
        <v>256</v>
      </c>
      <c r="GO384" s="5" t="s">
        <v>243</v>
      </c>
      <c r="GP384" s="5" t="s">
        <v>243</v>
      </c>
      <c r="GQ384" s="5" t="s">
        <v>243</v>
      </c>
      <c r="GR384" s="5" t="s">
        <v>243</v>
      </c>
      <c r="GS384" s="5" t="s">
        <v>243</v>
      </c>
      <c r="GT384" s="5" t="s">
        <v>256</v>
      </c>
      <c r="GU384" s="5" t="s">
        <v>750</v>
      </c>
      <c r="GV384" s="5" t="str">
        <f>TEXT("6283084434406142942","0")</f>
        <v>6283084434406140000</v>
      </c>
    </row>
    <row r="385" spans="1:204" ht="15.75" hidden="1" customHeight="1" x14ac:dyDescent="0.15">
      <c r="B385" s="4">
        <v>45852.409189814818</v>
      </c>
      <c r="C385" s="5" t="s">
        <v>206</v>
      </c>
      <c r="GV385" s="5" t="str">
        <f>TEXT("6283101540881348735","0")</f>
        <v>6283101540881340000</v>
      </c>
    </row>
    <row r="386" spans="1:204" ht="15.75" hidden="1" customHeight="1" x14ac:dyDescent="0.15">
      <c r="B386" s="4">
        <v>45852.410462962966</v>
      </c>
      <c r="C386" s="5" t="s">
        <v>206</v>
      </c>
      <c r="GV386" s="5" t="str">
        <f>TEXT("6283102640811569536","0")</f>
        <v>6283102640811560000</v>
      </c>
    </row>
    <row r="387" spans="1:204" ht="15.75" customHeight="1" x14ac:dyDescent="0.15">
      <c r="A387" s="1">
        <f>ROW(A387)</f>
        <v>387</v>
      </c>
      <c r="B387" s="4">
        <v>45852.423634259256</v>
      </c>
      <c r="C387" s="5" t="s">
        <v>204</v>
      </c>
      <c r="D387" s="5" t="s">
        <v>206</v>
      </c>
      <c r="F387" s="5" t="s">
        <v>206</v>
      </c>
      <c r="G387" s="5" t="s">
        <v>206</v>
      </c>
      <c r="H387" s="5" t="s">
        <v>206</v>
      </c>
      <c r="K387" s="5" t="s">
        <v>237</v>
      </c>
      <c r="O387" s="5" t="s">
        <v>209</v>
      </c>
      <c r="U387" s="5" t="s">
        <v>237</v>
      </c>
      <c r="Y387" s="5" t="s">
        <v>209</v>
      </c>
      <c r="AC387" s="5" t="s">
        <v>208</v>
      </c>
      <c r="AH387" s="5" t="s">
        <v>210</v>
      </c>
      <c r="AI387" s="5">
        <v>2005</v>
      </c>
      <c r="AJ387" s="5" t="s">
        <v>337</v>
      </c>
      <c r="AK387" s="5" t="str">
        <f>IF(OR(AJ387="Empleada del sector privado",AJ387="Empleada del sector público"),"Asalariada",
IF(AJ387="Trabajadora por cuenta propia","Trabajadora por cuenta propia",""))</f>
        <v>Asalariada</v>
      </c>
      <c r="AQ387" s="5" t="s">
        <v>206</v>
      </c>
      <c r="AR387" s="5" t="s">
        <v>241</v>
      </c>
      <c r="AS387" s="5" t="s">
        <v>241</v>
      </c>
      <c r="AT387" s="5" t="s">
        <v>261</v>
      </c>
      <c r="AU387" s="5" t="s">
        <v>261</v>
      </c>
      <c r="AV387" s="5" t="s">
        <v>285</v>
      </c>
      <c r="AW387" s="5" t="s">
        <v>204</v>
      </c>
      <c r="AX387" s="5" t="s">
        <v>204</v>
      </c>
      <c r="AY387" s="5" t="s">
        <v>214</v>
      </c>
      <c r="AZ387" s="5" t="s">
        <v>204</v>
      </c>
      <c r="BA387" s="5" t="s">
        <v>344</v>
      </c>
      <c r="BF387" s="5" t="s">
        <v>204</v>
      </c>
      <c r="BG387" s="5" t="s">
        <v>215</v>
      </c>
      <c r="BH387" s="5" t="s">
        <v>215</v>
      </c>
      <c r="BI387" s="5" t="s">
        <v>215</v>
      </c>
      <c r="BJ387" s="5" t="s">
        <v>215</v>
      </c>
      <c r="BK387" s="5" t="s">
        <v>216</v>
      </c>
      <c r="BL387" s="5" t="s">
        <v>216</v>
      </c>
      <c r="BM387" s="5" t="s">
        <v>216</v>
      </c>
      <c r="BN387" s="5" t="s">
        <v>216</v>
      </c>
      <c r="BO387" s="5" t="s">
        <v>246</v>
      </c>
      <c r="BP387" s="5" t="s">
        <v>216</v>
      </c>
      <c r="BQ387" s="5" t="s">
        <v>216</v>
      </c>
      <c r="BR387" s="5" t="s">
        <v>216</v>
      </c>
      <c r="BS387" s="5" t="s">
        <v>232</v>
      </c>
      <c r="BT387" s="5" t="s">
        <v>232</v>
      </c>
      <c r="BU387" s="5" t="s">
        <v>247</v>
      </c>
      <c r="BV387" s="5" t="s">
        <v>248</v>
      </c>
      <c r="BW387" s="5" t="s">
        <v>247</v>
      </c>
      <c r="BX387" s="5" t="s">
        <v>248</v>
      </c>
      <c r="BY387" s="5" t="s">
        <v>248</v>
      </c>
      <c r="BZ387" s="5" t="s">
        <v>244</v>
      </c>
      <c r="CA387" s="5" t="s">
        <v>246</v>
      </c>
      <c r="CB387" s="5" t="s">
        <v>246</v>
      </c>
      <c r="CC387" s="5" t="s">
        <v>246</v>
      </c>
      <c r="CD387" s="5" t="s">
        <v>206</v>
      </c>
      <c r="CH387" s="5" t="s">
        <v>206</v>
      </c>
      <c r="CI387" s="5" t="s">
        <v>206</v>
      </c>
      <c r="CJ387" s="5">
        <v>0</v>
      </c>
      <c r="CK387" s="5" t="s">
        <v>223</v>
      </c>
      <c r="CU387" s="5" t="s">
        <v>206</v>
      </c>
      <c r="DA387" s="5" t="s">
        <v>231</v>
      </c>
      <c r="DB387" s="5">
        <f>IF(DA387="Mejor que lo habitual",1,
IF(DA387="Igual que lo habitual",2,
IF(DA387="Menos que lo habitual",3,
IF(DA387="Mucho menos que lo habitual",4,""))))</f>
        <v>2</v>
      </c>
      <c r="DC387" s="5" t="s">
        <v>230</v>
      </c>
      <c r="DD387" s="5">
        <f>IF(DC387="No, en absoluto",1,
IF(DC387="No más que lo habitual",2,
IF(DC387="Bastante más que lo habitual",3,
IF(DC387="Mucho más que lo habitual",4,""))))</f>
        <v>2</v>
      </c>
      <c r="DE387" s="5" t="s">
        <v>250</v>
      </c>
      <c r="DF387" s="5">
        <f>IF(DE387="No, en absoluto",1,
IF(DE387="No más que lo habitual",2,
IF(DE387="Bastante más que lo habitual",3,
IF(DE387="Mucho más que lo habitual",4,""))))</f>
        <v>3</v>
      </c>
      <c r="DG387" s="5" t="s">
        <v>230</v>
      </c>
      <c r="DH387" s="5">
        <f>IF(DG387="No, en absoluto",1,
IF(DG387="No más que lo habitual",2,
IF(DG387="Bastante más que lo habitual",3,
IF(DG387="Mucho más que lo habitual",4,""))))</f>
        <v>2</v>
      </c>
      <c r="DI387" s="5" t="s">
        <v>230</v>
      </c>
      <c r="DJ387" s="5">
        <f>IF(DI387="No, en absoluto",1,
IF(DI387="No más que lo habitual",2,
IF(DI387="Bastante más que lo habitual",3,
IF(DI387="Mucho más que lo habitual",4,""))))</f>
        <v>2</v>
      </c>
      <c r="DK387" s="5" t="s">
        <v>230</v>
      </c>
      <c r="DL387" s="5">
        <f>IF(DK387="No, en absoluto",1,
IF(DK387="No más que lo habitual",2,
IF(DK387="Bastante más que lo habitual",3,
IF(DK387="Mucho más que lo habitual",4,""))))</f>
        <v>2</v>
      </c>
      <c r="DM387" s="5" t="s">
        <v>230</v>
      </c>
      <c r="DN387" s="5">
        <f>IF(DM387="No, en absoluto",1,
IF(DM387="No más que lo habitual",2,
IF(DM387="Bastante más que lo habitual",3,
IF(DM387="Mucho más que lo habitual",4,""))))</f>
        <v>2</v>
      </c>
      <c r="DO387" s="5" t="s">
        <v>231</v>
      </c>
      <c r="DP387" s="5">
        <f>IF(DO387="Más que lo habitual",1,
IF(DO387="Igual que lo habitual",2,
IF(DO387="Menos que lo habitual",3,
IF(DO387="Mucho menos que lo habitual",4,""))))</f>
        <v>2</v>
      </c>
      <c r="DQ387" s="5" t="s">
        <v>231</v>
      </c>
      <c r="DR387" s="5">
        <f>IF(DQ387="Más que lo habitual",1,
IF(DQ387="Igual que lo habitual",2,
IF(DQ387="Menos que lo habitual",3,
IF(DQ387="Mucho menos que lo habitual",4,""))))</f>
        <v>2</v>
      </c>
      <c r="DS387" s="5" t="s">
        <v>231</v>
      </c>
      <c r="DT387" s="5">
        <f>IF(DS387="Más que lo habitual",1,
IF(DS387="Igual que lo habitual",2,
IF(DS387="Menos que lo habitual",3,
IF(DS387="Mucho menos que lo habitual",4,""))))</f>
        <v>2</v>
      </c>
      <c r="DU387" s="5" t="s">
        <v>231</v>
      </c>
      <c r="DV387" s="5">
        <f>IF(DU387="Más que lo habitual",1,
IF(DU387="Igual que lo habitual",2,
IF(DU387="Menos que lo habitual",3,
IF(DU387="Mucho menos que lo habitual",4,""))))</f>
        <v>2</v>
      </c>
      <c r="DW387" s="5" t="s">
        <v>231</v>
      </c>
      <c r="DX387" s="5">
        <f>IF(DW387="Más que lo habitual",1,
IF(DW387="Igual que lo habitual",2,
IF(DW387="Menos que lo habitual",3,
IF(DW387="Mucho menos que lo habitual",4,""))))</f>
        <v>2</v>
      </c>
      <c r="DY387" s="5">
        <f>SUM(DB387,DD387,DF387,DH387,DJ387,DL387,DN387,DP387,DR387,DT387,DV387,DX387)</f>
        <v>25</v>
      </c>
      <c r="DZ387" s="5" t="str">
        <f>IF(DY387&lt;=18,"Nivel de riesgo bajo",
IF(DY387&lt;=23,"Nivel de riesgo medio",
"Nivel de riesgo alto"))</f>
        <v>Nivel de riesgo alto</v>
      </c>
      <c r="EA387" s="5" t="s">
        <v>248</v>
      </c>
      <c r="EB387" s="5">
        <f>IF(EA387="Nunca/ casi nunca",0,
IF(EA387="Rara vez",1,
IF(EA387="A veces",2,
IF(EA387="A menudo",3,
IF(EA387="Siempre",4,"")))))</f>
        <v>1</v>
      </c>
      <c r="EC387" s="5" t="s">
        <v>248</v>
      </c>
      <c r="ED387" s="5">
        <f>IF(EC387="Nunca/ casi nunca",0,
IF(EC387="Rara vez",1,
IF(EC387="A veces",2,
IF(EC387="A menudo",3,
IF(EC387="Siempre",4,"")))))</f>
        <v>1</v>
      </c>
      <c r="EE387" s="5" t="s">
        <v>248</v>
      </c>
      <c r="EF387" s="5">
        <f>IF(EE387="Nunca/ casi nunca",0,
IF(EE387="Rara vez",1,
IF(EE387="A veces",2,
IF(EE387="A menudo",3,
IF(EE387="Siempre",4,"")))))</f>
        <v>1</v>
      </c>
      <c r="EG387" s="5">
        <f>SUM(EB387,ED387,EF387)</f>
        <v>3</v>
      </c>
      <c r="EH387" s="5" t="str">
        <f>IF(EG387&lt;=1,"Nivel de riesgo bajo",
IF(EG387&lt;=4,"Nivel de riesgo medio",
"Nivel de riesgo alto"))</f>
        <v>Nivel de riesgo medio</v>
      </c>
      <c r="EI387" s="5" t="s">
        <v>248</v>
      </c>
      <c r="EJ387" s="5">
        <f>IF(EI387="Nunca/ casi nunca",0,
IF(EI387="Rara vez",1,
IF(EI387="A veces",2,
IF(EI387="A menudo",3,
IF(EI387="Siempre",4,"")))))</f>
        <v>1</v>
      </c>
      <c r="EK387" s="5" t="s">
        <v>248</v>
      </c>
      <c r="EL387" s="5">
        <f>IF(EK387="Nunca/ casi nunca",0,
IF(EK387="Rara vez",1,
IF(EK387="A veces",2,
IF(EK387="A menudo",3,
IF(EK387="Siempre",4,"")))))</f>
        <v>1</v>
      </c>
      <c r="EM387" s="5" t="s">
        <v>248</v>
      </c>
      <c r="EN387" s="5">
        <f>IF(EM387="Nunca/ casi nunca",0,
IF(EM387="Rara vez",1,
IF(EM387="A veces",2,
IF(EM387="A menudo",3,
IF(EM387="Siempre",4,"")))))</f>
        <v>1</v>
      </c>
      <c r="EO387" s="5">
        <f>SUM(EJ387,EL387,EN387)</f>
        <v>3</v>
      </c>
      <c r="EP387" s="5" t="str">
        <f>IF(EO387&lt;=1,"Nivel de riesgo bajo",
IF(EO387&lt;=5,"Nivel de riesgo medio",
"Nivel de riesgo alto"))</f>
        <v>Nivel de riesgo medio</v>
      </c>
      <c r="EQ387" s="5" t="s">
        <v>232</v>
      </c>
      <c r="ER387" s="5">
        <f>IF(EQ387="Nunca/ casi nunca",4,
IF(EQ387="Rara vez",3,
IF(EQ387="A veces",2,
IF(EQ387="A menudo",1,
IF(EQ387="Siempre",0,"")))))</f>
        <v>1</v>
      </c>
      <c r="ES387" s="5" t="s">
        <v>232</v>
      </c>
      <c r="ET387" s="5">
        <f>IF(ES387="Nunca/ casi nunca",4,
IF(ES387="Rara vez",3,
IF(ES387="A veces",2,
IF(ES387="A menudo",1,
IF(ES387="Siempre",0,"")))))</f>
        <v>1</v>
      </c>
      <c r="EU387" s="5" t="s">
        <v>232</v>
      </c>
      <c r="EV387" s="5">
        <f>IF(EU387="Nunca/ casi nunca",4,
IF(EU387="Rara vez",3,
IF(EU387="A veces",2,
IF(EU387="A menudo",1,
IF(EU387="Siempre",0,"")))))</f>
        <v>1</v>
      </c>
      <c r="EW387" s="5" t="s">
        <v>254</v>
      </c>
      <c r="EX387" s="5">
        <f>IF(EW387="Nunca/ casi nunca",4,
IF(EW387="Rara vez",3,
IF(EW387="A veces",2,
IF(EW387="A menudo",1,
IF(EW387="Siempre",0,"")))))</f>
        <v>0</v>
      </c>
      <c r="EY387" s="5">
        <f>SUM(ER387,ET387,EV387,EX387)</f>
        <v>3</v>
      </c>
      <c r="EZ387" s="5" t="str">
        <f>IF(EY387&lt;=0,"Nivel de riesgo bajo",
IF(EY387&lt;=4,"Nivel de riesgo medio",
"Nivel de riesgo alto"))</f>
        <v>Nivel de riesgo medio</v>
      </c>
      <c r="FA387" s="5" t="s">
        <v>248</v>
      </c>
      <c r="FB387" s="5">
        <f>IF(FA387="Nunca/ casi nunca",0,
IF(FA387="Rara vez",1,
IF(FA387="A veces",2,
IF(FA387="A menudo",3,
IF(FA387="Siempre",4,"")))))</f>
        <v>1</v>
      </c>
      <c r="FC387" s="5" t="s">
        <v>248</v>
      </c>
      <c r="FD387" s="5">
        <f>IF(FC387="Nunca/ casi nunca",0,
IF(FC387="Rara vez",1,
IF(FC387="A veces",2,
IF(FC387="A menudo",3,
IF(FC387="Siempre",4,"")))))</f>
        <v>1</v>
      </c>
      <c r="FE387" s="5" t="s">
        <v>247</v>
      </c>
      <c r="FF387" s="5">
        <f>IF(FE387="Nunca/ casi nunca",0,
IF(FE387="Rara vez",1,
IF(FE387="A veces",2,
IF(FE387="A menudo",3,
IF(FE387="Siempre",4,"")))))</f>
        <v>2</v>
      </c>
      <c r="FG387" s="5">
        <f>SUM(FB387,FD387,FF387)</f>
        <v>4</v>
      </c>
      <c r="FH387" s="5" t="str">
        <f>IF(FG387&lt;=2,"Nivel de riesgo bajo",
IF(FG387&lt;=5,"Nivel de riesgo medio",
"Nivel de riesgo alto"))</f>
        <v>Nivel de riesgo medio</v>
      </c>
      <c r="FI387" s="5" t="s">
        <v>248</v>
      </c>
      <c r="FJ387" s="5">
        <f>IF(FI387="Nunca/ casi nunca",0,
IF(FI387="Rara vez",1,
IF(FI387="A veces",2,
IF(FI387="A menudo",3,
IF(FI387="Siempre",4,"")))))</f>
        <v>1</v>
      </c>
      <c r="FK387" s="5" t="s">
        <v>248</v>
      </c>
      <c r="FL387" s="5">
        <f>IF(FK387="Nunca/ casi nunca",0,
IF(FK387="Rara vez",1,
IF(FK387="A veces",2,
IF(FK387="A menudo",3,
IF(FK387="Siempre",4,"")))))</f>
        <v>1</v>
      </c>
      <c r="FM387" s="5" t="s">
        <v>248</v>
      </c>
      <c r="FN387" s="5">
        <f>IF(FM387="Nunca/ casi nunca",0,
IF(FM387="Rara vez",1,
IF(FM387="A veces",2,
IF(FM387="A menudo",3,
IF(FM387="Siempre",4,"")))))</f>
        <v>1</v>
      </c>
      <c r="FO387" s="5">
        <f>SUM(FJ387,FL387,FN387)</f>
        <v>3</v>
      </c>
      <c r="FP387" s="5" t="str">
        <f>IF(FO387&lt;=2,"Nivel de riesgo bajo",
IF(FO387&lt;=5,"Nivel de riesgo medio",
"Nivel de riesgo alto"))</f>
        <v>Nivel de riesgo medio</v>
      </c>
      <c r="FQ387" s="5" t="s">
        <v>265</v>
      </c>
      <c r="FR387" s="5">
        <f>IF(FQ387="No",0,
IF(FQ387="Sí, unas pocas veces",1,
IF(FQ387="Sí, mensualmente",2,
IF(FQ387="Sí, semanalmente",3,
IF(FQ387="Sí, diariamente",4,"")))))</f>
        <v>1</v>
      </c>
      <c r="FS387" s="5" t="s">
        <v>206</v>
      </c>
      <c r="FT387" s="5">
        <f>IF(FS387="No",0,
IF(FS387="Sí, unas pocas veces",1,
IF(FS387="Sí, mensualmente",2,
IF(FS387="Sí, semanalmente",3,
IF(FS387="Sí, diariamente",4,"")))))</f>
        <v>0</v>
      </c>
      <c r="FU387" s="5" t="s">
        <v>206</v>
      </c>
      <c r="FV387" s="5">
        <f>IF(FU387="No",0,
IF(FU387="Sí, unas pocas veces",1,
IF(FU387="Sí, mensualmente",2,
IF(FU387="Sí, semanalmente",3,
IF(FU387="Sí, diariamente",4,"")))))</f>
        <v>0</v>
      </c>
      <c r="FW387" s="5" t="s">
        <v>206</v>
      </c>
      <c r="FX387" s="5">
        <f>IF(FW387="No",0,
IF(FW387="Sí, unas pocas veces",1,
IF(FW387="Sí, mensualmente",2,
IF(FW387="Sí, semanalmente",3,
IF(FW387="Sí, diariamente",4,"")))))</f>
        <v>0</v>
      </c>
      <c r="FY387" s="5" t="s">
        <v>206</v>
      </c>
      <c r="FZ387" s="5">
        <f>IF(FY387="No",0,
IF(FY387="Sí, unas pocas veces",1,
IF(FY387="Sí, mensualmente",2,
IF(FY387="Sí, semanalmente",3,
IF(FY387="Sí, diariamente",4,"")))))</f>
        <v>0</v>
      </c>
      <c r="GA387" s="5" t="s">
        <v>206</v>
      </c>
      <c r="GB387" s="5">
        <f>IF(GA387="No",0,
IF(GA387="Sí, unas pocas veces",1,
IF(GA387="Sí, mensualmente",2,
IF(GA387="Sí, semanalmente",3,
IF(GA387="Sí, diariamente",4,"")))))</f>
        <v>0</v>
      </c>
      <c r="GC387" s="5" t="s">
        <v>206</v>
      </c>
      <c r="GD387" s="5">
        <f>IF(GC387="No",0,
IF(GC387="Sí, unas pocas veces",1,
IF(GC387="Sí, mensualmente",2,
IF(GC387="Sí, semanalmente",3,
IF(GC387="Sí, diariamente",4,"")))))</f>
        <v>0</v>
      </c>
      <c r="GE387" s="5">
        <f>SUM(FR387,FT387,FV387,FX387,FZ387,GB387,GD387)</f>
        <v>1</v>
      </c>
      <c r="GF387" s="5" t="str">
        <f>IF(GE387&lt;=0,"Nivel de riesgo bajo",
IF(GE387&lt;=14,"Nivel de riesgo medio",
"Nivel de riesgo alto"))</f>
        <v>Nivel de riesgo medio</v>
      </c>
      <c r="GG387" s="5" t="s">
        <v>255</v>
      </c>
      <c r="GH387" s="5" t="s">
        <v>255</v>
      </c>
      <c r="GI387" s="5" t="s">
        <v>255</v>
      </c>
      <c r="GJ387" s="5" t="s">
        <v>266</v>
      </c>
      <c r="GK387" s="5" t="s">
        <v>233</v>
      </c>
      <c r="GL387" s="5" t="s">
        <v>266</v>
      </c>
      <c r="GM387" s="5" t="s">
        <v>255</v>
      </c>
      <c r="GN387" s="5" t="s">
        <v>234</v>
      </c>
      <c r="GO387" s="5" t="s">
        <v>257</v>
      </c>
      <c r="GP387" s="5" t="s">
        <v>257</v>
      </c>
      <c r="GQ387" s="5" t="s">
        <v>257</v>
      </c>
      <c r="GR387" s="5" t="s">
        <v>257</v>
      </c>
      <c r="GS387" s="5" t="s">
        <v>257</v>
      </c>
      <c r="GT387" s="5" t="s">
        <v>257</v>
      </c>
      <c r="GU387" s="5" t="s">
        <v>751</v>
      </c>
      <c r="GV387" s="5" t="str">
        <f>TEXT("6283114023424683634","0")</f>
        <v>6283114023424680000</v>
      </c>
    </row>
    <row r="388" spans="1:204" ht="15.75" customHeight="1" x14ac:dyDescent="0.15">
      <c r="A388" s="1">
        <f>ROW(A388)</f>
        <v>388</v>
      </c>
      <c r="B388" s="4">
        <v>45852.42591435185</v>
      </c>
      <c r="C388" s="5" t="s">
        <v>204</v>
      </c>
      <c r="D388" s="5" t="s">
        <v>206</v>
      </c>
      <c r="F388" s="5" t="s">
        <v>206</v>
      </c>
      <c r="G388" s="5" t="s">
        <v>206</v>
      </c>
      <c r="H388" s="5" t="s">
        <v>206</v>
      </c>
      <c r="K388" s="5" t="s">
        <v>237</v>
      </c>
      <c r="P388" s="5" t="s">
        <v>237</v>
      </c>
      <c r="T388" s="5" t="s">
        <v>209</v>
      </c>
      <c r="Y388" s="5" t="s">
        <v>209</v>
      </c>
      <c r="AG388" s="5" t="s">
        <v>207</v>
      </c>
      <c r="AH388" s="5" t="s">
        <v>275</v>
      </c>
      <c r="AI388" s="5">
        <v>2018</v>
      </c>
      <c r="AJ388" s="5" t="s">
        <v>238</v>
      </c>
      <c r="AK388" s="5" t="str">
        <f>IF(OR(AJ388="Empleada del sector privado",AJ388="Empleada del sector público"),"Asalariada",
IF(AJ388="Trabajadora por cuenta propia","Trabajadora por cuenta propia",""))</f>
        <v>Trabajadora por cuenta propia</v>
      </c>
      <c r="AL388" s="5" t="s">
        <v>239</v>
      </c>
      <c r="AP388" s="5" t="s">
        <v>284</v>
      </c>
      <c r="AR388" s="5" t="s">
        <v>241</v>
      </c>
      <c r="AS388" s="5" t="s">
        <v>241</v>
      </c>
      <c r="AT388" s="5" t="s">
        <v>241</v>
      </c>
      <c r="AU388" s="5" t="s">
        <v>241</v>
      </c>
      <c r="AV388" s="5" t="s">
        <v>262</v>
      </c>
      <c r="AW388" s="5" t="s">
        <v>204</v>
      </c>
      <c r="AX388" s="5" t="s">
        <v>204</v>
      </c>
      <c r="AY388" s="5" t="s">
        <v>270</v>
      </c>
      <c r="AZ388" s="5" t="s">
        <v>204</v>
      </c>
      <c r="BA388" s="5" t="s">
        <v>295</v>
      </c>
      <c r="BB388" s="5" t="s">
        <v>204</v>
      </c>
      <c r="BC388" s="5" t="s">
        <v>204</v>
      </c>
      <c r="BD388" s="5" t="s">
        <v>290</v>
      </c>
      <c r="BE388" s="5" t="s">
        <v>204</v>
      </c>
      <c r="BF388" s="5" t="s">
        <v>204</v>
      </c>
      <c r="BG388" s="5" t="s">
        <v>207</v>
      </c>
      <c r="BH388" s="5" t="s">
        <v>215</v>
      </c>
      <c r="BI388" s="5" t="s">
        <v>207</v>
      </c>
      <c r="BJ388" s="5" t="s">
        <v>215</v>
      </c>
      <c r="BK388" s="5" t="s">
        <v>244</v>
      </c>
      <c r="BL388" s="5" t="s">
        <v>244</v>
      </c>
      <c r="BM388" s="5" t="s">
        <v>244</v>
      </c>
      <c r="BN388" s="5" t="s">
        <v>244</v>
      </c>
      <c r="BO388" s="5" t="s">
        <v>244</v>
      </c>
      <c r="BP388" s="5" t="s">
        <v>244</v>
      </c>
      <c r="BQ388" s="5" t="s">
        <v>244</v>
      </c>
      <c r="BR388" s="5" t="s">
        <v>244</v>
      </c>
      <c r="BS388" s="5" t="s">
        <v>217</v>
      </c>
      <c r="BT388" s="5" t="s">
        <v>248</v>
      </c>
      <c r="BU388" s="5" t="s">
        <v>247</v>
      </c>
      <c r="BV388" s="5" t="s">
        <v>248</v>
      </c>
      <c r="BW388" s="5" t="s">
        <v>232</v>
      </c>
      <c r="BX388" s="5" t="s">
        <v>248</v>
      </c>
      <c r="BY388" s="5" t="s">
        <v>248</v>
      </c>
      <c r="BZ388" s="5" t="s">
        <v>244</v>
      </c>
      <c r="CA388" s="5" t="s">
        <v>244</v>
      </c>
      <c r="CB388" s="5" t="s">
        <v>244</v>
      </c>
      <c r="CC388" s="5" t="s">
        <v>243</v>
      </c>
      <c r="CD388" s="5" t="s">
        <v>206</v>
      </c>
      <c r="CH388" s="5" t="s">
        <v>206</v>
      </c>
      <c r="CI388" s="5" t="s">
        <v>206</v>
      </c>
      <c r="CJ388" s="5">
        <v>0</v>
      </c>
      <c r="CM388" s="5" t="s">
        <v>358</v>
      </c>
      <c r="CU388" s="5" t="s">
        <v>204</v>
      </c>
      <c r="CV388" s="5" t="s">
        <v>350</v>
      </c>
      <c r="CW388" s="5" t="s">
        <v>371</v>
      </c>
      <c r="CX388" s="5" t="s">
        <v>752</v>
      </c>
      <c r="CY388" s="5" t="s">
        <v>227</v>
      </c>
      <c r="CZ388" s="5" t="s">
        <v>206</v>
      </c>
      <c r="DA388" s="5" t="s">
        <v>231</v>
      </c>
      <c r="DB388" s="5">
        <f>IF(DA388="Mejor que lo habitual",1,
IF(DA388="Igual que lo habitual",2,
IF(DA388="Menos que lo habitual",3,
IF(DA388="Mucho menos que lo habitual",4,""))))</f>
        <v>2</v>
      </c>
      <c r="DC388" s="5" t="s">
        <v>230</v>
      </c>
      <c r="DD388" s="5">
        <f>IF(DC388="No, en absoluto",1,
IF(DC388="No más que lo habitual",2,
IF(DC388="Bastante más que lo habitual",3,
IF(DC388="Mucho más que lo habitual",4,""))))</f>
        <v>2</v>
      </c>
      <c r="DE388" s="5" t="s">
        <v>230</v>
      </c>
      <c r="DF388" s="5">
        <f>IF(DE388="No, en absoluto",1,
IF(DE388="No más que lo habitual",2,
IF(DE388="Bastante más que lo habitual",3,
IF(DE388="Mucho más que lo habitual",4,""))))</f>
        <v>2</v>
      </c>
      <c r="DG388" s="5" t="s">
        <v>230</v>
      </c>
      <c r="DH388" s="5">
        <f>IF(DG388="No, en absoluto",1,
IF(DG388="No más que lo habitual",2,
IF(DG388="Bastante más que lo habitual",3,
IF(DG388="Mucho más que lo habitual",4,""))))</f>
        <v>2</v>
      </c>
      <c r="DI388" s="5" t="s">
        <v>230</v>
      </c>
      <c r="DJ388" s="5">
        <f>IF(DI388="No, en absoluto",1,
IF(DI388="No más que lo habitual",2,
IF(DI388="Bastante más que lo habitual",3,
IF(DI388="Mucho más que lo habitual",4,""))))</f>
        <v>2</v>
      </c>
      <c r="DK388" s="5" t="s">
        <v>251</v>
      </c>
      <c r="DL388" s="5">
        <f>IF(DK388="No, en absoluto",1,
IF(DK388="No más que lo habitual",2,
IF(DK388="Bastante más que lo habitual",3,
IF(DK388="Mucho más que lo habitual",4,""))))</f>
        <v>1</v>
      </c>
      <c r="DM388" s="5" t="s">
        <v>251</v>
      </c>
      <c r="DN388" s="5">
        <f>IF(DM388="No, en absoluto",1,
IF(DM388="No más que lo habitual",2,
IF(DM388="Bastante más que lo habitual",3,
IF(DM388="Mucho más que lo habitual",4,""))))</f>
        <v>1</v>
      </c>
      <c r="DO388" s="5" t="s">
        <v>231</v>
      </c>
      <c r="DP388" s="5">
        <f>IF(DO388="Más que lo habitual",1,
IF(DO388="Igual que lo habitual",2,
IF(DO388="Menos que lo habitual",3,
IF(DO388="Mucho menos que lo habitual",4,""))))</f>
        <v>2</v>
      </c>
      <c r="DQ388" s="5" t="s">
        <v>231</v>
      </c>
      <c r="DR388" s="5">
        <f>IF(DQ388="Más que lo habitual",1,
IF(DQ388="Igual que lo habitual",2,
IF(DQ388="Menos que lo habitual",3,
IF(DQ388="Mucho menos que lo habitual",4,""))))</f>
        <v>2</v>
      </c>
      <c r="DS388" s="5" t="s">
        <v>231</v>
      </c>
      <c r="DT388" s="5">
        <f>IF(DS388="Más que lo habitual",1,
IF(DS388="Igual que lo habitual",2,
IF(DS388="Menos que lo habitual",3,
IF(DS388="Mucho menos que lo habitual",4,""))))</f>
        <v>2</v>
      </c>
      <c r="DU388" s="5" t="s">
        <v>231</v>
      </c>
      <c r="DV388" s="5">
        <f>IF(DU388="Más que lo habitual",1,
IF(DU388="Igual que lo habitual",2,
IF(DU388="Menos que lo habitual",3,
IF(DU388="Mucho menos que lo habitual",4,""))))</f>
        <v>2</v>
      </c>
      <c r="DW388" s="5" t="s">
        <v>231</v>
      </c>
      <c r="DX388" s="5">
        <f>IF(DW388="Más que lo habitual",1,
IF(DW388="Igual que lo habitual",2,
IF(DW388="Menos que lo habitual",3,
IF(DW388="Mucho menos que lo habitual",4,""))))</f>
        <v>2</v>
      </c>
      <c r="DY388" s="5">
        <f>SUM(DB388,DD388,DF388,DH388,DJ388,DL388,DN388,DP388,DR388,DT388,DV388,DX388)</f>
        <v>22</v>
      </c>
      <c r="DZ388" s="5" t="str">
        <f>IF(DY388&lt;=18,"Nivel de riesgo bajo",
IF(DY388&lt;=23,"Nivel de riesgo medio",
"Nivel de riesgo alto"))</f>
        <v>Nivel de riesgo medio</v>
      </c>
      <c r="EA388" s="5" t="s">
        <v>247</v>
      </c>
      <c r="EB388" s="5">
        <f>IF(EA388="Nunca/ casi nunca",0,
IF(EA388="Rara vez",1,
IF(EA388="A veces",2,
IF(EA388="A menudo",3,
IF(EA388="Siempre",4,"")))))</f>
        <v>2</v>
      </c>
      <c r="EC388" s="5" t="s">
        <v>247</v>
      </c>
      <c r="ED388" s="5">
        <f>IF(EC388="Nunca/ casi nunca",0,
IF(EC388="Rara vez",1,
IF(EC388="A veces",2,
IF(EC388="A menudo",3,
IF(EC388="Siempre",4,"")))))</f>
        <v>2</v>
      </c>
      <c r="EE388" s="5" t="s">
        <v>247</v>
      </c>
      <c r="EF388" s="5">
        <f>IF(EE388="Nunca/ casi nunca",0,
IF(EE388="Rara vez",1,
IF(EE388="A veces",2,
IF(EE388="A menudo",3,
IF(EE388="Siempre",4,"")))))</f>
        <v>2</v>
      </c>
      <c r="EG388" s="5">
        <f>SUM(EB388,ED388,EF388)</f>
        <v>6</v>
      </c>
      <c r="EH388" s="5" t="str">
        <f>IF(EG388&lt;=1,"Nivel de riesgo bajo",
IF(EG388&lt;=4,"Nivel de riesgo medio",
"Nivel de riesgo alto"))</f>
        <v>Nivel de riesgo alto</v>
      </c>
      <c r="EI388" s="5" t="s">
        <v>247</v>
      </c>
      <c r="EJ388" s="5">
        <f>IF(EI388="Nunca/ casi nunca",0,
IF(EI388="Rara vez",1,
IF(EI388="A veces",2,
IF(EI388="A menudo",3,
IF(EI388="Siempre",4,"")))))</f>
        <v>2</v>
      </c>
      <c r="EK388" s="5" t="s">
        <v>247</v>
      </c>
      <c r="EL388" s="5">
        <f>IF(EK388="Nunca/ casi nunca",0,
IF(EK388="Rara vez",1,
IF(EK388="A veces",2,
IF(EK388="A menudo",3,
IF(EK388="Siempre",4,"")))))</f>
        <v>2</v>
      </c>
      <c r="EM388" s="5" t="s">
        <v>247</v>
      </c>
      <c r="EN388" s="5">
        <f>IF(EM388="Nunca/ casi nunca",0,
IF(EM388="Rara vez",1,
IF(EM388="A veces",2,
IF(EM388="A menudo",3,
IF(EM388="Siempre",4,"")))))</f>
        <v>2</v>
      </c>
      <c r="EO388" s="5">
        <f>SUM(EJ388,EL388,EN388)</f>
        <v>6</v>
      </c>
      <c r="EP388" s="5" t="str">
        <f>IF(EO388&lt;=1,"Nivel de riesgo bajo",
IF(EO388&lt;=5,"Nivel de riesgo medio",
"Nivel de riesgo alto"))</f>
        <v>Nivel de riesgo alto</v>
      </c>
      <c r="EQ388" s="5" t="s">
        <v>247</v>
      </c>
      <c r="ER388" s="5">
        <f>IF(EQ388="Nunca/ casi nunca",4,
IF(EQ388="Rara vez",3,
IF(EQ388="A veces",2,
IF(EQ388="A menudo",1,
IF(EQ388="Siempre",0,"")))))</f>
        <v>2</v>
      </c>
      <c r="ES388" s="5" t="s">
        <v>247</v>
      </c>
      <c r="ET388" s="5">
        <f>IF(ES388="Nunca/ casi nunca",4,
IF(ES388="Rara vez",3,
IF(ES388="A veces",2,
IF(ES388="A menudo",1,
IF(ES388="Siempre",0,"")))))</f>
        <v>2</v>
      </c>
      <c r="EU388" s="5" t="s">
        <v>232</v>
      </c>
      <c r="EV388" s="5">
        <f>IF(EU388="Nunca/ casi nunca",4,
IF(EU388="Rara vez",3,
IF(EU388="A veces",2,
IF(EU388="A menudo",1,
IF(EU388="Siempre",0,"")))))</f>
        <v>1</v>
      </c>
      <c r="EW388" s="5" t="s">
        <v>232</v>
      </c>
      <c r="EX388" s="5">
        <f>IF(EW388="Nunca/ casi nunca",4,
IF(EW388="Rara vez",3,
IF(EW388="A veces",2,
IF(EW388="A menudo",1,
IF(EW388="Siempre",0,"")))))</f>
        <v>1</v>
      </c>
      <c r="EY388" s="5">
        <f>SUM(ER388,ET388,EV388,EX388)</f>
        <v>6</v>
      </c>
      <c r="EZ388" s="5" t="str">
        <f>IF(EY388&lt;=0,"Nivel de riesgo bajo",
IF(EY388&lt;=4,"Nivel de riesgo medio",
"Nivel de riesgo alto"))</f>
        <v>Nivel de riesgo alto</v>
      </c>
      <c r="FA388" s="5" t="s">
        <v>248</v>
      </c>
      <c r="FB388" s="5">
        <f>IF(FA388="Nunca/ casi nunca",0,
IF(FA388="Rara vez",1,
IF(FA388="A veces",2,
IF(FA388="A menudo",3,
IF(FA388="Siempre",4,"")))))</f>
        <v>1</v>
      </c>
      <c r="FC388" s="5" t="s">
        <v>248</v>
      </c>
      <c r="FD388" s="5">
        <f>IF(FC388="Nunca/ casi nunca",0,
IF(FC388="Rara vez",1,
IF(FC388="A veces",2,
IF(FC388="A menudo",3,
IF(FC388="Siempre",4,"")))))</f>
        <v>1</v>
      </c>
      <c r="FE388" s="5" t="s">
        <v>248</v>
      </c>
      <c r="FF388" s="5">
        <f>IF(FE388="Nunca/ casi nunca",0,
IF(FE388="Rara vez",1,
IF(FE388="A veces",2,
IF(FE388="A menudo",3,
IF(FE388="Siempre",4,"")))))</f>
        <v>1</v>
      </c>
      <c r="FG388" s="5">
        <f>SUM(FB388,FD388,FF388)</f>
        <v>3</v>
      </c>
      <c r="FH388" s="5" t="str">
        <f>IF(FG388&lt;=2,"Nivel de riesgo bajo",
IF(FG388&lt;=5,"Nivel de riesgo medio",
"Nivel de riesgo alto"))</f>
        <v>Nivel de riesgo medio</v>
      </c>
      <c r="FI388" s="5" t="s">
        <v>248</v>
      </c>
      <c r="FJ388" s="5">
        <f>IF(FI388="Nunca/ casi nunca",0,
IF(FI388="Rara vez",1,
IF(FI388="A veces",2,
IF(FI388="A menudo",3,
IF(FI388="Siempre",4,"")))))</f>
        <v>1</v>
      </c>
      <c r="FK388" s="5" t="s">
        <v>248</v>
      </c>
      <c r="FL388" s="5">
        <f>IF(FK388="Nunca/ casi nunca",0,
IF(FK388="Rara vez",1,
IF(FK388="A veces",2,
IF(FK388="A menudo",3,
IF(FK388="Siempre",4,"")))))</f>
        <v>1</v>
      </c>
      <c r="FM388" s="5" t="s">
        <v>248</v>
      </c>
      <c r="FN388" s="5">
        <f>IF(FM388="Nunca/ casi nunca",0,
IF(FM388="Rara vez",1,
IF(FM388="A veces",2,
IF(FM388="A menudo",3,
IF(FM388="Siempre",4,"")))))</f>
        <v>1</v>
      </c>
      <c r="FO388" s="5">
        <f>SUM(FJ388,FL388,FN388)</f>
        <v>3</v>
      </c>
      <c r="FP388" s="5" t="str">
        <f>IF(FO388&lt;=2,"Nivel de riesgo bajo",
IF(FO388&lt;=5,"Nivel de riesgo medio",
"Nivel de riesgo alto"))</f>
        <v>Nivel de riesgo medio</v>
      </c>
      <c r="FQ388" s="5" t="s">
        <v>206</v>
      </c>
      <c r="FR388" s="5">
        <f>IF(FQ388="No",0,
IF(FQ388="Sí, unas pocas veces",1,
IF(FQ388="Sí, mensualmente",2,
IF(FQ388="Sí, semanalmente",3,
IF(FQ388="Sí, diariamente",4,"")))))</f>
        <v>0</v>
      </c>
      <c r="FS388" s="5" t="s">
        <v>206</v>
      </c>
      <c r="FT388" s="5">
        <f>IF(FS388="No",0,
IF(FS388="Sí, unas pocas veces",1,
IF(FS388="Sí, mensualmente",2,
IF(FS388="Sí, semanalmente",3,
IF(FS388="Sí, diariamente",4,"")))))</f>
        <v>0</v>
      </c>
      <c r="FU388" s="5" t="s">
        <v>206</v>
      </c>
      <c r="FV388" s="5">
        <f>IF(FU388="No",0,
IF(FU388="Sí, unas pocas veces",1,
IF(FU388="Sí, mensualmente",2,
IF(FU388="Sí, semanalmente",3,
IF(FU388="Sí, diariamente",4,"")))))</f>
        <v>0</v>
      </c>
      <c r="FW388" s="5" t="s">
        <v>206</v>
      </c>
      <c r="FX388" s="5">
        <f>IF(FW388="No",0,
IF(FW388="Sí, unas pocas veces",1,
IF(FW388="Sí, mensualmente",2,
IF(FW388="Sí, semanalmente",3,
IF(FW388="Sí, diariamente",4,"")))))</f>
        <v>0</v>
      </c>
      <c r="FY388" s="5" t="s">
        <v>206</v>
      </c>
      <c r="FZ388" s="5">
        <f>IF(FY388="No",0,
IF(FY388="Sí, unas pocas veces",1,
IF(FY388="Sí, mensualmente",2,
IF(FY388="Sí, semanalmente",3,
IF(FY388="Sí, diariamente",4,"")))))</f>
        <v>0</v>
      </c>
      <c r="GA388" s="5" t="s">
        <v>206</v>
      </c>
      <c r="GB388" s="5">
        <f>IF(GA388="No",0,
IF(GA388="Sí, unas pocas veces",1,
IF(GA388="Sí, mensualmente",2,
IF(GA388="Sí, semanalmente",3,
IF(GA388="Sí, diariamente",4,"")))))</f>
        <v>0</v>
      </c>
      <c r="GC388" s="5" t="s">
        <v>206</v>
      </c>
      <c r="GD388" s="5">
        <f>IF(GC388="No",0,
IF(GC388="Sí, unas pocas veces",1,
IF(GC388="Sí, mensualmente",2,
IF(GC388="Sí, semanalmente",3,
IF(GC388="Sí, diariamente",4,"")))))</f>
        <v>0</v>
      </c>
      <c r="GE388" s="5">
        <f>SUM(FR388,FT388,FV388,FX388,FZ388,GB388,GD388)</f>
        <v>0</v>
      </c>
      <c r="GF388" s="5" t="str">
        <f>IF(GE388&lt;=0,"Nivel de riesgo bajo",
IF(GE388&lt;=14,"Nivel de riesgo medio",
"Nivel de riesgo alto"))</f>
        <v>Nivel de riesgo bajo</v>
      </c>
      <c r="GG388" s="5" t="s">
        <v>273</v>
      </c>
      <c r="GH388" s="5" t="s">
        <v>273</v>
      </c>
      <c r="GI388" s="5" t="s">
        <v>273</v>
      </c>
      <c r="GJ388" s="5" t="s">
        <v>273</v>
      </c>
      <c r="GK388" s="5" t="s">
        <v>233</v>
      </c>
      <c r="GL388" s="5" t="s">
        <v>266</v>
      </c>
      <c r="GM388" s="5" t="s">
        <v>273</v>
      </c>
      <c r="GN388" s="5" t="s">
        <v>256</v>
      </c>
      <c r="GO388" s="5" t="s">
        <v>243</v>
      </c>
      <c r="GP388" s="5" t="s">
        <v>243</v>
      </c>
      <c r="GQ388" s="5" t="s">
        <v>243</v>
      </c>
      <c r="GR388" s="5" t="s">
        <v>243</v>
      </c>
      <c r="GS388" s="5" t="s">
        <v>243</v>
      </c>
      <c r="GT388" s="5" t="s">
        <v>243</v>
      </c>
      <c r="GU388" s="5" t="s">
        <v>753</v>
      </c>
      <c r="GV388" s="5" t="str">
        <f>TEXT("6283115993537034783","0")</f>
        <v>6283115993537030000</v>
      </c>
    </row>
    <row r="389" spans="1:204" ht="15.75" customHeight="1" x14ac:dyDescent="0.15">
      <c r="A389" s="1">
        <f>ROW(A389)</f>
        <v>389</v>
      </c>
      <c r="B389" s="4">
        <v>45852.446597222224</v>
      </c>
      <c r="C389" s="5" t="s">
        <v>204</v>
      </c>
      <c r="D389" s="5" t="s">
        <v>206</v>
      </c>
      <c r="F389" s="5" t="s">
        <v>206</v>
      </c>
      <c r="G389" s="5" t="s">
        <v>204</v>
      </c>
      <c r="H389" s="5" t="s">
        <v>206</v>
      </c>
      <c r="J389" s="5" t="s">
        <v>209</v>
      </c>
      <c r="N389" s="5" t="s">
        <v>208</v>
      </c>
      <c r="S389" s="5" t="s">
        <v>208</v>
      </c>
      <c r="X389" s="5" t="s">
        <v>208</v>
      </c>
      <c r="AD389" s="5" t="s">
        <v>209</v>
      </c>
      <c r="AH389" s="5" t="s">
        <v>754</v>
      </c>
      <c r="AI389" s="5">
        <v>2012</v>
      </c>
      <c r="AJ389" s="5" t="s">
        <v>238</v>
      </c>
      <c r="AK389" s="5" t="str">
        <f>IF(OR(AJ389="Empleada del sector privado",AJ389="Empleada del sector público"),"Asalariada",
IF(AJ389="Trabajadora por cuenta propia","Trabajadora por cuenta propia",""))</f>
        <v>Trabajadora por cuenta propia</v>
      </c>
      <c r="AL389" s="5" t="s">
        <v>239</v>
      </c>
      <c r="AP389" s="5" t="s">
        <v>284</v>
      </c>
      <c r="AR389" s="5" t="s">
        <v>241</v>
      </c>
      <c r="AS389" s="5" t="s">
        <v>241</v>
      </c>
      <c r="AT389" s="5" t="s">
        <v>241</v>
      </c>
      <c r="AU389" s="5" t="s">
        <v>241</v>
      </c>
      <c r="AV389" s="5" t="s">
        <v>285</v>
      </c>
      <c r="AW389" s="5" t="s">
        <v>204</v>
      </c>
      <c r="AX389" s="5" t="s">
        <v>206</v>
      </c>
      <c r="BF389" s="5" t="s">
        <v>204</v>
      </c>
      <c r="BG389" s="5" t="s">
        <v>207</v>
      </c>
      <c r="BH389" s="5" t="s">
        <v>264</v>
      </c>
      <c r="BI389" s="5" t="s">
        <v>215</v>
      </c>
      <c r="BJ389" s="5" t="s">
        <v>215</v>
      </c>
      <c r="BK389" s="5" t="s">
        <v>244</v>
      </c>
      <c r="BL389" s="5" t="s">
        <v>244</v>
      </c>
      <c r="BM389" s="5" t="s">
        <v>243</v>
      </c>
      <c r="BN389" s="5" t="s">
        <v>244</v>
      </c>
      <c r="BO389" s="5" t="s">
        <v>244</v>
      </c>
      <c r="BP389" s="5" t="s">
        <v>244</v>
      </c>
      <c r="BQ389" s="5" t="s">
        <v>244</v>
      </c>
      <c r="BR389" s="5" t="s">
        <v>243</v>
      </c>
      <c r="BS389" s="5" t="s">
        <v>217</v>
      </c>
      <c r="BT389" s="5" t="s">
        <v>217</v>
      </c>
      <c r="BU389" s="5" t="s">
        <v>248</v>
      </c>
      <c r="BV389" s="5" t="s">
        <v>217</v>
      </c>
      <c r="BW389" s="5" t="s">
        <v>217</v>
      </c>
      <c r="BX389" s="5" t="s">
        <v>217</v>
      </c>
      <c r="BY389" s="5" t="s">
        <v>217</v>
      </c>
      <c r="BZ389" s="5" t="s">
        <v>244</v>
      </c>
      <c r="CA389" s="5" t="s">
        <v>244</v>
      </c>
      <c r="CB389" s="5" t="s">
        <v>244</v>
      </c>
      <c r="CC389" s="5" t="s">
        <v>244</v>
      </c>
      <c r="CD389" s="5" t="s">
        <v>206</v>
      </c>
      <c r="CH389" s="5" t="s">
        <v>206</v>
      </c>
      <c r="CI389" s="5" t="s">
        <v>206</v>
      </c>
      <c r="CJ389" s="5">
        <v>0</v>
      </c>
      <c r="CQ389" s="5" t="s">
        <v>349</v>
      </c>
      <c r="CU389" s="5" t="s">
        <v>204</v>
      </c>
      <c r="CV389" s="5" t="s">
        <v>350</v>
      </c>
      <c r="CW389" s="5" t="s">
        <v>434</v>
      </c>
      <c r="CX389" s="5" t="s">
        <v>352</v>
      </c>
      <c r="CY389" s="5" t="s">
        <v>353</v>
      </c>
      <c r="CZ389" s="5" t="s">
        <v>206</v>
      </c>
      <c r="DA389" s="5" t="s">
        <v>272</v>
      </c>
      <c r="DB389" s="5">
        <f>IF(DA389="Mejor que lo habitual",1,
IF(DA389="Igual que lo habitual",2,
IF(DA389="Menos que lo habitual",3,
IF(DA389="Mucho menos que lo habitual",4,""))))</f>
        <v>1</v>
      </c>
      <c r="DC389" s="5" t="s">
        <v>251</v>
      </c>
      <c r="DD389" s="5">
        <f>IF(DC389="No, en absoluto",1,
IF(DC389="No más que lo habitual",2,
IF(DC389="Bastante más que lo habitual",3,
IF(DC389="Mucho más que lo habitual",4,""))))</f>
        <v>1</v>
      </c>
      <c r="DE389" s="5" t="s">
        <v>251</v>
      </c>
      <c r="DF389" s="5">
        <f>IF(DE389="No, en absoluto",1,
IF(DE389="No más que lo habitual",2,
IF(DE389="Bastante más que lo habitual",3,
IF(DE389="Mucho más que lo habitual",4,""))))</f>
        <v>1</v>
      </c>
      <c r="DG389" s="5" t="s">
        <v>251</v>
      </c>
      <c r="DH389" s="5">
        <f>IF(DG389="No, en absoluto",1,
IF(DG389="No más que lo habitual",2,
IF(DG389="Bastante más que lo habitual",3,
IF(DG389="Mucho más que lo habitual",4,""))))</f>
        <v>1</v>
      </c>
      <c r="DI389" s="5" t="s">
        <v>251</v>
      </c>
      <c r="DJ389" s="5">
        <f>IF(DI389="No, en absoluto",1,
IF(DI389="No más que lo habitual",2,
IF(DI389="Bastante más que lo habitual",3,
IF(DI389="Mucho más que lo habitual",4,""))))</f>
        <v>1</v>
      </c>
      <c r="DK389" s="5" t="s">
        <v>251</v>
      </c>
      <c r="DL389" s="5">
        <f>IF(DK389="No, en absoluto",1,
IF(DK389="No más que lo habitual",2,
IF(DK389="Bastante más que lo habitual",3,
IF(DK389="Mucho más que lo habitual",4,""))))</f>
        <v>1</v>
      </c>
      <c r="DM389" s="5" t="s">
        <v>251</v>
      </c>
      <c r="DN389" s="5">
        <f>IF(DM389="No, en absoluto",1,
IF(DM389="No más que lo habitual",2,
IF(DM389="Bastante más que lo habitual",3,
IF(DM389="Mucho más que lo habitual",4,""))))</f>
        <v>1</v>
      </c>
      <c r="DO389" s="5" t="s">
        <v>229</v>
      </c>
      <c r="DP389" s="5">
        <f>IF(DO389="Más que lo habitual",1,
IF(DO389="Igual que lo habitual",2,
IF(DO389="Menos que lo habitual",3,
IF(DO389="Mucho menos que lo habitual",4,""))))</f>
        <v>4</v>
      </c>
      <c r="DQ389" s="5" t="s">
        <v>281</v>
      </c>
      <c r="DR389" s="5">
        <f>IF(DQ389="Más que lo habitual",1,
IF(DQ389="Igual que lo habitual",2,
IF(DQ389="Menos que lo habitual",3,
IF(DQ389="Mucho menos que lo habitual",4,""))))</f>
        <v>1</v>
      </c>
      <c r="DS389" s="5" t="s">
        <v>281</v>
      </c>
      <c r="DT389" s="5">
        <f>IF(DS389="Más que lo habitual",1,
IF(DS389="Igual que lo habitual",2,
IF(DS389="Menos que lo habitual",3,
IF(DS389="Mucho menos que lo habitual",4,""))))</f>
        <v>1</v>
      </c>
      <c r="DU389" s="5" t="s">
        <v>281</v>
      </c>
      <c r="DV389" s="5">
        <f>IF(DU389="Más que lo habitual",1,
IF(DU389="Igual que lo habitual",2,
IF(DU389="Menos que lo habitual",3,
IF(DU389="Mucho menos que lo habitual",4,""))))</f>
        <v>1</v>
      </c>
      <c r="DW389" s="5" t="s">
        <v>281</v>
      </c>
      <c r="DX389" s="5">
        <f>IF(DW389="Más que lo habitual",1,
IF(DW389="Igual que lo habitual",2,
IF(DW389="Menos que lo habitual",3,
IF(DW389="Mucho menos que lo habitual",4,""))))</f>
        <v>1</v>
      </c>
      <c r="DY389" s="5">
        <f>SUM(DB389,DD389,DF389,DH389,DJ389,DL389,DN389,DP389,DR389,DT389,DV389,DX389)</f>
        <v>15</v>
      </c>
      <c r="DZ389" s="5" t="str">
        <f>IF(DY389&lt;=18,"Nivel de riesgo bajo",
IF(DY389&lt;=23,"Nivel de riesgo medio",
"Nivel de riesgo alto"))</f>
        <v>Nivel de riesgo bajo</v>
      </c>
      <c r="EA389" s="5" t="s">
        <v>253</v>
      </c>
      <c r="EB389" s="5">
        <f>IF(EA389="Nunca/ casi nunca",0,
IF(EA389="Rara vez",1,
IF(EA389="A veces",2,
IF(EA389="A menudo",3,
IF(EA389="Siempre",4,"")))))</f>
        <v>0</v>
      </c>
      <c r="EC389" s="5" t="s">
        <v>253</v>
      </c>
      <c r="ED389" s="5">
        <f>IF(EC389="Nunca/ casi nunca",0,
IF(EC389="Rara vez",1,
IF(EC389="A veces",2,
IF(EC389="A menudo",3,
IF(EC389="Siempre",4,"")))))</f>
        <v>0</v>
      </c>
      <c r="EE389" s="5" t="s">
        <v>253</v>
      </c>
      <c r="EF389" s="5">
        <f>IF(EE389="Nunca/ casi nunca",0,
IF(EE389="Rara vez",1,
IF(EE389="A veces",2,
IF(EE389="A menudo",3,
IF(EE389="Siempre",4,"")))))</f>
        <v>0</v>
      </c>
      <c r="EG389" s="5">
        <f>SUM(EB389,ED389,EF389)</f>
        <v>0</v>
      </c>
      <c r="EH389" s="5" t="str">
        <f>IF(EG389&lt;=1,"Nivel de riesgo bajo",
IF(EG389&lt;=4,"Nivel de riesgo medio",
"Nivel de riesgo alto"))</f>
        <v>Nivel de riesgo bajo</v>
      </c>
      <c r="EI389" s="5" t="s">
        <v>253</v>
      </c>
      <c r="EJ389" s="5">
        <f>IF(EI389="Nunca/ casi nunca",0,
IF(EI389="Rara vez",1,
IF(EI389="A veces",2,
IF(EI389="A menudo",3,
IF(EI389="Siempre",4,"")))))</f>
        <v>0</v>
      </c>
      <c r="EK389" s="5" t="s">
        <v>253</v>
      </c>
      <c r="EL389" s="5">
        <f>IF(EK389="Nunca/ casi nunca",0,
IF(EK389="Rara vez",1,
IF(EK389="A veces",2,
IF(EK389="A menudo",3,
IF(EK389="Siempre",4,"")))))</f>
        <v>0</v>
      </c>
      <c r="EM389" s="5" t="s">
        <v>248</v>
      </c>
      <c r="EN389" s="5">
        <f>IF(EM389="Nunca/ casi nunca",0,
IF(EM389="Rara vez",1,
IF(EM389="A veces",2,
IF(EM389="A menudo",3,
IF(EM389="Siempre",4,"")))))</f>
        <v>1</v>
      </c>
      <c r="EO389" s="5">
        <f>SUM(EJ389,EL389,EN389)</f>
        <v>1</v>
      </c>
      <c r="EP389" s="5" t="str">
        <f>IF(EO389&lt;=1,"Nivel de riesgo bajo",
IF(EO389&lt;=5,"Nivel de riesgo medio",
"Nivel de riesgo alto"))</f>
        <v>Nivel de riesgo bajo</v>
      </c>
      <c r="EQ389" s="5" t="s">
        <v>254</v>
      </c>
      <c r="ER389" s="5">
        <f>IF(EQ389="Nunca/ casi nunca",4,
IF(EQ389="Rara vez",3,
IF(EQ389="A veces",2,
IF(EQ389="A menudo",1,
IF(EQ389="Siempre",0,"")))))</f>
        <v>0</v>
      </c>
      <c r="ES389" s="5" t="s">
        <v>254</v>
      </c>
      <c r="ET389" s="5">
        <f>IF(ES389="Nunca/ casi nunca",4,
IF(ES389="Rara vez",3,
IF(ES389="A veces",2,
IF(ES389="A menudo",1,
IF(ES389="Siempre",0,"")))))</f>
        <v>0</v>
      </c>
      <c r="EU389" s="5" t="s">
        <v>254</v>
      </c>
      <c r="EV389" s="5">
        <f>IF(EU389="Nunca/ casi nunca",4,
IF(EU389="Rara vez",3,
IF(EU389="A veces",2,
IF(EU389="A menudo",1,
IF(EU389="Siempre",0,"")))))</f>
        <v>0</v>
      </c>
      <c r="EW389" s="5" t="s">
        <v>254</v>
      </c>
      <c r="EX389" s="5">
        <f>IF(EW389="Nunca/ casi nunca",4,
IF(EW389="Rara vez",3,
IF(EW389="A veces",2,
IF(EW389="A menudo",1,
IF(EW389="Siempre",0,"")))))</f>
        <v>0</v>
      </c>
      <c r="EY389" s="5">
        <f>SUM(ER389,ET389,EV389,EX389)</f>
        <v>0</v>
      </c>
      <c r="EZ389" s="5" t="str">
        <f>IF(EY389&lt;=0,"Nivel de riesgo bajo",
IF(EY389&lt;=4,"Nivel de riesgo medio",
"Nivel de riesgo alto"))</f>
        <v>Nivel de riesgo bajo</v>
      </c>
      <c r="FA389" s="5" t="s">
        <v>248</v>
      </c>
      <c r="FB389" s="5">
        <f>IF(FA389="Nunca/ casi nunca",0,
IF(FA389="Rara vez",1,
IF(FA389="A veces",2,
IF(FA389="A menudo",3,
IF(FA389="Siempre",4,"")))))</f>
        <v>1</v>
      </c>
      <c r="FC389" s="5" t="s">
        <v>248</v>
      </c>
      <c r="FD389" s="5">
        <f>IF(FC389="Nunca/ casi nunca",0,
IF(FC389="Rara vez",1,
IF(FC389="A veces",2,
IF(FC389="A menudo",3,
IF(FC389="Siempre",4,"")))))</f>
        <v>1</v>
      </c>
      <c r="FE389" s="5" t="s">
        <v>248</v>
      </c>
      <c r="FF389" s="5">
        <f>IF(FE389="Nunca/ casi nunca",0,
IF(FE389="Rara vez",1,
IF(FE389="A veces",2,
IF(FE389="A menudo",3,
IF(FE389="Siempre",4,"")))))</f>
        <v>1</v>
      </c>
      <c r="FG389" s="5">
        <f>SUM(FB389,FD389,FF389)</f>
        <v>3</v>
      </c>
      <c r="FH389" s="5" t="str">
        <f>IF(FG389&lt;=2,"Nivel de riesgo bajo",
IF(FG389&lt;=5,"Nivel de riesgo medio",
"Nivel de riesgo alto"))</f>
        <v>Nivel de riesgo medio</v>
      </c>
      <c r="FI389" s="5" t="s">
        <v>253</v>
      </c>
      <c r="FJ389" s="5">
        <f>IF(FI389="Nunca/ casi nunca",0,
IF(FI389="Rara vez",1,
IF(FI389="A veces",2,
IF(FI389="A menudo",3,
IF(FI389="Siempre",4,"")))))</f>
        <v>0</v>
      </c>
      <c r="FK389" s="5" t="s">
        <v>253</v>
      </c>
      <c r="FL389" s="5">
        <f>IF(FK389="Nunca/ casi nunca",0,
IF(FK389="Rara vez",1,
IF(FK389="A veces",2,
IF(FK389="A menudo",3,
IF(FK389="Siempre",4,"")))))</f>
        <v>0</v>
      </c>
      <c r="FM389" s="5" t="s">
        <v>253</v>
      </c>
      <c r="FN389" s="5">
        <f>IF(FM389="Nunca/ casi nunca",0,
IF(FM389="Rara vez",1,
IF(FM389="A veces",2,
IF(FM389="A menudo",3,
IF(FM389="Siempre",4,"")))))</f>
        <v>0</v>
      </c>
      <c r="FO389" s="5">
        <f>SUM(FJ389,FL389,FN389)</f>
        <v>0</v>
      </c>
      <c r="FP389" s="5" t="str">
        <f>IF(FO389&lt;=2,"Nivel de riesgo bajo",
IF(FO389&lt;=5,"Nivel de riesgo medio",
"Nivel de riesgo alto"))</f>
        <v>Nivel de riesgo bajo</v>
      </c>
      <c r="FQ389" s="5" t="s">
        <v>206</v>
      </c>
      <c r="FR389" s="5">
        <f>IF(FQ389="No",0,
IF(FQ389="Sí, unas pocas veces",1,
IF(FQ389="Sí, mensualmente",2,
IF(FQ389="Sí, semanalmente",3,
IF(FQ389="Sí, diariamente",4,"")))))</f>
        <v>0</v>
      </c>
      <c r="FS389" s="5" t="s">
        <v>206</v>
      </c>
      <c r="FT389" s="5">
        <f>IF(FS389="No",0,
IF(FS389="Sí, unas pocas veces",1,
IF(FS389="Sí, mensualmente",2,
IF(FS389="Sí, semanalmente",3,
IF(FS389="Sí, diariamente",4,"")))))</f>
        <v>0</v>
      </c>
      <c r="FU389" s="5" t="s">
        <v>206</v>
      </c>
      <c r="FV389" s="5">
        <f>IF(FU389="No",0,
IF(FU389="Sí, unas pocas veces",1,
IF(FU389="Sí, mensualmente",2,
IF(FU389="Sí, semanalmente",3,
IF(FU389="Sí, diariamente",4,"")))))</f>
        <v>0</v>
      </c>
      <c r="FW389" s="5" t="s">
        <v>206</v>
      </c>
      <c r="FX389" s="5">
        <f>IF(FW389="No",0,
IF(FW389="Sí, unas pocas veces",1,
IF(FW389="Sí, mensualmente",2,
IF(FW389="Sí, semanalmente",3,
IF(FW389="Sí, diariamente",4,"")))))</f>
        <v>0</v>
      </c>
      <c r="FY389" s="5" t="s">
        <v>206</v>
      </c>
      <c r="FZ389" s="5">
        <f>IF(FY389="No",0,
IF(FY389="Sí, unas pocas veces",1,
IF(FY389="Sí, mensualmente",2,
IF(FY389="Sí, semanalmente",3,
IF(FY389="Sí, diariamente",4,"")))))</f>
        <v>0</v>
      </c>
      <c r="GA389" s="5" t="s">
        <v>206</v>
      </c>
      <c r="GB389" s="5">
        <f>IF(GA389="No",0,
IF(GA389="Sí, unas pocas veces",1,
IF(GA389="Sí, mensualmente",2,
IF(GA389="Sí, semanalmente",3,
IF(GA389="Sí, diariamente",4,"")))))</f>
        <v>0</v>
      </c>
      <c r="GC389" s="5" t="s">
        <v>206</v>
      </c>
      <c r="GD389" s="5">
        <f>IF(GC389="No",0,
IF(GC389="Sí, unas pocas veces",1,
IF(GC389="Sí, mensualmente",2,
IF(GC389="Sí, semanalmente",3,
IF(GC389="Sí, diariamente",4,"")))))</f>
        <v>0</v>
      </c>
      <c r="GE389" s="5">
        <f>SUM(FR389,FT389,FV389,FX389,FZ389,GB389,GD389)</f>
        <v>0</v>
      </c>
      <c r="GF389" s="5" t="str">
        <f>IF(GE389&lt;=0,"Nivel de riesgo bajo",
IF(GE389&lt;=14,"Nivel de riesgo medio",
"Nivel de riesgo alto"))</f>
        <v>Nivel de riesgo bajo</v>
      </c>
      <c r="GG389" s="5" t="s">
        <v>255</v>
      </c>
      <c r="GH389" s="5" t="s">
        <v>255</v>
      </c>
      <c r="GI389" s="5" t="s">
        <v>255</v>
      </c>
      <c r="GJ389" s="5" t="s">
        <v>233</v>
      </c>
      <c r="GK389" s="5" t="s">
        <v>233</v>
      </c>
      <c r="GL389" s="5" t="s">
        <v>255</v>
      </c>
      <c r="GM389" s="5" t="s">
        <v>233</v>
      </c>
      <c r="GN389" s="5" t="s">
        <v>243</v>
      </c>
      <c r="GO389" s="5" t="s">
        <v>243</v>
      </c>
      <c r="GP389" s="5" t="s">
        <v>243</v>
      </c>
      <c r="GQ389" s="5" t="s">
        <v>243</v>
      </c>
      <c r="GR389" s="5" t="s">
        <v>243</v>
      </c>
      <c r="GS389" s="5" t="s">
        <v>243</v>
      </c>
      <c r="GT389" s="5" t="s">
        <v>256</v>
      </c>
      <c r="GU389" s="5" t="s">
        <v>755</v>
      </c>
      <c r="GV389" s="5" t="str">
        <f>TEXT("6283133863222823671","0")</f>
        <v>6283133863222820000</v>
      </c>
    </row>
    <row r="390" spans="1:204" ht="15.75" customHeight="1" x14ac:dyDescent="0.15">
      <c r="A390" s="1">
        <f>ROW(A390)</f>
        <v>390</v>
      </c>
      <c r="B390" s="4">
        <v>45852.482673611114</v>
      </c>
      <c r="C390" s="5" t="s">
        <v>204</v>
      </c>
      <c r="D390" s="5" t="s">
        <v>206</v>
      </c>
      <c r="F390" s="5" t="s">
        <v>206</v>
      </c>
      <c r="G390" s="5" t="s">
        <v>206</v>
      </c>
      <c r="H390" s="5" t="s">
        <v>206</v>
      </c>
      <c r="K390" s="5" t="s">
        <v>237</v>
      </c>
      <c r="O390" s="5" t="s">
        <v>209</v>
      </c>
      <c r="U390" s="5" t="s">
        <v>237</v>
      </c>
      <c r="Y390" s="5" t="s">
        <v>209</v>
      </c>
      <c r="AE390" s="5" t="s">
        <v>237</v>
      </c>
      <c r="AH390" s="5" t="s">
        <v>210</v>
      </c>
      <c r="AI390" s="5">
        <v>2012</v>
      </c>
      <c r="AJ390" s="5" t="s">
        <v>330</v>
      </c>
      <c r="AK390" s="5" t="str">
        <f>IF(OR(AJ390="Empleada del sector privado",AJ390="Empleada del sector público"),"Asalariada",
IF(AJ390="Trabajadora por cuenta propia","Trabajadora por cuenta propia",""))</f>
        <v>Asalariada</v>
      </c>
      <c r="AQ390" s="5" t="s">
        <v>204</v>
      </c>
      <c r="AR390" s="5" t="s">
        <v>241</v>
      </c>
      <c r="AS390" s="5" t="s">
        <v>261</v>
      </c>
      <c r="AT390" s="5" t="s">
        <v>301</v>
      </c>
      <c r="AU390" s="5" t="s">
        <v>261</v>
      </c>
      <c r="AV390" s="5" t="s">
        <v>213</v>
      </c>
      <c r="AW390" s="5" t="s">
        <v>206</v>
      </c>
      <c r="BF390" s="5" t="s">
        <v>204</v>
      </c>
      <c r="BG390" s="5" t="s">
        <v>215</v>
      </c>
      <c r="BH390" s="5" t="s">
        <v>215</v>
      </c>
      <c r="BI390" s="5" t="s">
        <v>278</v>
      </c>
      <c r="BJ390" s="5" t="s">
        <v>278</v>
      </c>
      <c r="BK390" s="5" t="s">
        <v>244</v>
      </c>
      <c r="BL390" s="5" t="s">
        <v>244</v>
      </c>
      <c r="BM390" s="5" t="s">
        <v>244</v>
      </c>
      <c r="BN390" s="5" t="s">
        <v>244</v>
      </c>
      <c r="BO390" s="5" t="s">
        <v>244</v>
      </c>
      <c r="BP390" s="5" t="s">
        <v>244</v>
      </c>
      <c r="BQ390" s="5" t="s">
        <v>244</v>
      </c>
      <c r="BR390" s="5" t="s">
        <v>244</v>
      </c>
      <c r="BS390" s="5" t="s">
        <v>248</v>
      </c>
      <c r="BT390" s="5" t="s">
        <v>247</v>
      </c>
      <c r="BU390" s="5" t="s">
        <v>248</v>
      </c>
      <c r="BV390" s="5" t="s">
        <v>248</v>
      </c>
      <c r="BW390" s="5" t="s">
        <v>247</v>
      </c>
      <c r="BX390" s="5" t="s">
        <v>247</v>
      </c>
      <c r="BY390" s="5" t="s">
        <v>247</v>
      </c>
      <c r="CD390" s="5" t="s">
        <v>206</v>
      </c>
      <c r="CH390" s="5" t="s">
        <v>206</v>
      </c>
      <c r="CI390" s="5" t="s">
        <v>206</v>
      </c>
      <c r="CJ390" s="5">
        <v>0</v>
      </c>
      <c r="CK390" s="5" t="s">
        <v>223</v>
      </c>
      <c r="CU390" s="5" t="s">
        <v>206</v>
      </c>
      <c r="DA390" s="5" t="s">
        <v>231</v>
      </c>
      <c r="DB390" s="5">
        <f>IF(DA390="Mejor que lo habitual",1,
IF(DA390="Igual que lo habitual",2,
IF(DA390="Menos que lo habitual",3,
IF(DA390="Mucho menos que lo habitual",4,""))))</f>
        <v>2</v>
      </c>
      <c r="DC390" s="5" t="s">
        <v>230</v>
      </c>
      <c r="DD390" s="5">
        <f>IF(DC390="No, en absoluto",1,
IF(DC390="No más que lo habitual",2,
IF(DC390="Bastante más que lo habitual",3,
IF(DC390="Mucho más que lo habitual",4,""))))</f>
        <v>2</v>
      </c>
      <c r="DE390" s="5" t="s">
        <v>230</v>
      </c>
      <c r="DF390" s="5">
        <f>IF(DE390="No, en absoluto",1,
IF(DE390="No más que lo habitual",2,
IF(DE390="Bastante más que lo habitual",3,
IF(DE390="Mucho más que lo habitual",4,""))))</f>
        <v>2</v>
      </c>
      <c r="DG390" s="5" t="s">
        <v>230</v>
      </c>
      <c r="DH390" s="5">
        <f>IF(DG390="No, en absoluto",1,
IF(DG390="No más que lo habitual",2,
IF(DG390="Bastante más que lo habitual",3,
IF(DG390="Mucho más que lo habitual",4,""))))</f>
        <v>2</v>
      </c>
      <c r="DI390" s="5" t="s">
        <v>230</v>
      </c>
      <c r="DJ390" s="5">
        <f>IF(DI390="No, en absoluto",1,
IF(DI390="No más que lo habitual",2,
IF(DI390="Bastante más que lo habitual",3,
IF(DI390="Mucho más que lo habitual",4,""))))</f>
        <v>2</v>
      </c>
      <c r="DK390" s="5" t="s">
        <v>230</v>
      </c>
      <c r="DL390" s="5">
        <f>IF(DK390="No, en absoluto",1,
IF(DK390="No más que lo habitual",2,
IF(DK390="Bastante más que lo habitual",3,
IF(DK390="Mucho más que lo habitual",4,""))))</f>
        <v>2</v>
      </c>
      <c r="DM390" s="5" t="s">
        <v>230</v>
      </c>
      <c r="DN390" s="5">
        <f>IF(DM390="No, en absoluto",1,
IF(DM390="No más que lo habitual",2,
IF(DM390="Bastante más que lo habitual",3,
IF(DM390="Mucho más que lo habitual",4,""))))</f>
        <v>2</v>
      </c>
      <c r="DO390" s="5" t="s">
        <v>231</v>
      </c>
      <c r="DP390" s="5">
        <f>IF(DO390="Más que lo habitual",1,
IF(DO390="Igual que lo habitual",2,
IF(DO390="Menos que lo habitual",3,
IF(DO390="Mucho menos que lo habitual",4,""))))</f>
        <v>2</v>
      </c>
      <c r="DQ390" s="5" t="s">
        <v>231</v>
      </c>
      <c r="DR390" s="5">
        <f>IF(DQ390="Más que lo habitual",1,
IF(DQ390="Igual que lo habitual",2,
IF(DQ390="Menos que lo habitual",3,
IF(DQ390="Mucho menos que lo habitual",4,""))))</f>
        <v>2</v>
      </c>
      <c r="DS390" s="5" t="s">
        <v>231</v>
      </c>
      <c r="DT390" s="5">
        <f>IF(DS390="Más que lo habitual",1,
IF(DS390="Igual que lo habitual",2,
IF(DS390="Menos que lo habitual",3,
IF(DS390="Mucho menos que lo habitual",4,""))))</f>
        <v>2</v>
      </c>
      <c r="DU390" s="5" t="s">
        <v>231</v>
      </c>
      <c r="DV390" s="5">
        <f>IF(DU390="Más que lo habitual",1,
IF(DU390="Igual que lo habitual",2,
IF(DU390="Menos que lo habitual",3,
IF(DU390="Mucho menos que lo habitual",4,""))))</f>
        <v>2</v>
      </c>
      <c r="DW390" s="5" t="s">
        <v>231</v>
      </c>
      <c r="DX390" s="5">
        <f>IF(DW390="Más que lo habitual",1,
IF(DW390="Igual que lo habitual",2,
IF(DW390="Menos que lo habitual",3,
IF(DW390="Mucho menos que lo habitual",4,""))))</f>
        <v>2</v>
      </c>
      <c r="DY390" s="5">
        <f>SUM(DB390,DD390,DF390,DH390,DJ390,DL390,DN390,DP390,DR390,DT390,DV390,DX390)</f>
        <v>24</v>
      </c>
      <c r="DZ390" s="5" t="str">
        <f>IF(DY390&lt;=18,"Nivel de riesgo bajo",
IF(DY390&lt;=23,"Nivel de riesgo medio",
"Nivel de riesgo alto"))</f>
        <v>Nivel de riesgo alto</v>
      </c>
      <c r="EA390" s="5" t="s">
        <v>248</v>
      </c>
      <c r="EB390" s="5">
        <f>IF(EA390="Nunca/ casi nunca",0,
IF(EA390="Rara vez",1,
IF(EA390="A veces",2,
IF(EA390="A menudo",3,
IF(EA390="Siempre",4,"")))))</f>
        <v>1</v>
      </c>
      <c r="EC390" s="5" t="s">
        <v>247</v>
      </c>
      <c r="ED390" s="5">
        <f>IF(EC390="Nunca/ casi nunca",0,
IF(EC390="Rara vez",1,
IF(EC390="A veces",2,
IF(EC390="A menudo",3,
IF(EC390="Siempre",4,"")))))</f>
        <v>2</v>
      </c>
      <c r="EE390" s="5" t="s">
        <v>248</v>
      </c>
      <c r="EF390" s="5">
        <f>IF(EE390="Nunca/ casi nunca",0,
IF(EE390="Rara vez",1,
IF(EE390="A veces",2,
IF(EE390="A menudo",3,
IF(EE390="Siempre",4,"")))))</f>
        <v>1</v>
      </c>
      <c r="EG390" s="5">
        <f>SUM(EB390,ED390,EF390)</f>
        <v>4</v>
      </c>
      <c r="EH390" s="5" t="str">
        <f>IF(EG390&lt;=1,"Nivel de riesgo bajo",
IF(EG390&lt;=4,"Nivel de riesgo medio",
"Nivel de riesgo alto"))</f>
        <v>Nivel de riesgo medio</v>
      </c>
      <c r="EI390" s="5" t="s">
        <v>248</v>
      </c>
      <c r="EJ390" s="5">
        <f>IF(EI390="Nunca/ casi nunca",0,
IF(EI390="Rara vez",1,
IF(EI390="A veces",2,
IF(EI390="A menudo",3,
IF(EI390="Siempre",4,"")))))</f>
        <v>1</v>
      </c>
      <c r="EK390" s="5" t="s">
        <v>247</v>
      </c>
      <c r="EL390" s="5">
        <f>IF(EK390="Nunca/ casi nunca",0,
IF(EK390="Rara vez",1,
IF(EK390="A veces",2,
IF(EK390="A menudo",3,
IF(EK390="Siempre",4,"")))))</f>
        <v>2</v>
      </c>
      <c r="EM390" s="5" t="s">
        <v>253</v>
      </c>
      <c r="EN390" s="5">
        <f>IF(EM390="Nunca/ casi nunca",0,
IF(EM390="Rara vez",1,
IF(EM390="A veces",2,
IF(EM390="A menudo",3,
IF(EM390="Siempre",4,"")))))</f>
        <v>0</v>
      </c>
      <c r="EO390" s="5">
        <f>SUM(EJ390,EL390,EN390)</f>
        <v>3</v>
      </c>
      <c r="EP390" s="5" t="str">
        <f>IF(EO390&lt;=1,"Nivel de riesgo bajo",
IF(EO390&lt;=5,"Nivel de riesgo medio",
"Nivel de riesgo alto"))</f>
        <v>Nivel de riesgo medio</v>
      </c>
      <c r="EQ390" s="5" t="s">
        <v>232</v>
      </c>
      <c r="ER390" s="5">
        <f>IF(EQ390="Nunca/ casi nunca",4,
IF(EQ390="Rara vez",3,
IF(EQ390="A veces",2,
IF(EQ390="A menudo",1,
IF(EQ390="Siempre",0,"")))))</f>
        <v>1</v>
      </c>
      <c r="ES390" s="5" t="s">
        <v>232</v>
      </c>
      <c r="ET390" s="5">
        <f>IF(ES390="Nunca/ casi nunca",4,
IF(ES390="Rara vez",3,
IF(ES390="A veces",2,
IF(ES390="A menudo",1,
IF(ES390="Siempre",0,"")))))</f>
        <v>1</v>
      </c>
      <c r="EU390" s="5" t="s">
        <v>254</v>
      </c>
      <c r="EV390" s="5">
        <f>IF(EU390="Nunca/ casi nunca",4,
IF(EU390="Rara vez",3,
IF(EU390="A veces",2,
IF(EU390="A menudo",1,
IF(EU390="Siempre",0,"")))))</f>
        <v>0</v>
      </c>
      <c r="EW390" s="5" t="s">
        <v>254</v>
      </c>
      <c r="EX390" s="5">
        <f>IF(EW390="Nunca/ casi nunca",4,
IF(EW390="Rara vez",3,
IF(EW390="A veces",2,
IF(EW390="A menudo",1,
IF(EW390="Siempre",0,"")))))</f>
        <v>0</v>
      </c>
      <c r="EY390" s="5">
        <f>SUM(ER390,ET390,EV390,EX390)</f>
        <v>2</v>
      </c>
      <c r="EZ390" s="5" t="str">
        <f>IF(EY390&lt;=0,"Nivel de riesgo bajo",
IF(EY390&lt;=4,"Nivel de riesgo medio",
"Nivel de riesgo alto"))</f>
        <v>Nivel de riesgo medio</v>
      </c>
      <c r="FA390" s="5" t="s">
        <v>248</v>
      </c>
      <c r="FB390" s="5">
        <f>IF(FA390="Nunca/ casi nunca",0,
IF(FA390="Rara vez",1,
IF(FA390="A veces",2,
IF(FA390="A menudo",3,
IF(FA390="Siempre",4,"")))))</f>
        <v>1</v>
      </c>
      <c r="FC390" s="5" t="s">
        <v>253</v>
      </c>
      <c r="FD390" s="5">
        <f>IF(FC390="Nunca/ casi nunca",0,
IF(FC390="Rara vez",1,
IF(FC390="A veces",2,
IF(FC390="A menudo",3,
IF(FC390="Siempre",4,"")))))</f>
        <v>0</v>
      </c>
      <c r="FE390" s="5" t="s">
        <v>253</v>
      </c>
      <c r="FF390" s="5">
        <f>IF(FE390="Nunca/ casi nunca",0,
IF(FE390="Rara vez",1,
IF(FE390="A veces",2,
IF(FE390="A menudo",3,
IF(FE390="Siempre",4,"")))))</f>
        <v>0</v>
      </c>
      <c r="FG390" s="5">
        <f>SUM(FB390,FD390,FF390)</f>
        <v>1</v>
      </c>
      <c r="FH390" s="5" t="str">
        <f>IF(FG390&lt;=2,"Nivel de riesgo bajo",
IF(FG390&lt;=5,"Nivel de riesgo medio",
"Nivel de riesgo alto"))</f>
        <v>Nivel de riesgo bajo</v>
      </c>
      <c r="FI390" s="5" t="s">
        <v>248</v>
      </c>
      <c r="FJ390" s="5">
        <f>IF(FI390="Nunca/ casi nunca",0,
IF(FI390="Rara vez",1,
IF(FI390="A veces",2,
IF(FI390="A menudo",3,
IF(FI390="Siempre",4,"")))))</f>
        <v>1</v>
      </c>
      <c r="FK390" s="5" t="s">
        <v>248</v>
      </c>
      <c r="FL390" s="5">
        <f>IF(FK390="Nunca/ casi nunca",0,
IF(FK390="Rara vez",1,
IF(FK390="A veces",2,
IF(FK390="A menudo",3,
IF(FK390="Siempre",4,"")))))</f>
        <v>1</v>
      </c>
      <c r="FM390" s="5" t="s">
        <v>248</v>
      </c>
      <c r="FN390" s="5">
        <f>IF(FM390="Nunca/ casi nunca",0,
IF(FM390="Rara vez",1,
IF(FM390="A veces",2,
IF(FM390="A menudo",3,
IF(FM390="Siempre",4,"")))))</f>
        <v>1</v>
      </c>
      <c r="FO390" s="5">
        <f>SUM(FJ390,FL390,FN390)</f>
        <v>3</v>
      </c>
      <c r="FP390" s="5" t="str">
        <f>IF(FO390&lt;=2,"Nivel de riesgo bajo",
IF(FO390&lt;=5,"Nivel de riesgo medio",
"Nivel de riesgo alto"))</f>
        <v>Nivel de riesgo medio</v>
      </c>
      <c r="FQ390" s="5" t="s">
        <v>265</v>
      </c>
      <c r="FR390" s="5">
        <f>IF(FQ390="No",0,
IF(FQ390="Sí, unas pocas veces",1,
IF(FQ390="Sí, mensualmente",2,
IF(FQ390="Sí, semanalmente",3,
IF(FQ390="Sí, diariamente",4,"")))))</f>
        <v>1</v>
      </c>
      <c r="FS390" s="5" t="s">
        <v>206</v>
      </c>
      <c r="FT390" s="5">
        <f>IF(FS390="No",0,
IF(FS390="Sí, unas pocas veces",1,
IF(FS390="Sí, mensualmente",2,
IF(FS390="Sí, semanalmente",3,
IF(FS390="Sí, diariamente",4,"")))))</f>
        <v>0</v>
      </c>
      <c r="FU390" s="5" t="s">
        <v>206</v>
      </c>
      <c r="FV390" s="5">
        <f>IF(FU390="No",0,
IF(FU390="Sí, unas pocas veces",1,
IF(FU390="Sí, mensualmente",2,
IF(FU390="Sí, semanalmente",3,
IF(FU390="Sí, diariamente",4,"")))))</f>
        <v>0</v>
      </c>
      <c r="FW390" s="5" t="s">
        <v>206</v>
      </c>
      <c r="FX390" s="5">
        <f>IF(FW390="No",0,
IF(FW390="Sí, unas pocas veces",1,
IF(FW390="Sí, mensualmente",2,
IF(FW390="Sí, semanalmente",3,
IF(FW390="Sí, diariamente",4,"")))))</f>
        <v>0</v>
      </c>
      <c r="FY390" s="5" t="s">
        <v>206</v>
      </c>
      <c r="FZ390" s="5">
        <f>IF(FY390="No",0,
IF(FY390="Sí, unas pocas veces",1,
IF(FY390="Sí, mensualmente",2,
IF(FY390="Sí, semanalmente",3,
IF(FY390="Sí, diariamente",4,"")))))</f>
        <v>0</v>
      </c>
      <c r="GA390" s="5" t="s">
        <v>206</v>
      </c>
      <c r="GB390" s="5">
        <f>IF(GA390="No",0,
IF(GA390="Sí, unas pocas veces",1,
IF(GA390="Sí, mensualmente",2,
IF(GA390="Sí, semanalmente",3,
IF(GA390="Sí, diariamente",4,"")))))</f>
        <v>0</v>
      </c>
      <c r="GC390" s="5" t="s">
        <v>206</v>
      </c>
      <c r="GD390" s="5">
        <f>IF(GC390="No",0,
IF(GC390="Sí, unas pocas veces",1,
IF(GC390="Sí, mensualmente",2,
IF(GC390="Sí, semanalmente",3,
IF(GC390="Sí, diariamente",4,"")))))</f>
        <v>0</v>
      </c>
      <c r="GE390" s="5">
        <f>SUM(FR390,FT390,FV390,FX390,FZ390,GB390,GD390)</f>
        <v>1</v>
      </c>
      <c r="GF390" s="5" t="str">
        <f>IF(GE390&lt;=0,"Nivel de riesgo bajo",
IF(GE390&lt;=14,"Nivel de riesgo medio",
"Nivel de riesgo alto"))</f>
        <v>Nivel de riesgo medio</v>
      </c>
      <c r="GG390" s="5" t="s">
        <v>255</v>
      </c>
      <c r="GH390" s="5" t="s">
        <v>255</v>
      </c>
      <c r="GI390" s="5" t="s">
        <v>255</v>
      </c>
      <c r="GJ390" s="5" t="s">
        <v>255</v>
      </c>
      <c r="GK390" s="5" t="s">
        <v>233</v>
      </c>
      <c r="GL390" s="5" t="s">
        <v>233</v>
      </c>
      <c r="GM390" s="5" t="s">
        <v>233</v>
      </c>
      <c r="GN390" s="5" t="s">
        <v>256</v>
      </c>
      <c r="GO390" s="5" t="s">
        <v>257</v>
      </c>
      <c r="GP390" s="5" t="s">
        <v>257</v>
      </c>
      <c r="GQ390" s="5" t="s">
        <v>257</v>
      </c>
      <c r="GR390" s="5" t="s">
        <v>257</v>
      </c>
      <c r="GS390" s="5" t="s">
        <v>257</v>
      </c>
      <c r="GT390" s="5" t="s">
        <v>257</v>
      </c>
      <c r="GU390" s="5" t="s">
        <v>756</v>
      </c>
      <c r="GV390" s="5" t="str">
        <f>TEXT("6283165036046430705","0")</f>
        <v>6283165036046430000</v>
      </c>
    </row>
    <row r="391" spans="1:204" ht="15.75" customHeight="1" x14ac:dyDescent="0.15">
      <c r="A391" s="1">
        <f>ROW(A391)</f>
        <v>391</v>
      </c>
      <c r="B391" s="4">
        <v>45852.584351851852</v>
      </c>
      <c r="C391" s="5" t="s">
        <v>204</v>
      </c>
      <c r="D391" s="5" t="s">
        <v>206</v>
      </c>
      <c r="F391" s="5" t="s">
        <v>204</v>
      </c>
      <c r="G391" s="5" t="s">
        <v>206</v>
      </c>
      <c r="H391" s="5" t="s">
        <v>206</v>
      </c>
      <c r="J391" s="5" t="s">
        <v>209</v>
      </c>
      <c r="O391" s="5" t="s">
        <v>209</v>
      </c>
      <c r="W391" s="5" t="s">
        <v>207</v>
      </c>
      <c r="AB391" s="5" t="s">
        <v>207</v>
      </c>
      <c r="AG391" s="5" t="s">
        <v>207</v>
      </c>
      <c r="AH391" s="5" t="s">
        <v>259</v>
      </c>
      <c r="AI391" s="5">
        <v>2023</v>
      </c>
      <c r="AJ391" s="5" t="s">
        <v>238</v>
      </c>
      <c r="AK391" s="5" t="str">
        <f>IF(OR(AJ391="Empleada del sector privado",AJ391="Empleada del sector público"),"Asalariada",
IF(AJ391="Trabajadora por cuenta propia","Trabajadora por cuenta propia",""))</f>
        <v>Trabajadora por cuenta propia</v>
      </c>
      <c r="AM391" s="5" t="s">
        <v>309</v>
      </c>
      <c r="AP391" s="5" t="s">
        <v>240</v>
      </c>
      <c r="AR391" s="5" t="s">
        <v>261</v>
      </c>
      <c r="AS391" s="5" t="s">
        <v>261</v>
      </c>
      <c r="AT391" s="5" t="s">
        <v>261</v>
      </c>
      <c r="AU391" s="5" t="s">
        <v>261</v>
      </c>
      <c r="AV391" s="5" t="s">
        <v>285</v>
      </c>
      <c r="AW391" s="5" t="s">
        <v>204</v>
      </c>
      <c r="AX391" s="5" t="s">
        <v>204</v>
      </c>
      <c r="AY391" s="5" t="s">
        <v>214</v>
      </c>
      <c r="AZ391" s="5" t="s">
        <v>204</v>
      </c>
      <c r="BA391" s="5" t="s">
        <v>263</v>
      </c>
      <c r="BF391" s="5" t="s">
        <v>204</v>
      </c>
      <c r="BG391" s="5" t="s">
        <v>242</v>
      </c>
      <c r="BH391" s="5" t="s">
        <v>242</v>
      </c>
      <c r="BI391" s="5" t="s">
        <v>242</v>
      </c>
      <c r="BJ391" s="5" t="s">
        <v>215</v>
      </c>
      <c r="BK391" s="5" t="s">
        <v>244</v>
      </c>
      <c r="BL391" s="5" t="s">
        <v>244</v>
      </c>
      <c r="BM391" s="5" t="s">
        <v>244</v>
      </c>
      <c r="BN391" s="5" t="s">
        <v>244</v>
      </c>
      <c r="BO391" s="5" t="s">
        <v>244</v>
      </c>
      <c r="BP391" s="5" t="s">
        <v>244</v>
      </c>
      <c r="BQ391" s="5" t="s">
        <v>244</v>
      </c>
      <c r="BR391" s="5" t="s">
        <v>245</v>
      </c>
      <c r="BS391" s="5" t="s">
        <v>217</v>
      </c>
      <c r="BT391" s="5" t="s">
        <v>248</v>
      </c>
      <c r="BU391" s="5" t="s">
        <v>217</v>
      </c>
      <c r="BV391" s="5" t="s">
        <v>217</v>
      </c>
      <c r="BW391" s="5" t="s">
        <v>248</v>
      </c>
      <c r="BX391" s="5" t="s">
        <v>248</v>
      </c>
      <c r="BY391" s="5" t="s">
        <v>248</v>
      </c>
      <c r="BZ391" s="5" t="s">
        <v>244</v>
      </c>
      <c r="CA391" s="5" t="s">
        <v>244</v>
      </c>
      <c r="CB391" s="5" t="s">
        <v>244</v>
      </c>
      <c r="CC391" s="5" t="s">
        <v>244</v>
      </c>
      <c r="CD391" s="5" t="s">
        <v>206</v>
      </c>
      <c r="CH391" s="5" t="s">
        <v>757</v>
      </c>
      <c r="CI391" s="5" t="s">
        <v>383</v>
      </c>
      <c r="CJ391" s="5">
        <v>4</v>
      </c>
      <c r="CK391" s="5" t="s">
        <v>223</v>
      </c>
      <c r="CU391" s="5" t="s">
        <v>206</v>
      </c>
      <c r="DA391" s="5" t="s">
        <v>231</v>
      </c>
      <c r="DB391" s="5">
        <f>IF(DA391="Mejor que lo habitual",1,
IF(DA391="Igual que lo habitual",2,
IF(DA391="Menos que lo habitual",3,
IF(DA391="Mucho menos que lo habitual",4,""))))</f>
        <v>2</v>
      </c>
      <c r="DC391" s="5" t="s">
        <v>251</v>
      </c>
      <c r="DD391" s="5">
        <f>IF(DC391="No, en absoluto",1,
IF(DC391="No más que lo habitual",2,
IF(DC391="Bastante más que lo habitual",3,
IF(DC391="Mucho más que lo habitual",4,""))))</f>
        <v>1</v>
      </c>
      <c r="DE391" s="5" t="s">
        <v>251</v>
      </c>
      <c r="DF391" s="5">
        <f>IF(DE391="No, en absoluto",1,
IF(DE391="No más que lo habitual",2,
IF(DE391="Bastante más que lo habitual",3,
IF(DE391="Mucho más que lo habitual",4,""))))</f>
        <v>1</v>
      </c>
      <c r="DG391" s="5" t="s">
        <v>251</v>
      </c>
      <c r="DH391" s="5">
        <f>IF(DG391="No, en absoluto",1,
IF(DG391="No más que lo habitual",2,
IF(DG391="Bastante más que lo habitual",3,
IF(DG391="Mucho más que lo habitual",4,""))))</f>
        <v>1</v>
      </c>
      <c r="DI391" s="5" t="s">
        <v>251</v>
      </c>
      <c r="DJ391" s="5">
        <f>IF(DI391="No, en absoluto",1,
IF(DI391="No más que lo habitual",2,
IF(DI391="Bastante más que lo habitual",3,
IF(DI391="Mucho más que lo habitual",4,""))))</f>
        <v>1</v>
      </c>
      <c r="DK391" s="5" t="s">
        <v>251</v>
      </c>
      <c r="DL391" s="5">
        <f>IF(DK391="No, en absoluto",1,
IF(DK391="No más que lo habitual",2,
IF(DK391="Bastante más que lo habitual",3,
IF(DK391="Mucho más que lo habitual",4,""))))</f>
        <v>1</v>
      </c>
      <c r="DM391" s="5" t="s">
        <v>251</v>
      </c>
      <c r="DN391" s="5">
        <f>IF(DM391="No, en absoluto",1,
IF(DM391="No más que lo habitual",2,
IF(DM391="Bastante más que lo habitual",3,
IF(DM391="Mucho más que lo habitual",4,""))))</f>
        <v>1</v>
      </c>
      <c r="DO391" s="5" t="s">
        <v>231</v>
      </c>
      <c r="DP391" s="5">
        <f>IF(DO391="Más que lo habitual",1,
IF(DO391="Igual que lo habitual",2,
IF(DO391="Menos que lo habitual",3,
IF(DO391="Mucho menos que lo habitual",4,""))))</f>
        <v>2</v>
      </c>
      <c r="DQ391" s="5" t="s">
        <v>231</v>
      </c>
      <c r="DR391" s="5">
        <f>IF(DQ391="Más que lo habitual",1,
IF(DQ391="Igual que lo habitual",2,
IF(DQ391="Menos que lo habitual",3,
IF(DQ391="Mucho menos que lo habitual",4,""))))</f>
        <v>2</v>
      </c>
      <c r="DS391" s="5" t="s">
        <v>231</v>
      </c>
      <c r="DT391" s="5">
        <f>IF(DS391="Más que lo habitual",1,
IF(DS391="Igual que lo habitual",2,
IF(DS391="Menos que lo habitual",3,
IF(DS391="Mucho menos que lo habitual",4,""))))</f>
        <v>2</v>
      </c>
      <c r="DU391" s="5" t="s">
        <v>231</v>
      </c>
      <c r="DV391" s="5">
        <f>IF(DU391="Más que lo habitual",1,
IF(DU391="Igual que lo habitual",2,
IF(DU391="Menos que lo habitual",3,
IF(DU391="Mucho menos que lo habitual",4,""))))</f>
        <v>2</v>
      </c>
      <c r="DW391" s="5" t="s">
        <v>231</v>
      </c>
      <c r="DX391" s="5">
        <f>IF(DW391="Más que lo habitual",1,
IF(DW391="Igual que lo habitual",2,
IF(DW391="Menos que lo habitual",3,
IF(DW391="Mucho menos que lo habitual",4,""))))</f>
        <v>2</v>
      </c>
      <c r="DY391" s="5">
        <f>SUM(DB391,DD391,DF391,DH391,DJ391,DL391,DN391,DP391,DR391,DT391,DV391,DX391)</f>
        <v>18</v>
      </c>
      <c r="DZ391" s="5" t="str">
        <f>IF(DY391&lt;=18,"Nivel de riesgo bajo",
IF(DY391&lt;=23,"Nivel de riesgo medio",
"Nivel de riesgo alto"))</f>
        <v>Nivel de riesgo bajo</v>
      </c>
      <c r="EA391" s="5" t="s">
        <v>247</v>
      </c>
      <c r="EB391" s="5">
        <f>IF(EA391="Nunca/ casi nunca",0,
IF(EA391="Rara vez",1,
IF(EA391="A veces",2,
IF(EA391="A menudo",3,
IF(EA391="Siempre",4,"")))))</f>
        <v>2</v>
      </c>
      <c r="EC391" s="5" t="s">
        <v>248</v>
      </c>
      <c r="ED391" s="5">
        <f>IF(EC391="Nunca/ casi nunca",0,
IF(EC391="Rara vez",1,
IF(EC391="A veces",2,
IF(EC391="A menudo",3,
IF(EC391="Siempre",4,"")))))</f>
        <v>1</v>
      </c>
      <c r="EE391" s="5" t="s">
        <v>248</v>
      </c>
      <c r="EF391" s="5">
        <f>IF(EE391="Nunca/ casi nunca",0,
IF(EE391="Rara vez",1,
IF(EE391="A veces",2,
IF(EE391="A menudo",3,
IF(EE391="Siempre",4,"")))))</f>
        <v>1</v>
      </c>
      <c r="EG391" s="5">
        <f>SUM(EB391,ED391,EF391)</f>
        <v>4</v>
      </c>
      <c r="EH391" s="5" t="str">
        <f>IF(EG391&lt;=1,"Nivel de riesgo bajo",
IF(EG391&lt;=4,"Nivel de riesgo medio",
"Nivel de riesgo alto"))</f>
        <v>Nivel de riesgo medio</v>
      </c>
      <c r="EI391" s="5" t="s">
        <v>253</v>
      </c>
      <c r="EJ391" s="5">
        <f>IF(EI391="Nunca/ casi nunca",0,
IF(EI391="Rara vez",1,
IF(EI391="A veces",2,
IF(EI391="A menudo",3,
IF(EI391="Siempre",4,"")))))</f>
        <v>0</v>
      </c>
      <c r="EK391" s="5" t="s">
        <v>247</v>
      </c>
      <c r="EL391" s="5">
        <f>IF(EK391="Nunca/ casi nunca",0,
IF(EK391="Rara vez",1,
IF(EK391="A veces",2,
IF(EK391="A menudo",3,
IF(EK391="Siempre",4,"")))))</f>
        <v>2</v>
      </c>
      <c r="EM391" s="5" t="s">
        <v>248</v>
      </c>
      <c r="EN391" s="5">
        <f>IF(EM391="Nunca/ casi nunca",0,
IF(EM391="Rara vez",1,
IF(EM391="A veces",2,
IF(EM391="A menudo",3,
IF(EM391="Siempre",4,"")))))</f>
        <v>1</v>
      </c>
      <c r="EO391" s="5">
        <f>SUM(EJ391,EL391,EN391)</f>
        <v>3</v>
      </c>
      <c r="EP391" s="5" t="str">
        <f>IF(EO391&lt;=1,"Nivel de riesgo bajo",
IF(EO391&lt;=5,"Nivel de riesgo medio",
"Nivel de riesgo alto"))</f>
        <v>Nivel de riesgo medio</v>
      </c>
      <c r="EQ391" s="5" t="s">
        <v>247</v>
      </c>
      <c r="ER391" s="5">
        <f>IF(EQ391="Nunca/ casi nunca",4,
IF(EQ391="Rara vez",3,
IF(EQ391="A veces",2,
IF(EQ391="A menudo",1,
IF(EQ391="Siempre",0,"")))))</f>
        <v>2</v>
      </c>
      <c r="ES391" s="5" t="s">
        <v>247</v>
      </c>
      <c r="ET391" s="5">
        <f>IF(ES391="Nunca/ casi nunca",4,
IF(ES391="Rara vez",3,
IF(ES391="A veces",2,
IF(ES391="A menudo",1,
IF(ES391="Siempre",0,"")))))</f>
        <v>2</v>
      </c>
      <c r="EU391" s="5" t="s">
        <v>247</v>
      </c>
      <c r="EV391" s="5">
        <f>IF(EU391="Nunca/ casi nunca",4,
IF(EU391="Rara vez",3,
IF(EU391="A veces",2,
IF(EU391="A menudo",1,
IF(EU391="Siempre",0,"")))))</f>
        <v>2</v>
      </c>
      <c r="EW391" s="5" t="s">
        <v>247</v>
      </c>
      <c r="EX391" s="5">
        <f>IF(EW391="Nunca/ casi nunca",4,
IF(EW391="Rara vez",3,
IF(EW391="A veces",2,
IF(EW391="A menudo",1,
IF(EW391="Siempre",0,"")))))</f>
        <v>2</v>
      </c>
      <c r="EY391" s="5">
        <f>SUM(ER391,ET391,EV391,EX391)</f>
        <v>8</v>
      </c>
      <c r="EZ391" s="5" t="str">
        <f>IF(EY391&lt;=0,"Nivel de riesgo bajo",
IF(EY391&lt;=4,"Nivel de riesgo medio",
"Nivel de riesgo alto"))</f>
        <v>Nivel de riesgo alto</v>
      </c>
      <c r="FA391" s="5" t="s">
        <v>247</v>
      </c>
      <c r="FB391" s="5">
        <f>IF(FA391="Nunca/ casi nunca",0,
IF(FA391="Rara vez",1,
IF(FA391="A veces",2,
IF(FA391="A menudo",3,
IF(FA391="Siempre",4,"")))))</f>
        <v>2</v>
      </c>
      <c r="FC391" s="5" t="s">
        <v>247</v>
      </c>
      <c r="FD391" s="5">
        <f>IF(FC391="Nunca/ casi nunca",0,
IF(FC391="Rara vez",1,
IF(FC391="A veces",2,
IF(FC391="A menudo",3,
IF(FC391="Siempre",4,"")))))</f>
        <v>2</v>
      </c>
      <c r="FE391" s="5" t="s">
        <v>247</v>
      </c>
      <c r="FF391" s="5">
        <f>IF(FE391="Nunca/ casi nunca",0,
IF(FE391="Rara vez",1,
IF(FE391="A veces",2,
IF(FE391="A menudo",3,
IF(FE391="Siempre",4,"")))))</f>
        <v>2</v>
      </c>
      <c r="FG391" s="5">
        <f>SUM(FB391,FD391,FF391)</f>
        <v>6</v>
      </c>
      <c r="FH391" s="5" t="str">
        <f>IF(FG391&lt;=2,"Nivel de riesgo bajo",
IF(FG391&lt;=5,"Nivel de riesgo medio",
"Nivel de riesgo alto"))</f>
        <v>Nivel de riesgo alto</v>
      </c>
      <c r="FI391" s="5" t="s">
        <v>247</v>
      </c>
      <c r="FJ391" s="5">
        <f>IF(FI391="Nunca/ casi nunca",0,
IF(FI391="Rara vez",1,
IF(FI391="A veces",2,
IF(FI391="A menudo",3,
IF(FI391="Siempre",4,"")))))</f>
        <v>2</v>
      </c>
      <c r="FK391" s="5" t="s">
        <v>247</v>
      </c>
      <c r="FL391" s="5">
        <f>IF(FK391="Nunca/ casi nunca",0,
IF(FK391="Rara vez",1,
IF(FK391="A veces",2,
IF(FK391="A menudo",3,
IF(FK391="Siempre",4,"")))))</f>
        <v>2</v>
      </c>
      <c r="FM391" s="5" t="s">
        <v>247</v>
      </c>
      <c r="FN391" s="5">
        <f>IF(FM391="Nunca/ casi nunca",0,
IF(FM391="Rara vez",1,
IF(FM391="A veces",2,
IF(FM391="A menudo",3,
IF(FM391="Siempre",4,"")))))</f>
        <v>2</v>
      </c>
      <c r="FO391" s="5">
        <f>SUM(FJ391,FL391,FN391)</f>
        <v>6</v>
      </c>
      <c r="FP391" s="5" t="str">
        <f>IF(FO391&lt;=2,"Nivel de riesgo bajo",
IF(FO391&lt;=5,"Nivel de riesgo medio",
"Nivel de riesgo alto"))</f>
        <v>Nivel de riesgo alto</v>
      </c>
      <c r="FQ391" s="5" t="s">
        <v>206</v>
      </c>
      <c r="FR391" s="5">
        <f>IF(FQ391="No",0,
IF(FQ391="Sí, unas pocas veces",1,
IF(FQ391="Sí, mensualmente",2,
IF(FQ391="Sí, semanalmente",3,
IF(FQ391="Sí, diariamente",4,"")))))</f>
        <v>0</v>
      </c>
      <c r="FS391" s="5" t="s">
        <v>206</v>
      </c>
      <c r="FT391" s="5">
        <f>IF(FS391="No",0,
IF(FS391="Sí, unas pocas veces",1,
IF(FS391="Sí, mensualmente",2,
IF(FS391="Sí, semanalmente",3,
IF(FS391="Sí, diariamente",4,"")))))</f>
        <v>0</v>
      </c>
      <c r="FU391" s="5" t="s">
        <v>206</v>
      </c>
      <c r="FV391" s="5">
        <f>IF(FU391="No",0,
IF(FU391="Sí, unas pocas veces",1,
IF(FU391="Sí, mensualmente",2,
IF(FU391="Sí, semanalmente",3,
IF(FU391="Sí, diariamente",4,"")))))</f>
        <v>0</v>
      </c>
      <c r="FW391" s="5" t="s">
        <v>206</v>
      </c>
      <c r="FX391" s="5">
        <f>IF(FW391="No",0,
IF(FW391="Sí, unas pocas veces",1,
IF(FW391="Sí, mensualmente",2,
IF(FW391="Sí, semanalmente",3,
IF(FW391="Sí, diariamente",4,"")))))</f>
        <v>0</v>
      </c>
      <c r="FY391" s="5" t="s">
        <v>206</v>
      </c>
      <c r="FZ391" s="5">
        <f>IF(FY391="No",0,
IF(FY391="Sí, unas pocas veces",1,
IF(FY391="Sí, mensualmente",2,
IF(FY391="Sí, semanalmente",3,
IF(FY391="Sí, diariamente",4,"")))))</f>
        <v>0</v>
      </c>
      <c r="GA391" s="5" t="s">
        <v>206</v>
      </c>
      <c r="GB391" s="5">
        <f>IF(GA391="No",0,
IF(GA391="Sí, unas pocas veces",1,
IF(GA391="Sí, mensualmente",2,
IF(GA391="Sí, semanalmente",3,
IF(GA391="Sí, diariamente",4,"")))))</f>
        <v>0</v>
      </c>
      <c r="GC391" s="5" t="s">
        <v>206</v>
      </c>
      <c r="GD391" s="5">
        <f>IF(GC391="No",0,
IF(GC391="Sí, unas pocas veces",1,
IF(GC391="Sí, mensualmente",2,
IF(GC391="Sí, semanalmente",3,
IF(GC391="Sí, diariamente",4,"")))))</f>
        <v>0</v>
      </c>
      <c r="GE391" s="5">
        <f>SUM(FR391,FT391,FV391,FX391,FZ391,GB391,GD391)</f>
        <v>0</v>
      </c>
      <c r="GF391" s="5" t="str">
        <f>IF(GE391&lt;=0,"Nivel de riesgo bajo",
IF(GE391&lt;=14,"Nivel de riesgo medio",
"Nivel de riesgo alto"))</f>
        <v>Nivel de riesgo bajo</v>
      </c>
      <c r="GG391" s="5" t="s">
        <v>273</v>
      </c>
      <c r="GH391" s="5" t="s">
        <v>266</v>
      </c>
      <c r="GI391" s="5" t="s">
        <v>266</v>
      </c>
      <c r="GJ391" s="5" t="s">
        <v>266</v>
      </c>
      <c r="GK391" s="5" t="s">
        <v>233</v>
      </c>
      <c r="GL391" s="5" t="s">
        <v>233</v>
      </c>
      <c r="GM391" s="5" t="s">
        <v>233</v>
      </c>
      <c r="GN391" s="5" t="s">
        <v>243</v>
      </c>
      <c r="GO391" s="5" t="s">
        <v>243</v>
      </c>
      <c r="GP391" s="5" t="s">
        <v>243</v>
      </c>
      <c r="GQ391" s="5" t="s">
        <v>243</v>
      </c>
      <c r="GR391" s="5" t="s">
        <v>243</v>
      </c>
      <c r="GS391" s="5" t="s">
        <v>243</v>
      </c>
      <c r="GT391" s="5" t="s">
        <v>243</v>
      </c>
      <c r="GU391" s="5" t="s">
        <v>758</v>
      </c>
      <c r="GV391" s="5" t="str">
        <f>TEXT("6283252884222184456","0")</f>
        <v>6283252884222180000</v>
      </c>
    </row>
    <row r="392" spans="1:204" ht="15.75" hidden="1" customHeight="1" x14ac:dyDescent="0.15">
      <c r="B392" s="4">
        <v>45852.601655092592</v>
      </c>
      <c r="C392" s="5" t="s">
        <v>204</v>
      </c>
      <c r="D392" s="5" t="s">
        <v>206</v>
      </c>
      <c r="F392" s="5" t="s">
        <v>206</v>
      </c>
      <c r="G392" s="5" t="s">
        <v>204</v>
      </c>
      <c r="H392" s="5" t="s">
        <v>206</v>
      </c>
      <c r="J392" s="5" t="s">
        <v>209</v>
      </c>
      <c r="O392" s="5" t="s">
        <v>209</v>
      </c>
      <c r="S392" s="5" t="s">
        <v>208</v>
      </c>
      <c r="X392" s="5" t="s">
        <v>208</v>
      </c>
      <c r="AD392" s="5" t="s">
        <v>209</v>
      </c>
      <c r="AH392" s="5" t="s">
        <v>210</v>
      </c>
      <c r="AI392" s="5">
        <v>2023</v>
      </c>
      <c r="AJ392" s="5" t="s">
        <v>293</v>
      </c>
      <c r="AK392" s="5"/>
      <c r="AR392" s="5" t="s">
        <v>261</v>
      </c>
      <c r="AS392" s="5" t="s">
        <v>241</v>
      </c>
      <c r="AT392" s="5" t="s">
        <v>261</v>
      </c>
      <c r="AU392" s="5" t="s">
        <v>261</v>
      </c>
      <c r="AV392" s="5" t="s">
        <v>277</v>
      </c>
      <c r="AW392" s="5" t="s">
        <v>206</v>
      </c>
      <c r="AX392" s="5" t="s">
        <v>206</v>
      </c>
      <c r="BF392" s="5" t="s">
        <v>204</v>
      </c>
      <c r="BG392" s="5" t="s">
        <v>271</v>
      </c>
      <c r="BH392" s="5" t="s">
        <v>271</v>
      </c>
      <c r="BI392" s="5" t="s">
        <v>271</v>
      </c>
      <c r="BJ392" s="5" t="s">
        <v>271</v>
      </c>
      <c r="BK392" s="5" t="s">
        <v>243</v>
      </c>
      <c r="BL392" s="5" t="s">
        <v>243</v>
      </c>
      <c r="BM392" s="5" t="s">
        <v>243</v>
      </c>
      <c r="BN392" s="5" t="s">
        <v>243</v>
      </c>
      <c r="BO392" s="5" t="s">
        <v>243</v>
      </c>
      <c r="BP392" s="5" t="s">
        <v>245</v>
      </c>
      <c r="BQ392" s="5" t="s">
        <v>243</v>
      </c>
      <c r="BR392" s="5" t="s">
        <v>246</v>
      </c>
      <c r="BS392" s="5" t="s">
        <v>254</v>
      </c>
      <c r="BT392" s="5" t="s">
        <v>254</v>
      </c>
      <c r="BU392" s="5" t="s">
        <v>232</v>
      </c>
      <c r="BV392" s="5" t="s">
        <v>254</v>
      </c>
      <c r="BW392" s="5" t="s">
        <v>254</v>
      </c>
      <c r="BX392" s="5" t="s">
        <v>254</v>
      </c>
      <c r="BY392" s="5" t="s">
        <v>247</v>
      </c>
      <c r="CD392" s="5" t="s">
        <v>206</v>
      </c>
      <c r="CH392" s="5" t="s">
        <v>206</v>
      </c>
      <c r="CI392" s="5" t="s">
        <v>206</v>
      </c>
      <c r="CJ392" s="5">
        <v>0</v>
      </c>
      <c r="CK392" s="5" t="s">
        <v>223</v>
      </c>
      <c r="CU392" s="5" t="s">
        <v>206</v>
      </c>
      <c r="DA392" s="5" t="s">
        <v>231</v>
      </c>
      <c r="DB392" s="5"/>
      <c r="DC392" s="5" t="s">
        <v>230</v>
      </c>
      <c r="DD392" s="5"/>
      <c r="DE392" s="5" t="s">
        <v>250</v>
      </c>
      <c r="DF392" s="5"/>
      <c r="DG392" s="5" t="s">
        <v>250</v>
      </c>
      <c r="DH392" s="5"/>
      <c r="DI392" s="5" t="s">
        <v>250</v>
      </c>
      <c r="DJ392" s="5"/>
      <c r="DK392" s="5" t="s">
        <v>251</v>
      </c>
      <c r="DL392" s="5"/>
      <c r="DM392" s="5" t="s">
        <v>280</v>
      </c>
      <c r="DN392" s="5"/>
      <c r="DO392" s="5" t="s">
        <v>229</v>
      </c>
      <c r="DP392" s="5"/>
      <c r="DQ392" s="5" t="s">
        <v>229</v>
      </c>
      <c r="DR392" s="5"/>
      <c r="DS392" s="5" t="s">
        <v>252</v>
      </c>
      <c r="DT392" s="5"/>
      <c r="DU392" s="5" t="s">
        <v>229</v>
      </c>
      <c r="DV392" s="5"/>
      <c r="DW392" s="5" t="s">
        <v>229</v>
      </c>
      <c r="DX392" s="5"/>
      <c r="DY392" s="5"/>
      <c r="DZ392" s="5"/>
      <c r="EA392" s="5" t="s">
        <v>248</v>
      </c>
      <c r="EB392" s="5"/>
      <c r="EC392" s="5" t="s">
        <v>248</v>
      </c>
      <c r="ED392" s="5"/>
      <c r="EE392" s="5" t="s">
        <v>247</v>
      </c>
      <c r="EF392" s="5"/>
      <c r="EG392" s="5"/>
      <c r="EH392" s="5"/>
      <c r="EI392" s="5" t="s">
        <v>247</v>
      </c>
      <c r="EJ392" s="5"/>
      <c r="EK392" s="5" t="s">
        <v>253</v>
      </c>
      <c r="EL392" s="5"/>
      <c r="EM392" s="5" t="s">
        <v>254</v>
      </c>
      <c r="EN392" s="5"/>
      <c r="EO392" s="5"/>
      <c r="EP392" s="5"/>
      <c r="EQ392" s="5" t="s">
        <v>253</v>
      </c>
      <c r="ER392" s="5"/>
      <c r="ES392" s="5" t="s">
        <v>253</v>
      </c>
      <c r="ET392" s="5"/>
      <c r="EU392" s="5" t="s">
        <v>247</v>
      </c>
      <c r="EV392" s="5"/>
      <c r="EW392" s="5" t="s">
        <v>247</v>
      </c>
      <c r="EX392" s="5"/>
      <c r="EY392" s="5"/>
      <c r="EZ392" s="5"/>
      <c r="FA392" s="5" t="s">
        <v>253</v>
      </c>
      <c r="FB392" s="5"/>
      <c r="FC392" s="5" t="s">
        <v>253</v>
      </c>
      <c r="FD392" s="5"/>
      <c r="FE392" s="5" t="s">
        <v>253</v>
      </c>
      <c r="FF392" s="5"/>
      <c r="FG392" s="5"/>
      <c r="FH392" s="5"/>
      <c r="FI392" s="5" t="s">
        <v>232</v>
      </c>
      <c r="FJ392" s="5"/>
      <c r="FK392" s="5" t="s">
        <v>232</v>
      </c>
      <c r="FL392" s="5"/>
      <c r="FM392" s="5" t="s">
        <v>247</v>
      </c>
      <c r="FN392" s="5"/>
      <c r="FO392" s="5"/>
      <c r="FP392" s="5"/>
      <c r="FQ392" s="5" t="s">
        <v>206</v>
      </c>
      <c r="FR392" s="5"/>
      <c r="FS392" s="5" t="s">
        <v>206</v>
      </c>
      <c r="FT392" s="5"/>
      <c r="FU392" s="5" t="s">
        <v>206</v>
      </c>
      <c r="FV392" s="5"/>
      <c r="FW392" s="5" t="s">
        <v>206</v>
      </c>
      <c r="FX392" s="5"/>
      <c r="FY392" s="5" t="s">
        <v>206</v>
      </c>
      <c r="FZ392" s="5"/>
      <c r="GA392" s="5" t="s">
        <v>206</v>
      </c>
      <c r="GB392" s="5"/>
      <c r="GC392" s="5" t="s">
        <v>206</v>
      </c>
      <c r="GD392" s="5"/>
      <c r="GE392" s="5"/>
      <c r="GF392" s="5"/>
      <c r="GG392" s="5" t="s">
        <v>273</v>
      </c>
      <c r="GH392" s="5" t="s">
        <v>273</v>
      </c>
      <c r="GI392" s="5" t="s">
        <v>266</v>
      </c>
      <c r="GJ392" s="5" t="s">
        <v>298</v>
      </c>
      <c r="GK392" s="5" t="s">
        <v>233</v>
      </c>
      <c r="GL392" s="5" t="s">
        <v>298</v>
      </c>
      <c r="GM392" s="5" t="s">
        <v>298</v>
      </c>
      <c r="GN392" s="5" t="s">
        <v>243</v>
      </c>
      <c r="GO392" s="5" t="s">
        <v>257</v>
      </c>
      <c r="GP392" s="5" t="s">
        <v>257</v>
      </c>
      <c r="GQ392" s="5" t="s">
        <v>244</v>
      </c>
      <c r="GR392" s="5" t="s">
        <v>244</v>
      </c>
      <c r="GS392" s="5" t="s">
        <v>257</v>
      </c>
      <c r="GT392" s="5" t="s">
        <v>257</v>
      </c>
      <c r="GU392" s="5" t="s">
        <v>759</v>
      </c>
      <c r="GV392" s="5" t="str">
        <f>TEXT("6283267830188157029","0")</f>
        <v>6283267830188150000</v>
      </c>
    </row>
    <row r="393" spans="1:204" ht="15.75" customHeight="1" x14ac:dyDescent="0.15">
      <c r="A393" s="1">
        <f>ROW(A393)</f>
        <v>393</v>
      </c>
      <c r="B393" s="4">
        <v>45852.633032407408</v>
      </c>
      <c r="C393" s="5" t="s">
        <v>204</v>
      </c>
      <c r="D393" s="5" t="s">
        <v>206</v>
      </c>
      <c r="F393" s="5" t="s">
        <v>206</v>
      </c>
      <c r="G393" s="5" t="s">
        <v>204</v>
      </c>
      <c r="H393" s="5" t="s">
        <v>206</v>
      </c>
      <c r="J393" s="5" t="s">
        <v>209</v>
      </c>
      <c r="O393" s="5" t="s">
        <v>209</v>
      </c>
      <c r="S393" s="5" t="s">
        <v>208</v>
      </c>
      <c r="X393" s="5" t="s">
        <v>208</v>
      </c>
      <c r="AE393" s="5" t="s">
        <v>237</v>
      </c>
      <c r="AH393" s="5" t="s">
        <v>275</v>
      </c>
      <c r="AI393" s="5">
        <v>2020</v>
      </c>
      <c r="AJ393" s="5" t="s">
        <v>330</v>
      </c>
      <c r="AK393" s="5" t="str">
        <f>IF(OR(AJ393="Empleada del sector privado",AJ393="Empleada del sector público"),"Asalariada",
IF(AJ393="Trabajadora por cuenta propia","Trabajadora por cuenta propia",""))</f>
        <v>Asalariada</v>
      </c>
      <c r="AQ393" s="5" t="s">
        <v>206</v>
      </c>
      <c r="AR393" s="5" t="s">
        <v>276</v>
      </c>
      <c r="AS393" s="5" t="s">
        <v>294</v>
      </c>
      <c r="AT393" s="5" t="s">
        <v>276</v>
      </c>
      <c r="AU393" s="5" t="s">
        <v>261</v>
      </c>
      <c r="AV393" s="5" t="s">
        <v>213</v>
      </c>
      <c r="AW393" s="5" t="s">
        <v>206</v>
      </c>
      <c r="BF393" s="5" t="s">
        <v>204</v>
      </c>
      <c r="BG393" s="5" t="s">
        <v>271</v>
      </c>
      <c r="BH393" s="5" t="s">
        <v>215</v>
      </c>
      <c r="BI393" s="5" t="s">
        <v>271</v>
      </c>
      <c r="BJ393" s="5" t="s">
        <v>242</v>
      </c>
      <c r="BK393" s="5" t="s">
        <v>245</v>
      </c>
      <c r="BL393" s="5" t="s">
        <v>216</v>
      </c>
      <c r="BM393" s="5" t="s">
        <v>243</v>
      </c>
      <c r="BN393" s="5" t="s">
        <v>245</v>
      </c>
      <c r="BO393" s="5" t="s">
        <v>244</v>
      </c>
      <c r="BP393" s="5" t="s">
        <v>243</v>
      </c>
      <c r="BQ393" s="5" t="s">
        <v>243</v>
      </c>
      <c r="BR393" s="5" t="s">
        <v>243</v>
      </c>
      <c r="BS393" s="5" t="s">
        <v>247</v>
      </c>
      <c r="BT393" s="5" t="s">
        <v>232</v>
      </c>
      <c r="BU393" s="5" t="s">
        <v>254</v>
      </c>
      <c r="BV393" s="5" t="s">
        <v>232</v>
      </c>
      <c r="BW393" s="5" t="s">
        <v>254</v>
      </c>
      <c r="BX393" s="5" t="s">
        <v>232</v>
      </c>
      <c r="BY393" s="5" t="s">
        <v>248</v>
      </c>
      <c r="CD393" s="5" t="s">
        <v>206</v>
      </c>
      <c r="CH393" s="5" t="s">
        <v>206</v>
      </c>
      <c r="CI393" s="5" t="s">
        <v>307</v>
      </c>
      <c r="CJ393" s="5">
        <v>1</v>
      </c>
      <c r="CK393" s="5" t="s">
        <v>223</v>
      </c>
      <c r="CU393" s="5" t="s">
        <v>206</v>
      </c>
      <c r="DA393" s="5" t="s">
        <v>272</v>
      </c>
      <c r="DB393" s="5">
        <f>IF(DA393="Mejor que lo habitual",1,
IF(DA393="Igual que lo habitual",2,
IF(DA393="Menos que lo habitual",3,
IF(DA393="Mucho menos que lo habitual",4,""))))</f>
        <v>1</v>
      </c>
      <c r="DC393" s="5" t="s">
        <v>250</v>
      </c>
      <c r="DD393" s="5">
        <f>IF(DC393="No, en absoluto",1,
IF(DC393="No más que lo habitual",2,
IF(DC393="Bastante más que lo habitual",3,
IF(DC393="Mucho más que lo habitual",4,""))))</f>
        <v>3</v>
      </c>
      <c r="DE393" s="5" t="s">
        <v>250</v>
      </c>
      <c r="DF393" s="5">
        <f>IF(DE393="No, en absoluto",1,
IF(DE393="No más que lo habitual",2,
IF(DE393="Bastante más que lo habitual",3,
IF(DE393="Mucho más que lo habitual",4,""))))</f>
        <v>3</v>
      </c>
      <c r="DG393" s="5" t="s">
        <v>230</v>
      </c>
      <c r="DH393" s="5">
        <f>IF(DG393="No, en absoluto",1,
IF(DG393="No más que lo habitual",2,
IF(DG393="Bastante más que lo habitual",3,
IF(DG393="Mucho más que lo habitual",4,""))))</f>
        <v>2</v>
      </c>
      <c r="DI393" s="5" t="s">
        <v>250</v>
      </c>
      <c r="DJ393" s="5">
        <f>IF(DI393="No, en absoluto",1,
IF(DI393="No más que lo habitual",2,
IF(DI393="Bastante más que lo habitual",3,
IF(DI393="Mucho más que lo habitual",4,""))))</f>
        <v>3</v>
      </c>
      <c r="DK393" s="5" t="s">
        <v>230</v>
      </c>
      <c r="DL393" s="5">
        <f>IF(DK393="No, en absoluto",1,
IF(DK393="No más que lo habitual",2,
IF(DK393="Bastante más que lo habitual",3,
IF(DK393="Mucho más que lo habitual",4,""))))</f>
        <v>2</v>
      </c>
      <c r="DM393" s="5" t="s">
        <v>251</v>
      </c>
      <c r="DN393" s="5">
        <f>IF(DM393="No, en absoluto",1,
IF(DM393="No más que lo habitual",2,
IF(DM393="Bastante más que lo habitual",3,
IF(DM393="Mucho más que lo habitual",4,""))))</f>
        <v>1</v>
      </c>
      <c r="DO393" s="5" t="s">
        <v>281</v>
      </c>
      <c r="DP393" s="5">
        <f>IF(DO393="Más que lo habitual",1,
IF(DO393="Igual que lo habitual",2,
IF(DO393="Menos que lo habitual",3,
IF(DO393="Mucho menos que lo habitual",4,""))))</f>
        <v>1</v>
      </c>
      <c r="DQ393" s="5" t="s">
        <v>281</v>
      </c>
      <c r="DR393" s="5">
        <f>IF(DQ393="Más que lo habitual",1,
IF(DQ393="Igual que lo habitual",2,
IF(DQ393="Menos que lo habitual",3,
IF(DQ393="Mucho menos que lo habitual",4,""))))</f>
        <v>1</v>
      </c>
      <c r="DS393" s="5" t="s">
        <v>281</v>
      </c>
      <c r="DT393" s="5">
        <f>IF(DS393="Más que lo habitual",1,
IF(DS393="Igual que lo habitual",2,
IF(DS393="Menos que lo habitual",3,
IF(DS393="Mucho menos que lo habitual",4,""))))</f>
        <v>1</v>
      </c>
      <c r="DU393" s="5" t="s">
        <v>281</v>
      </c>
      <c r="DV393" s="5">
        <f>IF(DU393="Más que lo habitual",1,
IF(DU393="Igual que lo habitual",2,
IF(DU393="Menos que lo habitual",3,
IF(DU393="Mucho menos que lo habitual",4,""))))</f>
        <v>1</v>
      </c>
      <c r="DW393" s="5" t="s">
        <v>281</v>
      </c>
      <c r="DX393" s="5">
        <f>IF(DW393="Más que lo habitual",1,
IF(DW393="Igual que lo habitual",2,
IF(DW393="Menos que lo habitual",3,
IF(DW393="Mucho menos que lo habitual",4,""))))</f>
        <v>1</v>
      </c>
      <c r="DY393" s="5">
        <f>SUM(DB393,DD393,DF393,DH393,DJ393,DL393,DN393,DP393,DR393,DT393,DV393,DX393)</f>
        <v>20</v>
      </c>
      <c r="DZ393" s="5" t="str">
        <f>IF(DY393&lt;=18,"Nivel de riesgo bajo",
IF(DY393&lt;=23,"Nivel de riesgo medio",
"Nivel de riesgo alto"))</f>
        <v>Nivel de riesgo medio</v>
      </c>
      <c r="EA393" s="5" t="s">
        <v>248</v>
      </c>
      <c r="EB393" s="5">
        <f>IF(EA393="Nunca/ casi nunca",0,
IF(EA393="Rara vez",1,
IF(EA393="A veces",2,
IF(EA393="A menudo",3,
IF(EA393="Siempre",4,"")))))</f>
        <v>1</v>
      </c>
      <c r="EC393" s="5" t="s">
        <v>232</v>
      </c>
      <c r="ED393" s="5">
        <f>IF(EC393="Nunca/ casi nunca",0,
IF(EC393="Rara vez",1,
IF(EC393="A veces",2,
IF(EC393="A menudo",3,
IF(EC393="Siempre",4,"")))))</f>
        <v>3</v>
      </c>
      <c r="EE393" s="5" t="s">
        <v>253</v>
      </c>
      <c r="EF393" s="5">
        <f>IF(EE393="Nunca/ casi nunca",0,
IF(EE393="Rara vez",1,
IF(EE393="A veces",2,
IF(EE393="A menudo",3,
IF(EE393="Siempre",4,"")))))</f>
        <v>0</v>
      </c>
      <c r="EG393" s="5">
        <f>SUM(EB393,ED393,EF393)</f>
        <v>4</v>
      </c>
      <c r="EH393" s="5" t="str">
        <f>IF(EG393&lt;=1,"Nivel de riesgo bajo",
IF(EG393&lt;=4,"Nivel de riesgo medio",
"Nivel de riesgo alto"))</f>
        <v>Nivel de riesgo medio</v>
      </c>
      <c r="EI393" s="5" t="s">
        <v>253</v>
      </c>
      <c r="EJ393" s="5">
        <f>IF(EI393="Nunca/ casi nunca",0,
IF(EI393="Rara vez",1,
IF(EI393="A veces",2,
IF(EI393="A menudo",3,
IF(EI393="Siempre",4,"")))))</f>
        <v>0</v>
      </c>
      <c r="EK393" s="5" t="s">
        <v>253</v>
      </c>
      <c r="EL393" s="5">
        <f>IF(EK393="Nunca/ casi nunca",0,
IF(EK393="Rara vez",1,
IF(EK393="A veces",2,
IF(EK393="A menudo",3,
IF(EK393="Siempre",4,"")))))</f>
        <v>0</v>
      </c>
      <c r="EM393" s="5" t="s">
        <v>253</v>
      </c>
      <c r="EN393" s="5">
        <f>IF(EM393="Nunca/ casi nunca",0,
IF(EM393="Rara vez",1,
IF(EM393="A veces",2,
IF(EM393="A menudo",3,
IF(EM393="Siempre",4,"")))))</f>
        <v>0</v>
      </c>
      <c r="EO393" s="5">
        <f>SUM(EJ393,EL393,EN393)</f>
        <v>0</v>
      </c>
      <c r="EP393" s="5" t="str">
        <f>IF(EO393&lt;=1,"Nivel de riesgo bajo",
IF(EO393&lt;=5,"Nivel de riesgo medio",
"Nivel de riesgo alto"))</f>
        <v>Nivel de riesgo bajo</v>
      </c>
      <c r="EQ393" s="5" t="s">
        <v>253</v>
      </c>
      <c r="ER393" s="5">
        <f>IF(EQ393="Nunca/ casi nunca",4,
IF(EQ393="Rara vez",3,
IF(EQ393="A veces",2,
IF(EQ393="A menudo",1,
IF(EQ393="Siempre",0,"")))))</f>
        <v>4</v>
      </c>
      <c r="ES393" s="5" t="s">
        <v>253</v>
      </c>
      <c r="ET393" s="5">
        <f>IF(ES393="Nunca/ casi nunca",4,
IF(ES393="Rara vez",3,
IF(ES393="A veces",2,
IF(ES393="A menudo",1,
IF(ES393="Siempre",0,"")))))</f>
        <v>4</v>
      </c>
      <c r="EU393" s="5" t="s">
        <v>254</v>
      </c>
      <c r="EV393" s="5">
        <f>IF(EU393="Nunca/ casi nunca",4,
IF(EU393="Rara vez",3,
IF(EU393="A veces",2,
IF(EU393="A menudo",1,
IF(EU393="Siempre",0,"")))))</f>
        <v>0</v>
      </c>
      <c r="EW393" s="5" t="s">
        <v>254</v>
      </c>
      <c r="EX393" s="5">
        <f>IF(EW393="Nunca/ casi nunca",4,
IF(EW393="Rara vez",3,
IF(EW393="A veces",2,
IF(EW393="A menudo",1,
IF(EW393="Siempre",0,"")))))</f>
        <v>0</v>
      </c>
      <c r="EY393" s="5">
        <f>SUM(ER393,ET393,EV393,EX393)</f>
        <v>8</v>
      </c>
      <c r="EZ393" s="5" t="str">
        <f>IF(EY393&lt;=0,"Nivel de riesgo bajo",
IF(EY393&lt;=4,"Nivel de riesgo medio",
"Nivel de riesgo alto"))</f>
        <v>Nivel de riesgo alto</v>
      </c>
      <c r="FA393" s="5" t="s">
        <v>253</v>
      </c>
      <c r="FB393" s="5">
        <f>IF(FA393="Nunca/ casi nunca",0,
IF(FA393="Rara vez",1,
IF(FA393="A veces",2,
IF(FA393="A menudo",3,
IF(FA393="Siempre",4,"")))))</f>
        <v>0</v>
      </c>
      <c r="FC393" s="5" t="s">
        <v>253</v>
      </c>
      <c r="FD393" s="5">
        <f>IF(FC393="Nunca/ casi nunca",0,
IF(FC393="Rara vez",1,
IF(FC393="A veces",2,
IF(FC393="A menudo",3,
IF(FC393="Siempre",4,"")))))</f>
        <v>0</v>
      </c>
      <c r="FE393" s="5" t="s">
        <v>232</v>
      </c>
      <c r="FF393" s="5">
        <f>IF(FE393="Nunca/ casi nunca",0,
IF(FE393="Rara vez",1,
IF(FE393="A veces",2,
IF(FE393="A menudo",3,
IF(FE393="Siempre",4,"")))))</f>
        <v>3</v>
      </c>
      <c r="FG393" s="5">
        <f>SUM(FB393,FD393,FF393)</f>
        <v>3</v>
      </c>
      <c r="FH393" s="5" t="str">
        <f>IF(FG393&lt;=2,"Nivel de riesgo bajo",
IF(FG393&lt;=5,"Nivel de riesgo medio",
"Nivel de riesgo alto"))</f>
        <v>Nivel de riesgo medio</v>
      </c>
      <c r="FI393" s="5" t="s">
        <v>248</v>
      </c>
      <c r="FJ393" s="5">
        <f>IF(FI393="Nunca/ casi nunca",0,
IF(FI393="Rara vez",1,
IF(FI393="A veces",2,
IF(FI393="A menudo",3,
IF(FI393="Siempre",4,"")))))</f>
        <v>1</v>
      </c>
      <c r="FK393" s="5" t="s">
        <v>253</v>
      </c>
      <c r="FL393" s="5">
        <f>IF(FK393="Nunca/ casi nunca",0,
IF(FK393="Rara vez",1,
IF(FK393="A veces",2,
IF(FK393="A menudo",3,
IF(FK393="Siempre",4,"")))))</f>
        <v>0</v>
      </c>
      <c r="FM393" s="5" t="s">
        <v>253</v>
      </c>
      <c r="FN393" s="5">
        <f>IF(FM393="Nunca/ casi nunca",0,
IF(FM393="Rara vez",1,
IF(FM393="A veces",2,
IF(FM393="A menudo",3,
IF(FM393="Siempre",4,"")))))</f>
        <v>0</v>
      </c>
      <c r="FO393" s="5">
        <f>SUM(FJ393,FL393,FN393)</f>
        <v>1</v>
      </c>
      <c r="FP393" s="5" t="str">
        <f>IF(FO393&lt;=2,"Nivel de riesgo bajo",
IF(FO393&lt;=5,"Nivel de riesgo medio",
"Nivel de riesgo alto"))</f>
        <v>Nivel de riesgo bajo</v>
      </c>
      <c r="FQ393" s="5" t="s">
        <v>206</v>
      </c>
      <c r="FR393" s="5">
        <f>IF(FQ393="No",0,
IF(FQ393="Sí, unas pocas veces",1,
IF(FQ393="Sí, mensualmente",2,
IF(FQ393="Sí, semanalmente",3,
IF(FQ393="Sí, diariamente",4,"")))))</f>
        <v>0</v>
      </c>
      <c r="FS393" s="5" t="s">
        <v>206</v>
      </c>
      <c r="FT393" s="5">
        <f>IF(FS393="No",0,
IF(FS393="Sí, unas pocas veces",1,
IF(FS393="Sí, mensualmente",2,
IF(FS393="Sí, semanalmente",3,
IF(FS393="Sí, diariamente",4,"")))))</f>
        <v>0</v>
      </c>
      <c r="FU393" s="5" t="s">
        <v>206</v>
      </c>
      <c r="FV393" s="5">
        <f>IF(FU393="No",0,
IF(FU393="Sí, unas pocas veces",1,
IF(FU393="Sí, mensualmente",2,
IF(FU393="Sí, semanalmente",3,
IF(FU393="Sí, diariamente",4,"")))))</f>
        <v>0</v>
      </c>
      <c r="FW393" s="5" t="s">
        <v>206</v>
      </c>
      <c r="FX393" s="5">
        <f>IF(FW393="No",0,
IF(FW393="Sí, unas pocas veces",1,
IF(FW393="Sí, mensualmente",2,
IF(FW393="Sí, semanalmente",3,
IF(FW393="Sí, diariamente",4,"")))))</f>
        <v>0</v>
      </c>
      <c r="FY393" s="5" t="s">
        <v>206</v>
      </c>
      <c r="FZ393" s="5">
        <f>IF(FY393="No",0,
IF(FY393="Sí, unas pocas veces",1,
IF(FY393="Sí, mensualmente",2,
IF(FY393="Sí, semanalmente",3,
IF(FY393="Sí, diariamente",4,"")))))</f>
        <v>0</v>
      </c>
      <c r="GA393" s="5" t="s">
        <v>206</v>
      </c>
      <c r="GB393" s="5">
        <f>IF(GA393="No",0,
IF(GA393="Sí, unas pocas veces",1,
IF(GA393="Sí, mensualmente",2,
IF(GA393="Sí, semanalmente",3,
IF(GA393="Sí, diariamente",4,"")))))</f>
        <v>0</v>
      </c>
      <c r="GC393" s="5" t="s">
        <v>206</v>
      </c>
      <c r="GD393" s="5">
        <f>IF(GC393="No",0,
IF(GC393="Sí, unas pocas veces",1,
IF(GC393="Sí, mensualmente",2,
IF(GC393="Sí, semanalmente",3,
IF(GC393="Sí, diariamente",4,"")))))</f>
        <v>0</v>
      </c>
      <c r="GE393" s="5">
        <f>SUM(FR393,FT393,FV393,FX393,FZ393,GB393,GD393)</f>
        <v>0</v>
      </c>
      <c r="GF393" s="5" t="str">
        <f>IF(GE393&lt;=0,"Nivel de riesgo bajo",
IF(GE393&lt;=14,"Nivel de riesgo medio",
"Nivel de riesgo alto"))</f>
        <v>Nivel de riesgo bajo</v>
      </c>
      <c r="GG393" s="5" t="s">
        <v>273</v>
      </c>
      <c r="GH393" s="5" t="s">
        <v>273</v>
      </c>
      <c r="GI393" s="5" t="s">
        <v>273</v>
      </c>
      <c r="GJ393" s="5" t="s">
        <v>233</v>
      </c>
      <c r="GK393" s="5" t="s">
        <v>233</v>
      </c>
      <c r="GL393" s="5" t="s">
        <v>233</v>
      </c>
      <c r="GM393" s="5" t="s">
        <v>273</v>
      </c>
      <c r="GN393" s="5" t="s">
        <v>234</v>
      </c>
      <c r="GO393" s="5" t="s">
        <v>257</v>
      </c>
      <c r="GP393" s="5" t="s">
        <v>257</v>
      </c>
      <c r="GQ393" s="5" t="s">
        <v>257</v>
      </c>
      <c r="GR393" s="5" t="s">
        <v>257</v>
      </c>
      <c r="GS393" s="5" t="s">
        <v>257</v>
      </c>
      <c r="GT393" s="5" t="s">
        <v>234</v>
      </c>
      <c r="GU393" s="5" t="s">
        <v>760</v>
      </c>
      <c r="GV393" s="5" t="str">
        <f>TEXT("6283294949716309762","0")</f>
        <v>6283294949716300000</v>
      </c>
    </row>
    <row r="394" spans="1:204" ht="15.75" customHeight="1" x14ac:dyDescent="0.15">
      <c r="A394" s="1">
        <f>ROW(A394)</f>
        <v>394</v>
      </c>
      <c r="B394" s="4">
        <v>45852.661539351851</v>
      </c>
      <c r="C394" s="5" t="s">
        <v>204</v>
      </c>
      <c r="D394" s="5" t="s">
        <v>206</v>
      </c>
      <c r="F394" s="5" t="s">
        <v>206</v>
      </c>
      <c r="G394" s="5" t="s">
        <v>206</v>
      </c>
      <c r="H394" s="5" t="s">
        <v>206</v>
      </c>
      <c r="K394" s="5" t="s">
        <v>237</v>
      </c>
      <c r="O394" s="5" t="s">
        <v>209</v>
      </c>
      <c r="S394" s="5" t="s">
        <v>208</v>
      </c>
      <c r="X394" s="5" t="s">
        <v>208</v>
      </c>
      <c r="AC394" s="5" t="s">
        <v>208</v>
      </c>
      <c r="AH394" s="5" t="s">
        <v>268</v>
      </c>
      <c r="AI394" s="5">
        <v>2004</v>
      </c>
      <c r="AJ394" s="5" t="s">
        <v>238</v>
      </c>
      <c r="AK394" s="5" t="str">
        <f>IF(OR(AJ394="Empleada del sector privado",AJ394="Empleada del sector público"),"Asalariada",
IF(AJ394="Trabajadora por cuenta propia","Trabajadora por cuenta propia",""))</f>
        <v>Trabajadora por cuenta propia</v>
      </c>
      <c r="AM394" s="5" t="s">
        <v>309</v>
      </c>
      <c r="AP394" s="5" t="s">
        <v>240</v>
      </c>
      <c r="AR394" s="5" t="s">
        <v>241</v>
      </c>
      <c r="AS394" s="5" t="s">
        <v>301</v>
      </c>
      <c r="AT394" s="5" t="s">
        <v>241</v>
      </c>
      <c r="AU394" s="5" t="s">
        <v>301</v>
      </c>
      <c r="AV394" s="5" t="s">
        <v>285</v>
      </c>
      <c r="AW394" s="5" t="s">
        <v>204</v>
      </c>
      <c r="AX394" s="5" t="s">
        <v>204</v>
      </c>
      <c r="AY394" s="5" t="s">
        <v>406</v>
      </c>
      <c r="AZ394" s="5" t="s">
        <v>204</v>
      </c>
      <c r="BA394" s="5" t="s">
        <v>263</v>
      </c>
      <c r="BF394" s="5" t="s">
        <v>204</v>
      </c>
      <c r="BG394" s="5" t="s">
        <v>215</v>
      </c>
      <c r="BH394" s="5" t="s">
        <v>215</v>
      </c>
      <c r="BI394" s="5" t="s">
        <v>278</v>
      </c>
      <c r="BJ394" s="5" t="s">
        <v>278</v>
      </c>
      <c r="BK394" s="5" t="s">
        <v>245</v>
      </c>
      <c r="BL394" s="5" t="s">
        <v>246</v>
      </c>
      <c r="BM394" s="5" t="s">
        <v>245</v>
      </c>
      <c r="BN394" s="5" t="s">
        <v>246</v>
      </c>
      <c r="BO394" s="5" t="s">
        <v>246</v>
      </c>
      <c r="BP394" s="5" t="s">
        <v>245</v>
      </c>
      <c r="BQ394" s="5" t="s">
        <v>245</v>
      </c>
      <c r="BR394" s="5" t="s">
        <v>243</v>
      </c>
      <c r="BS394" s="5" t="s">
        <v>254</v>
      </c>
      <c r="BT394" s="5" t="s">
        <v>254</v>
      </c>
      <c r="BU394" s="5" t="s">
        <v>232</v>
      </c>
      <c r="BV394" s="5" t="s">
        <v>217</v>
      </c>
      <c r="BW394" s="5" t="s">
        <v>247</v>
      </c>
      <c r="BX394" s="5" t="s">
        <v>247</v>
      </c>
      <c r="BY394" s="5" t="s">
        <v>247</v>
      </c>
      <c r="BZ394" s="5" t="s">
        <v>243</v>
      </c>
      <c r="CA394" s="5" t="s">
        <v>246</v>
      </c>
      <c r="CB394" s="5" t="s">
        <v>244</v>
      </c>
      <c r="CC394" s="5" t="s">
        <v>245</v>
      </c>
      <c r="CD394" s="5" t="s">
        <v>206</v>
      </c>
      <c r="CH394" s="5" t="s">
        <v>761</v>
      </c>
      <c r="CI394" s="5" t="s">
        <v>291</v>
      </c>
      <c r="CJ394" s="5">
        <v>2</v>
      </c>
      <c r="CK394" s="5" t="s">
        <v>223</v>
      </c>
      <c r="CU394" s="5" t="s">
        <v>206</v>
      </c>
      <c r="DA394" s="5" t="s">
        <v>231</v>
      </c>
      <c r="DB394" s="5">
        <f>IF(DA394="Mejor que lo habitual",1,
IF(DA394="Igual que lo habitual",2,
IF(DA394="Menos que lo habitual",3,
IF(DA394="Mucho menos que lo habitual",4,""))))</f>
        <v>2</v>
      </c>
      <c r="DC394" s="5" t="s">
        <v>280</v>
      </c>
      <c r="DD394" s="5">
        <f>IF(DC394="No, en absoluto",1,
IF(DC394="No más que lo habitual",2,
IF(DC394="Bastante más que lo habitual",3,
IF(DC394="Mucho más que lo habitual",4,""))))</f>
        <v>4</v>
      </c>
      <c r="DE394" s="5" t="s">
        <v>250</v>
      </c>
      <c r="DF394" s="5">
        <f>IF(DE394="No, en absoluto",1,
IF(DE394="No más que lo habitual",2,
IF(DE394="Bastante más que lo habitual",3,
IF(DE394="Mucho más que lo habitual",4,""))))</f>
        <v>3</v>
      </c>
      <c r="DG394" s="5" t="s">
        <v>250</v>
      </c>
      <c r="DH394" s="5">
        <f>IF(DG394="No, en absoluto",1,
IF(DG394="No más que lo habitual",2,
IF(DG394="Bastante más que lo habitual",3,
IF(DG394="Mucho más que lo habitual",4,""))))</f>
        <v>3</v>
      </c>
      <c r="DI394" s="5" t="s">
        <v>230</v>
      </c>
      <c r="DJ394" s="5">
        <f>IF(DI394="No, en absoluto",1,
IF(DI394="No más que lo habitual",2,
IF(DI394="Bastante más que lo habitual",3,
IF(DI394="Mucho más que lo habitual",4,""))))</f>
        <v>2</v>
      </c>
      <c r="DK394" s="5" t="s">
        <v>230</v>
      </c>
      <c r="DL394" s="5">
        <f>IF(DK394="No, en absoluto",1,
IF(DK394="No más que lo habitual",2,
IF(DK394="Bastante más que lo habitual",3,
IF(DK394="Mucho más que lo habitual",4,""))))</f>
        <v>2</v>
      </c>
      <c r="DM394" s="5" t="s">
        <v>251</v>
      </c>
      <c r="DN394" s="5">
        <f>IF(DM394="No, en absoluto",1,
IF(DM394="No más que lo habitual",2,
IF(DM394="Bastante más que lo habitual",3,
IF(DM394="Mucho más que lo habitual",4,""))))</f>
        <v>1</v>
      </c>
      <c r="DO394" s="5" t="s">
        <v>281</v>
      </c>
      <c r="DP394" s="5">
        <f>IF(DO394="Más que lo habitual",1,
IF(DO394="Igual que lo habitual",2,
IF(DO394="Menos que lo habitual",3,
IF(DO394="Mucho menos que lo habitual",4,""))))</f>
        <v>1</v>
      </c>
      <c r="DQ394" s="5" t="s">
        <v>281</v>
      </c>
      <c r="DR394" s="5">
        <f>IF(DQ394="Más que lo habitual",1,
IF(DQ394="Igual que lo habitual",2,
IF(DQ394="Menos que lo habitual",3,
IF(DQ394="Mucho menos que lo habitual",4,""))))</f>
        <v>1</v>
      </c>
      <c r="DS394" s="5" t="s">
        <v>231</v>
      </c>
      <c r="DT394" s="5">
        <f>IF(DS394="Más que lo habitual",1,
IF(DS394="Igual que lo habitual",2,
IF(DS394="Menos que lo habitual",3,
IF(DS394="Mucho menos que lo habitual",4,""))))</f>
        <v>2</v>
      </c>
      <c r="DU394" s="5" t="s">
        <v>252</v>
      </c>
      <c r="DV394" s="5">
        <f>IF(DU394="Más que lo habitual",1,
IF(DU394="Igual que lo habitual",2,
IF(DU394="Menos que lo habitual",3,
IF(DU394="Mucho menos que lo habitual",4,""))))</f>
        <v>3</v>
      </c>
      <c r="DW394" s="5" t="s">
        <v>231</v>
      </c>
      <c r="DX394" s="5">
        <f>IF(DW394="Más que lo habitual",1,
IF(DW394="Igual que lo habitual",2,
IF(DW394="Menos que lo habitual",3,
IF(DW394="Mucho menos que lo habitual",4,""))))</f>
        <v>2</v>
      </c>
      <c r="DY394" s="5">
        <f>SUM(DB394,DD394,DF394,DH394,DJ394,DL394,DN394,DP394,DR394,DT394,DV394,DX394)</f>
        <v>26</v>
      </c>
      <c r="DZ394" s="5" t="str">
        <f>IF(DY394&lt;=18,"Nivel de riesgo bajo",
IF(DY394&lt;=23,"Nivel de riesgo medio",
"Nivel de riesgo alto"))</f>
        <v>Nivel de riesgo alto</v>
      </c>
      <c r="EA394" s="5" t="s">
        <v>254</v>
      </c>
      <c r="EB394" s="5">
        <f>IF(EA394="Nunca/ casi nunca",0,
IF(EA394="Rara vez",1,
IF(EA394="A veces",2,
IF(EA394="A menudo",3,
IF(EA394="Siempre",4,"")))))</f>
        <v>4</v>
      </c>
      <c r="EC394" s="5" t="s">
        <v>232</v>
      </c>
      <c r="ED394" s="5">
        <f>IF(EC394="Nunca/ casi nunca",0,
IF(EC394="Rara vez",1,
IF(EC394="A veces",2,
IF(EC394="A menudo",3,
IF(EC394="Siempre",4,"")))))</f>
        <v>3</v>
      </c>
      <c r="EE394" s="5" t="s">
        <v>247</v>
      </c>
      <c r="EF394" s="5">
        <f>IF(EE394="Nunca/ casi nunca",0,
IF(EE394="Rara vez",1,
IF(EE394="A veces",2,
IF(EE394="A menudo",3,
IF(EE394="Siempre",4,"")))))</f>
        <v>2</v>
      </c>
      <c r="EG394" s="5">
        <f>SUM(EB394,ED394,EF394)</f>
        <v>9</v>
      </c>
      <c r="EH394" s="5" t="str">
        <f>IF(EG394&lt;=1,"Nivel de riesgo bajo",
IF(EG394&lt;=4,"Nivel de riesgo medio",
"Nivel de riesgo alto"))</f>
        <v>Nivel de riesgo alto</v>
      </c>
      <c r="EI394" s="5" t="s">
        <v>247</v>
      </c>
      <c r="EJ394" s="5">
        <f>IF(EI394="Nunca/ casi nunca",0,
IF(EI394="Rara vez",1,
IF(EI394="A veces",2,
IF(EI394="A menudo",3,
IF(EI394="Siempre",4,"")))))</f>
        <v>2</v>
      </c>
      <c r="EK394" s="5" t="s">
        <v>247</v>
      </c>
      <c r="EL394" s="5">
        <f>IF(EK394="Nunca/ casi nunca",0,
IF(EK394="Rara vez",1,
IF(EK394="A veces",2,
IF(EK394="A menudo",3,
IF(EK394="Siempre",4,"")))))</f>
        <v>2</v>
      </c>
      <c r="EM394" s="5" t="s">
        <v>247</v>
      </c>
      <c r="EN394" s="5">
        <f>IF(EM394="Nunca/ casi nunca",0,
IF(EM394="Rara vez",1,
IF(EM394="A veces",2,
IF(EM394="A menudo",3,
IF(EM394="Siempre",4,"")))))</f>
        <v>2</v>
      </c>
      <c r="EO394" s="5">
        <f>SUM(EJ394,EL394,EN394)</f>
        <v>6</v>
      </c>
      <c r="EP394" s="5" t="str">
        <f>IF(EO394&lt;=1,"Nivel de riesgo bajo",
IF(EO394&lt;=5,"Nivel de riesgo medio",
"Nivel de riesgo alto"))</f>
        <v>Nivel de riesgo alto</v>
      </c>
      <c r="EQ394" s="5" t="s">
        <v>247</v>
      </c>
      <c r="ER394" s="5">
        <f>IF(EQ394="Nunca/ casi nunca",4,
IF(EQ394="Rara vez",3,
IF(EQ394="A veces",2,
IF(EQ394="A menudo",1,
IF(EQ394="Siempre",0,"")))))</f>
        <v>2</v>
      </c>
      <c r="ES394" s="5" t="s">
        <v>247</v>
      </c>
      <c r="ET394" s="5">
        <f>IF(ES394="Nunca/ casi nunca",4,
IF(ES394="Rara vez",3,
IF(ES394="A veces",2,
IF(ES394="A menudo",1,
IF(ES394="Siempre",0,"")))))</f>
        <v>2</v>
      </c>
      <c r="EU394" s="5" t="s">
        <v>247</v>
      </c>
      <c r="EV394" s="5">
        <f>IF(EU394="Nunca/ casi nunca",4,
IF(EU394="Rara vez",3,
IF(EU394="A veces",2,
IF(EU394="A menudo",1,
IF(EU394="Siempre",0,"")))))</f>
        <v>2</v>
      </c>
      <c r="EW394" s="5" t="s">
        <v>247</v>
      </c>
      <c r="EX394" s="5">
        <f>IF(EW394="Nunca/ casi nunca",4,
IF(EW394="Rara vez",3,
IF(EW394="A veces",2,
IF(EW394="A menudo",1,
IF(EW394="Siempre",0,"")))))</f>
        <v>2</v>
      </c>
      <c r="EY394" s="5">
        <f>SUM(ER394,ET394,EV394,EX394)</f>
        <v>8</v>
      </c>
      <c r="EZ394" s="5" t="str">
        <f>IF(EY394&lt;=0,"Nivel de riesgo bajo",
IF(EY394&lt;=4,"Nivel de riesgo medio",
"Nivel de riesgo alto"))</f>
        <v>Nivel de riesgo alto</v>
      </c>
      <c r="FA394" s="5" t="s">
        <v>247</v>
      </c>
      <c r="FB394" s="5">
        <f>IF(FA394="Nunca/ casi nunca",0,
IF(FA394="Rara vez",1,
IF(FA394="A veces",2,
IF(FA394="A menudo",3,
IF(FA394="Siempre",4,"")))))</f>
        <v>2</v>
      </c>
      <c r="FC394" s="5" t="s">
        <v>254</v>
      </c>
      <c r="FD394" s="5">
        <f>IF(FC394="Nunca/ casi nunca",0,
IF(FC394="Rara vez",1,
IF(FC394="A veces",2,
IF(FC394="A menudo",3,
IF(FC394="Siempre",4,"")))))</f>
        <v>4</v>
      </c>
      <c r="FE394" s="5" t="s">
        <v>254</v>
      </c>
      <c r="FF394" s="5">
        <f>IF(FE394="Nunca/ casi nunca",0,
IF(FE394="Rara vez",1,
IF(FE394="A veces",2,
IF(FE394="A menudo",3,
IF(FE394="Siempre",4,"")))))</f>
        <v>4</v>
      </c>
      <c r="FG394" s="5">
        <f>SUM(FB394,FD394,FF394)</f>
        <v>10</v>
      </c>
      <c r="FH394" s="5" t="str">
        <f>IF(FG394&lt;=2,"Nivel de riesgo bajo",
IF(FG394&lt;=5,"Nivel de riesgo medio",
"Nivel de riesgo alto"))</f>
        <v>Nivel de riesgo alto</v>
      </c>
      <c r="FI394" s="5" t="s">
        <v>254</v>
      </c>
      <c r="FJ394" s="5">
        <f>IF(FI394="Nunca/ casi nunca",0,
IF(FI394="Rara vez",1,
IF(FI394="A veces",2,
IF(FI394="A menudo",3,
IF(FI394="Siempre",4,"")))))</f>
        <v>4</v>
      </c>
      <c r="FK394" s="5" t="s">
        <v>254</v>
      </c>
      <c r="FL394" s="5">
        <f>IF(FK394="Nunca/ casi nunca",0,
IF(FK394="Rara vez",1,
IF(FK394="A veces",2,
IF(FK394="A menudo",3,
IF(FK394="Siempre",4,"")))))</f>
        <v>4</v>
      </c>
      <c r="FM394" s="5" t="s">
        <v>254</v>
      </c>
      <c r="FN394" s="5">
        <f>IF(FM394="Nunca/ casi nunca",0,
IF(FM394="Rara vez",1,
IF(FM394="A veces",2,
IF(FM394="A menudo",3,
IF(FM394="Siempre",4,"")))))</f>
        <v>4</v>
      </c>
      <c r="FO394" s="5">
        <f>SUM(FJ394,FL394,FN394)</f>
        <v>12</v>
      </c>
      <c r="FP394" s="5" t="str">
        <f>IF(FO394&lt;=2,"Nivel de riesgo bajo",
IF(FO394&lt;=5,"Nivel de riesgo medio",
"Nivel de riesgo alto"))</f>
        <v>Nivel de riesgo alto</v>
      </c>
      <c r="FQ394" s="5" t="s">
        <v>206</v>
      </c>
      <c r="FR394" s="5">
        <f>IF(FQ394="No",0,
IF(FQ394="Sí, unas pocas veces",1,
IF(FQ394="Sí, mensualmente",2,
IF(FQ394="Sí, semanalmente",3,
IF(FQ394="Sí, diariamente",4,"")))))</f>
        <v>0</v>
      </c>
      <c r="FS394" s="5" t="s">
        <v>206</v>
      </c>
      <c r="FT394" s="5">
        <f>IF(FS394="No",0,
IF(FS394="Sí, unas pocas veces",1,
IF(FS394="Sí, mensualmente",2,
IF(FS394="Sí, semanalmente",3,
IF(FS394="Sí, diariamente",4,"")))))</f>
        <v>0</v>
      </c>
      <c r="FU394" s="5" t="s">
        <v>206</v>
      </c>
      <c r="FV394" s="5">
        <f>IF(FU394="No",0,
IF(FU394="Sí, unas pocas veces",1,
IF(FU394="Sí, mensualmente",2,
IF(FU394="Sí, semanalmente",3,
IF(FU394="Sí, diariamente",4,"")))))</f>
        <v>0</v>
      </c>
      <c r="FW394" s="5" t="s">
        <v>206</v>
      </c>
      <c r="FX394" s="5">
        <f>IF(FW394="No",0,
IF(FW394="Sí, unas pocas veces",1,
IF(FW394="Sí, mensualmente",2,
IF(FW394="Sí, semanalmente",3,
IF(FW394="Sí, diariamente",4,"")))))</f>
        <v>0</v>
      </c>
      <c r="FY394" s="5" t="s">
        <v>206</v>
      </c>
      <c r="FZ394" s="5">
        <f>IF(FY394="No",0,
IF(FY394="Sí, unas pocas veces",1,
IF(FY394="Sí, mensualmente",2,
IF(FY394="Sí, semanalmente",3,
IF(FY394="Sí, diariamente",4,"")))))</f>
        <v>0</v>
      </c>
      <c r="GA394" s="5" t="s">
        <v>391</v>
      </c>
      <c r="GB394" s="5">
        <f>IF(GA394="No",0,
IF(GA394="Sí, unas pocas veces",1,
IF(GA394="Sí, mensualmente",2,
IF(GA394="Sí, semanalmente",3,
IF(GA394="Sí, diariamente",4,"")))))</f>
        <v>4</v>
      </c>
      <c r="GC394" s="5" t="s">
        <v>391</v>
      </c>
      <c r="GD394" s="5">
        <f>IF(GC394="No",0,
IF(GC394="Sí, unas pocas veces",1,
IF(GC394="Sí, mensualmente",2,
IF(GC394="Sí, semanalmente",3,
IF(GC394="Sí, diariamente",4,"")))))</f>
        <v>4</v>
      </c>
      <c r="GE394" s="5">
        <f>SUM(FR394,FT394,FV394,FX394,FZ394,GB394,GD394)</f>
        <v>8</v>
      </c>
      <c r="GF394" s="5" t="str">
        <f>IF(GE394&lt;=0,"Nivel de riesgo bajo",
IF(GE394&lt;=14,"Nivel de riesgo medio",
"Nivel de riesgo alto"))</f>
        <v>Nivel de riesgo medio</v>
      </c>
      <c r="GG394" s="5" t="s">
        <v>273</v>
      </c>
      <c r="GH394" s="5" t="s">
        <v>273</v>
      </c>
      <c r="GI394" s="5" t="s">
        <v>273</v>
      </c>
      <c r="GJ394" s="5" t="s">
        <v>266</v>
      </c>
      <c r="GK394" s="5" t="s">
        <v>233</v>
      </c>
      <c r="GL394" s="5" t="s">
        <v>298</v>
      </c>
      <c r="GM394" s="5" t="s">
        <v>233</v>
      </c>
      <c r="GN394" s="5" t="s">
        <v>244</v>
      </c>
      <c r="GO394" s="5" t="s">
        <v>244</v>
      </c>
      <c r="GP394" s="5" t="s">
        <v>244</v>
      </c>
      <c r="GQ394" s="5" t="s">
        <v>244</v>
      </c>
      <c r="GR394" s="5" t="s">
        <v>244</v>
      </c>
      <c r="GS394" s="5" t="s">
        <v>244</v>
      </c>
      <c r="GT394" s="5" t="s">
        <v>244</v>
      </c>
      <c r="GU394" s="5" t="s">
        <v>762</v>
      </c>
      <c r="GV394" s="5" t="str">
        <f>TEXT("6283319574518206607","0")</f>
        <v>6283319574518200000</v>
      </c>
    </row>
    <row r="395" spans="1:204" ht="15.75" customHeight="1" x14ac:dyDescent="0.15">
      <c r="A395" s="1">
        <f>ROW(A395)</f>
        <v>395</v>
      </c>
      <c r="B395" s="4">
        <v>45852.69158564815</v>
      </c>
      <c r="C395" s="5" t="s">
        <v>204</v>
      </c>
      <c r="D395" s="5" t="s">
        <v>204</v>
      </c>
      <c r="E395" s="5" t="s">
        <v>763</v>
      </c>
      <c r="F395" s="5" t="s">
        <v>204</v>
      </c>
      <c r="G395" s="5" t="s">
        <v>206</v>
      </c>
      <c r="H395" s="5" t="s">
        <v>206</v>
      </c>
      <c r="K395" s="5" t="s">
        <v>237</v>
      </c>
      <c r="O395" s="5" t="s">
        <v>209</v>
      </c>
      <c r="W395" s="5" t="s">
        <v>207</v>
      </c>
      <c r="AB395" s="5" t="s">
        <v>207</v>
      </c>
      <c r="AG395" s="5" t="s">
        <v>207</v>
      </c>
      <c r="AH395" s="5" t="s">
        <v>275</v>
      </c>
      <c r="AI395" s="5">
        <v>1995</v>
      </c>
      <c r="AJ395" s="5" t="s">
        <v>238</v>
      </c>
      <c r="AK395" s="5" t="str">
        <f>IF(OR(AJ395="Empleada del sector privado",AJ395="Empleada del sector público"),"Asalariada",
IF(AJ395="Trabajadora por cuenta propia","Trabajadora por cuenta propia",""))</f>
        <v>Trabajadora por cuenta propia</v>
      </c>
      <c r="AL395" s="5" t="s">
        <v>239</v>
      </c>
      <c r="AP395" s="5" t="s">
        <v>284</v>
      </c>
      <c r="AR395" s="5" t="s">
        <v>301</v>
      </c>
      <c r="AS395" s="5" t="s">
        <v>241</v>
      </c>
      <c r="AT395" s="5" t="s">
        <v>241</v>
      </c>
      <c r="AU395" s="5" t="s">
        <v>241</v>
      </c>
      <c r="AV395" s="5" t="s">
        <v>269</v>
      </c>
      <c r="AW395" s="5" t="s">
        <v>204</v>
      </c>
      <c r="AX395" s="5" t="s">
        <v>204</v>
      </c>
      <c r="AY395" s="5" t="s">
        <v>339</v>
      </c>
      <c r="AZ395" s="5" t="s">
        <v>204</v>
      </c>
      <c r="BA395" s="5" t="s">
        <v>295</v>
      </c>
      <c r="BB395" s="5" t="s">
        <v>204</v>
      </c>
      <c r="BC395" s="5" t="s">
        <v>204</v>
      </c>
      <c r="BD395" s="5" t="s">
        <v>206</v>
      </c>
      <c r="BE395" s="5" t="s">
        <v>206</v>
      </c>
      <c r="BF395" s="5" t="s">
        <v>204</v>
      </c>
      <c r="BG395" s="5" t="s">
        <v>207</v>
      </c>
      <c r="BH395" s="5" t="s">
        <v>264</v>
      </c>
      <c r="BI395" s="5" t="s">
        <v>207</v>
      </c>
      <c r="BJ395" s="5" t="s">
        <v>264</v>
      </c>
      <c r="BK395" s="5" t="s">
        <v>246</v>
      </c>
      <c r="BL395" s="5" t="s">
        <v>244</v>
      </c>
      <c r="BM395" s="5" t="s">
        <v>246</v>
      </c>
      <c r="BN395" s="5" t="s">
        <v>216</v>
      </c>
      <c r="BO395" s="5" t="s">
        <v>216</v>
      </c>
      <c r="BP395" s="5" t="s">
        <v>216</v>
      </c>
      <c r="BQ395" s="5" t="s">
        <v>246</v>
      </c>
      <c r="BR395" s="5" t="s">
        <v>216</v>
      </c>
      <c r="BS395" s="5" t="s">
        <v>247</v>
      </c>
      <c r="BT395" s="5" t="s">
        <v>248</v>
      </c>
      <c r="BU395" s="5" t="s">
        <v>247</v>
      </c>
      <c r="BV395" s="5" t="s">
        <v>247</v>
      </c>
      <c r="BW395" s="5" t="s">
        <v>247</v>
      </c>
      <c r="BX395" s="5" t="s">
        <v>247</v>
      </c>
      <c r="BY395" s="5" t="s">
        <v>248</v>
      </c>
      <c r="BZ395" s="5" t="s">
        <v>243</v>
      </c>
      <c r="CA395" s="5" t="s">
        <v>243</v>
      </c>
      <c r="CB395" s="5" t="s">
        <v>243</v>
      </c>
      <c r="CC395" s="5" t="s">
        <v>243</v>
      </c>
      <c r="CD395" s="5" t="s">
        <v>206</v>
      </c>
      <c r="CH395" s="5" t="s">
        <v>206</v>
      </c>
      <c r="CI395" s="5" t="s">
        <v>291</v>
      </c>
      <c r="CJ395" s="5">
        <v>2</v>
      </c>
      <c r="CM395" s="5" t="s">
        <v>358</v>
      </c>
      <c r="CU395" s="5" t="s">
        <v>204</v>
      </c>
      <c r="CV395" s="5" t="s">
        <v>350</v>
      </c>
      <c r="CW395" s="5" t="s">
        <v>351</v>
      </c>
      <c r="CX395" s="5" t="s">
        <v>752</v>
      </c>
      <c r="CY395" s="5" t="s">
        <v>353</v>
      </c>
      <c r="CZ395" s="5" t="s">
        <v>206</v>
      </c>
      <c r="DA395" s="5" t="s">
        <v>272</v>
      </c>
      <c r="DB395" s="5">
        <f>IF(DA395="Mejor que lo habitual",1,
IF(DA395="Igual que lo habitual",2,
IF(DA395="Menos que lo habitual",3,
IF(DA395="Mucho menos que lo habitual",4,""))))</f>
        <v>1</v>
      </c>
      <c r="DC395" s="5" t="s">
        <v>230</v>
      </c>
      <c r="DD395" s="5">
        <f>IF(DC395="No, en absoluto",1,
IF(DC395="No más que lo habitual",2,
IF(DC395="Bastante más que lo habitual",3,
IF(DC395="Mucho más que lo habitual",4,""))))</f>
        <v>2</v>
      </c>
      <c r="DE395" s="5" t="s">
        <v>251</v>
      </c>
      <c r="DF395" s="5">
        <f>IF(DE395="No, en absoluto",1,
IF(DE395="No más que lo habitual",2,
IF(DE395="Bastante más que lo habitual",3,
IF(DE395="Mucho más que lo habitual",4,""))))</f>
        <v>1</v>
      </c>
      <c r="DG395" s="5" t="s">
        <v>251</v>
      </c>
      <c r="DH395" s="5">
        <f>IF(DG395="No, en absoluto",1,
IF(DG395="No más que lo habitual",2,
IF(DG395="Bastante más que lo habitual",3,
IF(DG395="Mucho más que lo habitual",4,""))))</f>
        <v>1</v>
      </c>
      <c r="DI395" s="5" t="s">
        <v>251</v>
      </c>
      <c r="DJ395" s="5">
        <f>IF(DI395="No, en absoluto",1,
IF(DI395="No más que lo habitual",2,
IF(DI395="Bastante más que lo habitual",3,
IF(DI395="Mucho más que lo habitual",4,""))))</f>
        <v>1</v>
      </c>
      <c r="DK395" s="5" t="s">
        <v>251</v>
      </c>
      <c r="DL395" s="5">
        <f>IF(DK395="No, en absoluto",1,
IF(DK395="No más que lo habitual",2,
IF(DK395="Bastante más que lo habitual",3,
IF(DK395="Mucho más que lo habitual",4,""))))</f>
        <v>1</v>
      </c>
      <c r="DM395" s="5" t="s">
        <v>251</v>
      </c>
      <c r="DN395" s="5">
        <f>IF(DM395="No, en absoluto",1,
IF(DM395="No más que lo habitual",2,
IF(DM395="Bastante más que lo habitual",3,
IF(DM395="Mucho más que lo habitual",4,""))))</f>
        <v>1</v>
      </c>
      <c r="DO395" s="5" t="s">
        <v>281</v>
      </c>
      <c r="DP395" s="5">
        <f>IF(DO395="Más que lo habitual",1,
IF(DO395="Igual que lo habitual",2,
IF(DO395="Menos que lo habitual",3,
IF(DO395="Mucho menos que lo habitual",4,""))))</f>
        <v>1</v>
      </c>
      <c r="DQ395" s="5" t="s">
        <v>281</v>
      </c>
      <c r="DR395" s="5">
        <f>IF(DQ395="Más que lo habitual",1,
IF(DQ395="Igual que lo habitual",2,
IF(DQ395="Menos que lo habitual",3,
IF(DQ395="Mucho menos que lo habitual",4,""))))</f>
        <v>1</v>
      </c>
      <c r="DS395" s="5" t="s">
        <v>281</v>
      </c>
      <c r="DT395" s="5">
        <f>IF(DS395="Más que lo habitual",1,
IF(DS395="Igual que lo habitual",2,
IF(DS395="Menos que lo habitual",3,
IF(DS395="Mucho menos que lo habitual",4,""))))</f>
        <v>1</v>
      </c>
      <c r="DU395" s="5" t="s">
        <v>281</v>
      </c>
      <c r="DV395" s="5">
        <f>IF(DU395="Más que lo habitual",1,
IF(DU395="Igual que lo habitual",2,
IF(DU395="Menos que lo habitual",3,
IF(DU395="Mucho menos que lo habitual",4,""))))</f>
        <v>1</v>
      </c>
      <c r="DW395" s="5" t="s">
        <v>281</v>
      </c>
      <c r="DX395" s="5">
        <f>IF(DW395="Más que lo habitual",1,
IF(DW395="Igual que lo habitual",2,
IF(DW395="Menos que lo habitual",3,
IF(DW395="Mucho menos que lo habitual",4,""))))</f>
        <v>1</v>
      </c>
      <c r="DY395" s="5">
        <f>SUM(DB395,DD395,DF395,DH395,DJ395,DL395,DN395,DP395,DR395,DT395,DV395,DX395)</f>
        <v>13</v>
      </c>
      <c r="DZ395" s="5" t="str">
        <f>IF(DY395&lt;=18,"Nivel de riesgo bajo",
IF(DY395&lt;=23,"Nivel de riesgo medio",
"Nivel de riesgo alto"))</f>
        <v>Nivel de riesgo bajo</v>
      </c>
      <c r="EA395" s="5" t="s">
        <v>247</v>
      </c>
      <c r="EB395" s="5">
        <f>IF(EA395="Nunca/ casi nunca",0,
IF(EA395="Rara vez",1,
IF(EA395="A veces",2,
IF(EA395="A menudo",3,
IF(EA395="Siempre",4,"")))))</f>
        <v>2</v>
      </c>
      <c r="EC395" s="5" t="s">
        <v>248</v>
      </c>
      <c r="ED395" s="5">
        <f>IF(EC395="Nunca/ casi nunca",0,
IF(EC395="Rara vez",1,
IF(EC395="A veces",2,
IF(EC395="A menudo",3,
IF(EC395="Siempre",4,"")))))</f>
        <v>1</v>
      </c>
      <c r="EE395" s="5" t="s">
        <v>248</v>
      </c>
      <c r="EF395" s="5">
        <f>IF(EE395="Nunca/ casi nunca",0,
IF(EE395="Rara vez",1,
IF(EE395="A veces",2,
IF(EE395="A menudo",3,
IF(EE395="Siempre",4,"")))))</f>
        <v>1</v>
      </c>
      <c r="EG395" s="5">
        <f>SUM(EB395,ED395,EF395)</f>
        <v>4</v>
      </c>
      <c r="EH395" s="5" t="str">
        <f>IF(EG395&lt;=1,"Nivel de riesgo bajo",
IF(EG395&lt;=4,"Nivel de riesgo medio",
"Nivel de riesgo alto"))</f>
        <v>Nivel de riesgo medio</v>
      </c>
      <c r="EI395" s="5" t="s">
        <v>248</v>
      </c>
      <c r="EJ395" s="5">
        <f>IF(EI395="Nunca/ casi nunca",0,
IF(EI395="Rara vez",1,
IF(EI395="A veces",2,
IF(EI395="A menudo",3,
IF(EI395="Siempre",4,"")))))</f>
        <v>1</v>
      </c>
      <c r="EK395" s="5" t="s">
        <v>247</v>
      </c>
      <c r="EL395" s="5">
        <f>IF(EK395="Nunca/ casi nunca",0,
IF(EK395="Rara vez",1,
IF(EK395="A veces",2,
IF(EK395="A menudo",3,
IF(EK395="Siempre",4,"")))))</f>
        <v>2</v>
      </c>
      <c r="EM395" s="5" t="s">
        <v>248</v>
      </c>
      <c r="EN395" s="5">
        <f>IF(EM395="Nunca/ casi nunca",0,
IF(EM395="Rara vez",1,
IF(EM395="A veces",2,
IF(EM395="A menudo",3,
IF(EM395="Siempre",4,"")))))</f>
        <v>1</v>
      </c>
      <c r="EO395" s="5">
        <f>SUM(EJ395,EL395,EN395)</f>
        <v>4</v>
      </c>
      <c r="EP395" s="5" t="str">
        <f>IF(EO395&lt;=1,"Nivel de riesgo bajo",
IF(EO395&lt;=5,"Nivel de riesgo medio",
"Nivel de riesgo alto"))</f>
        <v>Nivel de riesgo medio</v>
      </c>
      <c r="EQ395" s="5" t="s">
        <v>248</v>
      </c>
      <c r="ER395" s="5">
        <f>IF(EQ395="Nunca/ casi nunca",4,
IF(EQ395="Rara vez",3,
IF(EQ395="A veces",2,
IF(EQ395="A menudo",1,
IF(EQ395="Siempre",0,"")))))</f>
        <v>3</v>
      </c>
      <c r="ES395" s="5" t="s">
        <v>248</v>
      </c>
      <c r="ET395" s="5">
        <f>IF(ES395="Nunca/ casi nunca",4,
IF(ES395="Rara vez",3,
IF(ES395="A veces",2,
IF(ES395="A menudo",1,
IF(ES395="Siempre",0,"")))))</f>
        <v>3</v>
      </c>
      <c r="EU395" s="5" t="s">
        <v>254</v>
      </c>
      <c r="EV395" s="5">
        <f>IF(EU395="Nunca/ casi nunca",4,
IF(EU395="Rara vez",3,
IF(EU395="A veces",2,
IF(EU395="A menudo",1,
IF(EU395="Siempre",0,"")))))</f>
        <v>0</v>
      </c>
      <c r="EW395" s="5" t="s">
        <v>254</v>
      </c>
      <c r="EX395" s="5">
        <f>IF(EW395="Nunca/ casi nunca",4,
IF(EW395="Rara vez",3,
IF(EW395="A veces",2,
IF(EW395="A menudo",1,
IF(EW395="Siempre",0,"")))))</f>
        <v>0</v>
      </c>
      <c r="EY395" s="5">
        <f>SUM(ER395,ET395,EV395,EX395)</f>
        <v>6</v>
      </c>
      <c r="EZ395" s="5" t="str">
        <f>IF(EY395&lt;=0,"Nivel de riesgo bajo",
IF(EY395&lt;=4,"Nivel de riesgo medio",
"Nivel de riesgo alto"))</f>
        <v>Nivel de riesgo alto</v>
      </c>
      <c r="FA395" s="5" t="s">
        <v>248</v>
      </c>
      <c r="FB395" s="5">
        <f>IF(FA395="Nunca/ casi nunca",0,
IF(FA395="Rara vez",1,
IF(FA395="A veces",2,
IF(FA395="A menudo",3,
IF(FA395="Siempre",4,"")))))</f>
        <v>1</v>
      </c>
      <c r="FC395" s="5" t="s">
        <v>253</v>
      </c>
      <c r="FD395" s="5">
        <f>IF(FC395="Nunca/ casi nunca",0,
IF(FC395="Rara vez",1,
IF(FC395="A veces",2,
IF(FC395="A menudo",3,
IF(FC395="Siempre",4,"")))))</f>
        <v>0</v>
      </c>
      <c r="FE395" s="5" t="s">
        <v>253</v>
      </c>
      <c r="FF395" s="5">
        <f>IF(FE395="Nunca/ casi nunca",0,
IF(FE395="Rara vez",1,
IF(FE395="A veces",2,
IF(FE395="A menudo",3,
IF(FE395="Siempre",4,"")))))</f>
        <v>0</v>
      </c>
      <c r="FG395" s="5">
        <f>SUM(FB395,FD395,FF395)</f>
        <v>1</v>
      </c>
      <c r="FH395" s="5" t="str">
        <f>IF(FG395&lt;=2,"Nivel de riesgo bajo",
IF(FG395&lt;=5,"Nivel de riesgo medio",
"Nivel de riesgo alto"))</f>
        <v>Nivel de riesgo bajo</v>
      </c>
      <c r="FI395" s="5" t="s">
        <v>253</v>
      </c>
      <c r="FJ395" s="5">
        <f>IF(FI395="Nunca/ casi nunca",0,
IF(FI395="Rara vez",1,
IF(FI395="A veces",2,
IF(FI395="A menudo",3,
IF(FI395="Siempre",4,"")))))</f>
        <v>0</v>
      </c>
      <c r="FK395" s="5" t="s">
        <v>253</v>
      </c>
      <c r="FL395" s="5">
        <f>IF(FK395="Nunca/ casi nunca",0,
IF(FK395="Rara vez",1,
IF(FK395="A veces",2,
IF(FK395="A menudo",3,
IF(FK395="Siempre",4,"")))))</f>
        <v>0</v>
      </c>
      <c r="FM395" s="5" t="s">
        <v>253</v>
      </c>
      <c r="FN395" s="5">
        <f>IF(FM395="Nunca/ casi nunca",0,
IF(FM395="Rara vez",1,
IF(FM395="A veces",2,
IF(FM395="A menudo",3,
IF(FM395="Siempre",4,"")))))</f>
        <v>0</v>
      </c>
      <c r="FO395" s="5">
        <f>SUM(FJ395,FL395,FN395)</f>
        <v>0</v>
      </c>
      <c r="FP395" s="5" t="str">
        <f>IF(FO395&lt;=2,"Nivel de riesgo bajo",
IF(FO395&lt;=5,"Nivel de riesgo medio",
"Nivel de riesgo alto"))</f>
        <v>Nivel de riesgo bajo</v>
      </c>
      <c r="FQ395" s="5" t="s">
        <v>206</v>
      </c>
      <c r="FR395" s="5">
        <f>IF(FQ395="No",0,
IF(FQ395="Sí, unas pocas veces",1,
IF(FQ395="Sí, mensualmente",2,
IF(FQ395="Sí, semanalmente",3,
IF(FQ395="Sí, diariamente",4,"")))))</f>
        <v>0</v>
      </c>
      <c r="FS395" s="5" t="s">
        <v>206</v>
      </c>
      <c r="FT395" s="5">
        <f>IF(FS395="No",0,
IF(FS395="Sí, unas pocas veces",1,
IF(FS395="Sí, mensualmente",2,
IF(FS395="Sí, semanalmente",3,
IF(FS395="Sí, diariamente",4,"")))))</f>
        <v>0</v>
      </c>
      <c r="FU395" s="5" t="s">
        <v>206</v>
      </c>
      <c r="FV395" s="5">
        <f>IF(FU395="No",0,
IF(FU395="Sí, unas pocas veces",1,
IF(FU395="Sí, mensualmente",2,
IF(FU395="Sí, semanalmente",3,
IF(FU395="Sí, diariamente",4,"")))))</f>
        <v>0</v>
      </c>
      <c r="FW395" s="5" t="s">
        <v>206</v>
      </c>
      <c r="FX395" s="5">
        <f>IF(FW395="No",0,
IF(FW395="Sí, unas pocas veces",1,
IF(FW395="Sí, mensualmente",2,
IF(FW395="Sí, semanalmente",3,
IF(FW395="Sí, diariamente",4,"")))))</f>
        <v>0</v>
      </c>
      <c r="FY395" s="5" t="s">
        <v>206</v>
      </c>
      <c r="FZ395" s="5">
        <f>IF(FY395="No",0,
IF(FY395="Sí, unas pocas veces",1,
IF(FY395="Sí, mensualmente",2,
IF(FY395="Sí, semanalmente",3,
IF(FY395="Sí, diariamente",4,"")))))</f>
        <v>0</v>
      </c>
      <c r="GA395" s="5" t="s">
        <v>206</v>
      </c>
      <c r="GB395" s="5">
        <f>IF(GA395="No",0,
IF(GA395="Sí, unas pocas veces",1,
IF(GA395="Sí, mensualmente",2,
IF(GA395="Sí, semanalmente",3,
IF(GA395="Sí, diariamente",4,"")))))</f>
        <v>0</v>
      </c>
      <c r="GC395" s="5" t="s">
        <v>206</v>
      </c>
      <c r="GD395" s="5">
        <f>IF(GC395="No",0,
IF(GC395="Sí, unas pocas veces",1,
IF(GC395="Sí, mensualmente",2,
IF(GC395="Sí, semanalmente",3,
IF(GC395="Sí, diariamente",4,"")))))</f>
        <v>0</v>
      </c>
      <c r="GE395" s="5">
        <f>SUM(FR395,FT395,FV395,FX395,FZ395,GB395,GD395)</f>
        <v>0</v>
      </c>
      <c r="GF395" s="5" t="str">
        <f>IF(GE395&lt;=0,"Nivel de riesgo bajo",
IF(GE395&lt;=14,"Nivel de riesgo medio",
"Nivel de riesgo alto"))</f>
        <v>Nivel de riesgo bajo</v>
      </c>
      <c r="GG395" s="5" t="s">
        <v>255</v>
      </c>
      <c r="GH395" s="5" t="s">
        <v>255</v>
      </c>
      <c r="GI395" s="5" t="s">
        <v>255</v>
      </c>
      <c r="GJ395" s="5" t="s">
        <v>298</v>
      </c>
      <c r="GK395" s="5" t="s">
        <v>233</v>
      </c>
      <c r="GL395" s="5" t="s">
        <v>255</v>
      </c>
      <c r="GM395" s="5" t="s">
        <v>255</v>
      </c>
      <c r="GN395" s="5" t="s">
        <v>257</v>
      </c>
      <c r="GO395" s="5" t="s">
        <v>257</v>
      </c>
      <c r="GP395" s="5" t="s">
        <v>257</v>
      </c>
      <c r="GQ395" s="5" t="s">
        <v>244</v>
      </c>
      <c r="GR395" s="5" t="s">
        <v>257</v>
      </c>
      <c r="GS395" s="5" t="s">
        <v>243</v>
      </c>
      <c r="GT395" s="5" t="s">
        <v>243</v>
      </c>
      <c r="GU395" s="5" t="s">
        <v>428</v>
      </c>
      <c r="GV395" s="5" t="str">
        <f>TEXT("6283345530651185047","0")</f>
        <v>6283345530651180000</v>
      </c>
    </row>
    <row r="396" spans="1:204" ht="15.75" hidden="1" customHeight="1" x14ac:dyDescent="0.15">
      <c r="B396" s="4">
        <v>45852.69363425926</v>
      </c>
      <c r="C396" s="5" t="s">
        <v>204</v>
      </c>
      <c r="D396" s="5" t="s">
        <v>204</v>
      </c>
      <c r="E396" s="5" t="s">
        <v>676</v>
      </c>
      <c r="F396" s="5" t="s">
        <v>206</v>
      </c>
      <c r="G396" s="5" t="s">
        <v>204</v>
      </c>
      <c r="H396" s="5" t="s">
        <v>206</v>
      </c>
      <c r="L396" s="5" t="s">
        <v>236</v>
      </c>
      <c r="P396" s="5" t="s">
        <v>237</v>
      </c>
      <c r="T396" s="5" t="s">
        <v>209</v>
      </c>
      <c r="X396" s="5" t="s">
        <v>208</v>
      </c>
      <c r="AD396" s="5" t="s">
        <v>209</v>
      </c>
      <c r="AH396" s="5" t="s">
        <v>210</v>
      </c>
      <c r="AI396" s="5">
        <v>2022</v>
      </c>
      <c r="AJ396" s="5" t="s">
        <v>260</v>
      </c>
      <c r="AK396" s="5"/>
      <c r="AR396" s="5" t="s">
        <v>276</v>
      </c>
      <c r="AS396" s="5" t="s">
        <v>276</v>
      </c>
      <c r="AT396" s="5" t="s">
        <v>276</v>
      </c>
      <c r="AU396" s="5" t="s">
        <v>261</v>
      </c>
      <c r="AV396" s="5" t="s">
        <v>285</v>
      </c>
      <c r="AW396" s="5" t="s">
        <v>204</v>
      </c>
      <c r="AX396" s="5" t="s">
        <v>204</v>
      </c>
      <c r="AY396" s="5" t="s">
        <v>270</v>
      </c>
      <c r="AZ396" s="5" t="s">
        <v>204</v>
      </c>
      <c r="BA396" s="5" t="s">
        <v>263</v>
      </c>
      <c r="BF396" s="5" t="s">
        <v>204</v>
      </c>
      <c r="BG396" s="5" t="s">
        <v>278</v>
      </c>
      <c r="BH396" s="5" t="s">
        <v>278</v>
      </c>
      <c r="BI396" s="5" t="s">
        <v>278</v>
      </c>
      <c r="BJ396" s="5" t="s">
        <v>278</v>
      </c>
      <c r="BK396" s="5" t="s">
        <v>245</v>
      </c>
      <c r="BL396" s="5" t="s">
        <v>244</v>
      </c>
      <c r="BM396" s="5" t="s">
        <v>244</v>
      </c>
      <c r="BN396" s="5" t="s">
        <v>246</v>
      </c>
      <c r="BO396" s="5" t="s">
        <v>244</v>
      </c>
      <c r="BP396" s="5" t="s">
        <v>246</v>
      </c>
      <c r="BQ396" s="5" t="s">
        <v>246</v>
      </c>
      <c r="BR396" s="5" t="s">
        <v>244</v>
      </c>
      <c r="BS396" s="5" t="s">
        <v>247</v>
      </c>
      <c r="BT396" s="5" t="s">
        <v>247</v>
      </c>
      <c r="BU396" s="5" t="s">
        <v>248</v>
      </c>
      <c r="BV396" s="5" t="s">
        <v>248</v>
      </c>
      <c r="BW396" s="5" t="s">
        <v>248</v>
      </c>
      <c r="BX396" s="5" t="s">
        <v>247</v>
      </c>
      <c r="BY396" s="5" t="s">
        <v>248</v>
      </c>
      <c r="BZ396" s="5" t="s">
        <v>243</v>
      </c>
      <c r="CA396" s="5" t="s">
        <v>243</v>
      </c>
      <c r="CB396" s="5" t="s">
        <v>246</v>
      </c>
      <c r="CC396" s="5" t="s">
        <v>243</v>
      </c>
      <c r="CD396" s="5" t="s">
        <v>206</v>
      </c>
      <c r="CH396" s="5" t="s">
        <v>206</v>
      </c>
      <c r="CI396" s="5" t="s">
        <v>307</v>
      </c>
      <c r="CJ396" s="5">
        <v>3</v>
      </c>
      <c r="CK396" s="5" t="s">
        <v>223</v>
      </c>
      <c r="CU396" s="5" t="s">
        <v>206</v>
      </c>
      <c r="DA396" s="5" t="s">
        <v>252</v>
      </c>
      <c r="DB396" s="5"/>
      <c r="DC396" s="5" t="s">
        <v>250</v>
      </c>
      <c r="DD396" s="5"/>
      <c r="DE396" s="5" t="s">
        <v>230</v>
      </c>
      <c r="DF396" s="5"/>
      <c r="DG396" s="5" t="s">
        <v>230</v>
      </c>
      <c r="DH396" s="5"/>
      <c r="DI396" s="5" t="s">
        <v>230</v>
      </c>
      <c r="DJ396" s="5"/>
      <c r="DK396" s="5" t="s">
        <v>251</v>
      </c>
      <c r="DL396" s="5"/>
      <c r="DM396" s="5" t="s">
        <v>251</v>
      </c>
      <c r="DN396" s="5"/>
      <c r="DO396" s="5" t="s">
        <v>231</v>
      </c>
      <c r="DP396" s="5"/>
      <c r="DQ396" s="5" t="s">
        <v>231</v>
      </c>
      <c r="DR396" s="5"/>
      <c r="DS396" s="5" t="s">
        <v>231</v>
      </c>
      <c r="DT396" s="5"/>
      <c r="DU396" s="5" t="s">
        <v>281</v>
      </c>
      <c r="DV396" s="5"/>
      <c r="DW396" s="5" t="s">
        <v>281</v>
      </c>
      <c r="DX396" s="5"/>
      <c r="DY396" s="5"/>
      <c r="DZ396" s="5"/>
      <c r="EA396" s="5" t="s">
        <v>232</v>
      </c>
      <c r="EB396" s="5"/>
      <c r="EC396" s="5" t="s">
        <v>248</v>
      </c>
      <c r="ED396" s="5"/>
      <c r="EE396" s="5" t="s">
        <v>248</v>
      </c>
      <c r="EF396" s="5"/>
      <c r="EG396" s="5"/>
      <c r="EH396" s="5"/>
      <c r="EI396" s="5" t="s">
        <v>254</v>
      </c>
      <c r="EJ396" s="5"/>
      <c r="EK396" s="5" t="s">
        <v>254</v>
      </c>
      <c r="EL396" s="5"/>
      <c r="EM396" s="5" t="s">
        <v>254</v>
      </c>
      <c r="EN396" s="5"/>
      <c r="EO396" s="5"/>
      <c r="EP396" s="5"/>
      <c r="EQ396" s="5" t="s">
        <v>232</v>
      </c>
      <c r="ER396" s="5"/>
      <c r="ES396" s="5" t="s">
        <v>232</v>
      </c>
      <c r="ET396" s="5"/>
      <c r="EU396" s="5" t="s">
        <v>232</v>
      </c>
      <c r="EV396" s="5"/>
      <c r="EW396" s="5" t="s">
        <v>254</v>
      </c>
      <c r="EX396" s="5"/>
      <c r="EY396" s="5"/>
      <c r="EZ396" s="5"/>
      <c r="FA396" s="5" t="s">
        <v>247</v>
      </c>
      <c r="FB396" s="5"/>
      <c r="FC396" s="5" t="s">
        <v>247</v>
      </c>
      <c r="FD396" s="5"/>
      <c r="FE396" s="5" t="s">
        <v>247</v>
      </c>
      <c r="FF396" s="5"/>
      <c r="FG396" s="5"/>
      <c r="FH396" s="5"/>
      <c r="FI396" s="5" t="s">
        <v>247</v>
      </c>
      <c r="FJ396" s="5"/>
      <c r="FK396" s="5" t="s">
        <v>248</v>
      </c>
      <c r="FL396" s="5"/>
      <c r="FM396" s="5" t="s">
        <v>248</v>
      </c>
      <c r="FN396" s="5"/>
      <c r="FO396" s="5"/>
      <c r="FP396" s="5"/>
      <c r="FQ396" s="5" t="s">
        <v>206</v>
      </c>
      <c r="FR396" s="5"/>
      <c r="FS396" s="5" t="s">
        <v>206</v>
      </c>
      <c r="FT396" s="5"/>
      <c r="FU396" s="5" t="s">
        <v>206</v>
      </c>
      <c r="FV396" s="5"/>
      <c r="FW396" s="5" t="s">
        <v>206</v>
      </c>
      <c r="FX396" s="5"/>
      <c r="FY396" s="5" t="s">
        <v>206</v>
      </c>
      <c r="FZ396" s="5"/>
      <c r="GA396" s="5" t="s">
        <v>206</v>
      </c>
      <c r="GB396" s="5"/>
      <c r="GC396" s="5" t="s">
        <v>206</v>
      </c>
      <c r="GD396" s="5"/>
      <c r="GE396" s="5"/>
      <c r="GF396" s="5"/>
      <c r="GG396" s="5" t="s">
        <v>255</v>
      </c>
      <c r="GH396" s="5" t="s">
        <v>255</v>
      </c>
      <c r="GI396" s="5" t="s">
        <v>255</v>
      </c>
      <c r="GJ396" s="5" t="s">
        <v>273</v>
      </c>
      <c r="GK396" s="5" t="s">
        <v>233</v>
      </c>
      <c r="GL396" s="5" t="s">
        <v>273</v>
      </c>
      <c r="GM396" s="5" t="s">
        <v>298</v>
      </c>
      <c r="GN396" s="5" t="s">
        <v>256</v>
      </c>
      <c r="GO396" s="5" t="s">
        <v>257</v>
      </c>
      <c r="GP396" s="5" t="s">
        <v>257</v>
      </c>
      <c r="GQ396" s="5" t="s">
        <v>257</v>
      </c>
      <c r="GR396" s="5" t="s">
        <v>257</v>
      </c>
      <c r="GS396" s="5" t="s">
        <v>244</v>
      </c>
      <c r="GT396" s="5" t="s">
        <v>257</v>
      </c>
      <c r="GU396" s="5" t="s">
        <v>764</v>
      </c>
      <c r="GV396" s="5" t="str">
        <f>TEXT("6283347302027108598","0")</f>
        <v>6283347302027100000</v>
      </c>
    </row>
    <row r="397" spans="1:204" ht="15.75" hidden="1" customHeight="1" x14ac:dyDescent="0.15">
      <c r="B397" s="4">
        <v>45852.748541666668</v>
      </c>
      <c r="C397" s="5" t="s">
        <v>204</v>
      </c>
      <c r="D397" s="5" t="s">
        <v>206</v>
      </c>
      <c r="F397" s="5" t="s">
        <v>206</v>
      </c>
      <c r="G397" s="5" t="s">
        <v>206</v>
      </c>
      <c r="H397" s="5" t="s">
        <v>206</v>
      </c>
      <c r="J397" s="5" t="s">
        <v>209</v>
      </c>
      <c r="P397" s="5" t="s">
        <v>237</v>
      </c>
      <c r="S397" s="5" t="s">
        <v>208</v>
      </c>
      <c r="X397" s="5" t="s">
        <v>208</v>
      </c>
      <c r="AG397" s="5" t="s">
        <v>207</v>
      </c>
      <c r="AH397" s="5" t="s">
        <v>210</v>
      </c>
      <c r="AI397" s="5">
        <v>2019</v>
      </c>
      <c r="AJ397" s="5" t="s">
        <v>260</v>
      </c>
      <c r="AK397" s="5"/>
      <c r="AR397" s="5" t="s">
        <v>241</v>
      </c>
      <c r="AS397" s="5" t="s">
        <v>301</v>
      </c>
      <c r="AT397" s="5" t="s">
        <v>241</v>
      </c>
      <c r="AU397" s="5" t="s">
        <v>241</v>
      </c>
      <c r="AV397" s="5" t="s">
        <v>285</v>
      </c>
      <c r="AW397" s="5" t="s">
        <v>204</v>
      </c>
      <c r="AX397" s="5" t="s">
        <v>204</v>
      </c>
      <c r="AY397" s="5" t="s">
        <v>270</v>
      </c>
      <c r="AZ397" s="5" t="s">
        <v>204</v>
      </c>
      <c r="BA397" s="5" t="s">
        <v>263</v>
      </c>
      <c r="BF397" s="5" t="s">
        <v>204</v>
      </c>
      <c r="BG397" s="5" t="s">
        <v>207</v>
      </c>
      <c r="BH397" s="5" t="s">
        <v>242</v>
      </c>
      <c r="BI397" s="5" t="s">
        <v>207</v>
      </c>
      <c r="BJ397" s="5" t="s">
        <v>271</v>
      </c>
      <c r="BK397" s="5" t="s">
        <v>243</v>
      </c>
      <c r="BL397" s="5" t="s">
        <v>216</v>
      </c>
      <c r="BM397" s="5" t="s">
        <v>246</v>
      </c>
      <c r="BN397" s="5" t="s">
        <v>246</v>
      </c>
      <c r="BO397" s="5" t="s">
        <v>216</v>
      </c>
      <c r="BP397" s="5" t="s">
        <v>246</v>
      </c>
      <c r="BQ397" s="5" t="s">
        <v>244</v>
      </c>
      <c r="BR397" s="5" t="s">
        <v>244</v>
      </c>
      <c r="BS397" s="5" t="s">
        <v>217</v>
      </c>
      <c r="BT397" s="5" t="s">
        <v>248</v>
      </c>
      <c r="BU397" s="5" t="s">
        <v>248</v>
      </c>
      <c r="BV397" s="5" t="s">
        <v>248</v>
      </c>
      <c r="BW397" s="5" t="s">
        <v>247</v>
      </c>
      <c r="BX397" s="5" t="s">
        <v>217</v>
      </c>
      <c r="BY397" s="5" t="s">
        <v>217</v>
      </c>
      <c r="BZ397" s="5" t="s">
        <v>246</v>
      </c>
      <c r="CA397" s="5" t="s">
        <v>244</v>
      </c>
      <c r="CB397" s="5" t="s">
        <v>216</v>
      </c>
      <c r="CC397" s="5" t="s">
        <v>244</v>
      </c>
      <c r="CD397" s="5" t="s">
        <v>206</v>
      </c>
      <c r="CH397" s="5" t="s">
        <v>206</v>
      </c>
      <c r="CI397" s="5" t="s">
        <v>307</v>
      </c>
      <c r="CJ397" s="5">
        <v>4</v>
      </c>
      <c r="CK397" s="5" t="s">
        <v>223</v>
      </c>
      <c r="CU397" s="5" t="s">
        <v>206</v>
      </c>
      <c r="DA397" s="5" t="s">
        <v>231</v>
      </c>
      <c r="DB397" s="5"/>
      <c r="DC397" s="5" t="s">
        <v>230</v>
      </c>
      <c r="DD397" s="5"/>
      <c r="DE397" s="5" t="s">
        <v>250</v>
      </c>
      <c r="DF397" s="5"/>
      <c r="DG397" s="5" t="s">
        <v>250</v>
      </c>
      <c r="DH397" s="5"/>
      <c r="DI397" s="5" t="s">
        <v>250</v>
      </c>
      <c r="DJ397" s="5"/>
      <c r="DK397" s="5" t="s">
        <v>250</v>
      </c>
      <c r="DL397" s="5"/>
      <c r="DM397" s="5" t="s">
        <v>230</v>
      </c>
      <c r="DN397" s="5"/>
      <c r="DO397" s="5" t="s">
        <v>231</v>
      </c>
      <c r="DP397" s="5"/>
      <c r="DQ397" s="5" t="s">
        <v>231</v>
      </c>
      <c r="DR397" s="5"/>
      <c r="DS397" s="5" t="s">
        <v>231</v>
      </c>
      <c r="DT397" s="5"/>
      <c r="DU397" s="5" t="s">
        <v>252</v>
      </c>
      <c r="DV397" s="5"/>
      <c r="DW397" s="5" t="s">
        <v>231</v>
      </c>
      <c r="DX397" s="5"/>
      <c r="DY397" s="5"/>
      <c r="DZ397" s="5"/>
      <c r="EA397" s="5" t="s">
        <v>248</v>
      </c>
      <c r="EB397" s="5"/>
      <c r="EC397" s="5" t="s">
        <v>247</v>
      </c>
      <c r="ED397" s="5"/>
      <c r="EE397" s="5" t="s">
        <v>248</v>
      </c>
      <c r="EF397" s="5"/>
      <c r="EG397" s="5"/>
      <c r="EH397" s="5"/>
      <c r="EI397" s="5" t="s">
        <v>248</v>
      </c>
      <c r="EJ397" s="5"/>
      <c r="EK397" s="5" t="s">
        <v>248</v>
      </c>
      <c r="EL397" s="5"/>
      <c r="EM397" s="5" t="s">
        <v>247</v>
      </c>
      <c r="EN397" s="5"/>
      <c r="EO397" s="5"/>
      <c r="EP397" s="5"/>
      <c r="EQ397" s="5" t="s">
        <v>232</v>
      </c>
      <c r="ER397" s="5"/>
      <c r="ES397" s="5" t="s">
        <v>247</v>
      </c>
      <c r="ET397" s="5"/>
      <c r="EU397" s="5" t="s">
        <v>232</v>
      </c>
      <c r="EV397" s="5"/>
      <c r="EW397" s="5" t="s">
        <v>232</v>
      </c>
      <c r="EX397" s="5"/>
      <c r="EY397" s="5"/>
      <c r="EZ397" s="5"/>
      <c r="FA397" s="5" t="s">
        <v>248</v>
      </c>
      <c r="FB397" s="5"/>
      <c r="FC397" s="5" t="s">
        <v>247</v>
      </c>
      <c r="FD397" s="5"/>
      <c r="FE397" s="5" t="s">
        <v>248</v>
      </c>
      <c r="FF397" s="5"/>
      <c r="FG397" s="5"/>
      <c r="FH397" s="5"/>
      <c r="FI397" s="5" t="s">
        <v>248</v>
      </c>
      <c r="FJ397" s="5"/>
      <c r="FK397" s="5" t="s">
        <v>247</v>
      </c>
      <c r="FL397" s="5"/>
      <c r="FM397" s="5" t="s">
        <v>248</v>
      </c>
      <c r="FN397" s="5"/>
      <c r="FO397" s="5"/>
      <c r="FP397" s="5"/>
      <c r="FQ397" s="5" t="s">
        <v>206</v>
      </c>
      <c r="FR397" s="5"/>
      <c r="FS397" s="5" t="s">
        <v>206</v>
      </c>
      <c r="FT397" s="5"/>
      <c r="FU397" s="5" t="s">
        <v>206</v>
      </c>
      <c r="FV397" s="5"/>
      <c r="FW397" s="5" t="s">
        <v>206</v>
      </c>
      <c r="FX397" s="5"/>
      <c r="FY397" s="5" t="s">
        <v>206</v>
      </c>
      <c r="FZ397" s="5"/>
      <c r="GA397" s="5" t="s">
        <v>206</v>
      </c>
      <c r="GB397" s="5"/>
      <c r="GC397" s="5" t="s">
        <v>206</v>
      </c>
      <c r="GD397" s="5"/>
      <c r="GE397" s="5"/>
      <c r="GF397" s="5"/>
      <c r="GG397" s="5" t="s">
        <v>255</v>
      </c>
      <c r="GH397" s="5" t="s">
        <v>255</v>
      </c>
      <c r="GI397" s="5" t="s">
        <v>255</v>
      </c>
      <c r="GJ397" s="5" t="s">
        <v>233</v>
      </c>
      <c r="GK397" s="5" t="s">
        <v>233</v>
      </c>
      <c r="GL397" s="5" t="s">
        <v>233</v>
      </c>
      <c r="GM397" s="5" t="s">
        <v>233</v>
      </c>
      <c r="GN397" s="5" t="s">
        <v>243</v>
      </c>
      <c r="GO397" s="5" t="s">
        <v>234</v>
      </c>
      <c r="GP397" s="5" t="s">
        <v>234</v>
      </c>
      <c r="GQ397" s="5" t="s">
        <v>257</v>
      </c>
      <c r="GR397" s="5" t="s">
        <v>257</v>
      </c>
      <c r="GS397" s="5" t="s">
        <v>257</v>
      </c>
      <c r="GT397" s="5" t="s">
        <v>257</v>
      </c>
      <c r="GU397" s="5" t="s">
        <v>765</v>
      </c>
      <c r="GV397" s="5" t="str">
        <f>TEXT("6283394745313339720","0")</f>
        <v>6283394745313330000</v>
      </c>
    </row>
    <row r="398" spans="1:204" ht="15.75" hidden="1" customHeight="1" x14ac:dyDescent="0.15">
      <c r="B398" s="4">
        <v>45852.753136574072</v>
      </c>
      <c r="C398" s="5" t="s">
        <v>204</v>
      </c>
      <c r="D398" s="5" t="s">
        <v>206</v>
      </c>
      <c r="F398" s="5" t="s">
        <v>204</v>
      </c>
      <c r="G398" s="5" t="s">
        <v>204</v>
      </c>
      <c r="H398" s="5" t="s">
        <v>204</v>
      </c>
      <c r="J398" s="5" t="s">
        <v>209</v>
      </c>
      <c r="N398" s="5" t="s">
        <v>208</v>
      </c>
      <c r="W398" s="5" t="s">
        <v>207</v>
      </c>
      <c r="AB398" s="5" t="s">
        <v>207</v>
      </c>
      <c r="AG398" s="5" t="s">
        <v>207</v>
      </c>
      <c r="AH398" s="5" t="s">
        <v>275</v>
      </c>
      <c r="AI398" s="5">
        <v>2023</v>
      </c>
      <c r="AJ398" s="5" t="s">
        <v>260</v>
      </c>
      <c r="AK398" s="5"/>
      <c r="AR398" s="5" t="s">
        <v>276</v>
      </c>
      <c r="AS398" s="5" t="s">
        <v>276</v>
      </c>
      <c r="AT398" s="5" t="s">
        <v>276</v>
      </c>
      <c r="AU398" s="5" t="s">
        <v>276</v>
      </c>
      <c r="AV398" s="5" t="s">
        <v>213</v>
      </c>
      <c r="AW398" s="5" t="s">
        <v>206</v>
      </c>
      <c r="BF398" s="5" t="s">
        <v>206</v>
      </c>
      <c r="CK398" s="5" t="s">
        <v>223</v>
      </c>
      <c r="CU398" s="5" t="s">
        <v>206</v>
      </c>
      <c r="DA398" s="5" t="s">
        <v>231</v>
      </c>
      <c r="DB398" s="5"/>
      <c r="DC398" s="5" t="s">
        <v>251</v>
      </c>
      <c r="DD398" s="5"/>
      <c r="DE398" s="5" t="s">
        <v>251</v>
      </c>
      <c r="DF398" s="5"/>
      <c r="DG398" s="5" t="s">
        <v>251</v>
      </c>
      <c r="DH398" s="5"/>
      <c r="DI398" s="5" t="s">
        <v>251</v>
      </c>
      <c r="DJ398" s="5"/>
      <c r="DK398" s="5" t="s">
        <v>251</v>
      </c>
      <c r="DL398" s="5"/>
      <c r="DM398" s="5" t="s">
        <v>251</v>
      </c>
      <c r="DN398" s="5"/>
      <c r="DO398" s="5" t="s">
        <v>231</v>
      </c>
      <c r="DP398" s="5"/>
      <c r="DQ398" s="5" t="s">
        <v>231</v>
      </c>
      <c r="DR398" s="5"/>
      <c r="DS398" s="5" t="s">
        <v>231</v>
      </c>
      <c r="DT398" s="5"/>
      <c r="DU398" s="5" t="s">
        <v>231</v>
      </c>
      <c r="DV398" s="5"/>
      <c r="DW398" s="5" t="s">
        <v>231</v>
      </c>
      <c r="DX398" s="5"/>
      <c r="DY398" s="5"/>
      <c r="DZ398" s="5"/>
      <c r="EA398" s="5" t="s">
        <v>253</v>
      </c>
      <c r="EB398" s="5"/>
      <c r="EC398" s="5" t="s">
        <v>253</v>
      </c>
      <c r="ED398" s="5"/>
      <c r="EE398" s="5" t="s">
        <v>253</v>
      </c>
      <c r="EF398" s="5"/>
      <c r="EG398" s="5"/>
      <c r="EH398" s="5"/>
      <c r="EI398" s="5" t="s">
        <v>253</v>
      </c>
      <c r="EJ398" s="5"/>
      <c r="EK398" s="5" t="s">
        <v>253</v>
      </c>
      <c r="EL398" s="5"/>
      <c r="EM398" s="5" t="s">
        <v>253</v>
      </c>
      <c r="EN398" s="5"/>
      <c r="EO398" s="5"/>
      <c r="EP398" s="5"/>
      <c r="EQ398" s="5" t="s">
        <v>248</v>
      </c>
      <c r="ER398" s="5"/>
      <c r="ES398" s="5" t="s">
        <v>253</v>
      </c>
      <c r="ET398" s="5"/>
      <c r="EU398" s="5" t="s">
        <v>254</v>
      </c>
      <c r="EV398" s="5"/>
      <c r="EW398" s="5" t="s">
        <v>254</v>
      </c>
      <c r="EX398" s="5"/>
      <c r="EY398" s="5"/>
      <c r="EZ398" s="5"/>
      <c r="FA398" s="5" t="s">
        <v>253</v>
      </c>
      <c r="FB398" s="5"/>
      <c r="FC398" s="5" t="s">
        <v>253</v>
      </c>
      <c r="FD398" s="5"/>
      <c r="FE398" s="5" t="s">
        <v>253</v>
      </c>
      <c r="FF398" s="5"/>
      <c r="FG398" s="5"/>
      <c r="FH398" s="5"/>
      <c r="FI398" s="5" t="s">
        <v>253</v>
      </c>
      <c r="FJ398" s="5"/>
      <c r="FK398" s="5" t="s">
        <v>253</v>
      </c>
      <c r="FL398" s="5"/>
      <c r="FM398" s="5" t="s">
        <v>253</v>
      </c>
      <c r="FN398" s="5"/>
      <c r="FO398" s="5"/>
      <c r="FP398" s="5"/>
      <c r="FQ398" s="5" t="s">
        <v>206</v>
      </c>
      <c r="FR398" s="5"/>
      <c r="FS398" s="5" t="s">
        <v>206</v>
      </c>
      <c r="FT398" s="5"/>
      <c r="FU398" s="5" t="s">
        <v>206</v>
      </c>
      <c r="FV398" s="5"/>
      <c r="FW398" s="5" t="s">
        <v>206</v>
      </c>
      <c r="FX398" s="5"/>
      <c r="FY398" s="5" t="s">
        <v>206</v>
      </c>
      <c r="FZ398" s="5"/>
      <c r="GA398" s="5" t="s">
        <v>206</v>
      </c>
      <c r="GB398" s="5"/>
      <c r="GC398" s="5" t="s">
        <v>206</v>
      </c>
      <c r="GD398" s="5"/>
      <c r="GE398" s="5"/>
      <c r="GF398" s="5"/>
      <c r="GG398" s="5" t="s">
        <v>273</v>
      </c>
      <c r="GH398" s="5" t="s">
        <v>273</v>
      </c>
      <c r="GI398" s="5" t="s">
        <v>273</v>
      </c>
      <c r="GJ398" s="5" t="s">
        <v>233</v>
      </c>
      <c r="GK398" s="5" t="s">
        <v>233</v>
      </c>
      <c r="GL398" s="5" t="s">
        <v>233</v>
      </c>
      <c r="GM398" s="5" t="s">
        <v>233</v>
      </c>
      <c r="GN398" s="5" t="s">
        <v>243</v>
      </c>
      <c r="GO398" s="5" t="s">
        <v>244</v>
      </c>
      <c r="GP398" s="5" t="s">
        <v>244</v>
      </c>
      <c r="GQ398" s="5" t="s">
        <v>257</v>
      </c>
      <c r="GR398" s="5" t="s">
        <v>257</v>
      </c>
      <c r="GS398" s="5" t="s">
        <v>257</v>
      </c>
      <c r="GT398" s="5" t="s">
        <v>257</v>
      </c>
      <c r="GU398" s="5" t="s">
        <v>766</v>
      </c>
      <c r="GV398" s="5" t="str">
        <f>TEXT("6283398716028814577","0")</f>
        <v>6283398716028810000</v>
      </c>
    </row>
    <row r="399" spans="1:204" ht="15.75" customHeight="1" x14ac:dyDescent="0.15">
      <c r="A399" s="1">
        <f t="shared" ref="A399:A412" si="1173">ROW(A399)</f>
        <v>399</v>
      </c>
      <c r="B399" s="4">
        <v>45852.761030092595</v>
      </c>
      <c r="C399" s="5" t="s">
        <v>204</v>
      </c>
      <c r="D399" s="5" t="s">
        <v>206</v>
      </c>
      <c r="F399" s="5" t="s">
        <v>206</v>
      </c>
      <c r="G399" s="5" t="s">
        <v>206</v>
      </c>
      <c r="H399" s="5" t="s">
        <v>206</v>
      </c>
      <c r="J399" s="5" t="s">
        <v>209</v>
      </c>
      <c r="O399" s="5" t="s">
        <v>209</v>
      </c>
      <c r="T399" s="5" t="s">
        <v>209</v>
      </c>
      <c r="X399" s="5" t="s">
        <v>208</v>
      </c>
      <c r="AD399" s="5" t="s">
        <v>209</v>
      </c>
      <c r="AH399" s="5" t="s">
        <v>275</v>
      </c>
      <c r="AI399" s="5">
        <v>2000</v>
      </c>
      <c r="AJ399" s="5" t="s">
        <v>238</v>
      </c>
      <c r="AK399" s="5" t="str">
        <f t="shared" ref="AK399:AK412" si="1174">IF(OR(AJ399="Empleada del sector privado",AJ399="Empleada del sector público"),"Asalariada",
IF(AJ399="Trabajadora por cuenta propia","Trabajadora por cuenta propia",""))</f>
        <v>Trabajadora por cuenta propia</v>
      </c>
      <c r="AM399" s="5" t="s">
        <v>309</v>
      </c>
      <c r="AP399" s="5" t="s">
        <v>240</v>
      </c>
      <c r="AR399" s="5" t="s">
        <v>301</v>
      </c>
      <c r="AS399" s="5" t="s">
        <v>241</v>
      </c>
      <c r="AT399" s="5" t="s">
        <v>301</v>
      </c>
      <c r="AU399" s="5" t="s">
        <v>241</v>
      </c>
      <c r="AV399" s="5" t="s">
        <v>269</v>
      </c>
      <c r="AW399" s="5" t="s">
        <v>204</v>
      </c>
      <c r="AX399" s="5" t="s">
        <v>204</v>
      </c>
      <c r="AY399" s="5" t="s">
        <v>214</v>
      </c>
      <c r="AZ399" s="5" t="s">
        <v>204</v>
      </c>
      <c r="BA399" s="5" t="s">
        <v>295</v>
      </c>
      <c r="BB399" s="5" t="s">
        <v>204</v>
      </c>
      <c r="BC399" s="5" t="s">
        <v>204</v>
      </c>
      <c r="BD399" s="5" t="s">
        <v>306</v>
      </c>
      <c r="BE399" s="5" t="s">
        <v>206</v>
      </c>
      <c r="BF399" s="5" t="s">
        <v>204</v>
      </c>
      <c r="BG399" s="5" t="s">
        <v>264</v>
      </c>
      <c r="BH399" s="5" t="s">
        <v>264</v>
      </c>
      <c r="BI399" s="5" t="s">
        <v>264</v>
      </c>
      <c r="BJ399" s="5" t="s">
        <v>207</v>
      </c>
      <c r="BK399" s="5" t="s">
        <v>245</v>
      </c>
      <c r="BL399" s="5" t="s">
        <v>246</v>
      </c>
      <c r="BM399" s="5" t="s">
        <v>243</v>
      </c>
      <c r="BN399" s="5" t="s">
        <v>243</v>
      </c>
      <c r="BO399" s="5" t="s">
        <v>244</v>
      </c>
      <c r="BP399" s="5" t="s">
        <v>243</v>
      </c>
      <c r="BQ399" s="5" t="s">
        <v>243</v>
      </c>
      <c r="BR399" s="5" t="s">
        <v>243</v>
      </c>
      <c r="BS399" s="5" t="s">
        <v>254</v>
      </c>
      <c r="BT399" s="5" t="s">
        <v>232</v>
      </c>
      <c r="BU399" s="5" t="s">
        <v>247</v>
      </c>
      <c r="BV399" s="5" t="s">
        <v>248</v>
      </c>
      <c r="BW399" s="5" t="s">
        <v>247</v>
      </c>
      <c r="BX399" s="5" t="s">
        <v>247</v>
      </c>
      <c r="BY399" s="5" t="s">
        <v>217</v>
      </c>
      <c r="BZ399" s="5" t="s">
        <v>243</v>
      </c>
      <c r="CA399" s="5" t="s">
        <v>245</v>
      </c>
      <c r="CB399" s="5" t="s">
        <v>243</v>
      </c>
      <c r="CC399" s="5" t="s">
        <v>243</v>
      </c>
      <c r="CD399" s="5" t="s">
        <v>206</v>
      </c>
      <c r="CH399" s="5" t="s">
        <v>206</v>
      </c>
      <c r="CI399" s="5" t="s">
        <v>206</v>
      </c>
      <c r="CJ399" s="5">
        <v>0</v>
      </c>
      <c r="CK399" s="5" t="s">
        <v>223</v>
      </c>
      <c r="CU399" s="5" t="s">
        <v>206</v>
      </c>
      <c r="DA399" s="5" t="s">
        <v>272</v>
      </c>
      <c r="DB399" s="5">
        <f t="shared" ref="DB399:DB412" si="1175">IF(DA399="Mejor que lo habitual",1,
IF(DA399="Igual que lo habitual",2,
IF(DA399="Menos que lo habitual",3,
IF(DA399="Mucho menos que lo habitual",4,""))))</f>
        <v>1</v>
      </c>
      <c r="DC399" s="5" t="s">
        <v>251</v>
      </c>
      <c r="DD399" s="5">
        <f t="shared" ref="DD399:DD412" si="1176">IF(DC399="No, en absoluto",1,
IF(DC399="No más que lo habitual",2,
IF(DC399="Bastante más que lo habitual",3,
IF(DC399="Mucho más que lo habitual",4,""))))</f>
        <v>1</v>
      </c>
      <c r="DE399" s="5" t="s">
        <v>230</v>
      </c>
      <c r="DF399" s="5">
        <f t="shared" ref="DF399:DF412" si="1177">IF(DE399="No, en absoluto",1,
IF(DE399="No más que lo habitual",2,
IF(DE399="Bastante más que lo habitual",3,
IF(DE399="Mucho más que lo habitual",4,""))))</f>
        <v>2</v>
      </c>
      <c r="DG399" s="5" t="s">
        <v>251</v>
      </c>
      <c r="DH399" s="5">
        <f t="shared" ref="DH399:DH412" si="1178">IF(DG399="No, en absoluto",1,
IF(DG399="No más que lo habitual",2,
IF(DG399="Bastante más que lo habitual",3,
IF(DG399="Mucho más que lo habitual",4,""))))</f>
        <v>1</v>
      </c>
      <c r="DI399" s="5" t="s">
        <v>251</v>
      </c>
      <c r="DJ399" s="5">
        <f t="shared" ref="DJ399:DJ412" si="1179">IF(DI399="No, en absoluto",1,
IF(DI399="No más que lo habitual",2,
IF(DI399="Bastante más que lo habitual",3,
IF(DI399="Mucho más que lo habitual",4,""))))</f>
        <v>1</v>
      </c>
      <c r="DK399" s="5" t="s">
        <v>251</v>
      </c>
      <c r="DL399" s="5">
        <f t="shared" ref="DL399:DL412" si="1180">IF(DK399="No, en absoluto",1,
IF(DK399="No más que lo habitual",2,
IF(DK399="Bastante más que lo habitual",3,
IF(DK399="Mucho más que lo habitual",4,""))))</f>
        <v>1</v>
      </c>
      <c r="DM399" s="5" t="s">
        <v>251</v>
      </c>
      <c r="DN399" s="5">
        <f t="shared" ref="DN399:DN412" si="1181">IF(DM399="No, en absoluto",1,
IF(DM399="No más que lo habitual",2,
IF(DM399="Bastante más que lo habitual",3,
IF(DM399="Mucho más que lo habitual",4,""))))</f>
        <v>1</v>
      </c>
      <c r="DO399" s="5" t="s">
        <v>281</v>
      </c>
      <c r="DP399" s="5">
        <f t="shared" ref="DP399:DP412" si="1182">IF(DO399="Más que lo habitual",1,
IF(DO399="Igual que lo habitual",2,
IF(DO399="Menos que lo habitual",3,
IF(DO399="Mucho menos que lo habitual",4,""))))</f>
        <v>1</v>
      </c>
      <c r="DQ399" s="5" t="s">
        <v>281</v>
      </c>
      <c r="DR399" s="5">
        <f t="shared" ref="DR399:DR412" si="1183">IF(DQ399="Más que lo habitual",1,
IF(DQ399="Igual que lo habitual",2,
IF(DQ399="Menos que lo habitual",3,
IF(DQ399="Mucho menos que lo habitual",4,""))))</f>
        <v>1</v>
      </c>
      <c r="DS399" s="5" t="s">
        <v>229</v>
      </c>
      <c r="DT399" s="5">
        <f t="shared" ref="DT399:DT412" si="1184">IF(DS399="Más que lo habitual",1,
IF(DS399="Igual que lo habitual",2,
IF(DS399="Menos que lo habitual",3,
IF(DS399="Mucho menos que lo habitual",4,""))))</f>
        <v>4</v>
      </c>
      <c r="DU399" s="5" t="s">
        <v>229</v>
      </c>
      <c r="DV399" s="5">
        <f t="shared" ref="DV399:DV412" si="1185">IF(DU399="Más que lo habitual",1,
IF(DU399="Igual que lo habitual",2,
IF(DU399="Menos que lo habitual",3,
IF(DU399="Mucho menos que lo habitual",4,""))))</f>
        <v>4</v>
      </c>
      <c r="DW399" s="5" t="s">
        <v>281</v>
      </c>
      <c r="DX399" s="5">
        <f t="shared" ref="DX399:DX412" si="1186">IF(DW399="Más que lo habitual",1,
IF(DW399="Igual que lo habitual",2,
IF(DW399="Menos que lo habitual",3,
IF(DW399="Mucho menos que lo habitual",4,""))))</f>
        <v>1</v>
      </c>
      <c r="DY399" s="5">
        <f t="shared" ref="DY399:DY412" si="1187">SUM(DB399,DD399,DF399,DH399,DJ399,DL399,DN399,DP399,DR399,DT399,DV399,DX399)</f>
        <v>19</v>
      </c>
      <c r="DZ399" s="5" t="str">
        <f t="shared" ref="DZ399:DZ412" si="1188">IF(DY399&lt;=18,"Nivel de riesgo bajo",
IF(DY399&lt;=23,"Nivel de riesgo medio",
"Nivel de riesgo alto"))</f>
        <v>Nivel de riesgo medio</v>
      </c>
      <c r="EA399" s="5" t="s">
        <v>254</v>
      </c>
      <c r="EB399" s="5">
        <f t="shared" ref="EB399:EB412" si="1189">IF(EA399="Nunca/ casi nunca",0,
IF(EA399="Rara vez",1,
IF(EA399="A veces",2,
IF(EA399="A menudo",3,
IF(EA399="Siempre",4,"")))))</f>
        <v>4</v>
      </c>
      <c r="EC399" s="5" t="s">
        <v>247</v>
      </c>
      <c r="ED399" s="5">
        <f t="shared" ref="ED399:ED412" si="1190">IF(EC399="Nunca/ casi nunca",0,
IF(EC399="Rara vez",1,
IF(EC399="A veces",2,
IF(EC399="A menudo",3,
IF(EC399="Siempre",4,"")))))</f>
        <v>2</v>
      </c>
      <c r="EE399" s="5" t="s">
        <v>247</v>
      </c>
      <c r="EF399" s="5">
        <f t="shared" ref="EF399:EF412" si="1191">IF(EE399="Nunca/ casi nunca",0,
IF(EE399="Rara vez",1,
IF(EE399="A veces",2,
IF(EE399="A menudo",3,
IF(EE399="Siempre",4,"")))))</f>
        <v>2</v>
      </c>
      <c r="EG399" s="5">
        <f t="shared" ref="EG399:EG412" si="1192">SUM(EB399,ED399,EF399)</f>
        <v>8</v>
      </c>
      <c r="EH399" s="5" t="str">
        <f t="shared" ref="EH399:EH412" si="1193">IF(EG399&lt;=1,"Nivel de riesgo bajo",
IF(EG399&lt;=4,"Nivel de riesgo medio",
"Nivel de riesgo alto"))</f>
        <v>Nivel de riesgo alto</v>
      </c>
      <c r="EI399" s="5" t="s">
        <v>247</v>
      </c>
      <c r="EJ399" s="5">
        <f t="shared" ref="EJ399:EJ412" si="1194">IF(EI399="Nunca/ casi nunca",0,
IF(EI399="Rara vez",1,
IF(EI399="A veces",2,
IF(EI399="A menudo",3,
IF(EI399="Siempre",4,"")))))</f>
        <v>2</v>
      </c>
      <c r="EK399" s="5" t="s">
        <v>248</v>
      </c>
      <c r="EL399" s="5">
        <f t="shared" ref="EL399:EL412" si="1195">IF(EK399="Nunca/ casi nunca",0,
IF(EK399="Rara vez",1,
IF(EK399="A veces",2,
IF(EK399="A menudo",3,
IF(EK399="Siempre",4,"")))))</f>
        <v>1</v>
      </c>
      <c r="EM399" s="5" t="s">
        <v>248</v>
      </c>
      <c r="EN399" s="5">
        <f t="shared" ref="EN399:EN412" si="1196">IF(EM399="Nunca/ casi nunca",0,
IF(EM399="Rara vez",1,
IF(EM399="A veces",2,
IF(EM399="A menudo",3,
IF(EM399="Siempre",4,"")))))</f>
        <v>1</v>
      </c>
      <c r="EO399" s="5">
        <f t="shared" ref="EO399:EO412" si="1197">SUM(EJ399,EL399,EN399)</f>
        <v>4</v>
      </c>
      <c r="EP399" s="5" t="str">
        <f t="shared" ref="EP399:EP412" si="1198">IF(EO399&lt;=1,"Nivel de riesgo bajo",
IF(EO399&lt;=5,"Nivel de riesgo medio",
"Nivel de riesgo alto"))</f>
        <v>Nivel de riesgo medio</v>
      </c>
      <c r="EQ399" s="5" t="s">
        <v>247</v>
      </c>
      <c r="ER399" s="5">
        <f t="shared" ref="ER399:ER412" si="1199">IF(EQ399="Nunca/ casi nunca",4,
IF(EQ399="Rara vez",3,
IF(EQ399="A veces",2,
IF(EQ399="A menudo",1,
IF(EQ399="Siempre",0,"")))))</f>
        <v>2</v>
      </c>
      <c r="ES399" s="5" t="s">
        <v>247</v>
      </c>
      <c r="ET399" s="5">
        <f t="shared" ref="ET399:ET412" si="1200">IF(ES399="Nunca/ casi nunca",4,
IF(ES399="Rara vez",3,
IF(ES399="A veces",2,
IF(ES399="A menudo",1,
IF(ES399="Siempre",0,"")))))</f>
        <v>2</v>
      </c>
      <c r="EU399" s="5" t="s">
        <v>254</v>
      </c>
      <c r="EV399" s="5">
        <f t="shared" ref="EV399:EV412" si="1201">IF(EU399="Nunca/ casi nunca",4,
IF(EU399="Rara vez",3,
IF(EU399="A veces",2,
IF(EU399="A menudo",1,
IF(EU399="Siempre",0,"")))))</f>
        <v>0</v>
      </c>
      <c r="EW399" s="5" t="s">
        <v>247</v>
      </c>
      <c r="EX399" s="5">
        <f t="shared" ref="EX399:EX412" si="1202">IF(EW399="Nunca/ casi nunca",4,
IF(EW399="Rara vez",3,
IF(EW399="A veces",2,
IF(EW399="A menudo",1,
IF(EW399="Siempre",0,"")))))</f>
        <v>2</v>
      </c>
      <c r="EY399" s="5">
        <f t="shared" ref="EY399:EY412" si="1203">SUM(ER399,ET399,EV399,EX399)</f>
        <v>6</v>
      </c>
      <c r="EZ399" s="5" t="str">
        <f t="shared" ref="EZ399:EZ412" si="1204">IF(EY399&lt;=0,"Nivel de riesgo bajo",
IF(EY399&lt;=4,"Nivel de riesgo medio",
"Nivel de riesgo alto"))</f>
        <v>Nivel de riesgo alto</v>
      </c>
      <c r="FA399" s="5" t="s">
        <v>247</v>
      </c>
      <c r="FB399" s="5">
        <f t="shared" ref="FB399:FB412" si="1205">IF(FA399="Nunca/ casi nunca",0,
IF(FA399="Rara vez",1,
IF(FA399="A veces",2,
IF(FA399="A menudo",3,
IF(FA399="Siempre",4,"")))))</f>
        <v>2</v>
      </c>
      <c r="FC399" s="5" t="s">
        <v>248</v>
      </c>
      <c r="FD399" s="5">
        <f t="shared" ref="FD399:FD412" si="1206">IF(FC399="Nunca/ casi nunca",0,
IF(FC399="Rara vez",1,
IF(FC399="A veces",2,
IF(FC399="A menudo",3,
IF(FC399="Siempre",4,"")))))</f>
        <v>1</v>
      </c>
      <c r="FE399" s="5" t="s">
        <v>247</v>
      </c>
      <c r="FF399" s="5">
        <f t="shared" ref="FF399:FF412" si="1207">IF(FE399="Nunca/ casi nunca",0,
IF(FE399="Rara vez",1,
IF(FE399="A veces",2,
IF(FE399="A menudo",3,
IF(FE399="Siempre",4,"")))))</f>
        <v>2</v>
      </c>
      <c r="FG399" s="5">
        <f t="shared" ref="FG399:FG412" si="1208">SUM(FB399,FD399,FF399)</f>
        <v>5</v>
      </c>
      <c r="FH399" s="5" t="str">
        <f t="shared" ref="FH399:FH412" si="1209">IF(FG399&lt;=2,"Nivel de riesgo bajo",
IF(FG399&lt;=5,"Nivel de riesgo medio",
"Nivel de riesgo alto"))</f>
        <v>Nivel de riesgo medio</v>
      </c>
      <c r="FI399" s="5" t="s">
        <v>247</v>
      </c>
      <c r="FJ399" s="5">
        <f t="shared" ref="FJ399:FJ412" si="1210">IF(FI399="Nunca/ casi nunca",0,
IF(FI399="Rara vez",1,
IF(FI399="A veces",2,
IF(FI399="A menudo",3,
IF(FI399="Siempre",4,"")))))</f>
        <v>2</v>
      </c>
      <c r="FK399" s="5" t="s">
        <v>247</v>
      </c>
      <c r="FL399" s="5">
        <f t="shared" ref="FL399:FL412" si="1211">IF(FK399="Nunca/ casi nunca",0,
IF(FK399="Rara vez",1,
IF(FK399="A veces",2,
IF(FK399="A menudo",3,
IF(FK399="Siempre",4,"")))))</f>
        <v>2</v>
      </c>
      <c r="FM399" s="5" t="s">
        <v>247</v>
      </c>
      <c r="FN399" s="5">
        <f t="shared" ref="FN399:FN412" si="1212">IF(FM399="Nunca/ casi nunca",0,
IF(FM399="Rara vez",1,
IF(FM399="A veces",2,
IF(FM399="A menudo",3,
IF(FM399="Siempre",4,"")))))</f>
        <v>2</v>
      </c>
      <c r="FO399" s="5">
        <f t="shared" ref="FO399:FO412" si="1213">SUM(FJ399,FL399,FN399)</f>
        <v>6</v>
      </c>
      <c r="FP399" s="5" t="str">
        <f t="shared" ref="FP399:FP412" si="1214">IF(FO399&lt;=2,"Nivel de riesgo bajo",
IF(FO399&lt;=5,"Nivel de riesgo medio",
"Nivel de riesgo alto"))</f>
        <v>Nivel de riesgo alto</v>
      </c>
      <c r="FQ399" s="5" t="s">
        <v>206</v>
      </c>
      <c r="FR399" s="5">
        <f t="shared" ref="FR399:FR412" si="1215">IF(FQ399="No",0,
IF(FQ399="Sí, unas pocas veces",1,
IF(FQ399="Sí, mensualmente",2,
IF(FQ399="Sí, semanalmente",3,
IF(FQ399="Sí, diariamente",4,"")))))</f>
        <v>0</v>
      </c>
      <c r="FS399" s="5" t="s">
        <v>206</v>
      </c>
      <c r="FT399" s="5">
        <f t="shared" ref="FT399:FT412" si="1216">IF(FS399="No",0,
IF(FS399="Sí, unas pocas veces",1,
IF(FS399="Sí, mensualmente",2,
IF(FS399="Sí, semanalmente",3,
IF(FS399="Sí, diariamente",4,"")))))</f>
        <v>0</v>
      </c>
      <c r="FU399" s="5" t="s">
        <v>206</v>
      </c>
      <c r="FV399" s="5">
        <f t="shared" ref="FV399:FV412" si="1217">IF(FU399="No",0,
IF(FU399="Sí, unas pocas veces",1,
IF(FU399="Sí, mensualmente",2,
IF(FU399="Sí, semanalmente",3,
IF(FU399="Sí, diariamente",4,"")))))</f>
        <v>0</v>
      </c>
      <c r="FW399" s="5" t="s">
        <v>206</v>
      </c>
      <c r="FX399" s="5">
        <f t="shared" ref="FX399:FX412" si="1218">IF(FW399="No",0,
IF(FW399="Sí, unas pocas veces",1,
IF(FW399="Sí, mensualmente",2,
IF(FW399="Sí, semanalmente",3,
IF(FW399="Sí, diariamente",4,"")))))</f>
        <v>0</v>
      </c>
      <c r="FY399" s="5" t="s">
        <v>206</v>
      </c>
      <c r="FZ399" s="5">
        <f t="shared" ref="FZ399:FZ412" si="1219">IF(FY399="No",0,
IF(FY399="Sí, unas pocas veces",1,
IF(FY399="Sí, mensualmente",2,
IF(FY399="Sí, semanalmente",3,
IF(FY399="Sí, diariamente",4,"")))))</f>
        <v>0</v>
      </c>
      <c r="GA399" s="5" t="s">
        <v>206</v>
      </c>
      <c r="GB399" s="5">
        <f t="shared" ref="GB399:GB412" si="1220">IF(GA399="No",0,
IF(GA399="Sí, unas pocas veces",1,
IF(GA399="Sí, mensualmente",2,
IF(GA399="Sí, semanalmente",3,
IF(GA399="Sí, diariamente",4,"")))))</f>
        <v>0</v>
      </c>
      <c r="GC399" s="5" t="s">
        <v>206</v>
      </c>
      <c r="GD399" s="5">
        <f t="shared" ref="GD399:GD412" si="1221">IF(GC399="No",0,
IF(GC399="Sí, unas pocas veces",1,
IF(GC399="Sí, mensualmente",2,
IF(GC399="Sí, semanalmente",3,
IF(GC399="Sí, diariamente",4,"")))))</f>
        <v>0</v>
      </c>
      <c r="GE399" s="5">
        <f t="shared" ref="GE399:GE412" si="1222">SUM(FR399,FT399,FV399,FX399,FZ399,GB399,GD399)</f>
        <v>0</v>
      </c>
      <c r="GF399" s="5" t="str">
        <f t="shared" ref="GF399:GF412" si="1223">IF(GE399&lt;=0,"Nivel de riesgo bajo",
IF(GE399&lt;=14,"Nivel de riesgo medio",
"Nivel de riesgo alto"))</f>
        <v>Nivel de riesgo bajo</v>
      </c>
      <c r="GG399" s="5" t="s">
        <v>273</v>
      </c>
      <c r="GH399" s="5" t="s">
        <v>298</v>
      </c>
      <c r="GI399" s="5" t="s">
        <v>298</v>
      </c>
      <c r="GJ399" s="5" t="s">
        <v>233</v>
      </c>
      <c r="GK399" s="5" t="s">
        <v>233</v>
      </c>
      <c r="GL399" s="5" t="s">
        <v>233</v>
      </c>
      <c r="GM399" s="5" t="s">
        <v>233</v>
      </c>
      <c r="GN399" s="5" t="s">
        <v>257</v>
      </c>
      <c r="GO399" s="5" t="s">
        <v>243</v>
      </c>
      <c r="GP399" s="5" t="s">
        <v>257</v>
      </c>
      <c r="GQ399" s="5" t="s">
        <v>243</v>
      </c>
      <c r="GR399" s="5" t="s">
        <v>243</v>
      </c>
      <c r="GS399" s="5" t="s">
        <v>257</v>
      </c>
      <c r="GT399" s="5" t="s">
        <v>257</v>
      </c>
      <c r="GU399" s="5" t="s">
        <v>338</v>
      </c>
      <c r="GV399" s="5" t="str">
        <f>TEXT("6283405537557460840","0")</f>
        <v>6283405537557460000</v>
      </c>
    </row>
    <row r="400" spans="1:204" ht="15.75" customHeight="1" x14ac:dyDescent="0.15">
      <c r="A400" s="1">
        <f t="shared" si="1173"/>
        <v>400</v>
      </c>
      <c r="B400" s="4">
        <v>45852.945763888885</v>
      </c>
      <c r="C400" s="5" t="s">
        <v>204</v>
      </c>
      <c r="D400" s="5" t="s">
        <v>206</v>
      </c>
      <c r="F400" s="5" t="s">
        <v>204</v>
      </c>
      <c r="G400" s="5" t="s">
        <v>206</v>
      </c>
      <c r="H400" s="5" t="s">
        <v>206</v>
      </c>
      <c r="L400" s="5" t="s">
        <v>236</v>
      </c>
      <c r="O400" s="5" t="s">
        <v>209</v>
      </c>
      <c r="W400" s="5" t="s">
        <v>207</v>
      </c>
      <c r="AB400" s="5" t="s">
        <v>207</v>
      </c>
      <c r="AG400" s="5" t="s">
        <v>207</v>
      </c>
      <c r="AH400" s="5" t="s">
        <v>268</v>
      </c>
      <c r="AI400" s="5">
        <v>2014</v>
      </c>
      <c r="AJ400" s="5" t="s">
        <v>238</v>
      </c>
      <c r="AK400" s="5" t="str">
        <f t="shared" si="1174"/>
        <v>Trabajadora por cuenta propia</v>
      </c>
      <c r="AM400" s="5" t="s">
        <v>309</v>
      </c>
      <c r="AP400" s="5" t="s">
        <v>240</v>
      </c>
      <c r="AR400" s="5" t="s">
        <v>241</v>
      </c>
      <c r="AS400" s="5" t="s">
        <v>301</v>
      </c>
      <c r="AT400" s="5" t="s">
        <v>241</v>
      </c>
      <c r="AU400" s="5" t="s">
        <v>301</v>
      </c>
      <c r="AV400" s="5" t="s">
        <v>213</v>
      </c>
      <c r="AW400" s="5" t="s">
        <v>206</v>
      </c>
      <c r="BF400" s="5" t="s">
        <v>206</v>
      </c>
      <c r="CK400" s="5" t="s">
        <v>223</v>
      </c>
      <c r="CU400" s="5" t="s">
        <v>206</v>
      </c>
      <c r="DA400" s="5" t="s">
        <v>231</v>
      </c>
      <c r="DB400" s="5">
        <f t="shared" si="1175"/>
        <v>2</v>
      </c>
      <c r="DC400" s="5" t="s">
        <v>230</v>
      </c>
      <c r="DD400" s="5">
        <f t="shared" si="1176"/>
        <v>2</v>
      </c>
      <c r="DE400" s="5" t="s">
        <v>250</v>
      </c>
      <c r="DF400" s="5">
        <f t="shared" si="1177"/>
        <v>3</v>
      </c>
      <c r="DG400" s="5" t="s">
        <v>251</v>
      </c>
      <c r="DH400" s="5">
        <f t="shared" si="1178"/>
        <v>1</v>
      </c>
      <c r="DI400" s="5" t="s">
        <v>230</v>
      </c>
      <c r="DJ400" s="5">
        <f t="shared" si="1179"/>
        <v>2</v>
      </c>
      <c r="DK400" s="5" t="s">
        <v>280</v>
      </c>
      <c r="DL400" s="5">
        <f t="shared" si="1180"/>
        <v>4</v>
      </c>
      <c r="DM400" s="5" t="s">
        <v>251</v>
      </c>
      <c r="DN400" s="5">
        <f t="shared" si="1181"/>
        <v>1</v>
      </c>
      <c r="DO400" s="5" t="s">
        <v>281</v>
      </c>
      <c r="DP400" s="5">
        <f t="shared" si="1182"/>
        <v>1</v>
      </c>
      <c r="DQ400" s="5" t="s">
        <v>281</v>
      </c>
      <c r="DR400" s="5">
        <f t="shared" si="1183"/>
        <v>1</v>
      </c>
      <c r="DS400" s="5" t="s">
        <v>281</v>
      </c>
      <c r="DT400" s="5">
        <f t="shared" si="1184"/>
        <v>1</v>
      </c>
      <c r="DU400" s="5" t="s">
        <v>281</v>
      </c>
      <c r="DV400" s="5">
        <f t="shared" si="1185"/>
        <v>1</v>
      </c>
      <c r="DW400" s="5" t="s">
        <v>281</v>
      </c>
      <c r="DX400" s="5">
        <f t="shared" si="1186"/>
        <v>1</v>
      </c>
      <c r="DY400" s="5">
        <f t="shared" si="1187"/>
        <v>20</v>
      </c>
      <c r="DZ400" s="5" t="str">
        <f t="shared" si="1188"/>
        <v>Nivel de riesgo medio</v>
      </c>
      <c r="EA400" s="5" t="s">
        <v>248</v>
      </c>
      <c r="EB400" s="5">
        <f t="shared" si="1189"/>
        <v>1</v>
      </c>
      <c r="EC400" s="5" t="s">
        <v>248</v>
      </c>
      <c r="ED400" s="5">
        <f t="shared" si="1190"/>
        <v>1</v>
      </c>
      <c r="EE400" s="5" t="s">
        <v>247</v>
      </c>
      <c r="EF400" s="5">
        <f t="shared" si="1191"/>
        <v>2</v>
      </c>
      <c r="EG400" s="5">
        <f t="shared" si="1192"/>
        <v>4</v>
      </c>
      <c r="EH400" s="5" t="str">
        <f t="shared" si="1193"/>
        <v>Nivel de riesgo medio</v>
      </c>
      <c r="EI400" s="5" t="s">
        <v>248</v>
      </c>
      <c r="EJ400" s="5">
        <f t="shared" si="1194"/>
        <v>1</v>
      </c>
      <c r="EK400" s="5" t="s">
        <v>247</v>
      </c>
      <c r="EL400" s="5">
        <f t="shared" si="1195"/>
        <v>2</v>
      </c>
      <c r="EM400" s="5" t="s">
        <v>253</v>
      </c>
      <c r="EN400" s="5">
        <f t="shared" si="1196"/>
        <v>0</v>
      </c>
      <c r="EO400" s="5">
        <f t="shared" si="1197"/>
        <v>3</v>
      </c>
      <c r="EP400" s="5" t="str">
        <f t="shared" si="1198"/>
        <v>Nivel de riesgo medio</v>
      </c>
      <c r="EQ400" s="5" t="s">
        <v>253</v>
      </c>
      <c r="ER400" s="5">
        <f t="shared" si="1199"/>
        <v>4</v>
      </c>
      <c r="ES400" s="5" t="s">
        <v>253</v>
      </c>
      <c r="ET400" s="5">
        <f t="shared" si="1200"/>
        <v>4</v>
      </c>
      <c r="EU400" s="5" t="s">
        <v>253</v>
      </c>
      <c r="EV400" s="5">
        <f t="shared" si="1201"/>
        <v>4</v>
      </c>
      <c r="EW400" s="5" t="s">
        <v>253</v>
      </c>
      <c r="EX400" s="5">
        <f t="shared" si="1202"/>
        <v>4</v>
      </c>
      <c r="EY400" s="5">
        <f t="shared" si="1203"/>
        <v>16</v>
      </c>
      <c r="EZ400" s="5" t="str">
        <f t="shared" si="1204"/>
        <v>Nivel de riesgo alto</v>
      </c>
      <c r="FA400" s="5" t="s">
        <v>253</v>
      </c>
      <c r="FB400" s="5">
        <f t="shared" si="1205"/>
        <v>0</v>
      </c>
      <c r="FC400" s="5" t="s">
        <v>253</v>
      </c>
      <c r="FD400" s="5">
        <f t="shared" si="1206"/>
        <v>0</v>
      </c>
      <c r="FE400" s="5" t="s">
        <v>253</v>
      </c>
      <c r="FF400" s="5">
        <f t="shared" si="1207"/>
        <v>0</v>
      </c>
      <c r="FG400" s="5">
        <f t="shared" si="1208"/>
        <v>0</v>
      </c>
      <c r="FH400" s="5" t="str">
        <f t="shared" si="1209"/>
        <v>Nivel de riesgo bajo</v>
      </c>
      <c r="FI400" s="5" t="s">
        <v>253</v>
      </c>
      <c r="FJ400" s="5">
        <f t="shared" si="1210"/>
        <v>0</v>
      </c>
      <c r="FK400" s="5" t="s">
        <v>253</v>
      </c>
      <c r="FL400" s="5">
        <f t="shared" si="1211"/>
        <v>0</v>
      </c>
      <c r="FM400" s="5" t="s">
        <v>253</v>
      </c>
      <c r="FN400" s="5">
        <f t="shared" si="1212"/>
        <v>0</v>
      </c>
      <c r="FO400" s="5">
        <f t="shared" si="1213"/>
        <v>0</v>
      </c>
      <c r="FP400" s="5" t="str">
        <f t="shared" si="1214"/>
        <v>Nivel de riesgo bajo</v>
      </c>
      <c r="FQ400" s="5" t="s">
        <v>206</v>
      </c>
      <c r="FR400" s="5">
        <f t="shared" si="1215"/>
        <v>0</v>
      </c>
      <c r="FS400" s="5" t="s">
        <v>206</v>
      </c>
      <c r="FT400" s="5">
        <f t="shared" si="1216"/>
        <v>0</v>
      </c>
      <c r="FU400" s="5" t="s">
        <v>206</v>
      </c>
      <c r="FV400" s="5">
        <f t="shared" si="1217"/>
        <v>0</v>
      </c>
      <c r="FW400" s="5" t="s">
        <v>206</v>
      </c>
      <c r="FX400" s="5">
        <f t="shared" si="1218"/>
        <v>0</v>
      </c>
      <c r="FY400" s="5" t="s">
        <v>206</v>
      </c>
      <c r="FZ400" s="5">
        <f t="shared" si="1219"/>
        <v>0</v>
      </c>
      <c r="GA400" s="5" t="s">
        <v>206</v>
      </c>
      <c r="GB400" s="5">
        <f t="shared" si="1220"/>
        <v>0</v>
      </c>
      <c r="GC400" s="5" t="s">
        <v>206</v>
      </c>
      <c r="GD400" s="5">
        <f t="shared" si="1221"/>
        <v>0</v>
      </c>
      <c r="GE400" s="5">
        <f t="shared" si="1222"/>
        <v>0</v>
      </c>
      <c r="GF400" s="5" t="str">
        <f t="shared" si="1223"/>
        <v>Nivel de riesgo bajo</v>
      </c>
      <c r="GG400" s="5" t="s">
        <v>255</v>
      </c>
      <c r="GH400" s="5" t="s">
        <v>255</v>
      </c>
      <c r="GI400" s="5" t="s">
        <v>255</v>
      </c>
      <c r="GJ400" s="5" t="s">
        <v>255</v>
      </c>
      <c r="GK400" s="5" t="s">
        <v>255</v>
      </c>
      <c r="GL400" s="5" t="s">
        <v>255</v>
      </c>
      <c r="GM400" s="5" t="s">
        <v>255</v>
      </c>
      <c r="GN400" s="5" t="s">
        <v>244</v>
      </c>
      <c r="GO400" s="5" t="s">
        <v>244</v>
      </c>
      <c r="GP400" s="5" t="s">
        <v>244</v>
      </c>
      <c r="GQ400" s="5" t="s">
        <v>244</v>
      </c>
      <c r="GR400" s="5" t="s">
        <v>244</v>
      </c>
      <c r="GS400" s="5" t="s">
        <v>244</v>
      </c>
      <c r="GT400" s="5" t="s">
        <v>244</v>
      </c>
      <c r="GU400" s="5" t="s">
        <v>767</v>
      </c>
      <c r="GV400" s="5" t="str">
        <f>TEXT("6283565141627261210","0")</f>
        <v>6283565141627260000</v>
      </c>
    </row>
    <row r="401" spans="1:204" ht="15.75" customHeight="1" x14ac:dyDescent="0.15">
      <c r="A401" s="1">
        <f t="shared" si="1173"/>
        <v>401</v>
      </c>
      <c r="B401" s="4">
        <v>45853.042500000003</v>
      </c>
      <c r="C401" s="5" t="s">
        <v>204</v>
      </c>
      <c r="D401" s="5" t="s">
        <v>206</v>
      </c>
      <c r="F401" s="5" t="s">
        <v>206</v>
      </c>
      <c r="G401" s="5" t="s">
        <v>206</v>
      </c>
      <c r="H401" s="5" t="s">
        <v>206</v>
      </c>
      <c r="K401" s="5" t="s">
        <v>237</v>
      </c>
      <c r="N401" s="5" t="s">
        <v>208</v>
      </c>
      <c r="S401" s="5" t="s">
        <v>208</v>
      </c>
      <c r="X401" s="5" t="s">
        <v>208</v>
      </c>
      <c r="AD401" s="5" t="s">
        <v>209</v>
      </c>
      <c r="AH401" s="5" t="s">
        <v>259</v>
      </c>
      <c r="AI401" s="5">
        <v>2020</v>
      </c>
      <c r="AJ401" s="5" t="s">
        <v>238</v>
      </c>
      <c r="AK401" s="5" t="str">
        <f t="shared" si="1174"/>
        <v>Trabajadora por cuenta propia</v>
      </c>
      <c r="AM401" s="5" t="s">
        <v>309</v>
      </c>
      <c r="AP401" s="5" t="s">
        <v>240</v>
      </c>
      <c r="AR401" s="5" t="s">
        <v>276</v>
      </c>
      <c r="AS401" s="5" t="s">
        <v>276</v>
      </c>
      <c r="AT401" s="5" t="s">
        <v>276</v>
      </c>
      <c r="AU401" s="5" t="s">
        <v>276</v>
      </c>
      <c r="AV401" s="5" t="s">
        <v>285</v>
      </c>
      <c r="AW401" s="5" t="s">
        <v>204</v>
      </c>
      <c r="AX401" s="5" t="s">
        <v>204</v>
      </c>
      <c r="AY401" s="5" t="s">
        <v>214</v>
      </c>
      <c r="AZ401" s="5" t="s">
        <v>204</v>
      </c>
      <c r="BA401" s="5" t="s">
        <v>263</v>
      </c>
      <c r="BF401" s="5" t="s">
        <v>204</v>
      </c>
      <c r="BG401" s="5" t="s">
        <v>215</v>
      </c>
      <c r="BH401" s="5" t="s">
        <v>264</v>
      </c>
      <c r="BI401" s="5" t="s">
        <v>215</v>
      </c>
      <c r="BJ401" s="5" t="s">
        <v>264</v>
      </c>
      <c r="BK401" s="5" t="s">
        <v>216</v>
      </c>
      <c r="BL401" s="5" t="s">
        <v>244</v>
      </c>
      <c r="BM401" s="5" t="s">
        <v>216</v>
      </c>
      <c r="BN401" s="5" t="s">
        <v>216</v>
      </c>
      <c r="BO401" s="5" t="s">
        <v>216</v>
      </c>
      <c r="BP401" s="5" t="s">
        <v>216</v>
      </c>
      <c r="BQ401" s="5" t="s">
        <v>244</v>
      </c>
      <c r="BR401" s="5" t="s">
        <v>216</v>
      </c>
      <c r="BS401" s="5" t="s">
        <v>248</v>
      </c>
      <c r="BT401" s="5" t="s">
        <v>248</v>
      </c>
      <c r="BU401" s="5" t="s">
        <v>217</v>
      </c>
      <c r="BV401" s="5" t="s">
        <v>217</v>
      </c>
      <c r="BW401" s="5" t="s">
        <v>217</v>
      </c>
      <c r="BX401" s="5" t="s">
        <v>217</v>
      </c>
      <c r="BY401" s="5" t="s">
        <v>217</v>
      </c>
      <c r="BZ401" s="5" t="s">
        <v>244</v>
      </c>
      <c r="CA401" s="5" t="s">
        <v>244</v>
      </c>
      <c r="CB401" s="5" t="s">
        <v>244</v>
      </c>
      <c r="CC401" s="5" t="s">
        <v>244</v>
      </c>
      <c r="CD401" s="5" t="s">
        <v>206</v>
      </c>
      <c r="CH401" s="5" t="s">
        <v>206</v>
      </c>
      <c r="CI401" s="5" t="s">
        <v>291</v>
      </c>
      <c r="CJ401" s="5">
        <v>1</v>
      </c>
      <c r="CK401" s="5" t="s">
        <v>223</v>
      </c>
      <c r="CU401" s="5" t="s">
        <v>206</v>
      </c>
      <c r="DA401" s="5" t="s">
        <v>272</v>
      </c>
      <c r="DB401" s="5">
        <f t="shared" si="1175"/>
        <v>1</v>
      </c>
      <c r="DC401" s="5" t="s">
        <v>251</v>
      </c>
      <c r="DD401" s="5">
        <f t="shared" si="1176"/>
        <v>1</v>
      </c>
      <c r="DE401" s="5" t="s">
        <v>251</v>
      </c>
      <c r="DF401" s="5">
        <f t="shared" si="1177"/>
        <v>1</v>
      </c>
      <c r="DG401" s="5" t="s">
        <v>251</v>
      </c>
      <c r="DH401" s="5">
        <f t="shared" si="1178"/>
        <v>1</v>
      </c>
      <c r="DI401" s="5" t="s">
        <v>251</v>
      </c>
      <c r="DJ401" s="5">
        <f t="shared" si="1179"/>
        <v>1</v>
      </c>
      <c r="DK401" s="5" t="s">
        <v>251</v>
      </c>
      <c r="DL401" s="5">
        <f t="shared" si="1180"/>
        <v>1</v>
      </c>
      <c r="DM401" s="5" t="s">
        <v>251</v>
      </c>
      <c r="DN401" s="5">
        <f t="shared" si="1181"/>
        <v>1</v>
      </c>
      <c r="DO401" s="5" t="s">
        <v>231</v>
      </c>
      <c r="DP401" s="5">
        <f t="shared" si="1182"/>
        <v>2</v>
      </c>
      <c r="DQ401" s="5" t="s">
        <v>231</v>
      </c>
      <c r="DR401" s="5">
        <f t="shared" si="1183"/>
        <v>2</v>
      </c>
      <c r="DS401" s="5" t="s">
        <v>231</v>
      </c>
      <c r="DT401" s="5">
        <f t="shared" si="1184"/>
        <v>2</v>
      </c>
      <c r="DU401" s="5" t="s">
        <v>231</v>
      </c>
      <c r="DV401" s="5">
        <f t="shared" si="1185"/>
        <v>2</v>
      </c>
      <c r="DW401" s="5" t="s">
        <v>231</v>
      </c>
      <c r="DX401" s="5">
        <f t="shared" si="1186"/>
        <v>2</v>
      </c>
      <c r="DY401" s="5">
        <f t="shared" si="1187"/>
        <v>17</v>
      </c>
      <c r="DZ401" s="5" t="str">
        <f t="shared" si="1188"/>
        <v>Nivel de riesgo bajo</v>
      </c>
      <c r="EA401" s="5" t="s">
        <v>253</v>
      </c>
      <c r="EB401" s="5">
        <f t="shared" si="1189"/>
        <v>0</v>
      </c>
      <c r="EC401" s="5" t="s">
        <v>253</v>
      </c>
      <c r="ED401" s="5">
        <f t="shared" si="1190"/>
        <v>0</v>
      </c>
      <c r="EE401" s="5" t="s">
        <v>253</v>
      </c>
      <c r="EF401" s="5">
        <f t="shared" si="1191"/>
        <v>0</v>
      </c>
      <c r="EG401" s="5">
        <f t="shared" si="1192"/>
        <v>0</v>
      </c>
      <c r="EH401" s="5" t="str">
        <f t="shared" si="1193"/>
        <v>Nivel de riesgo bajo</v>
      </c>
      <c r="EI401" s="5" t="s">
        <v>253</v>
      </c>
      <c r="EJ401" s="5">
        <f t="shared" si="1194"/>
        <v>0</v>
      </c>
      <c r="EK401" s="5" t="s">
        <v>248</v>
      </c>
      <c r="EL401" s="5">
        <f t="shared" si="1195"/>
        <v>1</v>
      </c>
      <c r="EM401" s="5" t="s">
        <v>232</v>
      </c>
      <c r="EN401" s="5">
        <f t="shared" si="1196"/>
        <v>3</v>
      </c>
      <c r="EO401" s="5">
        <f t="shared" si="1197"/>
        <v>4</v>
      </c>
      <c r="EP401" s="5" t="str">
        <f t="shared" si="1198"/>
        <v>Nivel de riesgo medio</v>
      </c>
      <c r="EQ401" s="5" t="s">
        <v>232</v>
      </c>
      <c r="ER401" s="5">
        <f t="shared" si="1199"/>
        <v>1</v>
      </c>
      <c r="ES401" s="5" t="s">
        <v>232</v>
      </c>
      <c r="ET401" s="5">
        <f t="shared" si="1200"/>
        <v>1</v>
      </c>
      <c r="EU401" s="5" t="s">
        <v>232</v>
      </c>
      <c r="EV401" s="5">
        <f t="shared" si="1201"/>
        <v>1</v>
      </c>
      <c r="EW401" s="5" t="s">
        <v>232</v>
      </c>
      <c r="EX401" s="5">
        <f t="shared" si="1202"/>
        <v>1</v>
      </c>
      <c r="EY401" s="5">
        <f t="shared" si="1203"/>
        <v>4</v>
      </c>
      <c r="EZ401" s="5" t="str">
        <f t="shared" si="1204"/>
        <v>Nivel de riesgo medio</v>
      </c>
      <c r="FA401" s="5" t="s">
        <v>254</v>
      </c>
      <c r="FB401" s="5">
        <f t="shared" si="1205"/>
        <v>4</v>
      </c>
      <c r="FC401" s="5" t="s">
        <v>232</v>
      </c>
      <c r="FD401" s="5">
        <f t="shared" si="1206"/>
        <v>3</v>
      </c>
      <c r="FE401" s="5" t="s">
        <v>232</v>
      </c>
      <c r="FF401" s="5">
        <f t="shared" si="1207"/>
        <v>3</v>
      </c>
      <c r="FG401" s="5">
        <f t="shared" si="1208"/>
        <v>10</v>
      </c>
      <c r="FH401" s="5" t="str">
        <f t="shared" si="1209"/>
        <v>Nivel de riesgo alto</v>
      </c>
      <c r="FI401" s="5" t="s">
        <v>232</v>
      </c>
      <c r="FJ401" s="5">
        <f t="shared" si="1210"/>
        <v>3</v>
      </c>
      <c r="FK401" s="5" t="s">
        <v>232</v>
      </c>
      <c r="FL401" s="5">
        <f t="shared" si="1211"/>
        <v>3</v>
      </c>
      <c r="FM401" s="5" t="s">
        <v>232</v>
      </c>
      <c r="FN401" s="5">
        <f t="shared" si="1212"/>
        <v>3</v>
      </c>
      <c r="FO401" s="5">
        <f t="shared" si="1213"/>
        <v>9</v>
      </c>
      <c r="FP401" s="5" t="str">
        <f t="shared" si="1214"/>
        <v>Nivel de riesgo alto</v>
      </c>
      <c r="FQ401" s="5" t="s">
        <v>206</v>
      </c>
      <c r="FR401" s="5">
        <f t="shared" si="1215"/>
        <v>0</v>
      </c>
      <c r="FS401" s="5" t="s">
        <v>206</v>
      </c>
      <c r="FT401" s="5">
        <f t="shared" si="1216"/>
        <v>0</v>
      </c>
      <c r="FU401" s="5" t="s">
        <v>206</v>
      </c>
      <c r="FV401" s="5">
        <f t="shared" si="1217"/>
        <v>0</v>
      </c>
      <c r="FW401" s="5" t="s">
        <v>206</v>
      </c>
      <c r="FX401" s="5">
        <f t="shared" si="1218"/>
        <v>0</v>
      </c>
      <c r="FY401" s="5" t="s">
        <v>206</v>
      </c>
      <c r="FZ401" s="5">
        <f t="shared" si="1219"/>
        <v>0</v>
      </c>
      <c r="GA401" s="5" t="s">
        <v>206</v>
      </c>
      <c r="GB401" s="5">
        <f t="shared" si="1220"/>
        <v>0</v>
      </c>
      <c r="GC401" s="5" t="s">
        <v>206</v>
      </c>
      <c r="GD401" s="5">
        <f t="shared" si="1221"/>
        <v>0</v>
      </c>
      <c r="GE401" s="5">
        <f t="shared" si="1222"/>
        <v>0</v>
      </c>
      <c r="GF401" s="5" t="str">
        <f t="shared" si="1223"/>
        <v>Nivel de riesgo bajo</v>
      </c>
      <c r="GG401" s="5" t="s">
        <v>255</v>
      </c>
      <c r="GH401" s="5" t="s">
        <v>255</v>
      </c>
      <c r="GI401" s="5" t="s">
        <v>273</v>
      </c>
      <c r="GJ401" s="5" t="s">
        <v>273</v>
      </c>
      <c r="GK401" s="5" t="s">
        <v>233</v>
      </c>
      <c r="GL401" s="5" t="s">
        <v>273</v>
      </c>
      <c r="GM401" s="5" t="s">
        <v>273</v>
      </c>
      <c r="GN401" s="5" t="s">
        <v>243</v>
      </c>
      <c r="GO401" s="5" t="s">
        <v>243</v>
      </c>
      <c r="GP401" s="5" t="s">
        <v>243</v>
      </c>
      <c r="GQ401" s="5" t="s">
        <v>243</v>
      </c>
      <c r="GR401" s="5" t="s">
        <v>243</v>
      </c>
      <c r="GS401" s="5" t="s">
        <v>243</v>
      </c>
      <c r="GT401" s="5" t="s">
        <v>243</v>
      </c>
      <c r="GU401" s="5" t="s">
        <v>338</v>
      </c>
      <c r="GV401" s="5" t="str">
        <f>TEXT("6283648723614794074","0")</f>
        <v>6283648723614790000</v>
      </c>
    </row>
    <row r="402" spans="1:204" ht="15.75" customHeight="1" x14ac:dyDescent="0.15">
      <c r="A402" s="1">
        <f t="shared" si="1173"/>
        <v>402</v>
      </c>
      <c r="B402" s="4">
        <v>45853.40519675926</v>
      </c>
      <c r="C402" s="5" t="s">
        <v>204</v>
      </c>
      <c r="D402" s="5" t="s">
        <v>204</v>
      </c>
      <c r="E402" s="5" t="s">
        <v>335</v>
      </c>
      <c r="F402" s="5" t="s">
        <v>206</v>
      </c>
      <c r="G402" s="5" t="s">
        <v>204</v>
      </c>
      <c r="H402" s="5" t="s">
        <v>206</v>
      </c>
      <c r="K402" s="5" t="s">
        <v>237</v>
      </c>
      <c r="N402" s="5" t="s">
        <v>208</v>
      </c>
      <c r="T402" s="5" t="s">
        <v>209</v>
      </c>
      <c r="AB402" s="5" t="s">
        <v>207</v>
      </c>
      <c r="AE402" s="5" t="s">
        <v>237</v>
      </c>
      <c r="AH402" s="5" t="s">
        <v>268</v>
      </c>
      <c r="AI402" s="5">
        <v>2006</v>
      </c>
      <c r="AJ402" s="5" t="s">
        <v>238</v>
      </c>
      <c r="AK402" s="5" t="str">
        <f t="shared" si="1174"/>
        <v>Trabajadora por cuenta propia</v>
      </c>
      <c r="AN402" s="5" t="s">
        <v>288</v>
      </c>
      <c r="AP402" s="5" t="s">
        <v>240</v>
      </c>
      <c r="AR402" s="5" t="s">
        <v>276</v>
      </c>
      <c r="AS402" s="5" t="s">
        <v>276</v>
      </c>
      <c r="AT402" s="5" t="s">
        <v>276</v>
      </c>
      <c r="AU402" s="5" t="s">
        <v>276</v>
      </c>
      <c r="AV402" s="5" t="s">
        <v>213</v>
      </c>
      <c r="AW402" s="5" t="s">
        <v>206</v>
      </c>
      <c r="BF402" s="5" t="s">
        <v>204</v>
      </c>
      <c r="BG402" s="5" t="s">
        <v>278</v>
      </c>
      <c r="BH402" s="5" t="s">
        <v>215</v>
      </c>
      <c r="BI402" s="5" t="s">
        <v>278</v>
      </c>
      <c r="BJ402" s="5" t="s">
        <v>215</v>
      </c>
      <c r="BK402" s="5" t="s">
        <v>244</v>
      </c>
      <c r="BL402" s="5" t="s">
        <v>244</v>
      </c>
      <c r="BM402" s="5" t="s">
        <v>244</v>
      </c>
      <c r="BN402" s="5" t="s">
        <v>246</v>
      </c>
      <c r="BO402" s="5" t="s">
        <v>246</v>
      </c>
      <c r="BP402" s="5" t="s">
        <v>243</v>
      </c>
      <c r="BQ402" s="5" t="s">
        <v>244</v>
      </c>
      <c r="BR402" s="5" t="s">
        <v>243</v>
      </c>
      <c r="BS402" s="5" t="s">
        <v>248</v>
      </c>
      <c r="BT402" s="5" t="s">
        <v>247</v>
      </c>
      <c r="BU402" s="5" t="s">
        <v>248</v>
      </c>
      <c r="BV402" s="5" t="s">
        <v>217</v>
      </c>
      <c r="BW402" s="5" t="s">
        <v>247</v>
      </c>
      <c r="BX402" s="5" t="s">
        <v>247</v>
      </c>
      <c r="BY402" s="5" t="s">
        <v>248</v>
      </c>
      <c r="CD402" s="5" t="s">
        <v>206</v>
      </c>
      <c r="CH402" s="5" t="s">
        <v>206</v>
      </c>
      <c r="CI402" s="5" t="s">
        <v>307</v>
      </c>
      <c r="CJ402" s="5">
        <v>2</v>
      </c>
      <c r="CK402" s="5" t="s">
        <v>223</v>
      </c>
      <c r="CU402" s="5" t="s">
        <v>206</v>
      </c>
      <c r="DA402" s="5" t="s">
        <v>272</v>
      </c>
      <c r="DB402" s="5">
        <f t="shared" si="1175"/>
        <v>1</v>
      </c>
      <c r="DC402" s="5" t="s">
        <v>250</v>
      </c>
      <c r="DD402" s="5">
        <f t="shared" si="1176"/>
        <v>3</v>
      </c>
      <c r="DE402" s="5" t="s">
        <v>230</v>
      </c>
      <c r="DF402" s="5">
        <f t="shared" si="1177"/>
        <v>2</v>
      </c>
      <c r="DG402" s="5" t="s">
        <v>280</v>
      </c>
      <c r="DH402" s="5">
        <f t="shared" si="1178"/>
        <v>4</v>
      </c>
      <c r="DI402" s="5" t="s">
        <v>250</v>
      </c>
      <c r="DJ402" s="5">
        <f t="shared" si="1179"/>
        <v>3</v>
      </c>
      <c r="DK402" s="5" t="s">
        <v>251</v>
      </c>
      <c r="DL402" s="5">
        <f t="shared" si="1180"/>
        <v>1</v>
      </c>
      <c r="DM402" s="5" t="s">
        <v>251</v>
      </c>
      <c r="DN402" s="5">
        <f t="shared" si="1181"/>
        <v>1</v>
      </c>
      <c r="DO402" s="5" t="s">
        <v>281</v>
      </c>
      <c r="DP402" s="5">
        <f t="shared" si="1182"/>
        <v>1</v>
      </c>
      <c r="DQ402" s="5" t="s">
        <v>281</v>
      </c>
      <c r="DR402" s="5">
        <f t="shared" si="1183"/>
        <v>1</v>
      </c>
      <c r="DS402" s="5" t="s">
        <v>231</v>
      </c>
      <c r="DT402" s="5">
        <f t="shared" si="1184"/>
        <v>2</v>
      </c>
      <c r="DU402" s="5" t="s">
        <v>281</v>
      </c>
      <c r="DV402" s="5">
        <f t="shared" si="1185"/>
        <v>1</v>
      </c>
      <c r="DW402" s="5" t="s">
        <v>231</v>
      </c>
      <c r="DX402" s="5">
        <f t="shared" si="1186"/>
        <v>2</v>
      </c>
      <c r="DY402" s="5">
        <f t="shared" si="1187"/>
        <v>22</v>
      </c>
      <c r="DZ402" s="5" t="str">
        <f t="shared" si="1188"/>
        <v>Nivel de riesgo medio</v>
      </c>
      <c r="EA402" s="5" t="s">
        <v>232</v>
      </c>
      <c r="EB402" s="5">
        <f t="shared" si="1189"/>
        <v>3</v>
      </c>
      <c r="EC402" s="5" t="s">
        <v>247</v>
      </c>
      <c r="ED402" s="5">
        <f t="shared" si="1190"/>
        <v>2</v>
      </c>
      <c r="EE402" s="5" t="s">
        <v>247</v>
      </c>
      <c r="EF402" s="5">
        <f t="shared" si="1191"/>
        <v>2</v>
      </c>
      <c r="EG402" s="5">
        <f t="shared" si="1192"/>
        <v>7</v>
      </c>
      <c r="EH402" s="5" t="str">
        <f t="shared" si="1193"/>
        <v>Nivel de riesgo alto</v>
      </c>
      <c r="EI402" s="5" t="s">
        <v>248</v>
      </c>
      <c r="EJ402" s="5">
        <f t="shared" si="1194"/>
        <v>1</v>
      </c>
      <c r="EK402" s="5" t="s">
        <v>248</v>
      </c>
      <c r="EL402" s="5">
        <f t="shared" si="1195"/>
        <v>1</v>
      </c>
      <c r="EM402" s="5" t="s">
        <v>248</v>
      </c>
      <c r="EN402" s="5">
        <f t="shared" si="1196"/>
        <v>1</v>
      </c>
      <c r="EO402" s="5">
        <f t="shared" si="1197"/>
        <v>3</v>
      </c>
      <c r="EP402" s="5" t="str">
        <f t="shared" si="1198"/>
        <v>Nivel de riesgo medio</v>
      </c>
      <c r="EQ402" s="5" t="s">
        <v>253</v>
      </c>
      <c r="ER402" s="5">
        <f t="shared" si="1199"/>
        <v>4</v>
      </c>
      <c r="ES402" s="5" t="s">
        <v>248</v>
      </c>
      <c r="ET402" s="5">
        <f t="shared" si="1200"/>
        <v>3</v>
      </c>
      <c r="EU402" s="5" t="s">
        <v>247</v>
      </c>
      <c r="EV402" s="5">
        <f t="shared" si="1201"/>
        <v>2</v>
      </c>
      <c r="EW402" s="5" t="s">
        <v>247</v>
      </c>
      <c r="EX402" s="5">
        <f t="shared" si="1202"/>
        <v>2</v>
      </c>
      <c r="EY402" s="5">
        <f t="shared" si="1203"/>
        <v>11</v>
      </c>
      <c r="EZ402" s="5" t="str">
        <f t="shared" si="1204"/>
        <v>Nivel de riesgo alto</v>
      </c>
      <c r="FA402" s="5" t="s">
        <v>247</v>
      </c>
      <c r="FB402" s="5">
        <f t="shared" si="1205"/>
        <v>2</v>
      </c>
      <c r="FC402" s="5" t="s">
        <v>247</v>
      </c>
      <c r="FD402" s="5">
        <f t="shared" si="1206"/>
        <v>2</v>
      </c>
      <c r="FE402" s="5" t="s">
        <v>247</v>
      </c>
      <c r="FF402" s="5">
        <f t="shared" si="1207"/>
        <v>2</v>
      </c>
      <c r="FG402" s="5">
        <f t="shared" si="1208"/>
        <v>6</v>
      </c>
      <c r="FH402" s="5" t="str">
        <f t="shared" si="1209"/>
        <v>Nivel de riesgo alto</v>
      </c>
      <c r="FI402" s="5" t="s">
        <v>247</v>
      </c>
      <c r="FJ402" s="5">
        <f t="shared" si="1210"/>
        <v>2</v>
      </c>
      <c r="FK402" s="5" t="s">
        <v>247</v>
      </c>
      <c r="FL402" s="5">
        <f t="shared" si="1211"/>
        <v>2</v>
      </c>
      <c r="FM402" s="5" t="s">
        <v>247</v>
      </c>
      <c r="FN402" s="5">
        <f t="shared" si="1212"/>
        <v>2</v>
      </c>
      <c r="FO402" s="5">
        <f t="shared" si="1213"/>
        <v>6</v>
      </c>
      <c r="FP402" s="5" t="str">
        <f t="shared" si="1214"/>
        <v>Nivel de riesgo alto</v>
      </c>
      <c r="FQ402" s="5" t="s">
        <v>206</v>
      </c>
      <c r="FR402" s="5">
        <f t="shared" si="1215"/>
        <v>0</v>
      </c>
      <c r="FS402" s="5" t="s">
        <v>206</v>
      </c>
      <c r="FT402" s="5">
        <f t="shared" si="1216"/>
        <v>0</v>
      </c>
      <c r="FU402" s="5" t="s">
        <v>206</v>
      </c>
      <c r="FV402" s="5">
        <f t="shared" si="1217"/>
        <v>0</v>
      </c>
      <c r="FW402" s="5" t="s">
        <v>206</v>
      </c>
      <c r="FX402" s="5">
        <f t="shared" si="1218"/>
        <v>0</v>
      </c>
      <c r="FY402" s="5" t="s">
        <v>206</v>
      </c>
      <c r="FZ402" s="5">
        <f t="shared" si="1219"/>
        <v>0</v>
      </c>
      <c r="GA402" s="5" t="s">
        <v>206</v>
      </c>
      <c r="GB402" s="5">
        <f t="shared" si="1220"/>
        <v>0</v>
      </c>
      <c r="GC402" s="5" t="s">
        <v>206</v>
      </c>
      <c r="GD402" s="5">
        <f t="shared" si="1221"/>
        <v>0</v>
      </c>
      <c r="GE402" s="5">
        <f t="shared" si="1222"/>
        <v>0</v>
      </c>
      <c r="GF402" s="5" t="str">
        <f t="shared" si="1223"/>
        <v>Nivel de riesgo bajo</v>
      </c>
      <c r="GG402" s="5" t="s">
        <v>273</v>
      </c>
      <c r="GH402" s="5" t="s">
        <v>273</v>
      </c>
      <c r="GI402" s="5" t="s">
        <v>273</v>
      </c>
      <c r="GJ402" s="5" t="s">
        <v>273</v>
      </c>
      <c r="GK402" s="5" t="s">
        <v>233</v>
      </c>
      <c r="GL402" s="5" t="s">
        <v>233</v>
      </c>
      <c r="GM402" s="5" t="s">
        <v>298</v>
      </c>
      <c r="GN402" s="5" t="s">
        <v>243</v>
      </c>
      <c r="GO402" s="5" t="s">
        <v>243</v>
      </c>
      <c r="GP402" s="5" t="s">
        <v>243</v>
      </c>
      <c r="GQ402" s="5" t="s">
        <v>243</v>
      </c>
      <c r="GR402" s="5" t="s">
        <v>243</v>
      </c>
      <c r="GS402" s="5" t="s">
        <v>243</v>
      </c>
      <c r="GT402" s="5" t="s">
        <v>243</v>
      </c>
      <c r="GU402" s="5" t="s">
        <v>768</v>
      </c>
      <c r="GV402" s="5" t="str">
        <f>TEXT("6283962094127826468","0")</f>
        <v>6283962094127820000</v>
      </c>
    </row>
    <row r="403" spans="1:204" ht="15.75" customHeight="1" x14ac:dyDescent="0.15">
      <c r="A403" s="1">
        <f t="shared" si="1173"/>
        <v>403</v>
      </c>
      <c r="B403" s="4">
        <v>45853.411249999997</v>
      </c>
      <c r="C403" s="5" t="s">
        <v>204</v>
      </c>
      <c r="D403" s="5" t="s">
        <v>206</v>
      </c>
      <c r="F403" s="5" t="s">
        <v>206</v>
      </c>
      <c r="G403" s="5" t="s">
        <v>206</v>
      </c>
      <c r="H403" s="5" t="s">
        <v>206</v>
      </c>
      <c r="K403" s="5" t="s">
        <v>237</v>
      </c>
      <c r="P403" s="5" t="s">
        <v>237</v>
      </c>
      <c r="T403" s="5" t="s">
        <v>209</v>
      </c>
      <c r="Y403" s="5" t="s">
        <v>209</v>
      </c>
      <c r="AE403" s="5" t="s">
        <v>237</v>
      </c>
      <c r="AH403" s="5" t="s">
        <v>210</v>
      </c>
      <c r="AI403" s="5">
        <v>2009</v>
      </c>
      <c r="AJ403" s="5" t="s">
        <v>238</v>
      </c>
      <c r="AK403" s="5" t="str">
        <f t="shared" si="1174"/>
        <v>Trabajadora por cuenta propia</v>
      </c>
      <c r="AM403" s="5" t="s">
        <v>309</v>
      </c>
      <c r="AP403" s="5" t="s">
        <v>284</v>
      </c>
      <c r="AR403" s="5" t="s">
        <v>301</v>
      </c>
      <c r="AS403" s="5" t="s">
        <v>301</v>
      </c>
      <c r="AT403" s="5" t="s">
        <v>301</v>
      </c>
      <c r="AU403" s="5" t="s">
        <v>301</v>
      </c>
      <c r="AV403" s="5" t="s">
        <v>269</v>
      </c>
      <c r="AW403" s="5" t="s">
        <v>204</v>
      </c>
      <c r="AX403" s="5" t="s">
        <v>206</v>
      </c>
      <c r="BF403" s="5" t="s">
        <v>204</v>
      </c>
      <c r="BG403" s="5" t="s">
        <v>264</v>
      </c>
      <c r="BH403" s="5" t="s">
        <v>264</v>
      </c>
      <c r="BI403" s="5" t="s">
        <v>264</v>
      </c>
      <c r="BJ403" s="5" t="s">
        <v>264</v>
      </c>
      <c r="BK403" s="5" t="s">
        <v>216</v>
      </c>
      <c r="BL403" s="5" t="s">
        <v>244</v>
      </c>
      <c r="BM403" s="5" t="s">
        <v>246</v>
      </c>
      <c r="BN403" s="5" t="s">
        <v>243</v>
      </c>
      <c r="BO403" s="5" t="s">
        <v>245</v>
      </c>
      <c r="BP403" s="5" t="s">
        <v>243</v>
      </c>
      <c r="BQ403" s="5" t="s">
        <v>246</v>
      </c>
      <c r="BR403" s="5" t="s">
        <v>246</v>
      </c>
      <c r="BS403" s="5" t="s">
        <v>254</v>
      </c>
      <c r="BT403" s="5" t="s">
        <v>248</v>
      </c>
      <c r="BU403" s="5" t="s">
        <v>254</v>
      </c>
      <c r="BV403" s="5" t="s">
        <v>247</v>
      </c>
      <c r="BW403" s="5" t="s">
        <v>254</v>
      </c>
      <c r="BX403" s="5" t="s">
        <v>247</v>
      </c>
      <c r="BY403" s="5" t="s">
        <v>254</v>
      </c>
      <c r="BZ403" s="5" t="s">
        <v>243</v>
      </c>
      <c r="CA403" s="5" t="s">
        <v>243</v>
      </c>
      <c r="CB403" s="5" t="s">
        <v>243</v>
      </c>
      <c r="CC403" s="5" t="s">
        <v>243</v>
      </c>
      <c r="CD403" s="5" t="s">
        <v>206</v>
      </c>
      <c r="CH403" s="5" t="s">
        <v>206</v>
      </c>
      <c r="CI403" s="5" t="s">
        <v>249</v>
      </c>
      <c r="CJ403" s="5">
        <v>1</v>
      </c>
      <c r="CK403" s="5" t="s">
        <v>223</v>
      </c>
      <c r="CU403" s="5" t="s">
        <v>206</v>
      </c>
      <c r="DA403" s="5" t="s">
        <v>272</v>
      </c>
      <c r="DB403" s="5">
        <f t="shared" si="1175"/>
        <v>1</v>
      </c>
      <c r="DC403" s="5" t="s">
        <v>250</v>
      </c>
      <c r="DD403" s="5">
        <f t="shared" si="1176"/>
        <v>3</v>
      </c>
      <c r="DE403" s="5" t="s">
        <v>250</v>
      </c>
      <c r="DF403" s="5">
        <f t="shared" si="1177"/>
        <v>3</v>
      </c>
      <c r="DG403" s="5" t="s">
        <v>250</v>
      </c>
      <c r="DH403" s="5">
        <f t="shared" si="1178"/>
        <v>3</v>
      </c>
      <c r="DI403" s="5" t="s">
        <v>250</v>
      </c>
      <c r="DJ403" s="5">
        <f t="shared" si="1179"/>
        <v>3</v>
      </c>
      <c r="DK403" s="5" t="s">
        <v>250</v>
      </c>
      <c r="DL403" s="5">
        <f t="shared" si="1180"/>
        <v>3</v>
      </c>
      <c r="DM403" s="5" t="s">
        <v>250</v>
      </c>
      <c r="DN403" s="5">
        <f t="shared" si="1181"/>
        <v>3</v>
      </c>
      <c r="DO403" s="5" t="s">
        <v>252</v>
      </c>
      <c r="DP403" s="5">
        <f t="shared" si="1182"/>
        <v>3</v>
      </c>
      <c r="DQ403" s="5" t="s">
        <v>252</v>
      </c>
      <c r="DR403" s="5">
        <f t="shared" si="1183"/>
        <v>3</v>
      </c>
      <c r="DS403" s="5" t="s">
        <v>252</v>
      </c>
      <c r="DT403" s="5">
        <f t="shared" si="1184"/>
        <v>3</v>
      </c>
      <c r="DU403" s="5" t="s">
        <v>252</v>
      </c>
      <c r="DV403" s="5">
        <f t="shared" si="1185"/>
        <v>3</v>
      </c>
      <c r="DW403" s="5" t="s">
        <v>252</v>
      </c>
      <c r="DX403" s="5">
        <f t="shared" si="1186"/>
        <v>3</v>
      </c>
      <c r="DY403" s="5">
        <f t="shared" si="1187"/>
        <v>34</v>
      </c>
      <c r="DZ403" s="5" t="str">
        <f t="shared" si="1188"/>
        <v>Nivel de riesgo alto</v>
      </c>
      <c r="EA403" s="5" t="s">
        <v>253</v>
      </c>
      <c r="EB403" s="5">
        <f t="shared" si="1189"/>
        <v>0</v>
      </c>
      <c r="EC403" s="5" t="s">
        <v>253</v>
      </c>
      <c r="ED403" s="5">
        <f t="shared" si="1190"/>
        <v>0</v>
      </c>
      <c r="EE403" s="5" t="s">
        <v>253</v>
      </c>
      <c r="EF403" s="5">
        <f t="shared" si="1191"/>
        <v>0</v>
      </c>
      <c r="EG403" s="5">
        <f t="shared" si="1192"/>
        <v>0</v>
      </c>
      <c r="EH403" s="5" t="str">
        <f t="shared" si="1193"/>
        <v>Nivel de riesgo bajo</v>
      </c>
      <c r="EI403" s="5" t="s">
        <v>253</v>
      </c>
      <c r="EJ403" s="5">
        <f t="shared" si="1194"/>
        <v>0</v>
      </c>
      <c r="EK403" s="5" t="s">
        <v>253</v>
      </c>
      <c r="EL403" s="5">
        <f t="shared" si="1195"/>
        <v>0</v>
      </c>
      <c r="EM403" s="5" t="s">
        <v>253</v>
      </c>
      <c r="EN403" s="5">
        <f t="shared" si="1196"/>
        <v>0</v>
      </c>
      <c r="EO403" s="5">
        <f t="shared" si="1197"/>
        <v>0</v>
      </c>
      <c r="EP403" s="5" t="str">
        <f t="shared" si="1198"/>
        <v>Nivel de riesgo bajo</v>
      </c>
      <c r="EQ403" s="5" t="s">
        <v>253</v>
      </c>
      <c r="ER403" s="5">
        <f t="shared" si="1199"/>
        <v>4</v>
      </c>
      <c r="ES403" s="5" t="s">
        <v>253</v>
      </c>
      <c r="ET403" s="5">
        <f t="shared" si="1200"/>
        <v>4</v>
      </c>
      <c r="EU403" s="5" t="s">
        <v>253</v>
      </c>
      <c r="EV403" s="5">
        <f t="shared" si="1201"/>
        <v>4</v>
      </c>
      <c r="EW403" s="5" t="s">
        <v>253</v>
      </c>
      <c r="EX403" s="5">
        <f t="shared" si="1202"/>
        <v>4</v>
      </c>
      <c r="EY403" s="5">
        <f t="shared" si="1203"/>
        <v>16</v>
      </c>
      <c r="EZ403" s="5" t="str">
        <f t="shared" si="1204"/>
        <v>Nivel de riesgo alto</v>
      </c>
      <c r="FA403" s="5" t="s">
        <v>253</v>
      </c>
      <c r="FB403" s="5">
        <f t="shared" si="1205"/>
        <v>0</v>
      </c>
      <c r="FC403" s="5" t="s">
        <v>253</v>
      </c>
      <c r="FD403" s="5">
        <f t="shared" si="1206"/>
        <v>0</v>
      </c>
      <c r="FE403" s="5" t="s">
        <v>253</v>
      </c>
      <c r="FF403" s="5">
        <f t="shared" si="1207"/>
        <v>0</v>
      </c>
      <c r="FG403" s="5">
        <f t="shared" si="1208"/>
        <v>0</v>
      </c>
      <c r="FH403" s="5" t="str">
        <f t="shared" si="1209"/>
        <v>Nivel de riesgo bajo</v>
      </c>
      <c r="FI403" s="5" t="s">
        <v>253</v>
      </c>
      <c r="FJ403" s="5">
        <f t="shared" si="1210"/>
        <v>0</v>
      </c>
      <c r="FK403" s="5" t="s">
        <v>253</v>
      </c>
      <c r="FL403" s="5">
        <f t="shared" si="1211"/>
        <v>0</v>
      </c>
      <c r="FM403" s="5" t="s">
        <v>253</v>
      </c>
      <c r="FN403" s="5">
        <f t="shared" si="1212"/>
        <v>0</v>
      </c>
      <c r="FO403" s="5">
        <f t="shared" si="1213"/>
        <v>0</v>
      </c>
      <c r="FP403" s="5" t="str">
        <f t="shared" si="1214"/>
        <v>Nivel de riesgo bajo</v>
      </c>
      <c r="FQ403" s="5" t="s">
        <v>391</v>
      </c>
      <c r="FR403" s="5">
        <f t="shared" si="1215"/>
        <v>4</v>
      </c>
      <c r="FS403" s="5" t="s">
        <v>391</v>
      </c>
      <c r="FT403" s="5">
        <f t="shared" si="1216"/>
        <v>4</v>
      </c>
      <c r="FU403" s="5" t="s">
        <v>391</v>
      </c>
      <c r="FV403" s="5">
        <f t="shared" si="1217"/>
        <v>4</v>
      </c>
      <c r="FW403" s="5" t="s">
        <v>391</v>
      </c>
      <c r="FX403" s="5">
        <f t="shared" si="1218"/>
        <v>4</v>
      </c>
      <c r="FY403" s="5" t="s">
        <v>391</v>
      </c>
      <c r="FZ403" s="5">
        <f t="shared" si="1219"/>
        <v>4</v>
      </c>
      <c r="GA403" s="5" t="s">
        <v>391</v>
      </c>
      <c r="GB403" s="5">
        <f t="shared" si="1220"/>
        <v>4</v>
      </c>
      <c r="GC403" s="5" t="s">
        <v>391</v>
      </c>
      <c r="GD403" s="5">
        <f t="shared" si="1221"/>
        <v>4</v>
      </c>
      <c r="GE403" s="5">
        <f t="shared" si="1222"/>
        <v>28</v>
      </c>
      <c r="GF403" s="5" t="str">
        <f t="shared" si="1223"/>
        <v>Nivel de riesgo alto</v>
      </c>
      <c r="GG403" s="5" t="s">
        <v>255</v>
      </c>
      <c r="GH403" s="5" t="s">
        <v>255</v>
      </c>
      <c r="GI403" s="5" t="s">
        <v>255</v>
      </c>
      <c r="GJ403" s="5" t="s">
        <v>255</v>
      </c>
      <c r="GK403" s="5" t="s">
        <v>255</v>
      </c>
      <c r="GL403" s="5" t="s">
        <v>255</v>
      </c>
      <c r="GM403" s="5" t="s">
        <v>255</v>
      </c>
      <c r="GN403" s="5" t="s">
        <v>256</v>
      </c>
      <c r="GO403" s="5" t="s">
        <v>256</v>
      </c>
      <c r="GP403" s="5" t="s">
        <v>256</v>
      </c>
      <c r="GQ403" s="5" t="s">
        <v>256</v>
      </c>
      <c r="GR403" s="5" t="s">
        <v>256</v>
      </c>
      <c r="GS403" s="5" t="s">
        <v>256</v>
      </c>
      <c r="GT403" s="5" t="s">
        <v>256</v>
      </c>
      <c r="GU403" s="5" t="s">
        <v>769</v>
      </c>
      <c r="GV403" s="5" t="str">
        <f>TEXT("6283967329327539037","0")</f>
        <v>6283967329327530000</v>
      </c>
    </row>
    <row r="404" spans="1:204" ht="15.75" customHeight="1" x14ac:dyDescent="0.15">
      <c r="A404" s="1">
        <f t="shared" si="1173"/>
        <v>404</v>
      </c>
      <c r="B404" s="4">
        <v>45853.43378472222</v>
      </c>
      <c r="C404" s="5" t="s">
        <v>204</v>
      </c>
      <c r="D404" s="5" t="s">
        <v>206</v>
      </c>
      <c r="F404" s="5" t="s">
        <v>206</v>
      </c>
      <c r="G404" s="5" t="s">
        <v>206</v>
      </c>
      <c r="H404" s="5" t="s">
        <v>206</v>
      </c>
      <c r="L404" s="5" t="s">
        <v>236</v>
      </c>
      <c r="P404" s="5" t="s">
        <v>237</v>
      </c>
      <c r="U404" s="5" t="s">
        <v>237</v>
      </c>
      <c r="X404" s="5" t="s">
        <v>208</v>
      </c>
      <c r="AC404" s="5" t="s">
        <v>208</v>
      </c>
      <c r="AH404" s="5" t="s">
        <v>259</v>
      </c>
      <c r="AI404" s="5">
        <v>2023</v>
      </c>
      <c r="AJ404" s="5" t="s">
        <v>238</v>
      </c>
      <c r="AK404" s="5" t="str">
        <f t="shared" si="1174"/>
        <v>Trabajadora por cuenta propia</v>
      </c>
      <c r="AL404" s="5" t="s">
        <v>239</v>
      </c>
      <c r="AP404" s="5" t="s">
        <v>770</v>
      </c>
      <c r="AR404" s="5" t="s">
        <v>301</v>
      </c>
      <c r="AS404" s="5" t="s">
        <v>301</v>
      </c>
      <c r="AT404" s="5" t="s">
        <v>301</v>
      </c>
      <c r="AU404" s="5" t="s">
        <v>301</v>
      </c>
      <c r="AV404" s="5" t="s">
        <v>285</v>
      </c>
      <c r="AW404" s="5" t="s">
        <v>204</v>
      </c>
      <c r="AX404" s="5" t="s">
        <v>204</v>
      </c>
      <c r="AY404" s="5" t="s">
        <v>214</v>
      </c>
      <c r="AZ404" s="5" t="s">
        <v>204</v>
      </c>
      <c r="BA404" s="5" t="s">
        <v>263</v>
      </c>
      <c r="BF404" s="5" t="s">
        <v>204</v>
      </c>
      <c r="BG404" s="5" t="s">
        <v>271</v>
      </c>
      <c r="BH404" s="5" t="s">
        <v>242</v>
      </c>
      <c r="BI404" s="5" t="s">
        <v>215</v>
      </c>
      <c r="BJ404" s="5" t="s">
        <v>264</v>
      </c>
      <c r="BK404" s="5" t="s">
        <v>244</v>
      </c>
      <c r="BL404" s="5" t="s">
        <v>244</v>
      </c>
      <c r="BM404" s="5" t="s">
        <v>244</v>
      </c>
      <c r="BN404" s="5" t="s">
        <v>244</v>
      </c>
      <c r="BO404" s="5" t="s">
        <v>244</v>
      </c>
      <c r="BP404" s="5" t="s">
        <v>246</v>
      </c>
      <c r="BQ404" s="5" t="s">
        <v>244</v>
      </c>
      <c r="BR404" s="5" t="s">
        <v>244</v>
      </c>
      <c r="BS404" s="5" t="s">
        <v>217</v>
      </c>
      <c r="BT404" s="5" t="s">
        <v>248</v>
      </c>
      <c r="BU404" s="5" t="s">
        <v>232</v>
      </c>
      <c r="BV404" s="5" t="s">
        <v>232</v>
      </c>
      <c r="BW404" s="5" t="s">
        <v>247</v>
      </c>
      <c r="BX404" s="5" t="s">
        <v>247</v>
      </c>
      <c r="BY404" s="5" t="s">
        <v>247</v>
      </c>
      <c r="BZ404" s="5" t="s">
        <v>246</v>
      </c>
      <c r="CA404" s="5" t="s">
        <v>246</v>
      </c>
      <c r="CB404" s="5" t="s">
        <v>216</v>
      </c>
      <c r="CC404" s="5" t="s">
        <v>246</v>
      </c>
      <c r="CD404" s="5" t="s">
        <v>206</v>
      </c>
      <c r="CH404" s="5" t="s">
        <v>310</v>
      </c>
      <c r="CI404" s="5" t="s">
        <v>307</v>
      </c>
      <c r="CJ404" s="5">
        <v>3</v>
      </c>
      <c r="CK404" s="5" t="s">
        <v>223</v>
      </c>
      <c r="CU404" s="5" t="s">
        <v>206</v>
      </c>
      <c r="DA404" s="5" t="s">
        <v>252</v>
      </c>
      <c r="DB404" s="5">
        <f t="shared" si="1175"/>
        <v>3</v>
      </c>
      <c r="DC404" s="5" t="s">
        <v>251</v>
      </c>
      <c r="DD404" s="5">
        <f t="shared" si="1176"/>
        <v>1</v>
      </c>
      <c r="DE404" s="5" t="s">
        <v>251</v>
      </c>
      <c r="DF404" s="5">
        <f t="shared" si="1177"/>
        <v>1</v>
      </c>
      <c r="DG404" s="5" t="s">
        <v>251</v>
      </c>
      <c r="DH404" s="5">
        <f t="shared" si="1178"/>
        <v>1</v>
      </c>
      <c r="DI404" s="5" t="s">
        <v>251</v>
      </c>
      <c r="DJ404" s="5">
        <f t="shared" si="1179"/>
        <v>1</v>
      </c>
      <c r="DK404" s="5" t="s">
        <v>251</v>
      </c>
      <c r="DL404" s="5">
        <f t="shared" si="1180"/>
        <v>1</v>
      </c>
      <c r="DM404" s="5" t="s">
        <v>251</v>
      </c>
      <c r="DN404" s="5">
        <f t="shared" si="1181"/>
        <v>1</v>
      </c>
      <c r="DO404" s="5" t="s">
        <v>229</v>
      </c>
      <c r="DP404" s="5">
        <f t="shared" si="1182"/>
        <v>4</v>
      </c>
      <c r="DQ404" s="5" t="s">
        <v>229</v>
      </c>
      <c r="DR404" s="5">
        <f t="shared" si="1183"/>
        <v>4</v>
      </c>
      <c r="DS404" s="5" t="s">
        <v>229</v>
      </c>
      <c r="DT404" s="5">
        <f t="shared" si="1184"/>
        <v>4</v>
      </c>
      <c r="DU404" s="5" t="s">
        <v>229</v>
      </c>
      <c r="DV404" s="5">
        <f t="shared" si="1185"/>
        <v>4</v>
      </c>
      <c r="DW404" s="5" t="s">
        <v>229</v>
      </c>
      <c r="DX404" s="5">
        <f t="shared" si="1186"/>
        <v>4</v>
      </c>
      <c r="DY404" s="5">
        <f t="shared" si="1187"/>
        <v>29</v>
      </c>
      <c r="DZ404" s="5" t="str">
        <f t="shared" si="1188"/>
        <v>Nivel de riesgo alto</v>
      </c>
      <c r="EA404" s="5" t="s">
        <v>248</v>
      </c>
      <c r="EB404" s="5">
        <f t="shared" si="1189"/>
        <v>1</v>
      </c>
      <c r="EC404" s="5" t="s">
        <v>247</v>
      </c>
      <c r="ED404" s="5">
        <f t="shared" si="1190"/>
        <v>2</v>
      </c>
      <c r="EE404" s="5" t="s">
        <v>253</v>
      </c>
      <c r="EF404" s="5">
        <f t="shared" si="1191"/>
        <v>0</v>
      </c>
      <c r="EG404" s="5">
        <f t="shared" si="1192"/>
        <v>3</v>
      </c>
      <c r="EH404" s="5" t="str">
        <f t="shared" si="1193"/>
        <v>Nivel de riesgo medio</v>
      </c>
      <c r="EI404" s="5" t="s">
        <v>253</v>
      </c>
      <c r="EJ404" s="5">
        <f t="shared" si="1194"/>
        <v>0</v>
      </c>
      <c r="EK404" s="5" t="s">
        <v>253</v>
      </c>
      <c r="EL404" s="5">
        <f t="shared" si="1195"/>
        <v>0</v>
      </c>
      <c r="EM404" s="5" t="s">
        <v>253</v>
      </c>
      <c r="EN404" s="5">
        <f t="shared" si="1196"/>
        <v>0</v>
      </c>
      <c r="EO404" s="5">
        <f t="shared" si="1197"/>
        <v>0</v>
      </c>
      <c r="EP404" s="5" t="str">
        <f t="shared" si="1198"/>
        <v>Nivel de riesgo bajo</v>
      </c>
      <c r="EQ404" s="5" t="s">
        <v>248</v>
      </c>
      <c r="ER404" s="5">
        <f t="shared" si="1199"/>
        <v>3</v>
      </c>
      <c r="ES404" s="5" t="s">
        <v>248</v>
      </c>
      <c r="ET404" s="5">
        <f t="shared" si="1200"/>
        <v>3</v>
      </c>
      <c r="EU404" s="5" t="s">
        <v>254</v>
      </c>
      <c r="EV404" s="5">
        <f t="shared" si="1201"/>
        <v>0</v>
      </c>
      <c r="EW404" s="5" t="s">
        <v>254</v>
      </c>
      <c r="EX404" s="5">
        <f t="shared" si="1202"/>
        <v>0</v>
      </c>
      <c r="EY404" s="5">
        <f t="shared" si="1203"/>
        <v>6</v>
      </c>
      <c r="EZ404" s="5" t="str">
        <f t="shared" si="1204"/>
        <v>Nivel de riesgo alto</v>
      </c>
      <c r="FA404" s="5" t="s">
        <v>232</v>
      </c>
      <c r="FB404" s="5">
        <f t="shared" si="1205"/>
        <v>3</v>
      </c>
      <c r="FC404" s="5" t="s">
        <v>248</v>
      </c>
      <c r="FD404" s="5">
        <f t="shared" si="1206"/>
        <v>1</v>
      </c>
      <c r="FE404" s="5" t="s">
        <v>248</v>
      </c>
      <c r="FF404" s="5">
        <f t="shared" si="1207"/>
        <v>1</v>
      </c>
      <c r="FG404" s="5">
        <f t="shared" si="1208"/>
        <v>5</v>
      </c>
      <c r="FH404" s="5" t="str">
        <f t="shared" si="1209"/>
        <v>Nivel de riesgo medio</v>
      </c>
      <c r="FI404" s="5" t="s">
        <v>248</v>
      </c>
      <c r="FJ404" s="5">
        <f t="shared" si="1210"/>
        <v>1</v>
      </c>
      <c r="FK404" s="5" t="s">
        <v>247</v>
      </c>
      <c r="FL404" s="5">
        <f t="shared" si="1211"/>
        <v>2</v>
      </c>
      <c r="FM404" s="5" t="s">
        <v>247</v>
      </c>
      <c r="FN404" s="5">
        <f t="shared" si="1212"/>
        <v>2</v>
      </c>
      <c r="FO404" s="5">
        <f t="shared" si="1213"/>
        <v>5</v>
      </c>
      <c r="FP404" s="5" t="str">
        <f t="shared" si="1214"/>
        <v>Nivel de riesgo medio</v>
      </c>
      <c r="FQ404" s="5" t="s">
        <v>206</v>
      </c>
      <c r="FR404" s="5">
        <f t="shared" si="1215"/>
        <v>0</v>
      </c>
      <c r="FS404" s="5" t="s">
        <v>206</v>
      </c>
      <c r="FT404" s="5">
        <f t="shared" si="1216"/>
        <v>0</v>
      </c>
      <c r="FU404" s="5" t="s">
        <v>206</v>
      </c>
      <c r="FV404" s="5">
        <f t="shared" si="1217"/>
        <v>0</v>
      </c>
      <c r="FW404" s="5" t="s">
        <v>206</v>
      </c>
      <c r="FX404" s="5">
        <f t="shared" si="1218"/>
        <v>0</v>
      </c>
      <c r="FY404" s="5" t="s">
        <v>206</v>
      </c>
      <c r="FZ404" s="5">
        <f t="shared" si="1219"/>
        <v>0</v>
      </c>
      <c r="GA404" s="5" t="s">
        <v>206</v>
      </c>
      <c r="GB404" s="5">
        <f t="shared" si="1220"/>
        <v>0</v>
      </c>
      <c r="GC404" s="5" t="s">
        <v>206</v>
      </c>
      <c r="GD404" s="5">
        <f t="shared" si="1221"/>
        <v>0</v>
      </c>
      <c r="GE404" s="5">
        <f t="shared" si="1222"/>
        <v>0</v>
      </c>
      <c r="GF404" s="5" t="str">
        <f t="shared" si="1223"/>
        <v>Nivel de riesgo bajo</v>
      </c>
      <c r="GG404" s="5" t="s">
        <v>255</v>
      </c>
      <c r="GH404" s="5" t="s">
        <v>255</v>
      </c>
      <c r="GI404" s="5" t="s">
        <v>255</v>
      </c>
      <c r="GJ404" s="5" t="s">
        <v>266</v>
      </c>
      <c r="GK404" s="5" t="s">
        <v>233</v>
      </c>
      <c r="GL404" s="5" t="s">
        <v>233</v>
      </c>
      <c r="GM404" s="5" t="s">
        <v>266</v>
      </c>
      <c r="GN404" s="5" t="s">
        <v>234</v>
      </c>
      <c r="GO404" s="5" t="s">
        <v>234</v>
      </c>
      <c r="GP404" s="5" t="s">
        <v>234</v>
      </c>
      <c r="GQ404" s="5" t="s">
        <v>234</v>
      </c>
      <c r="GR404" s="5" t="s">
        <v>234</v>
      </c>
      <c r="GS404" s="5" t="s">
        <v>234</v>
      </c>
      <c r="GT404" s="5" t="s">
        <v>234</v>
      </c>
      <c r="GU404" s="5" t="s">
        <v>771</v>
      </c>
      <c r="GV404" s="5" t="str">
        <f>TEXT("6283986797513455189","0")</f>
        <v>6283986797513450000</v>
      </c>
    </row>
    <row r="405" spans="1:204" ht="15.75" customHeight="1" x14ac:dyDescent="0.15">
      <c r="A405" s="1">
        <f t="shared" si="1173"/>
        <v>405</v>
      </c>
      <c r="B405" s="4">
        <v>45853.52789351852</v>
      </c>
      <c r="C405" s="5" t="s">
        <v>204</v>
      </c>
      <c r="D405" s="5" t="s">
        <v>206</v>
      </c>
      <c r="F405" s="5" t="s">
        <v>206</v>
      </c>
      <c r="G405" s="5" t="s">
        <v>206</v>
      </c>
      <c r="H405" s="5" t="s">
        <v>206</v>
      </c>
      <c r="K405" s="5" t="s">
        <v>237</v>
      </c>
      <c r="Q405" s="5" t="s">
        <v>236</v>
      </c>
      <c r="S405" s="5" t="s">
        <v>208</v>
      </c>
      <c r="Y405" s="5" t="s">
        <v>209</v>
      </c>
      <c r="AE405" s="5" t="s">
        <v>237</v>
      </c>
      <c r="AH405" s="5" t="s">
        <v>275</v>
      </c>
      <c r="AI405" s="5">
        <v>2000</v>
      </c>
      <c r="AJ405" s="5" t="s">
        <v>238</v>
      </c>
      <c r="AK405" s="5" t="str">
        <f t="shared" si="1174"/>
        <v>Trabajadora por cuenta propia</v>
      </c>
      <c r="AO405" s="5" t="s">
        <v>323</v>
      </c>
      <c r="AP405" s="5" t="s">
        <v>284</v>
      </c>
      <c r="AR405" s="5" t="s">
        <v>301</v>
      </c>
      <c r="AS405" s="5" t="s">
        <v>301</v>
      </c>
      <c r="AT405" s="5" t="s">
        <v>301</v>
      </c>
      <c r="AU405" s="5" t="s">
        <v>301</v>
      </c>
      <c r="AV405" s="5" t="s">
        <v>213</v>
      </c>
      <c r="AW405" s="5" t="s">
        <v>206</v>
      </c>
      <c r="BF405" s="5" t="s">
        <v>204</v>
      </c>
      <c r="BG405" s="5" t="s">
        <v>278</v>
      </c>
      <c r="BH405" s="5" t="s">
        <v>278</v>
      </c>
      <c r="BI405" s="5" t="s">
        <v>278</v>
      </c>
      <c r="BJ405" s="5" t="s">
        <v>278</v>
      </c>
      <c r="BK405" s="5" t="s">
        <v>246</v>
      </c>
      <c r="BL405" s="5" t="s">
        <v>245</v>
      </c>
      <c r="BM405" s="5" t="s">
        <v>246</v>
      </c>
      <c r="BN405" s="5" t="s">
        <v>246</v>
      </c>
      <c r="BO405" s="5" t="s">
        <v>246</v>
      </c>
      <c r="BP405" s="5" t="s">
        <v>245</v>
      </c>
      <c r="BQ405" s="5" t="s">
        <v>245</v>
      </c>
      <c r="BR405" s="5" t="s">
        <v>246</v>
      </c>
      <c r="BS405" s="5" t="s">
        <v>254</v>
      </c>
      <c r="BT405" s="5" t="s">
        <v>254</v>
      </c>
      <c r="BU405" s="5" t="s">
        <v>254</v>
      </c>
      <c r="BV405" s="5" t="s">
        <v>254</v>
      </c>
      <c r="BW405" s="5" t="s">
        <v>254</v>
      </c>
      <c r="BX405" s="5" t="s">
        <v>254</v>
      </c>
      <c r="BY405" s="5" t="s">
        <v>254</v>
      </c>
      <c r="CD405" s="5" t="s">
        <v>206</v>
      </c>
      <c r="CH405" s="5" t="s">
        <v>369</v>
      </c>
      <c r="CI405" s="5" t="s">
        <v>249</v>
      </c>
      <c r="CJ405" s="5">
        <v>2</v>
      </c>
      <c r="CK405" s="5" t="s">
        <v>223</v>
      </c>
      <c r="CU405" s="5" t="s">
        <v>206</v>
      </c>
      <c r="DA405" s="5" t="s">
        <v>252</v>
      </c>
      <c r="DB405" s="5">
        <f t="shared" si="1175"/>
        <v>3</v>
      </c>
      <c r="DC405" s="5" t="s">
        <v>280</v>
      </c>
      <c r="DD405" s="5">
        <f t="shared" si="1176"/>
        <v>4</v>
      </c>
      <c r="DE405" s="5" t="s">
        <v>280</v>
      </c>
      <c r="DF405" s="5">
        <f t="shared" si="1177"/>
        <v>4</v>
      </c>
      <c r="DG405" s="5" t="s">
        <v>280</v>
      </c>
      <c r="DH405" s="5">
        <f t="shared" si="1178"/>
        <v>4</v>
      </c>
      <c r="DI405" s="5" t="s">
        <v>280</v>
      </c>
      <c r="DJ405" s="5">
        <f t="shared" si="1179"/>
        <v>4</v>
      </c>
      <c r="DK405" s="5" t="s">
        <v>280</v>
      </c>
      <c r="DL405" s="5">
        <f t="shared" si="1180"/>
        <v>4</v>
      </c>
      <c r="DM405" s="5" t="s">
        <v>280</v>
      </c>
      <c r="DN405" s="5">
        <f t="shared" si="1181"/>
        <v>4</v>
      </c>
      <c r="DO405" s="5" t="s">
        <v>281</v>
      </c>
      <c r="DP405" s="5">
        <f t="shared" si="1182"/>
        <v>1</v>
      </c>
      <c r="DQ405" s="5" t="s">
        <v>231</v>
      </c>
      <c r="DR405" s="5">
        <f t="shared" si="1183"/>
        <v>2</v>
      </c>
      <c r="DS405" s="5" t="s">
        <v>229</v>
      </c>
      <c r="DT405" s="5">
        <f t="shared" si="1184"/>
        <v>4</v>
      </c>
      <c r="DU405" s="5" t="s">
        <v>231</v>
      </c>
      <c r="DV405" s="5">
        <f t="shared" si="1185"/>
        <v>2</v>
      </c>
      <c r="DW405" s="5" t="s">
        <v>231</v>
      </c>
      <c r="DX405" s="5">
        <f t="shared" si="1186"/>
        <v>2</v>
      </c>
      <c r="DY405" s="5">
        <f t="shared" si="1187"/>
        <v>38</v>
      </c>
      <c r="DZ405" s="5" t="str">
        <f t="shared" si="1188"/>
        <v>Nivel de riesgo alto</v>
      </c>
      <c r="EA405" s="5" t="s">
        <v>248</v>
      </c>
      <c r="EB405" s="5">
        <f t="shared" si="1189"/>
        <v>1</v>
      </c>
      <c r="EC405" s="5" t="s">
        <v>248</v>
      </c>
      <c r="ED405" s="5">
        <f t="shared" si="1190"/>
        <v>1</v>
      </c>
      <c r="EE405" s="5" t="s">
        <v>253</v>
      </c>
      <c r="EF405" s="5">
        <f t="shared" si="1191"/>
        <v>0</v>
      </c>
      <c r="EG405" s="5">
        <f t="shared" si="1192"/>
        <v>2</v>
      </c>
      <c r="EH405" s="5" t="str">
        <f t="shared" si="1193"/>
        <v>Nivel de riesgo medio</v>
      </c>
      <c r="EI405" s="5" t="s">
        <v>248</v>
      </c>
      <c r="EJ405" s="5">
        <f t="shared" si="1194"/>
        <v>1</v>
      </c>
      <c r="EK405" s="5" t="s">
        <v>248</v>
      </c>
      <c r="EL405" s="5">
        <f t="shared" si="1195"/>
        <v>1</v>
      </c>
      <c r="EM405" s="5" t="s">
        <v>247</v>
      </c>
      <c r="EN405" s="5">
        <f t="shared" si="1196"/>
        <v>2</v>
      </c>
      <c r="EO405" s="5">
        <f t="shared" si="1197"/>
        <v>4</v>
      </c>
      <c r="EP405" s="5" t="str">
        <f t="shared" si="1198"/>
        <v>Nivel de riesgo medio</v>
      </c>
      <c r="EQ405" s="5" t="s">
        <v>254</v>
      </c>
      <c r="ER405" s="5">
        <f t="shared" si="1199"/>
        <v>0</v>
      </c>
      <c r="ES405" s="5" t="s">
        <v>254</v>
      </c>
      <c r="ET405" s="5">
        <f t="shared" si="1200"/>
        <v>0</v>
      </c>
      <c r="EU405" s="5" t="s">
        <v>254</v>
      </c>
      <c r="EV405" s="5">
        <f t="shared" si="1201"/>
        <v>0</v>
      </c>
      <c r="EW405" s="5" t="s">
        <v>254</v>
      </c>
      <c r="EX405" s="5">
        <f t="shared" si="1202"/>
        <v>0</v>
      </c>
      <c r="EY405" s="5">
        <f t="shared" si="1203"/>
        <v>0</v>
      </c>
      <c r="EZ405" s="5" t="str">
        <f t="shared" si="1204"/>
        <v>Nivel de riesgo bajo</v>
      </c>
      <c r="FA405" s="5" t="s">
        <v>253</v>
      </c>
      <c r="FB405" s="5">
        <f t="shared" si="1205"/>
        <v>0</v>
      </c>
      <c r="FC405" s="5" t="s">
        <v>253</v>
      </c>
      <c r="FD405" s="5">
        <f t="shared" si="1206"/>
        <v>0</v>
      </c>
      <c r="FE405" s="5" t="s">
        <v>253</v>
      </c>
      <c r="FF405" s="5">
        <f t="shared" si="1207"/>
        <v>0</v>
      </c>
      <c r="FG405" s="5">
        <f t="shared" si="1208"/>
        <v>0</v>
      </c>
      <c r="FH405" s="5" t="str">
        <f t="shared" si="1209"/>
        <v>Nivel de riesgo bajo</v>
      </c>
      <c r="FI405" s="5" t="s">
        <v>247</v>
      </c>
      <c r="FJ405" s="5">
        <f t="shared" si="1210"/>
        <v>2</v>
      </c>
      <c r="FK405" s="5" t="s">
        <v>247</v>
      </c>
      <c r="FL405" s="5">
        <f t="shared" si="1211"/>
        <v>2</v>
      </c>
      <c r="FM405" s="5" t="s">
        <v>247</v>
      </c>
      <c r="FN405" s="5">
        <f t="shared" si="1212"/>
        <v>2</v>
      </c>
      <c r="FO405" s="5">
        <f t="shared" si="1213"/>
        <v>6</v>
      </c>
      <c r="FP405" s="5" t="str">
        <f t="shared" si="1214"/>
        <v>Nivel de riesgo alto</v>
      </c>
      <c r="FQ405" s="5" t="s">
        <v>206</v>
      </c>
      <c r="FR405" s="5">
        <f t="shared" si="1215"/>
        <v>0</v>
      </c>
      <c r="FS405" s="5" t="s">
        <v>206</v>
      </c>
      <c r="FT405" s="5">
        <f t="shared" si="1216"/>
        <v>0</v>
      </c>
      <c r="FU405" s="5" t="s">
        <v>206</v>
      </c>
      <c r="FV405" s="5">
        <f t="shared" si="1217"/>
        <v>0</v>
      </c>
      <c r="FW405" s="5" t="s">
        <v>206</v>
      </c>
      <c r="FX405" s="5">
        <f t="shared" si="1218"/>
        <v>0</v>
      </c>
      <c r="FY405" s="5" t="s">
        <v>206</v>
      </c>
      <c r="FZ405" s="5">
        <f t="shared" si="1219"/>
        <v>0</v>
      </c>
      <c r="GA405" s="5" t="s">
        <v>206</v>
      </c>
      <c r="GB405" s="5">
        <f t="shared" si="1220"/>
        <v>0</v>
      </c>
      <c r="GC405" s="5" t="s">
        <v>206</v>
      </c>
      <c r="GD405" s="5">
        <f t="shared" si="1221"/>
        <v>0</v>
      </c>
      <c r="GE405" s="5">
        <f t="shared" si="1222"/>
        <v>0</v>
      </c>
      <c r="GF405" s="5" t="str">
        <f t="shared" si="1223"/>
        <v>Nivel de riesgo bajo</v>
      </c>
      <c r="GG405" s="5" t="s">
        <v>255</v>
      </c>
      <c r="GH405" s="5" t="s">
        <v>266</v>
      </c>
      <c r="GI405" s="5" t="s">
        <v>266</v>
      </c>
      <c r="GJ405" s="5" t="s">
        <v>233</v>
      </c>
      <c r="GK405" s="5" t="s">
        <v>233</v>
      </c>
      <c r="GL405" s="5" t="s">
        <v>255</v>
      </c>
      <c r="GM405" s="5" t="s">
        <v>255</v>
      </c>
      <c r="GN405" s="5" t="s">
        <v>234</v>
      </c>
      <c r="GO405" s="5" t="s">
        <v>234</v>
      </c>
      <c r="GP405" s="5" t="s">
        <v>234</v>
      </c>
      <c r="GQ405" s="5" t="s">
        <v>257</v>
      </c>
      <c r="GR405" s="5" t="s">
        <v>257</v>
      </c>
      <c r="GS405" s="5" t="s">
        <v>257</v>
      </c>
      <c r="GT405" s="5" t="s">
        <v>257</v>
      </c>
      <c r="GU405" s="5" t="s">
        <v>772</v>
      </c>
      <c r="GV405" s="5" t="str">
        <f>TEXT("6284068107617120919","0")</f>
        <v>6284068107617120000</v>
      </c>
    </row>
    <row r="406" spans="1:204" ht="15.75" customHeight="1" x14ac:dyDescent="0.15">
      <c r="A406" s="1">
        <f t="shared" si="1173"/>
        <v>406</v>
      </c>
      <c r="B406" s="4">
        <v>45853.533680555556</v>
      </c>
      <c r="C406" s="5" t="s">
        <v>204</v>
      </c>
      <c r="D406" s="5" t="s">
        <v>206</v>
      </c>
      <c r="F406" s="5" t="s">
        <v>206</v>
      </c>
      <c r="G406" s="5" t="s">
        <v>206</v>
      </c>
      <c r="H406" s="5" t="s">
        <v>206</v>
      </c>
      <c r="J406" s="5" t="s">
        <v>209</v>
      </c>
      <c r="O406" s="5" t="s">
        <v>209</v>
      </c>
      <c r="T406" s="5" t="s">
        <v>209</v>
      </c>
      <c r="Z406" s="5" t="s">
        <v>237</v>
      </c>
      <c r="AF406" s="5" t="s">
        <v>236</v>
      </c>
      <c r="AH406" s="5" t="s">
        <v>268</v>
      </c>
      <c r="AI406" s="5">
        <v>2020</v>
      </c>
      <c r="AJ406" s="5" t="s">
        <v>330</v>
      </c>
      <c r="AK406" s="5" t="str">
        <f t="shared" si="1174"/>
        <v>Asalariada</v>
      </c>
      <c r="AQ406" s="5" t="s">
        <v>204</v>
      </c>
      <c r="AR406" s="5" t="s">
        <v>241</v>
      </c>
      <c r="AS406" s="5" t="s">
        <v>301</v>
      </c>
      <c r="AT406" s="5" t="s">
        <v>241</v>
      </c>
      <c r="AU406" s="5" t="s">
        <v>261</v>
      </c>
      <c r="AV406" s="5" t="s">
        <v>213</v>
      </c>
      <c r="AW406" s="5" t="s">
        <v>206</v>
      </c>
      <c r="BF406" s="5" t="s">
        <v>204</v>
      </c>
      <c r="BG406" s="5" t="s">
        <v>242</v>
      </c>
      <c r="BH406" s="5" t="s">
        <v>278</v>
      </c>
      <c r="BI406" s="5" t="s">
        <v>278</v>
      </c>
      <c r="BJ406" s="5" t="s">
        <v>278</v>
      </c>
      <c r="BK406" s="5" t="s">
        <v>245</v>
      </c>
      <c r="BL406" s="5" t="s">
        <v>243</v>
      </c>
      <c r="BM406" s="5" t="s">
        <v>245</v>
      </c>
      <c r="BN406" s="5" t="s">
        <v>245</v>
      </c>
      <c r="BO406" s="5" t="s">
        <v>243</v>
      </c>
      <c r="BP406" s="5" t="s">
        <v>245</v>
      </c>
      <c r="BQ406" s="5" t="s">
        <v>246</v>
      </c>
      <c r="BR406" s="5" t="s">
        <v>245</v>
      </c>
      <c r="BS406" s="5" t="s">
        <v>232</v>
      </c>
      <c r="BT406" s="5" t="s">
        <v>247</v>
      </c>
      <c r="BU406" s="5" t="s">
        <v>247</v>
      </c>
      <c r="BV406" s="5" t="s">
        <v>232</v>
      </c>
      <c r="BW406" s="5" t="s">
        <v>254</v>
      </c>
      <c r="BX406" s="5" t="s">
        <v>254</v>
      </c>
      <c r="BY406" s="5" t="s">
        <v>247</v>
      </c>
      <c r="CD406" s="5" t="s">
        <v>206</v>
      </c>
      <c r="CH406" s="5" t="s">
        <v>206</v>
      </c>
      <c r="CI406" s="5" t="s">
        <v>249</v>
      </c>
      <c r="CJ406" s="5">
        <v>1</v>
      </c>
      <c r="CK406" s="5" t="s">
        <v>223</v>
      </c>
      <c r="CU406" s="5" t="s">
        <v>206</v>
      </c>
      <c r="DA406" s="5" t="s">
        <v>252</v>
      </c>
      <c r="DB406" s="5">
        <f t="shared" si="1175"/>
        <v>3</v>
      </c>
      <c r="DC406" s="5" t="s">
        <v>250</v>
      </c>
      <c r="DD406" s="5">
        <f t="shared" si="1176"/>
        <v>3</v>
      </c>
      <c r="DE406" s="5" t="s">
        <v>230</v>
      </c>
      <c r="DF406" s="5">
        <f t="shared" si="1177"/>
        <v>2</v>
      </c>
      <c r="DG406" s="5" t="s">
        <v>230</v>
      </c>
      <c r="DH406" s="5">
        <f t="shared" si="1178"/>
        <v>2</v>
      </c>
      <c r="DI406" s="5" t="s">
        <v>280</v>
      </c>
      <c r="DJ406" s="5">
        <f t="shared" si="1179"/>
        <v>4</v>
      </c>
      <c r="DK406" s="5" t="s">
        <v>280</v>
      </c>
      <c r="DL406" s="5">
        <f t="shared" si="1180"/>
        <v>4</v>
      </c>
      <c r="DM406" s="5" t="s">
        <v>280</v>
      </c>
      <c r="DN406" s="5">
        <f t="shared" si="1181"/>
        <v>4</v>
      </c>
      <c r="DO406" s="5" t="s">
        <v>252</v>
      </c>
      <c r="DP406" s="5">
        <f t="shared" si="1182"/>
        <v>3</v>
      </c>
      <c r="DQ406" s="5" t="s">
        <v>231</v>
      </c>
      <c r="DR406" s="5">
        <f t="shared" si="1183"/>
        <v>2</v>
      </c>
      <c r="DS406" s="5" t="s">
        <v>229</v>
      </c>
      <c r="DT406" s="5">
        <f t="shared" si="1184"/>
        <v>4</v>
      </c>
      <c r="DU406" s="5" t="s">
        <v>252</v>
      </c>
      <c r="DV406" s="5">
        <f t="shared" si="1185"/>
        <v>3</v>
      </c>
      <c r="DW406" s="5" t="s">
        <v>229</v>
      </c>
      <c r="DX406" s="5">
        <f t="shared" si="1186"/>
        <v>4</v>
      </c>
      <c r="DY406" s="5">
        <f t="shared" si="1187"/>
        <v>38</v>
      </c>
      <c r="DZ406" s="5" t="str">
        <f t="shared" si="1188"/>
        <v>Nivel de riesgo alto</v>
      </c>
      <c r="EA406" s="5" t="s">
        <v>248</v>
      </c>
      <c r="EB406" s="5">
        <f t="shared" si="1189"/>
        <v>1</v>
      </c>
      <c r="EC406" s="5" t="s">
        <v>247</v>
      </c>
      <c r="ED406" s="5">
        <f t="shared" si="1190"/>
        <v>2</v>
      </c>
      <c r="EE406" s="5" t="s">
        <v>248</v>
      </c>
      <c r="EF406" s="5">
        <f t="shared" si="1191"/>
        <v>1</v>
      </c>
      <c r="EG406" s="5">
        <f t="shared" si="1192"/>
        <v>4</v>
      </c>
      <c r="EH406" s="5" t="str">
        <f t="shared" si="1193"/>
        <v>Nivel de riesgo medio</v>
      </c>
      <c r="EI406" s="5" t="s">
        <v>248</v>
      </c>
      <c r="EJ406" s="5">
        <f t="shared" si="1194"/>
        <v>1</v>
      </c>
      <c r="EK406" s="5" t="s">
        <v>254</v>
      </c>
      <c r="EL406" s="5">
        <f t="shared" si="1195"/>
        <v>4</v>
      </c>
      <c r="EM406" s="5" t="s">
        <v>253</v>
      </c>
      <c r="EN406" s="5">
        <f t="shared" si="1196"/>
        <v>0</v>
      </c>
      <c r="EO406" s="5">
        <f t="shared" si="1197"/>
        <v>5</v>
      </c>
      <c r="EP406" s="5" t="str">
        <f t="shared" si="1198"/>
        <v>Nivel de riesgo medio</v>
      </c>
      <c r="EQ406" s="5" t="s">
        <v>254</v>
      </c>
      <c r="ER406" s="5">
        <f t="shared" si="1199"/>
        <v>0</v>
      </c>
      <c r="ES406" s="5" t="s">
        <v>254</v>
      </c>
      <c r="ET406" s="5">
        <f t="shared" si="1200"/>
        <v>0</v>
      </c>
      <c r="EU406" s="5" t="s">
        <v>254</v>
      </c>
      <c r="EV406" s="5">
        <f t="shared" si="1201"/>
        <v>0</v>
      </c>
      <c r="EW406" s="5" t="s">
        <v>254</v>
      </c>
      <c r="EX406" s="5">
        <f t="shared" si="1202"/>
        <v>0</v>
      </c>
      <c r="EY406" s="5">
        <f t="shared" si="1203"/>
        <v>0</v>
      </c>
      <c r="EZ406" s="5" t="str">
        <f t="shared" si="1204"/>
        <v>Nivel de riesgo bajo</v>
      </c>
      <c r="FA406" s="5" t="s">
        <v>253</v>
      </c>
      <c r="FB406" s="5">
        <f t="shared" si="1205"/>
        <v>0</v>
      </c>
      <c r="FC406" s="5" t="s">
        <v>253</v>
      </c>
      <c r="FD406" s="5">
        <f t="shared" si="1206"/>
        <v>0</v>
      </c>
      <c r="FE406" s="5" t="s">
        <v>253</v>
      </c>
      <c r="FF406" s="5">
        <f t="shared" si="1207"/>
        <v>0</v>
      </c>
      <c r="FG406" s="5">
        <f t="shared" si="1208"/>
        <v>0</v>
      </c>
      <c r="FH406" s="5" t="str">
        <f t="shared" si="1209"/>
        <v>Nivel de riesgo bajo</v>
      </c>
      <c r="FI406" s="5" t="s">
        <v>253</v>
      </c>
      <c r="FJ406" s="5">
        <f t="shared" si="1210"/>
        <v>0</v>
      </c>
      <c r="FK406" s="5" t="s">
        <v>248</v>
      </c>
      <c r="FL406" s="5">
        <f t="shared" si="1211"/>
        <v>1</v>
      </c>
      <c r="FM406" s="5" t="s">
        <v>247</v>
      </c>
      <c r="FN406" s="5">
        <f t="shared" si="1212"/>
        <v>2</v>
      </c>
      <c r="FO406" s="5">
        <f t="shared" si="1213"/>
        <v>3</v>
      </c>
      <c r="FP406" s="5" t="str">
        <f t="shared" si="1214"/>
        <v>Nivel de riesgo medio</v>
      </c>
      <c r="FQ406" s="5" t="s">
        <v>265</v>
      </c>
      <c r="FR406" s="5">
        <f t="shared" si="1215"/>
        <v>1</v>
      </c>
      <c r="FS406" s="5" t="s">
        <v>206</v>
      </c>
      <c r="FT406" s="5">
        <f t="shared" si="1216"/>
        <v>0</v>
      </c>
      <c r="FU406" s="5" t="s">
        <v>206</v>
      </c>
      <c r="FV406" s="5">
        <f t="shared" si="1217"/>
        <v>0</v>
      </c>
      <c r="FW406" s="5" t="s">
        <v>206</v>
      </c>
      <c r="FX406" s="5">
        <f t="shared" si="1218"/>
        <v>0</v>
      </c>
      <c r="FY406" s="5" t="s">
        <v>206</v>
      </c>
      <c r="FZ406" s="5">
        <f t="shared" si="1219"/>
        <v>0</v>
      </c>
      <c r="GA406" s="5" t="s">
        <v>206</v>
      </c>
      <c r="GB406" s="5">
        <f t="shared" si="1220"/>
        <v>0</v>
      </c>
      <c r="GC406" s="5" t="s">
        <v>206</v>
      </c>
      <c r="GD406" s="5">
        <f t="shared" si="1221"/>
        <v>0</v>
      </c>
      <c r="GE406" s="5">
        <f t="shared" si="1222"/>
        <v>1</v>
      </c>
      <c r="GF406" s="5" t="str">
        <f t="shared" si="1223"/>
        <v>Nivel de riesgo medio</v>
      </c>
      <c r="GG406" s="5" t="s">
        <v>255</v>
      </c>
      <c r="GH406" s="5" t="s">
        <v>255</v>
      </c>
      <c r="GI406" s="5" t="s">
        <v>255</v>
      </c>
      <c r="GJ406" s="5" t="s">
        <v>298</v>
      </c>
      <c r="GK406" s="5" t="s">
        <v>233</v>
      </c>
      <c r="GL406" s="5" t="s">
        <v>233</v>
      </c>
      <c r="GM406" s="5" t="s">
        <v>233</v>
      </c>
      <c r="GN406" s="5" t="s">
        <v>256</v>
      </c>
      <c r="GO406" s="5" t="s">
        <v>257</v>
      </c>
      <c r="GP406" s="5" t="s">
        <v>257</v>
      </c>
      <c r="GQ406" s="5" t="s">
        <v>244</v>
      </c>
      <c r="GR406" s="5" t="s">
        <v>244</v>
      </c>
      <c r="GS406" s="5" t="s">
        <v>244</v>
      </c>
      <c r="GT406" s="5" t="s">
        <v>256</v>
      </c>
      <c r="GU406" s="5" t="s">
        <v>773</v>
      </c>
      <c r="GV406" s="5" t="str">
        <f>TEXT("6284073102506263257","0")</f>
        <v>6284073102506260000</v>
      </c>
    </row>
    <row r="407" spans="1:204" ht="15.75" customHeight="1" x14ac:dyDescent="0.15">
      <c r="A407" s="1">
        <f t="shared" si="1173"/>
        <v>407</v>
      </c>
      <c r="B407" s="4">
        <v>45853.550567129627</v>
      </c>
      <c r="C407" s="5" t="s">
        <v>204</v>
      </c>
      <c r="D407" s="5" t="s">
        <v>206</v>
      </c>
      <c r="F407" s="5" t="s">
        <v>206</v>
      </c>
      <c r="G407" s="5" t="s">
        <v>206</v>
      </c>
      <c r="H407" s="5" t="s">
        <v>206</v>
      </c>
      <c r="L407" s="5" t="s">
        <v>236</v>
      </c>
      <c r="Q407" s="5" t="s">
        <v>236</v>
      </c>
      <c r="V407" s="5" t="s">
        <v>236</v>
      </c>
      <c r="AA407" s="5" t="s">
        <v>236</v>
      </c>
      <c r="AF407" s="5" t="s">
        <v>236</v>
      </c>
      <c r="AH407" s="5" t="s">
        <v>268</v>
      </c>
      <c r="AI407" s="5">
        <v>2016</v>
      </c>
      <c r="AJ407" s="5" t="s">
        <v>337</v>
      </c>
      <c r="AK407" s="5" t="str">
        <f t="shared" si="1174"/>
        <v>Asalariada</v>
      </c>
      <c r="AQ407" s="5" t="s">
        <v>204</v>
      </c>
      <c r="AR407" s="5" t="s">
        <v>241</v>
      </c>
      <c r="AS407" s="5" t="s">
        <v>241</v>
      </c>
      <c r="AT407" s="5" t="s">
        <v>241</v>
      </c>
      <c r="AU407" s="5" t="s">
        <v>241</v>
      </c>
      <c r="AV407" s="5" t="s">
        <v>285</v>
      </c>
      <c r="AW407" s="5" t="s">
        <v>204</v>
      </c>
      <c r="AX407" s="5" t="s">
        <v>204</v>
      </c>
      <c r="AY407" s="5" t="s">
        <v>366</v>
      </c>
      <c r="AZ407" s="5" t="s">
        <v>204</v>
      </c>
      <c r="BA407" s="5" t="s">
        <v>344</v>
      </c>
      <c r="BF407" s="5" t="s">
        <v>204</v>
      </c>
      <c r="BG407" s="5" t="s">
        <v>271</v>
      </c>
      <c r="BH407" s="5" t="s">
        <v>271</v>
      </c>
      <c r="BI407" s="5" t="s">
        <v>242</v>
      </c>
      <c r="BJ407" s="5" t="s">
        <v>242</v>
      </c>
      <c r="BK407" s="5" t="s">
        <v>243</v>
      </c>
      <c r="BL407" s="5" t="s">
        <v>243</v>
      </c>
      <c r="BM407" s="5" t="s">
        <v>243</v>
      </c>
      <c r="BN407" s="5" t="s">
        <v>243</v>
      </c>
      <c r="BO407" s="5" t="s">
        <v>243</v>
      </c>
      <c r="BP407" s="5" t="s">
        <v>243</v>
      </c>
      <c r="BQ407" s="5" t="s">
        <v>243</v>
      </c>
      <c r="BR407" s="5" t="s">
        <v>243</v>
      </c>
      <c r="BS407" s="5" t="s">
        <v>232</v>
      </c>
      <c r="BT407" s="5" t="s">
        <v>232</v>
      </c>
      <c r="BU407" s="5" t="s">
        <v>254</v>
      </c>
      <c r="BV407" s="5" t="s">
        <v>247</v>
      </c>
      <c r="BW407" s="5" t="s">
        <v>254</v>
      </c>
      <c r="BX407" s="5" t="s">
        <v>254</v>
      </c>
      <c r="BY407" s="5" t="s">
        <v>232</v>
      </c>
      <c r="BZ407" s="5" t="s">
        <v>243</v>
      </c>
      <c r="CA407" s="5" t="s">
        <v>243</v>
      </c>
      <c r="CB407" s="5" t="s">
        <v>243</v>
      </c>
      <c r="CC407" s="5" t="s">
        <v>243</v>
      </c>
      <c r="CD407" s="5" t="s">
        <v>206</v>
      </c>
      <c r="CH407" s="5" t="s">
        <v>369</v>
      </c>
      <c r="CI407" s="5" t="s">
        <v>291</v>
      </c>
      <c r="CJ407" s="5">
        <v>3</v>
      </c>
      <c r="CK407" s="5" t="s">
        <v>223</v>
      </c>
      <c r="CU407" s="5" t="s">
        <v>206</v>
      </c>
      <c r="DA407" s="5" t="s">
        <v>231</v>
      </c>
      <c r="DB407" s="5">
        <f t="shared" si="1175"/>
        <v>2</v>
      </c>
      <c r="DC407" s="5" t="s">
        <v>230</v>
      </c>
      <c r="DD407" s="5">
        <f t="shared" si="1176"/>
        <v>2</v>
      </c>
      <c r="DE407" s="5" t="s">
        <v>230</v>
      </c>
      <c r="DF407" s="5">
        <f t="shared" si="1177"/>
        <v>2</v>
      </c>
      <c r="DG407" s="5" t="s">
        <v>230</v>
      </c>
      <c r="DH407" s="5">
        <f t="shared" si="1178"/>
        <v>2</v>
      </c>
      <c r="DI407" s="5" t="s">
        <v>250</v>
      </c>
      <c r="DJ407" s="5">
        <f t="shared" si="1179"/>
        <v>3</v>
      </c>
      <c r="DK407" s="5" t="s">
        <v>230</v>
      </c>
      <c r="DL407" s="5">
        <f t="shared" si="1180"/>
        <v>2</v>
      </c>
      <c r="DM407" s="5" t="s">
        <v>230</v>
      </c>
      <c r="DN407" s="5">
        <f t="shared" si="1181"/>
        <v>2</v>
      </c>
      <c r="DO407" s="5" t="s">
        <v>231</v>
      </c>
      <c r="DP407" s="5">
        <f t="shared" si="1182"/>
        <v>2</v>
      </c>
      <c r="DQ407" s="5" t="s">
        <v>231</v>
      </c>
      <c r="DR407" s="5">
        <f t="shared" si="1183"/>
        <v>2</v>
      </c>
      <c r="DS407" s="5" t="s">
        <v>231</v>
      </c>
      <c r="DT407" s="5">
        <f t="shared" si="1184"/>
        <v>2</v>
      </c>
      <c r="DU407" s="5" t="s">
        <v>231</v>
      </c>
      <c r="DV407" s="5">
        <f t="shared" si="1185"/>
        <v>2</v>
      </c>
      <c r="DW407" s="5" t="s">
        <v>231</v>
      </c>
      <c r="DX407" s="5">
        <f t="shared" si="1186"/>
        <v>2</v>
      </c>
      <c r="DY407" s="5">
        <f t="shared" si="1187"/>
        <v>25</v>
      </c>
      <c r="DZ407" s="5" t="str">
        <f t="shared" si="1188"/>
        <v>Nivel de riesgo alto</v>
      </c>
      <c r="EA407" s="5" t="s">
        <v>232</v>
      </c>
      <c r="EB407" s="5">
        <f t="shared" si="1189"/>
        <v>3</v>
      </c>
      <c r="EC407" s="5" t="s">
        <v>248</v>
      </c>
      <c r="ED407" s="5">
        <f t="shared" si="1190"/>
        <v>1</v>
      </c>
      <c r="EE407" s="5" t="s">
        <v>253</v>
      </c>
      <c r="EF407" s="5">
        <f t="shared" si="1191"/>
        <v>0</v>
      </c>
      <c r="EG407" s="5">
        <f t="shared" si="1192"/>
        <v>4</v>
      </c>
      <c r="EH407" s="5" t="str">
        <f t="shared" si="1193"/>
        <v>Nivel de riesgo medio</v>
      </c>
      <c r="EI407" s="5" t="s">
        <v>253</v>
      </c>
      <c r="EJ407" s="5">
        <f t="shared" si="1194"/>
        <v>0</v>
      </c>
      <c r="EK407" s="5" t="s">
        <v>253</v>
      </c>
      <c r="EL407" s="5">
        <f t="shared" si="1195"/>
        <v>0</v>
      </c>
      <c r="EM407" s="5" t="s">
        <v>253</v>
      </c>
      <c r="EN407" s="5">
        <f t="shared" si="1196"/>
        <v>0</v>
      </c>
      <c r="EO407" s="5">
        <f t="shared" si="1197"/>
        <v>0</v>
      </c>
      <c r="EP407" s="5" t="str">
        <f t="shared" si="1198"/>
        <v>Nivel de riesgo bajo</v>
      </c>
      <c r="EQ407" s="5" t="s">
        <v>253</v>
      </c>
      <c r="ER407" s="5">
        <f t="shared" si="1199"/>
        <v>4</v>
      </c>
      <c r="ES407" s="5" t="s">
        <v>253</v>
      </c>
      <c r="ET407" s="5">
        <f t="shared" si="1200"/>
        <v>4</v>
      </c>
      <c r="EU407" s="5" t="s">
        <v>248</v>
      </c>
      <c r="EV407" s="5">
        <f t="shared" si="1201"/>
        <v>3</v>
      </c>
      <c r="EW407" s="5" t="s">
        <v>253</v>
      </c>
      <c r="EX407" s="5">
        <f t="shared" si="1202"/>
        <v>4</v>
      </c>
      <c r="EY407" s="5">
        <f t="shared" si="1203"/>
        <v>15</v>
      </c>
      <c r="EZ407" s="5" t="str">
        <f t="shared" si="1204"/>
        <v>Nivel de riesgo alto</v>
      </c>
      <c r="FA407" s="5" t="s">
        <v>253</v>
      </c>
      <c r="FB407" s="5">
        <f t="shared" si="1205"/>
        <v>0</v>
      </c>
      <c r="FC407" s="5" t="s">
        <v>253</v>
      </c>
      <c r="FD407" s="5">
        <f t="shared" si="1206"/>
        <v>0</v>
      </c>
      <c r="FE407" s="5" t="s">
        <v>253</v>
      </c>
      <c r="FF407" s="5">
        <f t="shared" si="1207"/>
        <v>0</v>
      </c>
      <c r="FG407" s="5">
        <f t="shared" si="1208"/>
        <v>0</v>
      </c>
      <c r="FH407" s="5" t="str">
        <f t="shared" si="1209"/>
        <v>Nivel de riesgo bajo</v>
      </c>
      <c r="FI407" s="5" t="s">
        <v>253</v>
      </c>
      <c r="FJ407" s="5">
        <f t="shared" si="1210"/>
        <v>0</v>
      </c>
      <c r="FK407" s="5" t="s">
        <v>253</v>
      </c>
      <c r="FL407" s="5">
        <f t="shared" si="1211"/>
        <v>0</v>
      </c>
      <c r="FM407" s="5" t="s">
        <v>248</v>
      </c>
      <c r="FN407" s="5">
        <f t="shared" si="1212"/>
        <v>1</v>
      </c>
      <c r="FO407" s="5">
        <f t="shared" si="1213"/>
        <v>1</v>
      </c>
      <c r="FP407" s="5" t="str">
        <f t="shared" si="1214"/>
        <v>Nivel de riesgo bajo</v>
      </c>
      <c r="FQ407" s="5" t="s">
        <v>206</v>
      </c>
      <c r="FR407" s="5">
        <f t="shared" si="1215"/>
        <v>0</v>
      </c>
      <c r="FS407" s="5" t="s">
        <v>206</v>
      </c>
      <c r="FT407" s="5">
        <f t="shared" si="1216"/>
        <v>0</v>
      </c>
      <c r="FU407" s="5" t="s">
        <v>206</v>
      </c>
      <c r="FV407" s="5">
        <f t="shared" si="1217"/>
        <v>0</v>
      </c>
      <c r="FW407" s="5" t="s">
        <v>206</v>
      </c>
      <c r="FX407" s="5">
        <f t="shared" si="1218"/>
        <v>0</v>
      </c>
      <c r="FY407" s="5" t="s">
        <v>206</v>
      </c>
      <c r="FZ407" s="5">
        <f t="shared" si="1219"/>
        <v>0</v>
      </c>
      <c r="GA407" s="5" t="s">
        <v>206</v>
      </c>
      <c r="GB407" s="5">
        <f t="shared" si="1220"/>
        <v>0</v>
      </c>
      <c r="GC407" s="5" t="s">
        <v>206</v>
      </c>
      <c r="GD407" s="5">
        <f t="shared" si="1221"/>
        <v>0</v>
      </c>
      <c r="GE407" s="5">
        <f t="shared" si="1222"/>
        <v>0</v>
      </c>
      <c r="GF407" s="5" t="str">
        <f t="shared" si="1223"/>
        <v>Nivel de riesgo bajo</v>
      </c>
      <c r="GG407" s="5" t="s">
        <v>255</v>
      </c>
      <c r="GH407" s="5" t="s">
        <v>255</v>
      </c>
      <c r="GI407" s="5" t="s">
        <v>255</v>
      </c>
      <c r="GJ407" s="5" t="s">
        <v>255</v>
      </c>
      <c r="GK407" s="5" t="s">
        <v>233</v>
      </c>
      <c r="GL407" s="5" t="s">
        <v>233</v>
      </c>
      <c r="GM407" s="5" t="s">
        <v>233</v>
      </c>
      <c r="GN407" s="5" t="s">
        <v>243</v>
      </c>
      <c r="GO407" s="5" t="s">
        <v>243</v>
      </c>
      <c r="GP407" s="5" t="s">
        <v>243</v>
      </c>
      <c r="GQ407" s="5" t="s">
        <v>243</v>
      </c>
      <c r="GR407" s="5" t="s">
        <v>243</v>
      </c>
      <c r="GS407" s="5" t="s">
        <v>243</v>
      </c>
      <c r="GT407" s="5" t="s">
        <v>243</v>
      </c>
      <c r="GU407" s="5" t="s">
        <v>774</v>
      </c>
      <c r="GV407" s="5" t="str">
        <f>TEXT("6284087696788027743","0")</f>
        <v>6284087696788020000</v>
      </c>
    </row>
    <row r="408" spans="1:204" ht="15.75" customHeight="1" x14ac:dyDescent="0.15">
      <c r="A408" s="1">
        <f t="shared" si="1173"/>
        <v>408</v>
      </c>
      <c r="B408" s="4">
        <v>45853.597534722219</v>
      </c>
      <c r="C408" s="5" t="s">
        <v>204</v>
      </c>
      <c r="D408" s="5" t="s">
        <v>206</v>
      </c>
      <c r="F408" s="5" t="s">
        <v>206</v>
      </c>
      <c r="G408" s="5" t="s">
        <v>204</v>
      </c>
      <c r="H408" s="5" t="s">
        <v>204</v>
      </c>
      <c r="K408" s="5" t="s">
        <v>237</v>
      </c>
      <c r="O408" s="5" t="s">
        <v>209</v>
      </c>
      <c r="S408" s="5" t="s">
        <v>208</v>
      </c>
      <c r="X408" s="5" t="s">
        <v>208</v>
      </c>
      <c r="AD408" s="5" t="s">
        <v>209</v>
      </c>
      <c r="AH408" s="5" t="s">
        <v>275</v>
      </c>
      <c r="AI408" s="5">
        <v>2010</v>
      </c>
      <c r="AJ408" s="5" t="s">
        <v>238</v>
      </c>
      <c r="AK408" s="5" t="str">
        <f t="shared" si="1174"/>
        <v>Trabajadora por cuenta propia</v>
      </c>
      <c r="AL408" s="5" t="s">
        <v>239</v>
      </c>
      <c r="AP408" s="5" t="s">
        <v>284</v>
      </c>
      <c r="AR408" s="5" t="s">
        <v>241</v>
      </c>
      <c r="AS408" s="5" t="s">
        <v>241</v>
      </c>
      <c r="AT408" s="5" t="s">
        <v>241</v>
      </c>
      <c r="AU408" s="5" t="s">
        <v>241</v>
      </c>
      <c r="AV408" s="5" t="s">
        <v>213</v>
      </c>
      <c r="AW408" s="5" t="s">
        <v>206</v>
      </c>
      <c r="BF408" s="5" t="s">
        <v>204</v>
      </c>
      <c r="BG408" s="5" t="s">
        <v>242</v>
      </c>
      <c r="BH408" s="5" t="s">
        <v>264</v>
      </c>
      <c r="BI408" s="5" t="s">
        <v>271</v>
      </c>
      <c r="BJ408" s="5" t="s">
        <v>264</v>
      </c>
      <c r="BK408" s="5" t="s">
        <v>244</v>
      </c>
      <c r="BL408" s="5" t="s">
        <v>244</v>
      </c>
      <c r="BM408" s="5" t="s">
        <v>244</v>
      </c>
      <c r="BN408" s="5" t="s">
        <v>244</v>
      </c>
      <c r="BO408" s="5" t="s">
        <v>244</v>
      </c>
      <c r="BP408" s="5" t="s">
        <v>244</v>
      </c>
      <c r="BQ408" s="5" t="s">
        <v>244</v>
      </c>
      <c r="BR408" s="5" t="s">
        <v>243</v>
      </c>
      <c r="BS408" s="5" t="s">
        <v>247</v>
      </c>
      <c r="BT408" s="5" t="s">
        <v>247</v>
      </c>
      <c r="BU408" s="5" t="s">
        <v>248</v>
      </c>
      <c r="BV408" s="5" t="s">
        <v>248</v>
      </c>
      <c r="BW408" s="5" t="s">
        <v>217</v>
      </c>
      <c r="BX408" s="5" t="s">
        <v>217</v>
      </c>
      <c r="BY408" s="5" t="s">
        <v>248</v>
      </c>
      <c r="CD408" s="5" t="s">
        <v>206</v>
      </c>
      <c r="CH408" s="5" t="s">
        <v>369</v>
      </c>
      <c r="CI408" s="5" t="s">
        <v>206</v>
      </c>
      <c r="CJ408" s="5">
        <v>2</v>
      </c>
      <c r="CK408" s="5" t="s">
        <v>223</v>
      </c>
      <c r="CU408" s="5" t="s">
        <v>206</v>
      </c>
      <c r="DA408" s="5" t="s">
        <v>231</v>
      </c>
      <c r="DB408" s="5">
        <f t="shared" si="1175"/>
        <v>2</v>
      </c>
      <c r="DC408" s="5" t="s">
        <v>230</v>
      </c>
      <c r="DD408" s="5">
        <f t="shared" si="1176"/>
        <v>2</v>
      </c>
      <c r="DE408" s="5" t="s">
        <v>230</v>
      </c>
      <c r="DF408" s="5">
        <f t="shared" si="1177"/>
        <v>2</v>
      </c>
      <c r="DG408" s="5" t="s">
        <v>250</v>
      </c>
      <c r="DH408" s="5">
        <f t="shared" si="1178"/>
        <v>3</v>
      </c>
      <c r="DI408" s="5" t="s">
        <v>230</v>
      </c>
      <c r="DJ408" s="5">
        <f t="shared" si="1179"/>
        <v>2</v>
      </c>
      <c r="DK408" s="5" t="s">
        <v>230</v>
      </c>
      <c r="DL408" s="5">
        <f t="shared" si="1180"/>
        <v>2</v>
      </c>
      <c r="DM408" s="5" t="s">
        <v>251</v>
      </c>
      <c r="DN408" s="5">
        <f t="shared" si="1181"/>
        <v>1</v>
      </c>
      <c r="DO408" s="5" t="s">
        <v>281</v>
      </c>
      <c r="DP408" s="5">
        <f t="shared" si="1182"/>
        <v>1</v>
      </c>
      <c r="DQ408" s="5" t="s">
        <v>281</v>
      </c>
      <c r="DR408" s="5">
        <f t="shared" si="1183"/>
        <v>1</v>
      </c>
      <c r="DS408" s="5" t="s">
        <v>281</v>
      </c>
      <c r="DT408" s="5">
        <f t="shared" si="1184"/>
        <v>1</v>
      </c>
      <c r="DU408" s="5" t="s">
        <v>281</v>
      </c>
      <c r="DV408" s="5">
        <f t="shared" si="1185"/>
        <v>1</v>
      </c>
      <c r="DW408" s="5" t="s">
        <v>281</v>
      </c>
      <c r="DX408" s="5">
        <f t="shared" si="1186"/>
        <v>1</v>
      </c>
      <c r="DY408" s="5">
        <f t="shared" si="1187"/>
        <v>19</v>
      </c>
      <c r="DZ408" s="5" t="str">
        <f t="shared" si="1188"/>
        <v>Nivel de riesgo medio</v>
      </c>
      <c r="EA408" s="5" t="s">
        <v>248</v>
      </c>
      <c r="EB408" s="5">
        <f t="shared" si="1189"/>
        <v>1</v>
      </c>
      <c r="EC408" s="5" t="s">
        <v>248</v>
      </c>
      <c r="ED408" s="5">
        <f t="shared" si="1190"/>
        <v>1</v>
      </c>
      <c r="EE408" s="5" t="s">
        <v>248</v>
      </c>
      <c r="EF408" s="5">
        <f t="shared" si="1191"/>
        <v>1</v>
      </c>
      <c r="EG408" s="5">
        <f t="shared" si="1192"/>
        <v>3</v>
      </c>
      <c r="EH408" s="5" t="str">
        <f t="shared" si="1193"/>
        <v>Nivel de riesgo medio</v>
      </c>
      <c r="EI408" s="5" t="s">
        <v>248</v>
      </c>
      <c r="EJ408" s="5">
        <f t="shared" si="1194"/>
        <v>1</v>
      </c>
      <c r="EK408" s="5" t="s">
        <v>247</v>
      </c>
      <c r="EL408" s="5">
        <f t="shared" si="1195"/>
        <v>2</v>
      </c>
      <c r="EM408" s="5" t="s">
        <v>247</v>
      </c>
      <c r="EN408" s="5">
        <f t="shared" si="1196"/>
        <v>2</v>
      </c>
      <c r="EO408" s="5">
        <f t="shared" si="1197"/>
        <v>5</v>
      </c>
      <c r="EP408" s="5" t="str">
        <f t="shared" si="1198"/>
        <v>Nivel de riesgo medio</v>
      </c>
      <c r="EQ408" s="5" t="s">
        <v>254</v>
      </c>
      <c r="ER408" s="5">
        <f t="shared" si="1199"/>
        <v>0</v>
      </c>
      <c r="ES408" s="5" t="s">
        <v>254</v>
      </c>
      <c r="ET408" s="5">
        <f t="shared" si="1200"/>
        <v>0</v>
      </c>
      <c r="EU408" s="5" t="s">
        <v>254</v>
      </c>
      <c r="EV408" s="5">
        <f t="shared" si="1201"/>
        <v>0</v>
      </c>
      <c r="EW408" s="5" t="s">
        <v>254</v>
      </c>
      <c r="EX408" s="5">
        <f t="shared" si="1202"/>
        <v>0</v>
      </c>
      <c r="EY408" s="5">
        <f t="shared" si="1203"/>
        <v>0</v>
      </c>
      <c r="EZ408" s="5" t="str">
        <f t="shared" si="1204"/>
        <v>Nivel de riesgo bajo</v>
      </c>
      <c r="FA408" s="5" t="s">
        <v>247</v>
      </c>
      <c r="FB408" s="5">
        <f t="shared" si="1205"/>
        <v>2</v>
      </c>
      <c r="FC408" s="5" t="s">
        <v>247</v>
      </c>
      <c r="FD408" s="5">
        <f t="shared" si="1206"/>
        <v>2</v>
      </c>
      <c r="FE408" s="5" t="s">
        <v>247</v>
      </c>
      <c r="FF408" s="5">
        <f t="shared" si="1207"/>
        <v>2</v>
      </c>
      <c r="FG408" s="5">
        <f t="shared" si="1208"/>
        <v>6</v>
      </c>
      <c r="FH408" s="5" t="str">
        <f t="shared" si="1209"/>
        <v>Nivel de riesgo alto</v>
      </c>
      <c r="FI408" s="5" t="s">
        <v>247</v>
      </c>
      <c r="FJ408" s="5">
        <f t="shared" si="1210"/>
        <v>2</v>
      </c>
      <c r="FK408" s="5" t="s">
        <v>247</v>
      </c>
      <c r="FL408" s="5">
        <f t="shared" si="1211"/>
        <v>2</v>
      </c>
      <c r="FM408" s="5" t="s">
        <v>247</v>
      </c>
      <c r="FN408" s="5">
        <f t="shared" si="1212"/>
        <v>2</v>
      </c>
      <c r="FO408" s="5">
        <f t="shared" si="1213"/>
        <v>6</v>
      </c>
      <c r="FP408" s="5" t="str">
        <f t="shared" si="1214"/>
        <v>Nivel de riesgo alto</v>
      </c>
      <c r="FQ408" s="5" t="s">
        <v>206</v>
      </c>
      <c r="FR408" s="5">
        <f t="shared" si="1215"/>
        <v>0</v>
      </c>
      <c r="FS408" s="5" t="s">
        <v>206</v>
      </c>
      <c r="FT408" s="5">
        <f t="shared" si="1216"/>
        <v>0</v>
      </c>
      <c r="FU408" s="5" t="s">
        <v>206</v>
      </c>
      <c r="FV408" s="5">
        <f t="shared" si="1217"/>
        <v>0</v>
      </c>
      <c r="FW408" s="5" t="s">
        <v>206</v>
      </c>
      <c r="FX408" s="5">
        <f t="shared" si="1218"/>
        <v>0</v>
      </c>
      <c r="FY408" s="5" t="s">
        <v>206</v>
      </c>
      <c r="FZ408" s="5">
        <f t="shared" si="1219"/>
        <v>0</v>
      </c>
      <c r="GA408" s="5" t="s">
        <v>206</v>
      </c>
      <c r="GB408" s="5">
        <f t="shared" si="1220"/>
        <v>0</v>
      </c>
      <c r="GC408" s="5" t="s">
        <v>206</v>
      </c>
      <c r="GD408" s="5">
        <f t="shared" si="1221"/>
        <v>0</v>
      </c>
      <c r="GE408" s="5">
        <f t="shared" si="1222"/>
        <v>0</v>
      </c>
      <c r="GF408" s="5" t="str">
        <f t="shared" si="1223"/>
        <v>Nivel de riesgo bajo</v>
      </c>
      <c r="GG408" s="5" t="s">
        <v>255</v>
      </c>
      <c r="GH408" s="5" t="s">
        <v>255</v>
      </c>
      <c r="GI408" s="5" t="s">
        <v>255</v>
      </c>
      <c r="GJ408" s="5" t="s">
        <v>266</v>
      </c>
      <c r="GK408" s="5" t="s">
        <v>233</v>
      </c>
      <c r="GL408" s="5" t="s">
        <v>233</v>
      </c>
      <c r="GM408" s="5" t="s">
        <v>266</v>
      </c>
      <c r="GN408" s="5" t="s">
        <v>256</v>
      </c>
      <c r="GO408" s="5" t="s">
        <v>257</v>
      </c>
      <c r="GP408" s="5" t="s">
        <v>257</v>
      </c>
      <c r="GQ408" s="5" t="s">
        <v>257</v>
      </c>
      <c r="GR408" s="5" t="s">
        <v>257</v>
      </c>
      <c r="GS408" s="5" t="s">
        <v>257</v>
      </c>
      <c r="GT408" s="5" t="s">
        <v>257</v>
      </c>
      <c r="GU408" s="5" t="s">
        <v>775</v>
      </c>
      <c r="GV408" s="5" t="str">
        <f>TEXT("6284128277113153252","0")</f>
        <v>6284128277113150000</v>
      </c>
    </row>
    <row r="409" spans="1:204" ht="15.75" customHeight="1" x14ac:dyDescent="0.15">
      <c r="A409" s="1">
        <f t="shared" si="1173"/>
        <v>409</v>
      </c>
      <c r="B409" s="4">
        <v>45853.637291666666</v>
      </c>
      <c r="C409" s="5" t="s">
        <v>204</v>
      </c>
      <c r="D409" s="5" t="s">
        <v>206</v>
      </c>
      <c r="F409" s="5" t="s">
        <v>206</v>
      </c>
      <c r="G409" s="5" t="s">
        <v>206</v>
      </c>
      <c r="H409" s="5" t="s">
        <v>206</v>
      </c>
      <c r="K409" s="5" t="s">
        <v>237</v>
      </c>
      <c r="P409" s="5" t="s">
        <v>237</v>
      </c>
      <c r="T409" s="5" t="s">
        <v>209</v>
      </c>
      <c r="Y409" s="5" t="s">
        <v>209</v>
      </c>
      <c r="AC409" s="5" t="s">
        <v>208</v>
      </c>
      <c r="AH409" s="5" t="s">
        <v>210</v>
      </c>
      <c r="AI409" s="5">
        <v>2025</v>
      </c>
      <c r="AJ409" s="5" t="s">
        <v>238</v>
      </c>
      <c r="AK409" s="5" t="str">
        <f t="shared" si="1174"/>
        <v>Trabajadora por cuenta propia</v>
      </c>
      <c r="AL409" s="5" t="s">
        <v>239</v>
      </c>
      <c r="AP409" s="5" t="s">
        <v>297</v>
      </c>
      <c r="AR409" s="5" t="s">
        <v>261</v>
      </c>
      <c r="AS409" s="5" t="s">
        <v>276</v>
      </c>
      <c r="AT409" s="5" t="s">
        <v>276</v>
      </c>
      <c r="AU409" s="5" t="s">
        <v>276</v>
      </c>
      <c r="AV409" s="5" t="s">
        <v>285</v>
      </c>
      <c r="AW409" s="5" t="s">
        <v>204</v>
      </c>
      <c r="AX409" s="5" t="s">
        <v>204</v>
      </c>
      <c r="AY409" s="5" t="s">
        <v>270</v>
      </c>
      <c r="AZ409" s="5" t="s">
        <v>204</v>
      </c>
      <c r="BA409" s="5" t="s">
        <v>263</v>
      </c>
      <c r="BF409" s="5" t="s">
        <v>204</v>
      </c>
      <c r="BG409" s="5" t="s">
        <v>207</v>
      </c>
      <c r="BH409" s="5" t="s">
        <v>271</v>
      </c>
      <c r="BI409" s="5" t="s">
        <v>207</v>
      </c>
      <c r="BJ409" s="5" t="s">
        <v>271</v>
      </c>
      <c r="BK409" s="5" t="s">
        <v>244</v>
      </c>
      <c r="BL409" s="5" t="s">
        <v>244</v>
      </c>
      <c r="BM409" s="5" t="s">
        <v>244</v>
      </c>
      <c r="BN409" s="5" t="s">
        <v>216</v>
      </c>
      <c r="BO409" s="5" t="s">
        <v>244</v>
      </c>
      <c r="BP409" s="5" t="s">
        <v>216</v>
      </c>
      <c r="BQ409" s="5" t="s">
        <v>244</v>
      </c>
      <c r="BR409" s="5" t="s">
        <v>244</v>
      </c>
      <c r="BS409" s="5" t="s">
        <v>248</v>
      </c>
      <c r="BT409" s="5" t="s">
        <v>247</v>
      </c>
      <c r="BU409" s="5" t="s">
        <v>247</v>
      </c>
      <c r="BV409" s="5" t="s">
        <v>247</v>
      </c>
      <c r="BW409" s="5" t="s">
        <v>247</v>
      </c>
      <c r="BX409" s="5" t="s">
        <v>248</v>
      </c>
      <c r="BY409" s="5" t="s">
        <v>248</v>
      </c>
      <c r="BZ409" s="5" t="s">
        <v>244</v>
      </c>
      <c r="CA409" s="5" t="s">
        <v>244</v>
      </c>
      <c r="CB409" s="5" t="s">
        <v>244</v>
      </c>
      <c r="CC409" s="5" t="s">
        <v>244</v>
      </c>
      <c r="CD409" s="5" t="s">
        <v>206</v>
      </c>
      <c r="CH409" s="5" t="s">
        <v>206</v>
      </c>
      <c r="CI409" s="5" t="s">
        <v>206</v>
      </c>
      <c r="CJ409" s="5">
        <v>0</v>
      </c>
      <c r="CK409" s="5" t="s">
        <v>223</v>
      </c>
      <c r="CU409" s="5" t="s">
        <v>206</v>
      </c>
      <c r="DA409" s="5" t="s">
        <v>252</v>
      </c>
      <c r="DB409" s="5">
        <f t="shared" si="1175"/>
        <v>3</v>
      </c>
      <c r="DC409" s="5" t="s">
        <v>250</v>
      </c>
      <c r="DD409" s="5">
        <f t="shared" si="1176"/>
        <v>3</v>
      </c>
      <c r="DE409" s="5" t="s">
        <v>250</v>
      </c>
      <c r="DF409" s="5">
        <f t="shared" si="1177"/>
        <v>3</v>
      </c>
      <c r="DG409" s="5" t="s">
        <v>250</v>
      </c>
      <c r="DH409" s="5">
        <f t="shared" si="1178"/>
        <v>3</v>
      </c>
      <c r="DI409" s="5" t="s">
        <v>250</v>
      </c>
      <c r="DJ409" s="5">
        <f t="shared" si="1179"/>
        <v>3</v>
      </c>
      <c r="DK409" s="5" t="s">
        <v>250</v>
      </c>
      <c r="DL409" s="5">
        <f t="shared" si="1180"/>
        <v>3</v>
      </c>
      <c r="DM409" s="5" t="s">
        <v>230</v>
      </c>
      <c r="DN409" s="5">
        <f t="shared" si="1181"/>
        <v>2</v>
      </c>
      <c r="DO409" s="5" t="s">
        <v>252</v>
      </c>
      <c r="DP409" s="5">
        <f t="shared" si="1182"/>
        <v>3</v>
      </c>
      <c r="DQ409" s="5" t="s">
        <v>231</v>
      </c>
      <c r="DR409" s="5">
        <f t="shared" si="1183"/>
        <v>2</v>
      </c>
      <c r="DS409" s="5" t="s">
        <v>252</v>
      </c>
      <c r="DT409" s="5">
        <f t="shared" si="1184"/>
        <v>3</v>
      </c>
      <c r="DU409" s="5" t="s">
        <v>231</v>
      </c>
      <c r="DV409" s="5">
        <f t="shared" si="1185"/>
        <v>2</v>
      </c>
      <c r="DW409" s="5" t="s">
        <v>252</v>
      </c>
      <c r="DX409" s="5">
        <f t="shared" si="1186"/>
        <v>3</v>
      </c>
      <c r="DY409" s="5">
        <f t="shared" si="1187"/>
        <v>33</v>
      </c>
      <c r="DZ409" s="5" t="str">
        <f t="shared" si="1188"/>
        <v>Nivel de riesgo alto</v>
      </c>
      <c r="EA409" s="5" t="s">
        <v>247</v>
      </c>
      <c r="EB409" s="5">
        <f t="shared" si="1189"/>
        <v>2</v>
      </c>
      <c r="EC409" s="5" t="s">
        <v>248</v>
      </c>
      <c r="ED409" s="5">
        <f t="shared" si="1190"/>
        <v>1</v>
      </c>
      <c r="EE409" s="5" t="s">
        <v>248</v>
      </c>
      <c r="EF409" s="5">
        <f t="shared" si="1191"/>
        <v>1</v>
      </c>
      <c r="EG409" s="5">
        <f t="shared" si="1192"/>
        <v>4</v>
      </c>
      <c r="EH409" s="5" t="str">
        <f t="shared" si="1193"/>
        <v>Nivel de riesgo medio</v>
      </c>
      <c r="EI409" s="5" t="s">
        <v>247</v>
      </c>
      <c r="EJ409" s="5">
        <f t="shared" si="1194"/>
        <v>2</v>
      </c>
      <c r="EK409" s="5" t="s">
        <v>248</v>
      </c>
      <c r="EL409" s="5">
        <f t="shared" si="1195"/>
        <v>1</v>
      </c>
      <c r="EM409" s="5" t="s">
        <v>248</v>
      </c>
      <c r="EN409" s="5">
        <f t="shared" si="1196"/>
        <v>1</v>
      </c>
      <c r="EO409" s="5">
        <f t="shared" si="1197"/>
        <v>4</v>
      </c>
      <c r="EP409" s="5" t="str">
        <f t="shared" si="1198"/>
        <v>Nivel de riesgo medio</v>
      </c>
      <c r="EQ409" s="5" t="s">
        <v>248</v>
      </c>
      <c r="ER409" s="5">
        <f t="shared" si="1199"/>
        <v>3</v>
      </c>
      <c r="ES409" s="5" t="s">
        <v>247</v>
      </c>
      <c r="ET409" s="5">
        <f t="shared" si="1200"/>
        <v>2</v>
      </c>
      <c r="EU409" s="5" t="s">
        <v>247</v>
      </c>
      <c r="EV409" s="5">
        <f t="shared" si="1201"/>
        <v>2</v>
      </c>
      <c r="EW409" s="5" t="s">
        <v>248</v>
      </c>
      <c r="EX409" s="5">
        <f t="shared" si="1202"/>
        <v>3</v>
      </c>
      <c r="EY409" s="5">
        <f t="shared" si="1203"/>
        <v>10</v>
      </c>
      <c r="EZ409" s="5" t="str">
        <f t="shared" si="1204"/>
        <v>Nivel de riesgo alto</v>
      </c>
      <c r="FA409" s="5" t="s">
        <v>248</v>
      </c>
      <c r="FB409" s="5">
        <f t="shared" si="1205"/>
        <v>1</v>
      </c>
      <c r="FC409" s="5" t="s">
        <v>253</v>
      </c>
      <c r="FD409" s="5">
        <f t="shared" si="1206"/>
        <v>0</v>
      </c>
      <c r="FE409" s="5" t="s">
        <v>253</v>
      </c>
      <c r="FF409" s="5">
        <f t="shared" si="1207"/>
        <v>0</v>
      </c>
      <c r="FG409" s="5">
        <f t="shared" si="1208"/>
        <v>1</v>
      </c>
      <c r="FH409" s="5" t="str">
        <f t="shared" si="1209"/>
        <v>Nivel de riesgo bajo</v>
      </c>
      <c r="FI409" s="5" t="s">
        <v>253</v>
      </c>
      <c r="FJ409" s="5">
        <f t="shared" si="1210"/>
        <v>0</v>
      </c>
      <c r="FK409" s="5" t="s">
        <v>247</v>
      </c>
      <c r="FL409" s="5">
        <f t="shared" si="1211"/>
        <v>2</v>
      </c>
      <c r="FM409" s="5" t="s">
        <v>247</v>
      </c>
      <c r="FN409" s="5">
        <f t="shared" si="1212"/>
        <v>2</v>
      </c>
      <c r="FO409" s="5">
        <f t="shared" si="1213"/>
        <v>4</v>
      </c>
      <c r="FP409" s="5" t="str">
        <f t="shared" si="1214"/>
        <v>Nivel de riesgo medio</v>
      </c>
      <c r="FQ409" s="5" t="s">
        <v>206</v>
      </c>
      <c r="FR409" s="5">
        <f t="shared" si="1215"/>
        <v>0</v>
      </c>
      <c r="FS409" s="5" t="s">
        <v>206</v>
      </c>
      <c r="FT409" s="5">
        <f t="shared" si="1216"/>
        <v>0</v>
      </c>
      <c r="FU409" s="5" t="s">
        <v>206</v>
      </c>
      <c r="FV409" s="5">
        <f t="shared" si="1217"/>
        <v>0</v>
      </c>
      <c r="FW409" s="5" t="s">
        <v>206</v>
      </c>
      <c r="FX409" s="5">
        <f t="shared" si="1218"/>
        <v>0</v>
      </c>
      <c r="FY409" s="5" t="s">
        <v>206</v>
      </c>
      <c r="FZ409" s="5">
        <f t="shared" si="1219"/>
        <v>0</v>
      </c>
      <c r="GA409" s="5" t="s">
        <v>206</v>
      </c>
      <c r="GB409" s="5">
        <f t="shared" si="1220"/>
        <v>0</v>
      </c>
      <c r="GC409" s="5" t="s">
        <v>206</v>
      </c>
      <c r="GD409" s="5">
        <f t="shared" si="1221"/>
        <v>0</v>
      </c>
      <c r="GE409" s="5">
        <f t="shared" si="1222"/>
        <v>0</v>
      </c>
      <c r="GF409" s="5" t="str">
        <f t="shared" si="1223"/>
        <v>Nivel de riesgo bajo</v>
      </c>
      <c r="GG409" s="5" t="s">
        <v>255</v>
      </c>
      <c r="GH409" s="5" t="s">
        <v>255</v>
      </c>
      <c r="GI409" s="5" t="s">
        <v>255</v>
      </c>
      <c r="GJ409" s="5" t="s">
        <v>255</v>
      </c>
      <c r="GK409" s="5" t="s">
        <v>233</v>
      </c>
      <c r="GL409" s="5" t="s">
        <v>266</v>
      </c>
      <c r="GM409" s="5" t="s">
        <v>273</v>
      </c>
      <c r="GN409" s="5" t="s">
        <v>256</v>
      </c>
      <c r="GO409" s="5" t="s">
        <v>256</v>
      </c>
      <c r="GP409" s="5" t="s">
        <v>256</v>
      </c>
      <c r="GQ409" s="5" t="s">
        <v>257</v>
      </c>
      <c r="GR409" s="5" t="s">
        <v>257</v>
      </c>
      <c r="GS409" s="5" t="s">
        <v>257</v>
      </c>
      <c r="GT409" s="5" t="s">
        <v>243</v>
      </c>
      <c r="GU409" s="5" t="s">
        <v>776</v>
      </c>
      <c r="GV409" s="5" t="str">
        <f>TEXT("6284162624424462126","0")</f>
        <v>6284162624424460000</v>
      </c>
    </row>
    <row r="410" spans="1:204" ht="15.75" customHeight="1" x14ac:dyDescent="0.15">
      <c r="A410" s="1">
        <f t="shared" si="1173"/>
        <v>410</v>
      </c>
      <c r="B410" s="4">
        <v>45853.663113425922</v>
      </c>
      <c r="C410" s="5" t="s">
        <v>204</v>
      </c>
      <c r="D410" s="5" t="s">
        <v>206</v>
      </c>
      <c r="F410" s="5" t="s">
        <v>206</v>
      </c>
      <c r="G410" s="5" t="s">
        <v>206</v>
      </c>
      <c r="H410" s="5" t="s">
        <v>204</v>
      </c>
      <c r="L410" s="5" t="s">
        <v>236</v>
      </c>
      <c r="P410" s="5" t="s">
        <v>237</v>
      </c>
      <c r="U410" s="5" t="s">
        <v>237</v>
      </c>
      <c r="Z410" s="5" t="s">
        <v>237</v>
      </c>
      <c r="AF410" s="5" t="s">
        <v>236</v>
      </c>
      <c r="AH410" s="5" t="s">
        <v>268</v>
      </c>
      <c r="AI410" s="5">
        <v>2018</v>
      </c>
      <c r="AJ410" s="5" t="s">
        <v>337</v>
      </c>
      <c r="AK410" s="5" t="str">
        <f t="shared" si="1174"/>
        <v>Asalariada</v>
      </c>
      <c r="AQ410" s="5" t="s">
        <v>204</v>
      </c>
      <c r="AR410" s="5" t="s">
        <v>241</v>
      </c>
      <c r="AS410" s="5" t="s">
        <v>261</v>
      </c>
      <c r="AT410" s="5" t="s">
        <v>261</v>
      </c>
      <c r="AU410" s="5" t="s">
        <v>294</v>
      </c>
      <c r="AV410" s="5" t="s">
        <v>302</v>
      </c>
      <c r="AW410" s="5" t="s">
        <v>204</v>
      </c>
      <c r="AX410" s="5" t="s">
        <v>206</v>
      </c>
      <c r="BF410" s="5" t="s">
        <v>204</v>
      </c>
      <c r="BG410" s="5" t="s">
        <v>278</v>
      </c>
      <c r="BH410" s="5" t="s">
        <v>215</v>
      </c>
      <c r="BI410" s="5" t="s">
        <v>207</v>
      </c>
      <c r="BJ410" s="5" t="s">
        <v>271</v>
      </c>
      <c r="BK410" s="5" t="s">
        <v>245</v>
      </c>
      <c r="BL410" s="5" t="s">
        <v>243</v>
      </c>
      <c r="BM410" s="5" t="s">
        <v>243</v>
      </c>
      <c r="BN410" s="5" t="s">
        <v>245</v>
      </c>
      <c r="BO410" s="5" t="s">
        <v>246</v>
      </c>
      <c r="BP410" s="5" t="s">
        <v>243</v>
      </c>
      <c r="BQ410" s="5" t="s">
        <v>245</v>
      </c>
      <c r="BR410" s="5" t="s">
        <v>246</v>
      </c>
      <c r="BS410" s="5" t="s">
        <v>254</v>
      </c>
      <c r="BT410" s="5" t="s">
        <v>247</v>
      </c>
      <c r="BU410" s="5" t="s">
        <v>232</v>
      </c>
      <c r="BV410" s="5" t="s">
        <v>232</v>
      </c>
      <c r="BW410" s="5" t="s">
        <v>247</v>
      </c>
      <c r="BX410" s="5" t="s">
        <v>247</v>
      </c>
      <c r="BY410" s="5" t="s">
        <v>247</v>
      </c>
      <c r="BZ410" s="5" t="s">
        <v>243</v>
      </c>
      <c r="CA410" s="5" t="s">
        <v>243</v>
      </c>
      <c r="CB410" s="5" t="s">
        <v>246</v>
      </c>
      <c r="CC410" s="5" t="s">
        <v>245</v>
      </c>
      <c r="CD410" s="5" t="s">
        <v>204</v>
      </c>
      <c r="CE410" s="5" t="s">
        <v>286</v>
      </c>
      <c r="CF410" s="5" t="s">
        <v>219</v>
      </c>
      <c r="CG410" s="5" t="s">
        <v>220</v>
      </c>
      <c r="CH410" s="5" t="s">
        <v>206</v>
      </c>
      <c r="CI410" s="5" t="s">
        <v>249</v>
      </c>
      <c r="CJ410" s="5">
        <v>2</v>
      </c>
      <c r="CK410" s="5" t="s">
        <v>223</v>
      </c>
      <c r="CU410" s="5" t="s">
        <v>206</v>
      </c>
      <c r="DA410" s="5" t="s">
        <v>229</v>
      </c>
      <c r="DB410" s="5">
        <f t="shared" si="1175"/>
        <v>4</v>
      </c>
      <c r="DC410" s="5" t="s">
        <v>280</v>
      </c>
      <c r="DD410" s="5">
        <f t="shared" si="1176"/>
        <v>4</v>
      </c>
      <c r="DE410" s="5" t="s">
        <v>250</v>
      </c>
      <c r="DF410" s="5">
        <f t="shared" si="1177"/>
        <v>3</v>
      </c>
      <c r="DG410" s="5" t="s">
        <v>230</v>
      </c>
      <c r="DH410" s="5">
        <f t="shared" si="1178"/>
        <v>2</v>
      </c>
      <c r="DI410" s="5" t="s">
        <v>230</v>
      </c>
      <c r="DJ410" s="5">
        <f t="shared" si="1179"/>
        <v>2</v>
      </c>
      <c r="DK410" s="5" t="s">
        <v>230</v>
      </c>
      <c r="DL410" s="5">
        <f t="shared" si="1180"/>
        <v>2</v>
      </c>
      <c r="DM410" s="5" t="s">
        <v>251</v>
      </c>
      <c r="DN410" s="5">
        <f t="shared" si="1181"/>
        <v>1</v>
      </c>
      <c r="DO410" s="5" t="s">
        <v>252</v>
      </c>
      <c r="DP410" s="5">
        <f t="shared" si="1182"/>
        <v>3</v>
      </c>
      <c r="DQ410" s="5" t="s">
        <v>231</v>
      </c>
      <c r="DR410" s="5">
        <f t="shared" si="1183"/>
        <v>2</v>
      </c>
      <c r="DS410" s="5" t="s">
        <v>252</v>
      </c>
      <c r="DT410" s="5">
        <f t="shared" si="1184"/>
        <v>3</v>
      </c>
      <c r="DU410" s="5" t="s">
        <v>231</v>
      </c>
      <c r="DV410" s="5">
        <f t="shared" si="1185"/>
        <v>2</v>
      </c>
      <c r="DW410" s="5" t="s">
        <v>231</v>
      </c>
      <c r="DX410" s="5">
        <f t="shared" si="1186"/>
        <v>2</v>
      </c>
      <c r="DY410" s="5">
        <f t="shared" si="1187"/>
        <v>30</v>
      </c>
      <c r="DZ410" s="5" t="str">
        <f t="shared" si="1188"/>
        <v>Nivel de riesgo alto</v>
      </c>
      <c r="EA410" s="5" t="s">
        <v>247</v>
      </c>
      <c r="EB410" s="5">
        <f t="shared" si="1189"/>
        <v>2</v>
      </c>
      <c r="EC410" s="5" t="s">
        <v>248</v>
      </c>
      <c r="ED410" s="5">
        <f t="shared" si="1190"/>
        <v>1</v>
      </c>
      <c r="EE410" s="5" t="s">
        <v>253</v>
      </c>
      <c r="EF410" s="5">
        <f t="shared" si="1191"/>
        <v>0</v>
      </c>
      <c r="EG410" s="5">
        <f t="shared" si="1192"/>
        <v>3</v>
      </c>
      <c r="EH410" s="5" t="str">
        <f t="shared" si="1193"/>
        <v>Nivel de riesgo medio</v>
      </c>
      <c r="EI410" s="5" t="s">
        <v>247</v>
      </c>
      <c r="EJ410" s="5">
        <f t="shared" si="1194"/>
        <v>2</v>
      </c>
      <c r="EK410" s="5" t="s">
        <v>254</v>
      </c>
      <c r="EL410" s="5">
        <f t="shared" si="1195"/>
        <v>4</v>
      </c>
      <c r="EM410" s="5" t="s">
        <v>254</v>
      </c>
      <c r="EN410" s="5">
        <f t="shared" si="1196"/>
        <v>4</v>
      </c>
      <c r="EO410" s="5">
        <f t="shared" si="1197"/>
        <v>10</v>
      </c>
      <c r="EP410" s="5" t="str">
        <f t="shared" si="1198"/>
        <v>Nivel de riesgo alto</v>
      </c>
      <c r="EQ410" s="5" t="s">
        <v>232</v>
      </c>
      <c r="ER410" s="5">
        <f t="shared" si="1199"/>
        <v>1</v>
      </c>
      <c r="ES410" s="5" t="s">
        <v>232</v>
      </c>
      <c r="ET410" s="5">
        <f t="shared" si="1200"/>
        <v>1</v>
      </c>
      <c r="EU410" s="5" t="s">
        <v>254</v>
      </c>
      <c r="EV410" s="5">
        <f t="shared" si="1201"/>
        <v>0</v>
      </c>
      <c r="EW410" s="5" t="s">
        <v>254</v>
      </c>
      <c r="EX410" s="5">
        <f t="shared" si="1202"/>
        <v>0</v>
      </c>
      <c r="EY410" s="5">
        <f t="shared" si="1203"/>
        <v>2</v>
      </c>
      <c r="EZ410" s="5" t="str">
        <f t="shared" si="1204"/>
        <v>Nivel de riesgo medio</v>
      </c>
      <c r="FA410" s="5" t="s">
        <v>253</v>
      </c>
      <c r="FB410" s="5">
        <f t="shared" si="1205"/>
        <v>0</v>
      </c>
      <c r="FC410" s="5" t="s">
        <v>253</v>
      </c>
      <c r="FD410" s="5">
        <f t="shared" si="1206"/>
        <v>0</v>
      </c>
      <c r="FE410" s="5" t="s">
        <v>253</v>
      </c>
      <c r="FF410" s="5">
        <f t="shared" si="1207"/>
        <v>0</v>
      </c>
      <c r="FG410" s="5">
        <f t="shared" si="1208"/>
        <v>0</v>
      </c>
      <c r="FH410" s="5" t="str">
        <f t="shared" si="1209"/>
        <v>Nivel de riesgo bajo</v>
      </c>
      <c r="FI410" s="5" t="s">
        <v>232</v>
      </c>
      <c r="FJ410" s="5">
        <f t="shared" si="1210"/>
        <v>3</v>
      </c>
      <c r="FK410" s="5" t="s">
        <v>247</v>
      </c>
      <c r="FL410" s="5">
        <f t="shared" si="1211"/>
        <v>2</v>
      </c>
      <c r="FM410" s="5" t="s">
        <v>247</v>
      </c>
      <c r="FN410" s="5">
        <f t="shared" si="1212"/>
        <v>2</v>
      </c>
      <c r="FO410" s="5">
        <f t="shared" si="1213"/>
        <v>7</v>
      </c>
      <c r="FP410" s="5" t="str">
        <f t="shared" si="1214"/>
        <v>Nivel de riesgo alto</v>
      </c>
      <c r="FQ410" s="5" t="s">
        <v>265</v>
      </c>
      <c r="FR410" s="5">
        <f t="shared" si="1215"/>
        <v>1</v>
      </c>
      <c r="FS410" s="5" t="s">
        <v>206</v>
      </c>
      <c r="FT410" s="5">
        <f t="shared" si="1216"/>
        <v>0</v>
      </c>
      <c r="FU410" s="5" t="s">
        <v>206</v>
      </c>
      <c r="FV410" s="5">
        <f t="shared" si="1217"/>
        <v>0</v>
      </c>
      <c r="FW410" s="5" t="s">
        <v>206</v>
      </c>
      <c r="FX410" s="5">
        <f t="shared" si="1218"/>
        <v>0</v>
      </c>
      <c r="FY410" s="5" t="s">
        <v>206</v>
      </c>
      <c r="FZ410" s="5">
        <f t="shared" si="1219"/>
        <v>0</v>
      </c>
      <c r="GA410" s="5" t="s">
        <v>265</v>
      </c>
      <c r="GB410" s="5">
        <f t="shared" si="1220"/>
        <v>1</v>
      </c>
      <c r="GC410" s="5" t="s">
        <v>206</v>
      </c>
      <c r="GD410" s="5">
        <f t="shared" si="1221"/>
        <v>0</v>
      </c>
      <c r="GE410" s="5">
        <f t="shared" si="1222"/>
        <v>2</v>
      </c>
      <c r="GF410" s="5" t="str">
        <f t="shared" si="1223"/>
        <v>Nivel de riesgo medio</v>
      </c>
      <c r="GG410" s="5" t="s">
        <v>255</v>
      </c>
      <c r="GH410" s="5" t="s">
        <v>255</v>
      </c>
      <c r="GI410" s="5" t="s">
        <v>255</v>
      </c>
      <c r="GJ410" s="5" t="s">
        <v>255</v>
      </c>
      <c r="GK410" s="5" t="s">
        <v>233</v>
      </c>
      <c r="GL410" s="5" t="s">
        <v>255</v>
      </c>
      <c r="GM410" s="5" t="s">
        <v>255</v>
      </c>
      <c r="GN410" s="5" t="s">
        <v>256</v>
      </c>
      <c r="GO410" s="5" t="s">
        <v>243</v>
      </c>
      <c r="GP410" s="5" t="s">
        <v>244</v>
      </c>
      <c r="GQ410" s="5" t="s">
        <v>244</v>
      </c>
      <c r="GR410" s="5" t="s">
        <v>257</v>
      </c>
      <c r="GS410" s="5" t="s">
        <v>257</v>
      </c>
      <c r="GT410" s="5" t="s">
        <v>257</v>
      </c>
      <c r="GU410" s="5" t="s">
        <v>777</v>
      </c>
      <c r="GV410" s="5" t="str">
        <f>TEXT("6284184934342506139","0")</f>
        <v>6284184934342500000</v>
      </c>
    </row>
    <row r="411" spans="1:204" ht="15.75" customHeight="1" x14ac:dyDescent="0.15">
      <c r="A411" s="1">
        <f t="shared" si="1173"/>
        <v>411</v>
      </c>
      <c r="B411" s="4">
        <v>45853.702824074076</v>
      </c>
      <c r="C411" s="5" t="s">
        <v>204</v>
      </c>
      <c r="D411" s="5" t="s">
        <v>206</v>
      </c>
      <c r="F411" s="5" t="s">
        <v>204</v>
      </c>
      <c r="G411" s="5" t="s">
        <v>206</v>
      </c>
      <c r="H411" s="5" t="s">
        <v>206</v>
      </c>
      <c r="K411" s="5" t="s">
        <v>237</v>
      </c>
      <c r="O411" s="5" t="s">
        <v>209</v>
      </c>
      <c r="S411" s="5" t="s">
        <v>208</v>
      </c>
      <c r="X411" s="5" t="s">
        <v>208</v>
      </c>
      <c r="AC411" s="5" t="s">
        <v>208</v>
      </c>
      <c r="AH411" s="5" t="s">
        <v>210</v>
      </c>
      <c r="AI411" s="5">
        <v>2003</v>
      </c>
      <c r="AJ411" s="5" t="s">
        <v>238</v>
      </c>
      <c r="AK411" s="5" t="str">
        <f t="shared" si="1174"/>
        <v>Trabajadora por cuenta propia</v>
      </c>
      <c r="AL411" s="5" t="s">
        <v>239</v>
      </c>
      <c r="AP411" s="5" t="s">
        <v>240</v>
      </c>
      <c r="AR411" s="5" t="s">
        <v>241</v>
      </c>
      <c r="AS411" s="5" t="s">
        <v>241</v>
      </c>
      <c r="AT411" s="5" t="s">
        <v>241</v>
      </c>
      <c r="AU411" s="5" t="s">
        <v>241</v>
      </c>
      <c r="AV411" s="5" t="s">
        <v>213</v>
      </c>
      <c r="AW411" s="5" t="s">
        <v>206</v>
      </c>
      <c r="BF411" s="5" t="s">
        <v>204</v>
      </c>
      <c r="BG411" s="5" t="s">
        <v>207</v>
      </c>
      <c r="BH411" s="5" t="s">
        <v>215</v>
      </c>
      <c r="BI411" s="5" t="s">
        <v>207</v>
      </c>
      <c r="BJ411" s="5" t="s">
        <v>215</v>
      </c>
      <c r="BK411" s="5" t="s">
        <v>244</v>
      </c>
      <c r="BL411" s="5" t="s">
        <v>244</v>
      </c>
      <c r="BM411" s="5" t="s">
        <v>244</v>
      </c>
      <c r="BN411" s="5" t="s">
        <v>243</v>
      </c>
      <c r="BO411" s="5" t="s">
        <v>244</v>
      </c>
      <c r="BP411" s="5" t="s">
        <v>244</v>
      </c>
      <c r="BQ411" s="5" t="s">
        <v>244</v>
      </c>
      <c r="BR411" s="5" t="s">
        <v>244</v>
      </c>
      <c r="BS411" s="5" t="s">
        <v>217</v>
      </c>
      <c r="BT411" s="5" t="s">
        <v>248</v>
      </c>
      <c r="BU411" s="5" t="s">
        <v>247</v>
      </c>
      <c r="BV411" s="5" t="s">
        <v>217</v>
      </c>
      <c r="BW411" s="5" t="s">
        <v>248</v>
      </c>
      <c r="BX411" s="5" t="s">
        <v>248</v>
      </c>
      <c r="BY411" s="5" t="s">
        <v>217</v>
      </c>
      <c r="CD411" s="5" t="s">
        <v>206</v>
      </c>
      <c r="CH411" s="5" t="s">
        <v>206</v>
      </c>
      <c r="CI411" s="5" t="s">
        <v>291</v>
      </c>
      <c r="CJ411" s="5">
        <v>2</v>
      </c>
      <c r="CK411" s="5" t="s">
        <v>223</v>
      </c>
      <c r="CU411" s="5" t="s">
        <v>206</v>
      </c>
      <c r="DA411" s="5" t="s">
        <v>272</v>
      </c>
      <c r="DB411" s="5">
        <f t="shared" si="1175"/>
        <v>1</v>
      </c>
      <c r="DC411" s="5" t="s">
        <v>230</v>
      </c>
      <c r="DD411" s="5">
        <f t="shared" si="1176"/>
        <v>2</v>
      </c>
      <c r="DE411" s="5" t="s">
        <v>230</v>
      </c>
      <c r="DF411" s="5">
        <f t="shared" si="1177"/>
        <v>2</v>
      </c>
      <c r="DG411" s="5" t="s">
        <v>251</v>
      </c>
      <c r="DH411" s="5">
        <f t="shared" si="1178"/>
        <v>1</v>
      </c>
      <c r="DI411" s="5" t="s">
        <v>230</v>
      </c>
      <c r="DJ411" s="5">
        <f t="shared" si="1179"/>
        <v>2</v>
      </c>
      <c r="DK411" s="5" t="s">
        <v>251</v>
      </c>
      <c r="DL411" s="5">
        <f t="shared" si="1180"/>
        <v>1</v>
      </c>
      <c r="DM411" s="5" t="s">
        <v>251</v>
      </c>
      <c r="DN411" s="5">
        <f t="shared" si="1181"/>
        <v>1</v>
      </c>
      <c r="DO411" s="5" t="s">
        <v>281</v>
      </c>
      <c r="DP411" s="5">
        <f t="shared" si="1182"/>
        <v>1</v>
      </c>
      <c r="DQ411" s="5" t="s">
        <v>281</v>
      </c>
      <c r="DR411" s="5">
        <f t="shared" si="1183"/>
        <v>1</v>
      </c>
      <c r="DS411" s="5" t="s">
        <v>281</v>
      </c>
      <c r="DT411" s="5">
        <f t="shared" si="1184"/>
        <v>1</v>
      </c>
      <c r="DU411" s="5" t="s">
        <v>281</v>
      </c>
      <c r="DV411" s="5">
        <f t="shared" si="1185"/>
        <v>1</v>
      </c>
      <c r="DW411" s="5" t="s">
        <v>281</v>
      </c>
      <c r="DX411" s="5">
        <f t="shared" si="1186"/>
        <v>1</v>
      </c>
      <c r="DY411" s="5">
        <f t="shared" si="1187"/>
        <v>15</v>
      </c>
      <c r="DZ411" s="5" t="str">
        <f t="shared" si="1188"/>
        <v>Nivel de riesgo bajo</v>
      </c>
      <c r="EA411" s="5" t="s">
        <v>253</v>
      </c>
      <c r="EB411" s="5">
        <f t="shared" si="1189"/>
        <v>0</v>
      </c>
      <c r="EC411" s="5" t="s">
        <v>253</v>
      </c>
      <c r="ED411" s="5">
        <f t="shared" si="1190"/>
        <v>0</v>
      </c>
      <c r="EE411" s="5" t="s">
        <v>253</v>
      </c>
      <c r="EF411" s="5">
        <f t="shared" si="1191"/>
        <v>0</v>
      </c>
      <c r="EG411" s="5">
        <f t="shared" si="1192"/>
        <v>0</v>
      </c>
      <c r="EH411" s="5" t="str">
        <f t="shared" si="1193"/>
        <v>Nivel de riesgo bajo</v>
      </c>
      <c r="EI411" s="5" t="s">
        <v>254</v>
      </c>
      <c r="EJ411" s="5">
        <f t="shared" si="1194"/>
        <v>4</v>
      </c>
      <c r="EK411" s="5" t="s">
        <v>253</v>
      </c>
      <c r="EL411" s="5">
        <f t="shared" si="1195"/>
        <v>0</v>
      </c>
      <c r="EM411" s="5" t="s">
        <v>253</v>
      </c>
      <c r="EN411" s="5">
        <f t="shared" si="1196"/>
        <v>0</v>
      </c>
      <c r="EO411" s="5">
        <f t="shared" si="1197"/>
        <v>4</v>
      </c>
      <c r="EP411" s="5" t="str">
        <f t="shared" si="1198"/>
        <v>Nivel de riesgo medio</v>
      </c>
      <c r="EQ411" s="5" t="s">
        <v>254</v>
      </c>
      <c r="ER411" s="5">
        <f t="shared" si="1199"/>
        <v>0</v>
      </c>
      <c r="ES411" s="5" t="s">
        <v>253</v>
      </c>
      <c r="ET411" s="5">
        <f t="shared" si="1200"/>
        <v>4</v>
      </c>
      <c r="EU411" s="5" t="s">
        <v>254</v>
      </c>
      <c r="EV411" s="5">
        <f t="shared" si="1201"/>
        <v>0</v>
      </c>
      <c r="EW411" s="5" t="s">
        <v>254</v>
      </c>
      <c r="EX411" s="5">
        <f t="shared" si="1202"/>
        <v>0</v>
      </c>
      <c r="EY411" s="5">
        <f t="shared" si="1203"/>
        <v>4</v>
      </c>
      <c r="EZ411" s="5" t="str">
        <f t="shared" si="1204"/>
        <v>Nivel de riesgo medio</v>
      </c>
      <c r="FA411" s="5" t="s">
        <v>248</v>
      </c>
      <c r="FB411" s="5">
        <f t="shared" si="1205"/>
        <v>1</v>
      </c>
      <c r="FC411" s="5" t="s">
        <v>253</v>
      </c>
      <c r="FD411" s="5">
        <f t="shared" si="1206"/>
        <v>0</v>
      </c>
      <c r="FE411" s="5" t="s">
        <v>253</v>
      </c>
      <c r="FF411" s="5">
        <f t="shared" si="1207"/>
        <v>0</v>
      </c>
      <c r="FG411" s="5">
        <f t="shared" si="1208"/>
        <v>1</v>
      </c>
      <c r="FH411" s="5" t="str">
        <f t="shared" si="1209"/>
        <v>Nivel de riesgo bajo</v>
      </c>
      <c r="FI411" s="5" t="s">
        <v>248</v>
      </c>
      <c r="FJ411" s="5">
        <f t="shared" si="1210"/>
        <v>1</v>
      </c>
      <c r="FK411" s="5" t="s">
        <v>253</v>
      </c>
      <c r="FL411" s="5">
        <f t="shared" si="1211"/>
        <v>0</v>
      </c>
      <c r="FM411" s="5" t="s">
        <v>253</v>
      </c>
      <c r="FN411" s="5">
        <f t="shared" si="1212"/>
        <v>0</v>
      </c>
      <c r="FO411" s="5">
        <f t="shared" si="1213"/>
        <v>1</v>
      </c>
      <c r="FP411" s="5" t="str">
        <f t="shared" si="1214"/>
        <v>Nivel de riesgo bajo</v>
      </c>
      <c r="FQ411" s="5" t="s">
        <v>206</v>
      </c>
      <c r="FR411" s="5">
        <f t="shared" si="1215"/>
        <v>0</v>
      </c>
      <c r="FS411" s="5" t="s">
        <v>206</v>
      </c>
      <c r="FT411" s="5">
        <f t="shared" si="1216"/>
        <v>0</v>
      </c>
      <c r="FU411" s="5" t="s">
        <v>206</v>
      </c>
      <c r="FV411" s="5">
        <f t="shared" si="1217"/>
        <v>0</v>
      </c>
      <c r="FW411" s="5" t="s">
        <v>206</v>
      </c>
      <c r="FX411" s="5">
        <f t="shared" si="1218"/>
        <v>0</v>
      </c>
      <c r="FY411" s="5" t="s">
        <v>206</v>
      </c>
      <c r="FZ411" s="5">
        <f t="shared" si="1219"/>
        <v>0</v>
      </c>
      <c r="GA411" s="5" t="s">
        <v>206</v>
      </c>
      <c r="GB411" s="5">
        <f t="shared" si="1220"/>
        <v>0</v>
      </c>
      <c r="GC411" s="5" t="s">
        <v>206</v>
      </c>
      <c r="GD411" s="5">
        <f t="shared" si="1221"/>
        <v>0</v>
      </c>
      <c r="GE411" s="5">
        <f t="shared" si="1222"/>
        <v>0</v>
      </c>
      <c r="GF411" s="5" t="str">
        <f t="shared" si="1223"/>
        <v>Nivel de riesgo bajo</v>
      </c>
      <c r="GG411" s="5" t="s">
        <v>255</v>
      </c>
      <c r="GH411" s="5" t="s">
        <v>255</v>
      </c>
      <c r="GI411" s="5" t="s">
        <v>255</v>
      </c>
      <c r="GJ411" s="5" t="s">
        <v>255</v>
      </c>
      <c r="GK411" s="5" t="s">
        <v>233</v>
      </c>
      <c r="GL411" s="5" t="s">
        <v>255</v>
      </c>
      <c r="GM411" s="5" t="s">
        <v>255</v>
      </c>
      <c r="GN411" s="5" t="s">
        <v>256</v>
      </c>
      <c r="GO411" s="5" t="s">
        <v>244</v>
      </c>
      <c r="GP411" s="5" t="s">
        <v>257</v>
      </c>
      <c r="GQ411" s="5" t="s">
        <v>257</v>
      </c>
      <c r="GR411" s="5" t="s">
        <v>257</v>
      </c>
      <c r="GS411" s="5" t="s">
        <v>257</v>
      </c>
      <c r="GT411" s="5" t="s">
        <v>256</v>
      </c>
      <c r="GU411" s="5" t="s">
        <v>778</v>
      </c>
      <c r="GV411" s="5" t="str">
        <f>TEXT("6284219244222471380","0")</f>
        <v>6284219244222470000</v>
      </c>
    </row>
    <row r="412" spans="1:204" ht="15.75" customHeight="1" x14ac:dyDescent="0.15">
      <c r="A412" s="1">
        <f t="shared" si="1173"/>
        <v>412</v>
      </c>
      <c r="B412" s="4">
        <v>45853.71398148148</v>
      </c>
      <c r="C412" s="5" t="s">
        <v>204</v>
      </c>
      <c r="D412" s="5" t="s">
        <v>206</v>
      </c>
      <c r="F412" s="5" t="s">
        <v>206</v>
      </c>
      <c r="G412" s="5" t="s">
        <v>206</v>
      </c>
      <c r="H412" s="5" t="s">
        <v>204</v>
      </c>
      <c r="J412" s="5" t="s">
        <v>209</v>
      </c>
      <c r="P412" s="5" t="s">
        <v>237</v>
      </c>
      <c r="S412" s="5" t="s">
        <v>208</v>
      </c>
      <c r="X412" s="5" t="s">
        <v>208</v>
      </c>
      <c r="AC412" s="5" t="s">
        <v>208</v>
      </c>
      <c r="AH412" s="5" t="s">
        <v>275</v>
      </c>
      <c r="AI412" s="5">
        <v>2020</v>
      </c>
      <c r="AJ412" s="5" t="s">
        <v>337</v>
      </c>
      <c r="AK412" s="5" t="str">
        <f t="shared" si="1174"/>
        <v>Asalariada</v>
      </c>
      <c r="AQ412" s="5" t="s">
        <v>204</v>
      </c>
      <c r="AR412" s="5" t="s">
        <v>276</v>
      </c>
      <c r="AS412" s="5" t="s">
        <v>294</v>
      </c>
      <c r="AT412" s="5" t="s">
        <v>276</v>
      </c>
      <c r="AU412" s="5" t="s">
        <v>261</v>
      </c>
      <c r="AV412" s="5" t="s">
        <v>213</v>
      </c>
      <c r="AW412" s="5" t="s">
        <v>206</v>
      </c>
      <c r="BF412" s="5" t="s">
        <v>204</v>
      </c>
      <c r="BG412" s="5" t="s">
        <v>207</v>
      </c>
      <c r="BH412" s="5" t="s">
        <v>264</v>
      </c>
      <c r="BI412" s="5" t="s">
        <v>207</v>
      </c>
      <c r="BJ412" s="5" t="s">
        <v>207</v>
      </c>
      <c r="BK412" s="5" t="s">
        <v>216</v>
      </c>
      <c r="BL412" s="5" t="s">
        <v>216</v>
      </c>
      <c r="BM412" s="5" t="s">
        <v>216</v>
      </c>
      <c r="BN412" s="5" t="s">
        <v>216</v>
      </c>
      <c r="BO412" s="5" t="s">
        <v>216</v>
      </c>
      <c r="BP412" s="5" t="s">
        <v>216</v>
      </c>
      <c r="BQ412" s="5" t="s">
        <v>216</v>
      </c>
      <c r="BR412" s="5" t="s">
        <v>216</v>
      </c>
      <c r="BS412" s="5" t="s">
        <v>248</v>
      </c>
      <c r="BT412" s="5" t="s">
        <v>248</v>
      </c>
      <c r="BU412" s="5" t="s">
        <v>217</v>
      </c>
      <c r="BV412" s="5" t="s">
        <v>248</v>
      </c>
      <c r="BW412" s="5" t="s">
        <v>248</v>
      </c>
      <c r="BX412" s="5" t="s">
        <v>248</v>
      </c>
      <c r="BY412" s="5" t="s">
        <v>248</v>
      </c>
      <c r="CD412" s="5" t="s">
        <v>204</v>
      </c>
      <c r="CE412" s="5" t="s">
        <v>218</v>
      </c>
      <c r="CF412" s="5" t="s">
        <v>219</v>
      </c>
      <c r="CG412" s="5" t="s">
        <v>373</v>
      </c>
      <c r="CH412" s="5" t="s">
        <v>206</v>
      </c>
      <c r="CI412" s="5" t="s">
        <v>307</v>
      </c>
      <c r="CJ412" s="5">
        <v>2</v>
      </c>
      <c r="CK412" s="5" t="s">
        <v>223</v>
      </c>
      <c r="CU412" s="5" t="s">
        <v>206</v>
      </c>
      <c r="DA412" s="5" t="s">
        <v>231</v>
      </c>
      <c r="DB412" s="5">
        <f t="shared" si="1175"/>
        <v>2</v>
      </c>
      <c r="DC412" s="5" t="s">
        <v>250</v>
      </c>
      <c r="DD412" s="5">
        <f t="shared" si="1176"/>
        <v>3</v>
      </c>
      <c r="DE412" s="5" t="s">
        <v>251</v>
      </c>
      <c r="DF412" s="5">
        <f t="shared" si="1177"/>
        <v>1</v>
      </c>
      <c r="DG412" s="5" t="s">
        <v>251</v>
      </c>
      <c r="DH412" s="5">
        <f t="shared" si="1178"/>
        <v>1</v>
      </c>
      <c r="DI412" s="5" t="s">
        <v>250</v>
      </c>
      <c r="DJ412" s="5">
        <f t="shared" si="1179"/>
        <v>3</v>
      </c>
      <c r="DK412" s="5" t="s">
        <v>251</v>
      </c>
      <c r="DL412" s="5">
        <f t="shared" si="1180"/>
        <v>1</v>
      </c>
      <c r="DM412" s="5" t="s">
        <v>251</v>
      </c>
      <c r="DN412" s="5">
        <f t="shared" si="1181"/>
        <v>1</v>
      </c>
      <c r="DO412" s="5" t="s">
        <v>229</v>
      </c>
      <c r="DP412" s="5">
        <f t="shared" si="1182"/>
        <v>4</v>
      </c>
      <c r="DQ412" s="5" t="s">
        <v>229</v>
      </c>
      <c r="DR412" s="5">
        <f t="shared" si="1183"/>
        <v>4</v>
      </c>
      <c r="DS412" s="5" t="s">
        <v>281</v>
      </c>
      <c r="DT412" s="5">
        <f t="shared" si="1184"/>
        <v>1</v>
      </c>
      <c r="DU412" s="5" t="s">
        <v>281</v>
      </c>
      <c r="DV412" s="5">
        <f t="shared" si="1185"/>
        <v>1</v>
      </c>
      <c r="DW412" s="5" t="s">
        <v>281</v>
      </c>
      <c r="DX412" s="5">
        <f t="shared" si="1186"/>
        <v>1</v>
      </c>
      <c r="DY412" s="5">
        <f t="shared" si="1187"/>
        <v>23</v>
      </c>
      <c r="DZ412" s="5" t="str">
        <f t="shared" si="1188"/>
        <v>Nivel de riesgo medio</v>
      </c>
      <c r="EA412" s="5" t="s">
        <v>247</v>
      </c>
      <c r="EB412" s="5">
        <f t="shared" si="1189"/>
        <v>2</v>
      </c>
      <c r="EC412" s="5" t="s">
        <v>247</v>
      </c>
      <c r="ED412" s="5">
        <f t="shared" si="1190"/>
        <v>2</v>
      </c>
      <c r="EE412" s="5" t="s">
        <v>248</v>
      </c>
      <c r="EF412" s="5">
        <f t="shared" si="1191"/>
        <v>1</v>
      </c>
      <c r="EG412" s="5">
        <f t="shared" si="1192"/>
        <v>5</v>
      </c>
      <c r="EH412" s="5" t="str">
        <f t="shared" si="1193"/>
        <v>Nivel de riesgo alto</v>
      </c>
      <c r="EI412" s="5" t="s">
        <v>253</v>
      </c>
      <c r="EJ412" s="5">
        <f t="shared" si="1194"/>
        <v>0</v>
      </c>
      <c r="EK412" s="5" t="s">
        <v>253</v>
      </c>
      <c r="EL412" s="5">
        <f t="shared" si="1195"/>
        <v>0</v>
      </c>
      <c r="EM412" s="5" t="s">
        <v>253</v>
      </c>
      <c r="EN412" s="5">
        <f t="shared" si="1196"/>
        <v>0</v>
      </c>
      <c r="EO412" s="5">
        <f t="shared" si="1197"/>
        <v>0</v>
      </c>
      <c r="EP412" s="5" t="str">
        <f t="shared" si="1198"/>
        <v>Nivel de riesgo bajo</v>
      </c>
      <c r="EQ412" s="5" t="s">
        <v>254</v>
      </c>
      <c r="ER412" s="5">
        <f t="shared" si="1199"/>
        <v>0</v>
      </c>
      <c r="ES412" s="5" t="s">
        <v>254</v>
      </c>
      <c r="ET412" s="5">
        <f t="shared" si="1200"/>
        <v>0</v>
      </c>
      <c r="EU412" s="5" t="s">
        <v>254</v>
      </c>
      <c r="EV412" s="5">
        <f t="shared" si="1201"/>
        <v>0</v>
      </c>
      <c r="EW412" s="5" t="s">
        <v>254</v>
      </c>
      <c r="EX412" s="5">
        <f t="shared" si="1202"/>
        <v>0</v>
      </c>
      <c r="EY412" s="5">
        <f t="shared" si="1203"/>
        <v>0</v>
      </c>
      <c r="EZ412" s="5" t="str">
        <f t="shared" si="1204"/>
        <v>Nivel de riesgo bajo</v>
      </c>
      <c r="FA412" s="5" t="s">
        <v>254</v>
      </c>
      <c r="FB412" s="5">
        <f t="shared" si="1205"/>
        <v>4</v>
      </c>
      <c r="FC412" s="5" t="s">
        <v>248</v>
      </c>
      <c r="FD412" s="5">
        <f t="shared" si="1206"/>
        <v>1</v>
      </c>
      <c r="FE412" s="5" t="s">
        <v>253</v>
      </c>
      <c r="FF412" s="5">
        <f t="shared" si="1207"/>
        <v>0</v>
      </c>
      <c r="FG412" s="5">
        <f t="shared" si="1208"/>
        <v>5</v>
      </c>
      <c r="FH412" s="5" t="str">
        <f t="shared" si="1209"/>
        <v>Nivel de riesgo medio</v>
      </c>
      <c r="FI412" s="5" t="s">
        <v>254</v>
      </c>
      <c r="FJ412" s="5">
        <f t="shared" si="1210"/>
        <v>4</v>
      </c>
      <c r="FK412" s="5" t="s">
        <v>253</v>
      </c>
      <c r="FL412" s="5">
        <f t="shared" si="1211"/>
        <v>0</v>
      </c>
      <c r="FM412" s="5" t="s">
        <v>253</v>
      </c>
      <c r="FN412" s="5">
        <f t="shared" si="1212"/>
        <v>0</v>
      </c>
      <c r="FO412" s="5">
        <f t="shared" si="1213"/>
        <v>4</v>
      </c>
      <c r="FP412" s="5" t="str">
        <f t="shared" si="1214"/>
        <v>Nivel de riesgo medio</v>
      </c>
      <c r="FQ412" s="5" t="s">
        <v>206</v>
      </c>
      <c r="FR412" s="5">
        <f t="shared" si="1215"/>
        <v>0</v>
      </c>
      <c r="FS412" s="5" t="s">
        <v>206</v>
      </c>
      <c r="FT412" s="5">
        <f t="shared" si="1216"/>
        <v>0</v>
      </c>
      <c r="FU412" s="5" t="s">
        <v>206</v>
      </c>
      <c r="FV412" s="5">
        <f t="shared" si="1217"/>
        <v>0</v>
      </c>
      <c r="FW412" s="5" t="s">
        <v>206</v>
      </c>
      <c r="FX412" s="5">
        <f t="shared" si="1218"/>
        <v>0</v>
      </c>
      <c r="FY412" s="5" t="s">
        <v>206</v>
      </c>
      <c r="FZ412" s="5">
        <f t="shared" si="1219"/>
        <v>0</v>
      </c>
      <c r="GA412" s="5" t="s">
        <v>206</v>
      </c>
      <c r="GB412" s="5">
        <f t="shared" si="1220"/>
        <v>0</v>
      </c>
      <c r="GC412" s="5" t="s">
        <v>206</v>
      </c>
      <c r="GD412" s="5">
        <f t="shared" si="1221"/>
        <v>0</v>
      </c>
      <c r="GE412" s="5">
        <f t="shared" si="1222"/>
        <v>0</v>
      </c>
      <c r="GF412" s="5" t="str">
        <f t="shared" si="1223"/>
        <v>Nivel de riesgo bajo</v>
      </c>
      <c r="GG412" s="5" t="s">
        <v>273</v>
      </c>
      <c r="GH412" s="5" t="s">
        <v>273</v>
      </c>
      <c r="GI412" s="5" t="s">
        <v>273</v>
      </c>
      <c r="GJ412" s="5" t="s">
        <v>233</v>
      </c>
      <c r="GK412" s="5" t="s">
        <v>233</v>
      </c>
      <c r="GL412" s="5" t="s">
        <v>233</v>
      </c>
      <c r="GM412" s="5" t="s">
        <v>233</v>
      </c>
      <c r="GN412" s="5" t="s">
        <v>257</v>
      </c>
      <c r="GO412" s="5" t="s">
        <v>257</v>
      </c>
      <c r="GP412" s="5" t="s">
        <v>257</v>
      </c>
      <c r="GQ412" s="5" t="s">
        <v>257</v>
      </c>
      <c r="GR412" s="5" t="s">
        <v>257</v>
      </c>
      <c r="GS412" s="5" t="s">
        <v>257</v>
      </c>
      <c r="GT412" s="5" t="s">
        <v>257</v>
      </c>
      <c r="GU412" s="5" t="s">
        <v>779</v>
      </c>
      <c r="GV412" s="5" t="str">
        <f>TEXT("6284228884716515159","0")</f>
        <v>6284228884716510000</v>
      </c>
    </row>
    <row r="413" spans="1:204" ht="15.75" hidden="1" customHeight="1" x14ac:dyDescent="0.15">
      <c r="B413" s="4">
        <v>45853.777916666666</v>
      </c>
      <c r="C413" s="5" t="s">
        <v>204</v>
      </c>
      <c r="D413" s="5" t="s">
        <v>206</v>
      </c>
      <c r="F413" s="5" t="s">
        <v>206</v>
      </c>
      <c r="G413" s="5" t="s">
        <v>206</v>
      </c>
      <c r="H413" s="5" t="s">
        <v>206</v>
      </c>
      <c r="J413" s="5" t="s">
        <v>209</v>
      </c>
      <c r="P413" s="5" t="s">
        <v>237</v>
      </c>
      <c r="S413" s="5" t="s">
        <v>208</v>
      </c>
      <c r="X413" s="5" t="s">
        <v>208</v>
      </c>
      <c r="AC413" s="5" t="s">
        <v>208</v>
      </c>
      <c r="AH413" s="5" t="s">
        <v>780</v>
      </c>
      <c r="AI413" s="5">
        <v>2025</v>
      </c>
      <c r="AJ413" s="5" t="s">
        <v>304</v>
      </c>
      <c r="AK413" s="5"/>
      <c r="AR413" s="5" t="s">
        <v>261</v>
      </c>
      <c r="AS413" s="5" t="s">
        <v>261</v>
      </c>
      <c r="AT413" s="5" t="s">
        <v>261</v>
      </c>
      <c r="AU413" s="5" t="s">
        <v>294</v>
      </c>
      <c r="AV413" s="5" t="s">
        <v>269</v>
      </c>
      <c r="AW413" s="5" t="s">
        <v>204</v>
      </c>
      <c r="AX413" s="5" t="s">
        <v>204</v>
      </c>
      <c r="AY413" s="5" t="s">
        <v>366</v>
      </c>
      <c r="AZ413" s="5" t="s">
        <v>204</v>
      </c>
      <c r="BA413" s="5" t="s">
        <v>348</v>
      </c>
      <c r="BF413" s="5" t="s">
        <v>204</v>
      </c>
      <c r="BG413" s="5" t="s">
        <v>207</v>
      </c>
      <c r="BH413" s="5" t="s">
        <v>215</v>
      </c>
      <c r="BI413" s="5" t="s">
        <v>207</v>
      </c>
      <c r="BJ413" s="5" t="s">
        <v>215</v>
      </c>
      <c r="BK413" s="5" t="s">
        <v>216</v>
      </c>
      <c r="BL413" s="5" t="s">
        <v>216</v>
      </c>
      <c r="BM413" s="5" t="s">
        <v>216</v>
      </c>
      <c r="BN413" s="5" t="s">
        <v>216</v>
      </c>
      <c r="BO413" s="5" t="s">
        <v>216</v>
      </c>
      <c r="BP413" s="5" t="s">
        <v>216</v>
      </c>
      <c r="BQ413" s="5" t="s">
        <v>216</v>
      </c>
      <c r="BR413" s="5" t="s">
        <v>216</v>
      </c>
      <c r="BS413" s="5" t="s">
        <v>248</v>
      </c>
      <c r="BT413" s="5" t="s">
        <v>247</v>
      </c>
      <c r="BU413" s="5" t="s">
        <v>248</v>
      </c>
      <c r="BV413" s="5" t="s">
        <v>217</v>
      </c>
      <c r="BW413" s="5" t="s">
        <v>254</v>
      </c>
      <c r="BX413" s="5" t="s">
        <v>254</v>
      </c>
      <c r="BY413" s="5" t="s">
        <v>247</v>
      </c>
      <c r="BZ413" s="5" t="s">
        <v>244</v>
      </c>
      <c r="CA413" s="5" t="s">
        <v>244</v>
      </c>
      <c r="CB413" s="5" t="s">
        <v>244</v>
      </c>
      <c r="CC413" s="5" t="s">
        <v>244</v>
      </c>
      <c r="CD413" s="5" t="s">
        <v>206</v>
      </c>
      <c r="CH413" s="5" t="s">
        <v>206</v>
      </c>
      <c r="CI413" s="5" t="s">
        <v>307</v>
      </c>
      <c r="CJ413" s="5">
        <v>4</v>
      </c>
      <c r="CK413" s="5" t="s">
        <v>223</v>
      </c>
      <c r="CU413" s="5" t="s">
        <v>206</v>
      </c>
      <c r="DA413" s="5" t="s">
        <v>252</v>
      </c>
      <c r="DB413" s="5"/>
      <c r="DC413" s="5" t="s">
        <v>250</v>
      </c>
      <c r="DD413" s="5"/>
      <c r="DE413" s="5" t="s">
        <v>250</v>
      </c>
      <c r="DF413" s="5"/>
      <c r="DG413" s="5" t="s">
        <v>250</v>
      </c>
      <c r="DH413" s="5"/>
      <c r="DI413" s="5" t="s">
        <v>250</v>
      </c>
      <c r="DJ413" s="5"/>
      <c r="DK413" s="5" t="s">
        <v>250</v>
      </c>
      <c r="DL413" s="5"/>
      <c r="DM413" s="5" t="s">
        <v>250</v>
      </c>
      <c r="DN413" s="5"/>
      <c r="DO413" s="5" t="s">
        <v>252</v>
      </c>
      <c r="DP413" s="5"/>
      <c r="DQ413" s="5" t="s">
        <v>252</v>
      </c>
      <c r="DR413" s="5"/>
      <c r="DS413" s="5" t="s">
        <v>252</v>
      </c>
      <c r="DT413" s="5"/>
      <c r="DU413" s="5" t="s">
        <v>252</v>
      </c>
      <c r="DV413" s="5"/>
      <c r="DW413" s="5" t="s">
        <v>252</v>
      </c>
      <c r="DX413" s="5"/>
      <c r="DY413" s="5"/>
      <c r="DZ413" s="5"/>
      <c r="EA413" s="5" t="s">
        <v>247</v>
      </c>
      <c r="EB413" s="5"/>
      <c r="EC413" s="5" t="s">
        <v>248</v>
      </c>
      <c r="ED413" s="5"/>
      <c r="EE413" s="5" t="s">
        <v>253</v>
      </c>
      <c r="EF413" s="5"/>
      <c r="EG413" s="5"/>
      <c r="EH413" s="5"/>
      <c r="EI413" s="5" t="s">
        <v>253</v>
      </c>
      <c r="EJ413" s="5"/>
      <c r="EK413" s="5" t="s">
        <v>253</v>
      </c>
      <c r="EL413" s="5"/>
      <c r="EM413" s="5" t="s">
        <v>253</v>
      </c>
      <c r="EN413" s="5"/>
      <c r="EO413" s="5"/>
      <c r="EP413" s="5"/>
      <c r="EQ413" s="5" t="s">
        <v>248</v>
      </c>
      <c r="ER413" s="5"/>
      <c r="ES413" s="5" t="s">
        <v>253</v>
      </c>
      <c r="ET413" s="5"/>
      <c r="EU413" s="5" t="s">
        <v>232</v>
      </c>
      <c r="EV413" s="5"/>
      <c r="EW413" s="5" t="s">
        <v>232</v>
      </c>
      <c r="EX413" s="5"/>
      <c r="EY413" s="5"/>
      <c r="EZ413" s="5"/>
      <c r="FA413" s="5" t="s">
        <v>253</v>
      </c>
      <c r="FB413" s="5"/>
      <c r="FC413" s="5" t="s">
        <v>232</v>
      </c>
      <c r="FD413" s="5"/>
      <c r="FE413" s="5" t="s">
        <v>232</v>
      </c>
      <c r="FF413" s="5"/>
      <c r="FG413" s="5"/>
      <c r="FH413" s="5"/>
      <c r="FI413" s="5" t="s">
        <v>232</v>
      </c>
      <c r="FJ413" s="5"/>
      <c r="FK413" s="5" t="s">
        <v>232</v>
      </c>
      <c r="FL413" s="5"/>
      <c r="FM413" s="5" t="s">
        <v>232</v>
      </c>
      <c r="FN413" s="5"/>
      <c r="FO413" s="5"/>
      <c r="FP413" s="5"/>
      <c r="FQ413" s="5" t="s">
        <v>206</v>
      </c>
      <c r="FR413" s="5"/>
      <c r="FS413" s="5" t="s">
        <v>265</v>
      </c>
      <c r="FT413" s="5"/>
      <c r="FU413" s="5" t="s">
        <v>265</v>
      </c>
      <c r="FV413" s="5"/>
      <c r="FW413" s="5" t="s">
        <v>206</v>
      </c>
      <c r="FX413" s="5"/>
      <c r="FY413" s="5" t="s">
        <v>206</v>
      </c>
      <c r="FZ413" s="5"/>
      <c r="GA413" s="5" t="s">
        <v>265</v>
      </c>
      <c r="GB413" s="5"/>
      <c r="GC413" s="5" t="s">
        <v>206</v>
      </c>
      <c r="GD413" s="5"/>
      <c r="GE413" s="5"/>
      <c r="GF413" s="5"/>
      <c r="GG413" s="5" t="s">
        <v>255</v>
      </c>
      <c r="GH413" s="5" t="s">
        <v>255</v>
      </c>
      <c r="GI413" s="5" t="s">
        <v>266</v>
      </c>
      <c r="GJ413" s="5" t="s">
        <v>233</v>
      </c>
      <c r="GK413" s="5" t="s">
        <v>233</v>
      </c>
      <c r="GL413" s="5" t="s">
        <v>255</v>
      </c>
      <c r="GM413" s="5" t="s">
        <v>255</v>
      </c>
      <c r="GN413" s="5" t="s">
        <v>256</v>
      </c>
      <c r="GO413" s="5" t="s">
        <v>257</v>
      </c>
      <c r="GP413" s="5" t="s">
        <v>243</v>
      </c>
      <c r="GQ413" s="5" t="s">
        <v>234</v>
      </c>
      <c r="GR413" s="5" t="s">
        <v>234</v>
      </c>
      <c r="GS413" s="5" t="s">
        <v>234</v>
      </c>
      <c r="GT413" s="5" t="s">
        <v>256</v>
      </c>
      <c r="GU413" s="5" t="s">
        <v>781</v>
      </c>
      <c r="GV413" s="5" t="str">
        <f>TEXT("6284284126658564500","0")</f>
        <v>6284284126658560000</v>
      </c>
    </row>
    <row r="414" spans="1:204" ht="15.75" customHeight="1" x14ac:dyDescent="0.15">
      <c r="A414" s="1">
        <f t="shared" ref="A414:A422" si="1224">ROW(A414)</f>
        <v>414</v>
      </c>
      <c r="B414" s="4">
        <v>45853.79828703704</v>
      </c>
      <c r="C414" s="5" t="s">
        <v>204</v>
      </c>
      <c r="D414" s="5" t="s">
        <v>206</v>
      </c>
      <c r="F414" s="5" t="s">
        <v>206</v>
      </c>
      <c r="G414" s="5" t="s">
        <v>206</v>
      </c>
      <c r="H414" s="5" t="s">
        <v>206</v>
      </c>
      <c r="J414" s="5" t="s">
        <v>209</v>
      </c>
      <c r="O414" s="5" t="s">
        <v>209</v>
      </c>
      <c r="S414" s="5" t="s">
        <v>208</v>
      </c>
      <c r="X414" s="5" t="s">
        <v>208</v>
      </c>
      <c r="AG414" s="5" t="s">
        <v>207</v>
      </c>
      <c r="AH414" s="5" t="s">
        <v>210</v>
      </c>
      <c r="AI414" s="5">
        <v>2023</v>
      </c>
      <c r="AJ414" s="5" t="s">
        <v>238</v>
      </c>
      <c r="AK414" s="5" t="str">
        <f t="shared" ref="AK414:AK422" si="1225">IF(OR(AJ414="Empleada del sector privado",AJ414="Empleada del sector público"),"Asalariada",
IF(AJ414="Trabajadora por cuenta propia","Trabajadora por cuenta propia",""))</f>
        <v>Trabajadora por cuenta propia</v>
      </c>
      <c r="AL414" s="5" t="s">
        <v>239</v>
      </c>
      <c r="AP414" s="5" t="s">
        <v>240</v>
      </c>
      <c r="AR414" s="5" t="s">
        <v>241</v>
      </c>
      <c r="AS414" s="5" t="s">
        <v>241</v>
      </c>
      <c r="AT414" s="5" t="s">
        <v>261</v>
      </c>
      <c r="AU414" s="5" t="s">
        <v>241</v>
      </c>
      <c r="AV414" s="5" t="s">
        <v>277</v>
      </c>
      <c r="AW414" s="5" t="s">
        <v>206</v>
      </c>
      <c r="BF414" s="5" t="s">
        <v>204</v>
      </c>
      <c r="BG414" s="5" t="s">
        <v>215</v>
      </c>
      <c r="BH414" s="5" t="s">
        <v>215</v>
      </c>
      <c r="BI414" s="5" t="s">
        <v>264</v>
      </c>
      <c r="BJ414" s="5" t="s">
        <v>264</v>
      </c>
      <c r="BK414" s="5" t="s">
        <v>243</v>
      </c>
      <c r="BL414" s="5" t="s">
        <v>246</v>
      </c>
      <c r="BM414" s="5" t="s">
        <v>244</v>
      </c>
      <c r="BN414" s="5" t="s">
        <v>246</v>
      </c>
      <c r="BO414" s="5" t="s">
        <v>246</v>
      </c>
      <c r="BP414" s="5" t="s">
        <v>243</v>
      </c>
      <c r="BQ414" s="5" t="s">
        <v>246</v>
      </c>
      <c r="BR414" s="5" t="s">
        <v>244</v>
      </c>
      <c r="BS414" s="5" t="s">
        <v>247</v>
      </c>
      <c r="BT414" s="5" t="s">
        <v>247</v>
      </c>
      <c r="BU414" s="5" t="s">
        <v>232</v>
      </c>
      <c r="BV414" s="5" t="s">
        <v>247</v>
      </c>
      <c r="BW414" s="5" t="s">
        <v>247</v>
      </c>
      <c r="BX414" s="5" t="s">
        <v>232</v>
      </c>
      <c r="BY414" s="5" t="s">
        <v>247</v>
      </c>
      <c r="CD414" s="5" t="s">
        <v>206</v>
      </c>
      <c r="CH414" s="5" t="s">
        <v>331</v>
      </c>
      <c r="CI414" s="5" t="s">
        <v>206</v>
      </c>
      <c r="CJ414" s="5">
        <v>1</v>
      </c>
      <c r="CK414" s="5" t="s">
        <v>223</v>
      </c>
      <c r="CU414" s="5" t="s">
        <v>206</v>
      </c>
      <c r="DA414" s="5" t="s">
        <v>231</v>
      </c>
      <c r="DB414" s="5">
        <f t="shared" ref="DB414:DB422" si="1226">IF(DA414="Mejor que lo habitual",1,
IF(DA414="Igual que lo habitual",2,
IF(DA414="Menos que lo habitual",3,
IF(DA414="Mucho menos que lo habitual",4,""))))</f>
        <v>2</v>
      </c>
      <c r="DC414" s="5" t="s">
        <v>230</v>
      </c>
      <c r="DD414" s="5">
        <f t="shared" ref="DD414:DD422" si="1227">IF(DC414="No, en absoluto",1,
IF(DC414="No más que lo habitual",2,
IF(DC414="Bastante más que lo habitual",3,
IF(DC414="Mucho más que lo habitual",4,""))))</f>
        <v>2</v>
      </c>
      <c r="DE414" s="5" t="s">
        <v>230</v>
      </c>
      <c r="DF414" s="5">
        <f t="shared" ref="DF414:DF422" si="1228">IF(DE414="No, en absoluto",1,
IF(DE414="No más que lo habitual",2,
IF(DE414="Bastante más que lo habitual",3,
IF(DE414="Mucho más que lo habitual",4,""))))</f>
        <v>2</v>
      </c>
      <c r="DG414" s="5" t="s">
        <v>230</v>
      </c>
      <c r="DH414" s="5">
        <f t="shared" ref="DH414:DH422" si="1229">IF(DG414="No, en absoluto",1,
IF(DG414="No más que lo habitual",2,
IF(DG414="Bastante más que lo habitual",3,
IF(DG414="Mucho más que lo habitual",4,""))))</f>
        <v>2</v>
      </c>
      <c r="DI414" s="5" t="s">
        <v>251</v>
      </c>
      <c r="DJ414" s="5">
        <f t="shared" ref="DJ414:DJ422" si="1230">IF(DI414="No, en absoluto",1,
IF(DI414="No más que lo habitual",2,
IF(DI414="Bastante más que lo habitual",3,
IF(DI414="Mucho más que lo habitual",4,""))))</f>
        <v>1</v>
      </c>
      <c r="DK414" s="5" t="s">
        <v>230</v>
      </c>
      <c r="DL414" s="5">
        <f t="shared" ref="DL414:DL422" si="1231">IF(DK414="No, en absoluto",1,
IF(DK414="No más que lo habitual",2,
IF(DK414="Bastante más que lo habitual",3,
IF(DK414="Mucho más que lo habitual",4,""))))</f>
        <v>2</v>
      </c>
      <c r="DM414" s="5" t="s">
        <v>251</v>
      </c>
      <c r="DN414" s="5">
        <f t="shared" ref="DN414:DN422" si="1232">IF(DM414="No, en absoluto",1,
IF(DM414="No más que lo habitual",2,
IF(DM414="Bastante más que lo habitual",3,
IF(DM414="Mucho más que lo habitual",4,""))))</f>
        <v>1</v>
      </c>
      <c r="DO414" s="5" t="s">
        <v>281</v>
      </c>
      <c r="DP414" s="5">
        <f t="shared" ref="DP414:DP422" si="1233">IF(DO414="Más que lo habitual",1,
IF(DO414="Igual que lo habitual",2,
IF(DO414="Menos que lo habitual",3,
IF(DO414="Mucho menos que lo habitual",4,""))))</f>
        <v>1</v>
      </c>
      <c r="DQ414" s="5" t="s">
        <v>231</v>
      </c>
      <c r="DR414" s="5">
        <f t="shared" ref="DR414:DR422" si="1234">IF(DQ414="Más que lo habitual",1,
IF(DQ414="Igual que lo habitual",2,
IF(DQ414="Menos que lo habitual",3,
IF(DQ414="Mucho menos que lo habitual",4,""))))</f>
        <v>2</v>
      </c>
      <c r="DS414" s="5" t="s">
        <v>231</v>
      </c>
      <c r="DT414" s="5">
        <f t="shared" ref="DT414:DT422" si="1235">IF(DS414="Más que lo habitual",1,
IF(DS414="Igual que lo habitual",2,
IF(DS414="Menos que lo habitual",3,
IF(DS414="Mucho menos que lo habitual",4,""))))</f>
        <v>2</v>
      </c>
      <c r="DU414" s="5" t="s">
        <v>231</v>
      </c>
      <c r="DV414" s="5">
        <f t="shared" ref="DV414:DV422" si="1236">IF(DU414="Más que lo habitual",1,
IF(DU414="Igual que lo habitual",2,
IF(DU414="Menos que lo habitual",3,
IF(DU414="Mucho menos que lo habitual",4,""))))</f>
        <v>2</v>
      </c>
      <c r="DW414" s="5" t="s">
        <v>231</v>
      </c>
      <c r="DX414" s="5">
        <f t="shared" ref="DX414:DX422" si="1237">IF(DW414="Más que lo habitual",1,
IF(DW414="Igual que lo habitual",2,
IF(DW414="Menos que lo habitual",3,
IF(DW414="Mucho menos que lo habitual",4,""))))</f>
        <v>2</v>
      </c>
      <c r="DY414" s="5">
        <f t="shared" ref="DY414:DY422" si="1238">SUM(DB414,DD414,DF414,DH414,DJ414,DL414,DN414,DP414,DR414,DT414,DV414,DX414)</f>
        <v>21</v>
      </c>
      <c r="DZ414" s="5" t="str">
        <f t="shared" ref="DZ414:DZ422" si="1239">IF(DY414&lt;=18,"Nivel de riesgo bajo",
IF(DY414&lt;=23,"Nivel de riesgo medio",
"Nivel de riesgo alto"))</f>
        <v>Nivel de riesgo medio</v>
      </c>
      <c r="EA414" s="5" t="s">
        <v>247</v>
      </c>
      <c r="EB414" s="5">
        <f t="shared" ref="EB414:EB422" si="1240">IF(EA414="Nunca/ casi nunca",0,
IF(EA414="Rara vez",1,
IF(EA414="A veces",2,
IF(EA414="A menudo",3,
IF(EA414="Siempre",4,"")))))</f>
        <v>2</v>
      </c>
      <c r="EC414" s="5" t="s">
        <v>232</v>
      </c>
      <c r="ED414" s="5">
        <f t="shared" ref="ED414:ED422" si="1241">IF(EC414="Nunca/ casi nunca",0,
IF(EC414="Rara vez",1,
IF(EC414="A veces",2,
IF(EC414="A menudo",3,
IF(EC414="Siempre",4,"")))))</f>
        <v>3</v>
      </c>
      <c r="EE414" s="5" t="s">
        <v>248</v>
      </c>
      <c r="EF414" s="5">
        <f t="shared" ref="EF414:EF422" si="1242">IF(EE414="Nunca/ casi nunca",0,
IF(EE414="Rara vez",1,
IF(EE414="A veces",2,
IF(EE414="A menudo",3,
IF(EE414="Siempre",4,"")))))</f>
        <v>1</v>
      </c>
      <c r="EG414" s="5">
        <f t="shared" ref="EG414:EG422" si="1243">SUM(EB414,ED414,EF414)</f>
        <v>6</v>
      </c>
      <c r="EH414" s="5" t="str">
        <f t="shared" ref="EH414:EH422" si="1244">IF(EG414&lt;=1,"Nivel de riesgo bajo",
IF(EG414&lt;=4,"Nivel de riesgo medio",
"Nivel de riesgo alto"))</f>
        <v>Nivel de riesgo alto</v>
      </c>
      <c r="EI414" s="5" t="s">
        <v>248</v>
      </c>
      <c r="EJ414" s="5">
        <f t="shared" ref="EJ414:EJ422" si="1245">IF(EI414="Nunca/ casi nunca",0,
IF(EI414="Rara vez",1,
IF(EI414="A veces",2,
IF(EI414="A menudo",3,
IF(EI414="Siempre",4,"")))))</f>
        <v>1</v>
      </c>
      <c r="EK414" s="5" t="s">
        <v>247</v>
      </c>
      <c r="EL414" s="5">
        <f t="shared" ref="EL414:EL422" si="1246">IF(EK414="Nunca/ casi nunca",0,
IF(EK414="Rara vez",1,
IF(EK414="A veces",2,
IF(EK414="A menudo",3,
IF(EK414="Siempre",4,"")))))</f>
        <v>2</v>
      </c>
      <c r="EM414" s="5" t="s">
        <v>247</v>
      </c>
      <c r="EN414" s="5">
        <f t="shared" ref="EN414:EN422" si="1247">IF(EM414="Nunca/ casi nunca",0,
IF(EM414="Rara vez",1,
IF(EM414="A veces",2,
IF(EM414="A menudo",3,
IF(EM414="Siempre",4,"")))))</f>
        <v>2</v>
      </c>
      <c r="EO414" s="5">
        <f t="shared" ref="EO414:EO422" si="1248">SUM(EJ414,EL414,EN414)</f>
        <v>5</v>
      </c>
      <c r="EP414" s="5" t="str">
        <f t="shared" ref="EP414:EP422" si="1249">IF(EO414&lt;=1,"Nivel de riesgo bajo",
IF(EO414&lt;=5,"Nivel de riesgo medio",
"Nivel de riesgo alto"))</f>
        <v>Nivel de riesgo medio</v>
      </c>
      <c r="EQ414" s="5" t="s">
        <v>248</v>
      </c>
      <c r="ER414" s="5">
        <f t="shared" ref="ER414:ER422" si="1250">IF(EQ414="Nunca/ casi nunca",4,
IF(EQ414="Rara vez",3,
IF(EQ414="A veces",2,
IF(EQ414="A menudo",1,
IF(EQ414="Siempre",0,"")))))</f>
        <v>3</v>
      </c>
      <c r="ES414" s="5" t="s">
        <v>247</v>
      </c>
      <c r="ET414" s="5">
        <f t="shared" ref="ET414:ET422" si="1251">IF(ES414="Nunca/ casi nunca",4,
IF(ES414="Rara vez",3,
IF(ES414="A veces",2,
IF(ES414="A menudo",1,
IF(ES414="Siempre",0,"")))))</f>
        <v>2</v>
      </c>
      <c r="EU414" s="5" t="s">
        <v>254</v>
      </c>
      <c r="EV414" s="5">
        <f t="shared" ref="EV414:EV422" si="1252">IF(EU414="Nunca/ casi nunca",4,
IF(EU414="Rara vez",3,
IF(EU414="A veces",2,
IF(EU414="A menudo",1,
IF(EU414="Siempre",0,"")))))</f>
        <v>0</v>
      </c>
      <c r="EW414" s="5" t="s">
        <v>254</v>
      </c>
      <c r="EX414" s="5">
        <f t="shared" ref="EX414:EX422" si="1253">IF(EW414="Nunca/ casi nunca",4,
IF(EW414="Rara vez",3,
IF(EW414="A veces",2,
IF(EW414="A menudo",1,
IF(EW414="Siempre",0,"")))))</f>
        <v>0</v>
      </c>
      <c r="EY414" s="5">
        <f t="shared" ref="EY414:EY422" si="1254">SUM(ER414,ET414,EV414,EX414)</f>
        <v>5</v>
      </c>
      <c r="EZ414" s="5" t="str">
        <f t="shared" ref="EZ414:EZ422" si="1255">IF(EY414&lt;=0,"Nivel de riesgo bajo",
IF(EY414&lt;=4,"Nivel de riesgo medio",
"Nivel de riesgo alto"))</f>
        <v>Nivel de riesgo alto</v>
      </c>
      <c r="FA414" s="5" t="s">
        <v>248</v>
      </c>
      <c r="FB414" s="5">
        <f t="shared" ref="FB414:FB422" si="1256">IF(FA414="Nunca/ casi nunca",0,
IF(FA414="Rara vez",1,
IF(FA414="A veces",2,
IF(FA414="A menudo",3,
IF(FA414="Siempre",4,"")))))</f>
        <v>1</v>
      </c>
      <c r="FC414" s="5" t="s">
        <v>253</v>
      </c>
      <c r="FD414" s="5">
        <f t="shared" ref="FD414:FD422" si="1257">IF(FC414="Nunca/ casi nunca",0,
IF(FC414="Rara vez",1,
IF(FC414="A veces",2,
IF(FC414="A menudo",3,
IF(FC414="Siempre",4,"")))))</f>
        <v>0</v>
      </c>
      <c r="FE414" s="5" t="s">
        <v>253</v>
      </c>
      <c r="FF414" s="5">
        <f t="shared" ref="FF414:FF422" si="1258">IF(FE414="Nunca/ casi nunca",0,
IF(FE414="Rara vez",1,
IF(FE414="A veces",2,
IF(FE414="A menudo",3,
IF(FE414="Siempre",4,"")))))</f>
        <v>0</v>
      </c>
      <c r="FG414" s="5">
        <f t="shared" ref="FG414:FG422" si="1259">SUM(FB414,FD414,FF414)</f>
        <v>1</v>
      </c>
      <c r="FH414" s="5" t="str">
        <f t="shared" ref="FH414:FH422" si="1260">IF(FG414&lt;=2,"Nivel de riesgo bajo",
IF(FG414&lt;=5,"Nivel de riesgo medio",
"Nivel de riesgo alto"))</f>
        <v>Nivel de riesgo bajo</v>
      </c>
      <c r="FI414" s="5" t="s">
        <v>247</v>
      </c>
      <c r="FJ414" s="5">
        <f t="shared" ref="FJ414:FJ422" si="1261">IF(FI414="Nunca/ casi nunca",0,
IF(FI414="Rara vez",1,
IF(FI414="A veces",2,
IF(FI414="A menudo",3,
IF(FI414="Siempre",4,"")))))</f>
        <v>2</v>
      </c>
      <c r="FK414" s="5" t="s">
        <v>247</v>
      </c>
      <c r="FL414" s="5">
        <f t="shared" ref="FL414:FL422" si="1262">IF(FK414="Nunca/ casi nunca",0,
IF(FK414="Rara vez",1,
IF(FK414="A veces",2,
IF(FK414="A menudo",3,
IF(FK414="Siempre",4,"")))))</f>
        <v>2</v>
      </c>
      <c r="FM414" s="5" t="s">
        <v>247</v>
      </c>
      <c r="FN414" s="5">
        <f t="shared" ref="FN414:FN422" si="1263">IF(FM414="Nunca/ casi nunca",0,
IF(FM414="Rara vez",1,
IF(FM414="A veces",2,
IF(FM414="A menudo",3,
IF(FM414="Siempre",4,"")))))</f>
        <v>2</v>
      </c>
      <c r="FO414" s="5">
        <f t="shared" ref="FO414:FO422" si="1264">SUM(FJ414,FL414,FN414)</f>
        <v>6</v>
      </c>
      <c r="FP414" s="5" t="str">
        <f t="shared" ref="FP414:FP422" si="1265">IF(FO414&lt;=2,"Nivel de riesgo bajo",
IF(FO414&lt;=5,"Nivel de riesgo medio",
"Nivel de riesgo alto"))</f>
        <v>Nivel de riesgo alto</v>
      </c>
      <c r="FQ414" s="5" t="s">
        <v>206</v>
      </c>
      <c r="FR414" s="5">
        <f t="shared" ref="FR414:FR422" si="1266">IF(FQ414="No",0,
IF(FQ414="Sí, unas pocas veces",1,
IF(FQ414="Sí, mensualmente",2,
IF(FQ414="Sí, semanalmente",3,
IF(FQ414="Sí, diariamente",4,"")))))</f>
        <v>0</v>
      </c>
      <c r="FS414" s="5" t="s">
        <v>206</v>
      </c>
      <c r="FT414" s="5">
        <f t="shared" ref="FT414:FT422" si="1267">IF(FS414="No",0,
IF(FS414="Sí, unas pocas veces",1,
IF(FS414="Sí, mensualmente",2,
IF(FS414="Sí, semanalmente",3,
IF(FS414="Sí, diariamente",4,"")))))</f>
        <v>0</v>
      </c>
      <c r="FU414" s="5" t="s">
        <v>206</v>
      </c>
      <c r="FV414" s="5">
        <f t="shared" ref="FV414:FV422" si="1268">IF(FU414="No",0,
IF(FU414="Sí, unas pocas veces",1,
IF(FU414="Sí, mensualmente",2,
IF(FU414="Sí, semanalmente",3,
IF(FU414="Sí, diariamente",4,"")))))</f>
        <v>0</v>
      </c>
      <c r="FW414" s="5" t="s">
        <v>206</v>
      </c>
      <c r="FX414" s="5">
        <f t="shared" ref="FX414:FX422" si="1269">IF(FW414="No",0,
IF(FW414="Sí, unas pocas veces",1,
IF(FW414="Sí, mensualmente",2,
IF(FW414="Sí, semanalmente",3,
IF(FW414="Sí, diariamente",4,"")))))</f>
        <v>0</v>
      </c>
      <c r="FY414" s="5" t="s">
        <v>206</v>
      </c>
      <c r="FZ414" s="5">
        <f t="shared" ref="FZ414:FZ422" si="1270">IF(FY414="No",0,
IF(FY414="Sí, unas pocas veces",1,
IF(FY414="Sí, mensualmente",2,
IF(FY414="Sí, semanalmente",3,
IF(FY414="Sí, diariamente",4,"")))))</f>
        <v>0</v>
      </c>
      <c r="GA414" s="5" t="s">
        <v>206</v>
      </c>
      <c r="GB414" s="5">
        <f t="shared" ref="GB414:GB422" si="1271">IF(GA414="No",0,
IF(GA414="Sí, unas pocas veces",1,
IF(GA414="Sí, mensualmente",2,
IF(GA414="Sí, semanalmente",3,
IF(GA414="Sí, diariamente",4,"")))))</f>
        <v>0</v>
      </c>
      <c r="GC414" s="5" t="s">
        <v>206</v>
      </c>
      <c r="GD414" s="5">
        <f t="shared" ref="GD414:GD422" si="1272">IF(GC414="No",0,
IF(GC414="Sí, unas pocas veces",1,
IF(GC414="Sí, mensualmente",2,
IF(GC414="Sí, semanalmente",3,
IF(GC414="Sí, diariamente",4,"")))))</f>
        <v>0</v>
      </c>
      <c r="GE414" s="5">
        <f t="shared" ref="GE414:GE422" si="1273">SUM(FR414,FT414,FV414,FX414,FZ414,GB414,GD414)</f>
        <v>0</v>
      </c>
      <c r="GF414" s="5" t="str">
        <f t="shared" ref="GF414:GF422" si="1274">IF(GE414&lt;=0,"Nivel de riesgo bajo",
IF(GE414&lt;=14,"Nivel de riesgo medio",
"Nivel de riesgo alto"))</f>
        <v>Nivel de riesgo bajo</v>
      </c>
      <c r="GG414" s="5" t="s">
        <v>255</v>
      </c>
      <c r="GH414" s="5" t="s">
        <v>255</v>
      </c>
      <c r="GI414" s="5" t="s">
        <v>255</v>
      </c>
      <c r="GJ414" s="5" t="s">
        <v>273</v>
      </c>
      <c r="GK414" s="5" t="s">
        <v>233</v>
      </c>
      <c r="GL414" s="5" t="s">
        <v>233</v>
      </c>
      <c r="GM414" s="5" t="s">
        <v>298</v>
      </c>
      <c r="GN414" s="5" t="s">
        <v>243</v>
      </c>
      <c r="GO414" s="5" t="s">
        <v>243</v>
      </c>
      <c r="GP414" s="5" t="s">
        <v>243</v>
      </c>
      <c r="GQ414" s="5" t="s">
        <v>257</v>
      </c>
      <c r="GR414" s="5" t="s">
        <v>243</v>
      </c>
      <c r="GS414" s="5" t="s">
        <v>243</v>
      </c>
      <c r="GT414" s="5" t="s">
        <v>243</v>
      </c>
      <c r="GU414" s="5" t="s">
        <v>782</v>
      </c>
      <c r="GV414" s="5" t="str">
        <f>TEXT("6284301729911764138","0")</f>
        <v>6284301729911760000</v>
      </c>
    </row>
    <row r="415" spans="1:204" ht="15.75" customHeight="1" x14ac:dyDescent="0.15">
      <c r="A415" s="1">
        <f t="shared" si="1224"/>
        <v>415</v>
      </c>
      <c r="B415" s="4">
        <v>45853.808518518519</v>
      </c>
      <c r="C415" s="5" t="s">
        <v>204</v>
      </c>
      <c r="D415" s="5" t="s">
        <v>206</v>
      </c>
      <c r="F415" s="5" t="s">
        <v>206</v>
      </c>
      <c r="G415" s="5" t="s">
        <v>206</v>
      </c>
      <c r="H415" s="5" t="s">
        <v>206</v>
      </c>
      <c r="K415" s="5" t="s">
        <v>237</v>
      </c>
      <c r="O415" s="5" t="s">
        <v>209</v>
      </c>
      <c r="S415" s="5" t="s">
        <v>208</v>
      </c>
      <c r="X415" s="5" t="s">
        <v>208</v>
      </c>
      <c r="AE415" s="5" t="s">
        <v>237</v>
      </c>
      <c r="AH415" s="5" t="s">
        <v>259</v>
      </c>
      <c r="AI415" s="5">
        <v>2012</v>
      </c>
      <c r="AJ415" s="5" t="s">
        <v>238</v>
      </c>
      <c r="AK415" s="5" t="str">
        <f t="shared" si="1225"/>
        <v>Trabajadora por cuenta propia</v>
      </c>
      <c r="AM415" s="5" t="s">
        <v>309</v>
      </c>
      <c r="AP415" s="5" t="s">
        <v>321</v>
      </c>
      <c r="AR415" s="5" t="s">
        <v>276</v>
      </c>
      <c r="AS415" s="5" t="s">
        <v>241</v>
      </c>
      <c r="AT415" s="5" t="s">
        <v>276</v>
      </c>
      <c r="AU415" s="5" t="s">
        <v>276</v>
      </c>
      <c r="AV415" s="5" t="s">
        <v>285</v>
      </c>
      <c r="AW415" s="5" t="s">
        <v>204</v>
      </c>
      <c r="AX415" s="5" t="s">
        <v>204</v>
      </c>
      <c r="AY415" s="5" t="s">
        <v>214</v>
      </c>
      <c r="AZ415" s="5" t="s">
        <v>204</v>
      </c>
      <c r="BA415" s="5" t="s">
        <v>348</v>
      </c>
      <c r="BF415" s="5" t="s">
        <v>204</v>
      </c>
      <c r="BG415" s="5" t="s">
        <v>278</v>
      </c>
      <c r="BH415" s="5" t="s">
        <v>242</v>
      </c>
      <c r="BI415" s="5" t="s">
        <v>278</v>
      </c>
      <c r="BJ415" s="5" t="s">
        <v>242</v>
      </c>
      <c r="BK415" s="5" t="s">
        <v>246</v>
      </c>
      <c r="BL415" s="5" t="s">
        <v>246</v>
      </c>
      <c r="BM415" s="5" t="s">
        <v>246</v>
      </c>
      <c r="BN415" s="5" t="s">
        <v>246</v>
      </c>
      <c r="BO415" s="5" t="s">
        <v>246</v>
      </c>
      <c r="BP415" s="5" t="s">
        <v>246</v>
      </c>
      <c r="BQ415" s="5" t="s">
        <v>246</v>
      </c>
      <c r="BR415" s="5" t="s">
        <v>246</v>
      </c>
      <c r="BS415" s="5" t="s">
        <v>247</v>
      </c>
      <c r="BT415" s="5" t="s">
        <v>247</v>
      </c>
      <c r="BU415" s="5" t="s">
        <v>247</v>
      </c>
      <c r="BV415" s="5" t="s">
        <v>247</v>
      </c>
      <c r="BW415" s="5" t="s">
        <v>247</v>
      </c>
      <c r="BX415" s="5" t="s">
        <v>247</v>
      </c>
      <c r="BY415" s="5" t="s">
        <v>247</v>
      </c>
      <c r="BZ415" s="5" t="s">
        <v>246</v>
      </c>
      <c r="CA415" s="5" t="s">
        <v>246</v>
      </c>
      <c r="CB415" s="5" t="s">
        <v>246</v>
      </c>
      <c r="CC415" s="5" t="s">
        <v>246</v>
      </c>
      <c r="CD415" s="5" t="s">
        <v>206</v>
      </c>
      <c r="CH415" s="5" t="s">
        <v>206</v>
      </c>
      <c r="CI415" s="5" t="s">
        <v>206</v>
      </c>
      <c r="CJ415" s="5">
        <v>3</v>
      </c>
      <c r="CK415" s="5" t="s">
        <v>223</v>
      </c>
      <c r="CU415" s="5" t="s">
        <v>206</v>
      </c>
      <c r="DA415" s="5" t="s">
        <v>272</v>
      </c>
      <c r="DB415" s="5">
        <f t="shared" si="1226"/>
        <v>1</v>
      </c>
      <c r="DC415" s="5" t="s">
        <v>230</v>
      </c>
      <c r="DD415" s="5">
        <f t="shared" si="1227"/>
        <v>2</v>
      </c>
      <c r="DE415" s="5" t="s">
        <v>230</v>
      </c>
      <c r="DF415" s="5">
        <f t="shared" si="1228"/>
        <v>2</v>
      </c>
      <c r="DG415" s="5" t="s">
        <v>230</v>
      </c>
      <c r="DH415" s="5">
        <f t="shared" si="1229"/>
        <v>2</v>
      </c>
      <c r="DI415" s="5" t="s">
        <v>250</v>
      </c>
      <c r="DJ415" s="5">
        <f t="shared" si="1230"/>
        <v>3</v>
      </c>
      <c r="DK415" s="5" t="s">
        <v>251</v>
      </c>
      <c r="DL415" s="5">
        <f t="shared" si="1231"/>
        <v>1</v>
      </c>
      <c r="DM415" s="5" t="s">
        <v>251</v>
      </c>
      <c r="DN415" s="5">
        <f t="shared" si="1232"/>
        <v>1</v>
      </c>
      <c r="DO415" s="5" t="s">
        <v>231</v>
      </c>
      <c r="DP415" s="5">
        <f t="shared" si="1233"/>
        <v>2</v>
      </c>
      <c r="DQ415" s="5" t="s">
        <v>231</v>
      </c>
      <c r="DR415" s="5">
        <f t="shared" si="1234"/>
        <v>2</v>
      </c>
      <c r="DS415" s="5" t="s">
        <v>281</v>
      </c>
      <c r="DT415" s="5">
        <f t="shared" si="1235"/>
        <v>1</v>
      </c>
      <c r="DU415" s="5" t="s">
        <v>281</v>
      </c>
      <c r="DV415" s="5">
        <f t="shared" si="1236"/>
        <v>1</v>
      </c>
      <c r="DW415" s="5" t="s">
        <v>281</v>
      </c>
      <c r="DX415" s="5">
        <f t="shared" si="1237"/>
        <v>1</v>
      </c>
      <c r="DY415" s="5">
        <f t="shared" si="1238"/>
        <v>19</v>
      </c>
      <c r="DZ415" s="5" t="str">
        <f t="shared" si="1239"/>
        <v>Nivel de riesgo medio</v>
      </c>
      <c r="EA415" s="5" t="s">
        <v>248</v>
      </c>
      <c r="EB415" s="5">
        <f t="shared" si="1240"/>
        <v>1</v>
      </c>
      <c r="EC415" s="5" t="s">
        <v>248</v>
      </c>
      <c r="ED415" s="5">
        <f t="shared" si="1241"/>
        <v>1</v>
      </c>
      <c r="EE415" s="5" t="s">
        <v>248</v>
      </c>
      <c r="EF415" s="5">
        <f t="shared" si="1242"/>
        <v>1</v>
      </c>
      <c r="EG415" s="5">
        <f t="shared" si="1243"/>
        <v>3</v>
      </c>
      <c r="EH415" s="5" t="str">
        <f t="shared" si="1244"/>
        <v>Nivel de riesgo medio</v>
      </c>
      <c r="EI415" s="5" t="s">
        <v>253</v>
      </c>
      <c r="EJ415" s="5">
        <f t="shared" si="1245"/>
        <v>0</v>
      </c>
      <c r="EK415" s="5" t="s">
        <v>253</v>
      </c>
      <c r="EL415" s="5">
        <f t="shared" si="1246"/>
        <v>0</v>
      </c>
      <c r="EM415" s="5" t="s">
        <v>253</v>
      </c>
      <c r="EN415" s="5">
        <f t="shared" si="1247"/>
        <v>0</v>
      </c>
      <c r="EO415" s="5">
        <f t="shared" si="1248"/>
        <v>0</v>
      </c>
      <c r="EP415" s="5" t="str">
        <f t="shared" si="1249"/>
        <v>Nivel de riesgo bajo</v>
      </c>
      <c r="EQ415" s="5" t="s">
        <v>248</v>
      </c>
      <c r="ER415" s="5">
        <f t="shared" si="1250"/>
        <v>3</v>
      </c>
      <c r="ES415" s="5" t="s">
        <v>248</v>
      </c>
      <c r="ET415" s="5">
        <f t="shared" si="1251"/>
        <v>3</v>
      </c>
      <c r="EU415" s="5" t="s">
        <v>253</v>
      </c>
      <c r="EV415" s="5">
        <f t="shared" si="1252"/>
        <v>4</v>
      </c>
      <c r="EW415" s="5" t="s">
        <v>253</v>
      </c>
      <c r="EX415" s="5">
        <f t="shared" si="1253"/>
        <v>4</v>
      </c>
      <c r="EY415" s="5">
        <f t="shared" si="1254"/>
        <v>14</v>
      </c>
      <c r="EZ415" s="5" t="str">
        <f t="shared" si="1255"/>
        <v>Nivel de riesgo alto</v>
      </c>
      <c r="FA415" s="5" t="s">
        <v>248</v>
      </c>
      <c r="FB415" s="5">
        <f t="shared" si="1256"/>
        <v>1</v>
      </c>
      <c r="FC415" s="5" t="s">
        <v>248</v>
      </c>
      <c r="FD415" s="5">
        <f t="shared" si="1257"/>
        <v>1</v>
      </c>
      <c r="FE415" s="5" t="s">
        <v>248</v>
      </c>
      <c r="FF415" s="5">
        <f t="shared" si="1258"/>
        <v>1</v>
      </c>
      <c r="FG415" s="5">
        <f t="shared" si="1259"/>
        <v>3</v>
      </c>
      <c r="FH415" s="5" t="str">
        <f t="shared" si="1260"/>
        <v>Nivel de riesgo medio</v>
      </c>
      <c r="FI415" s="5" t="s">
        <v>248</v>
      </c>
      <c r="FJ415" s="5">
        <f t="shared" si="1261"/>
        <v>1</v>
      </c>
      <c r="FK415" s="5" t="s">
        <v>248</v>
      </c>
      <c r="FL415" s="5">
        <f t="shared" si="1262"/>
        <v>1</v>
      </c>
      <c r="FM415" s="5" t="s">
        <v>248</v>
      </c>
      <c r="FN415" s="5">
        <f t="shared" si="1263"/>
        <v>1</v>
      </c>
      <c r="FO415" s="5">
        <f t="shared" si="1264"/>
        <v>3</v>
      </c>
      <c r="FP415" s="5" t="str">
        <f t="shared" si="1265"/>
        <v>Nivel de riesgo medio</v>
      </c>
      <c r="FQ415" s="5" t="s">
        <v>206</v>
      </c>
      <c r="FR415" s="5">
        <f t="shared" si="1266"/>
        <v>0</v>
      </c>
      <c r="FS415" s="5" t="s">
        <v>206</v>
      </c>
      <c r="FT415" s="5">
        <f t="shared" si="1267"/>
        <v>0</v>
      </c>
      <c r="FU415" s="5" t="s">
        <v>206</v>
      </c>
      <c r="FV415" s="5">
        <f t="shared" si="1268"/>
        <v>0</v>
      </c>
      <c r="FW415" s="5" t="s">
        <v>206</v>
      </c>
      <c r="FX415" s="5">
        <f t="shared" si="1269"/>
        <v>0</v>
      </c>
      <c r="FY415" s="5" t="s">
        <v>206</v>
      </c>
      <c r="FZ415" s="5">
        <f t="shared" si="1270"/>
        <v>0</v>
      </c>
      <c r="GA415" s="5" t="s">
        <v>206</v>
      </c>
      <c r="GB415" s="5">
        <f t="shared" si="1271"/>
        <v>0</v>
      </c>
      <c r="GC415" s="5" t="s">
        <v>206</v>
      </c>
      <c r="GD415" s="5">
        <f t="shared" si="1272"/>
        <v>0</v>
      </c>
      <c r="GE415" s="5">
        <f t="shared" si="1273"/>
        <v>0</v>
      </c>
      <c r="GF415" s="5" t="str">
        <f t="shared" si="1274"/>
        <v>Nivel de riesgo bajo</v>
      </c>
      <c r="GG415" s="5" t="s">
        <v>273</v>
      </c>
      <c r="GH415" s="5" t="s">
        <v>273</v>
      </c>
      <c r="GI415" s="5" t="s">
        <v>273</v>
      </c>
      <c r="GJ415" s="5" t="s">
        <v>233</v>
      </c>
      <c r="GK415" s="5" t="s">
        <v>233</v>
      </c>
      <c r="GL415" s="5" t="s">
        <v>233</v>
      </c>
      <c r="GM415" s="5" t="s">
        <v>233</v>
      </c>
      <c r="GN415" s="5" t="s">
        <v>243</v>
      </c>
      <c r="GO415" s="5" t="s">
        <v>243</v>
      </c>
      <c r="GP415" s="5" t="s">
        <v>243</v>
      </c>
      <c r="GQ415" s="5" t="s">
        <v>243</v>
      </c>
      <c r="GR415" s="5" t="s">
        <v>243</v>
      </c>
      <c r="GS415" s="5" t="s">
        <v>243</v>
      </c>
      <c r="GT415" s="5" t="s">
        <v>243</v>
      </c>
      <c r="GU415" s="5" t="s">
        <v>783</v>
      </c>
      <c r="GV415" s="5" t="str">
        <f>TEXT("6284310563678292626","0")</f>
        <v>6284310563678290000</v>
      </c>
    </row>
    <row r="416" spans="1:204" ht="15.75" customHeight="1" x14ac:dyDescent="0.15">
      <c r="A416" s="1">
        <f t="shared" si="1224"/>
        <v>416</v>
      </c>
      <c r="B416" s="4">
        <v>45853.920729166668</v>
      </c>
      <c r="C416" s="5" t="s">
        <v>204</v>
      </c>
      <c r="D416" s="5" t="s">
        <v>206</v>
      </c>
      <c r="F416" s="5" t="s">
        <v>204</v>
      </c>
      <c r="G416" s="5" t="s">
        <v>206</v>
      </c>
      <c r="H416" s="5" t="s">
        <v>206</v>
      </c>
      <c r="K416" s="5" t="s">
        <v>237</v>
      </c>
      <c r="O416" s="5" t="s">
        <v>209</v>
      </c>
      <c r="S416" s="5" t="s">
        <v>208</v>
      </c>
      <c r="Y416" s="5" t="s">
        <v>209</v>
      </c>
      <c r="AE416" s="5" t="s">
        <v>237</v>
      </c>
      <c r="AH416" s="5" t="s">
        <v>784</v>
      </c>
      <c r="AI416" s="5">
        <v>2016</v>
      </c>
      <c r="AJ416" s="5" t="s">
        <v>330</v>
      </c>
      <c r="AK416" s="5" t="str">
        <f t="shared" si="1225"/>
        <v>Asalariada</v>
      </c>
      <c r="AQ416" s="5" t="s">
        <v>204</v>
      </c>
      <c r="AR416" s="5" t="s">
        <v>241</v>
      </c>
      <c r="AS416" s="5" t="s">
        <v>261</v>
      </c>
      <c r="AT416" s="5" t="s">
        <v>241</v>
      </c>
      <c r="AU416" s="5" t="s">
        <v>294</v>
      </c>
      <c r="AV416" s="5" t="s">
        <v>213</v>
      </c>
      <c r="AW416" s="5" t="s">
        <v>206</v>
      </c>
      <c r="BF416" s="5" t="s">
        <v>204</v>
      </c>
      <c r="BG416" s="5" t="s">
        <v>207</v>
      </c>
      <c r="BH416" s="5" t="s">
        <v>242</v>
      </c>
      <c r="BI416" s="5" t="s">
        <v>207</v>
      </c>
      <c r="BJ416" s="5" t="s">
        <v>242</v>
      </c>
      <c r="BK416" s="5" t="s">
        <v>243</v>
      </c>
      <c r="BL416" s="5" t="s">
        <v>246</v>
      </c>
      <c r="BM416" s="5" t="s">
        <v>216</v>
      </c>
      <c r="BN416" s="5" t="s">
        <v>216</v>
      </c>
      <c r="BO416" s="5" t="s">
        <v>216</v>
      </c>
      <c r="BP416" s="5" t="s">
        <v>244</v>
      </c>
      <c r="BQ416" s="5" t="s">
        <v>216</v>
      </c>
      <c r="BR416" s="5" t="s">
        <v>246</v>
      </c>
      <c r="BS416" s="5" t="s">
        <v>247</v>
      </c>
      <c r="BT416" s="5" t="s">
        <v>248</v>
      </c>
      <c r="BU416" s="5" t="s">
        <v>232</v>
      </c>
      <c r="BV416" s="5" t="s">
        <v>248</v>
      </c>
      <c r="BW416" s="5" t="s">
        <v>248</v>
      </c>
      <c r="BX416" s="5" t="s">
        <v>247</v>
      </c>
      <c r="BY416" s="5" t="s">
        <v>217</v>
      </c>
      <c r="CD416" s="5" t="s">
        <v>206</v>
      </c>
      <c r="CH416" s="5" t="s">
        <v>206</v>
      </c>
      <c r="CI416" s="5" t="s">
        <v>206</v>
      </c>
      <c r="CJ416" s="5">
        <v>3</v>
      </c>
      <c r="CK416" s="5" t="s">
        <v>223</v>
      </c>
      <c r="CU416" s="5" t="s">
        <v>206</v>
      </c>
      <c r="DA416" s="5" t="s">
        <v>231</v>
      </c>
      <c r="DB416" s="5">
        <f t="shared" si="1226"/>
        <v>2</v>
      </c>
      <c r="DC416" s="5" t="s">
        <v>250</v>
      </c>
      <c r="DD416" s="5">
        <f t="shared" si="1227"/>
        <v>3</v>
      </c>
      <c r="DE416" s="5" t="s">
        <v>250</v>
      </c>
      <c r="DF416" s="5">
        <f t="shared" si="1228"/>
        <v>3</v>
      </c>
      <c r="DG416" s="5" t="s">
        <v>250</v>
      </c>
      <c r="DH416" s="5">
        <f t="shared" si="1229"/>
        <v>3</v>
      </c>
      <c r="DI416" s="5" t="s">
        <v>250</v>
      </c>
      <c r="DJ416" s="5">
        <f t="shared" si="1230"/>
        <v>3</v>
      </c>
      <c r="DK416" s="5" t="s">
        <v>250</v>
      </c>
      <c r="DL416" s="5">
        <f t="shared" si="1231"/>
        <v>3</v>
      </c>
      <c r="DM416" s="5" t="s">
        <v>230</v>
      </c>
      <c r="DN416" s="5">
        <f t="shared" si="1232"/>
        <v>2</v>
      </c>
      <c r="DO416" s="5" t="s">
        <v>229</v>
      </c>
      <c r="DP416" s="5">
        <f t="shared" si="1233"/>
        <v>4</v>
      </c>
      <c r="DQ416" s="5" t="s">
        <v>252</v>
      </c>
      <c r="DR416" s="5">
        <f t="shared" si="1234"/>
        <v>3</v>
      </c>
      <c r="DS416" s="5" t="s">
        <v>231</v>
      </c>
      <c r="DT416" s="5">
        <f t="shared" si="1235"/>
        <v>2</v>
      </c>
      <c r="DU416" s="5" t="s">
        <v>229</v>
      </c>
      <c r="DV416" s="5">
        <f t="shared" si="1236"/>
        <v>4</v>
      </c>
      <c r="DW416" s="5" t="s">
        <v>231</v>
      </c>
      <c r="DX416" s="5">
        <f t="shared" si="1237"/>
        <v>2</v>
      </c>
      <c r="DY416" s="5">
        <f t="shared" si="1238"/>
        <v>34</v>
      </c>
      <c r="DZ416" s="5" t="str">
        <f t="shared" si="1239"/>
        <v>Nivel de riesgo alto</v>
      </c>
      <c r="EA416" s="5" t="s">
        <v>247</v>
      </c>
      <c r="EB416" s="5">
        <f t="shared" si="1240"/>
        <v>2</v>
      </c>
      <c r="EC416" s="5" t="s">
        <v>253</v>
      </c>
      <c r="ED416" s="5">
        <f t="shared" si="1241"/>
        <v>0</v>
      </c>
      <c r="EE416" s="5" t="s">
        <v>248</v>
      </c>
      <c r="EF416" s="5">
        <f t="shared" si="1242"/>
        <v>1</v>
      </c>
      <c r="EG416" s="5">
        <f t="shared" si="1243"/>
        <v>3</v>
      </c>
      <c r="EH416" s="5" t="str">
        <f t="shared" si="1244"/>
        <v>Nivel de riesgo medio</v>
      </c>
      <c r="EI416" s="5" t="s">
        <v>247</v>
      </c>
      <c r="EJ416" s="5">
        <f t="shared" si="1245"/>
        <v>2</v>
      </c>
      <c r="EK416" s="5" t="s">
        <v>248</v>
      </c>
      <c r="EL416" s="5">
        <f t="shared" si="1246"/>
        <v>1</v>
      </c>
      <c r="EM416" s="5" t="s">
        <v>232</v>
      </c>
      <c r="EN416" s="5">
        <f t="shared" si="1247"/>
        <v>3</v>
      </c>
      <c r="EO416" s="5">
        <f t="shared" si="1248"/>
        <v>6</v>
      </c>
      <c r="EP416" s="5" t="str">
        <f t="shared" si="1249"/>
        <v>Nivel de riesgo alto</v>
      </c>
      <c r="EQ416" s="5" t="s">
        <v>253</v>
      </c>
      <c r="ER416" s="5">
        <f t="shared" si="1250"/>
        <v>4</v>
      </c>
      <c r="ES416" s="5" t="s">
        <v>253</v>
      </c>
      <c r="ET416" s="5">
        <f t="shared" si="1251"/>
        <v>4</v>
      </c>
      <c r="EU416" s="5" t="s">
        <v>232</v>
      </c>
      <c r="EV416" s="5">
        <f t="shared" si="1252"/>
        <v>1</v>
      </c>
      <c r="EW416" s="5" t="s">
        <v>247</v>
      </c>
      <c r="EX416" s="5">
        <f t="shared" si="1253"/>
        <v>2</v>
      </c>
      <c r="EY416" s="5">
        <f t="shared" si="1254"/>
        <v>11</v>
      </c>
      <c r="EZ416" s="5" t="str">
        <f t="shared" si="1255"/>
        <v>Nivel de riesgo alto</v>
      </c>
      <c r="FA416" s="5" t="s">
        <v>248</v>
      </c>
      <c r="FB416" s="5">
        <f t="shared" si="1256"/>
        <v>1</v>
      </c>
      <c r="FC416" s="5" t="s">
        <v>254</v>
      </c>
      <c r="FD416" s="5">
        <f t="shared" si="1257"/>
        <v>4</v>
      </c>
      <c r="FE416" s="5" t="s">
        <v>232</v>
      </c>
      <c r="FF416" s="5">
        <f t="shared" si="1258"/>
        <v>3</v>
      </c>
      <c r="FG416" s="5">
        <f t="shared" si="1259"/>
        <v>8</v>
      </c>
      <c r="FH416" s="5" t="str">
        <f t="shared" si="1260"/>
        <v>Nivel de riesgo alto</v>
      </c>
      <c r="FI416" s="5" t="s">
        <v>253</v>
      </c>
      <c r="FJ416" s="5">
        <f t="shared" si="1261"/>
        <v>0</v>
      </c>
      <c r="FK416" s="5" t="s">
        <v>248</v>
      </c>
      <c r="FL416" s="5">
        <f t="shared" si="1262"/>
        <v>1</v>
      </c>
      <c r="FM416" s="5" t="s">
        <v>253</v>
      </c>
      <c r="FN416" s="5">
        <f t="shared" si="1263"/>
        <v>0</v>
      </c>
      <c r="FO416" s="5">
        <f t="shared" si="1264"/>
        <v>1</v>
      </c>
      <c r="FP416" s="5" t="str">
        <f t="shared" si="1265"/>
        <v>Nivel de riesgo bajo</v>
      </c>
      <c r="FQ416" s="5" t="s">
        <v>265</v>
      </c>
      <c r="FR416" s="5">
        <f t="shared" si="1266"/>
        <v>1</v>
      </c>
      <c r="FS416" s="5" t="s">
        <v>206</v>
      </c>
      <c r="FT416" s="5">
        <f t="shared" si="1267"/>
        <v>0</v>
      </c>
      <c r="FU416" s="5" t="s">
        <v>206</v>
      </c>
      <c r="FV416" s="5">
        <f t="shared" si="1268"/>
        <v>0</v>
      </c>
      <c r="FW416" s="5" t="s">
        <v>206</v>
      </c>
      <c r="FX416" s="5">
        <f t="shared" si="1269"/>
        <v>0</v>
      </c>
      <c r="FY416" s="5" t="s">
        <v>206</v>
      </c>
      <c r="FZ416" s="5">
        <f t="shared" si="1270"/>
        <v>0</v>
      </c>
      <c r="GA416" s="5" t="s">
        <v>265</v>
      </c>
      <c r="GB416" s="5">
        <f t="shared" si="1271"/>
        <v>1</v>
      </c>
      <c r="GC416" s="5" t="s">
        <v>265</v>
      </c>
      <c r="GD416" s="5">
        <f t="shared" si="1272"/>
        <v>1</v>
      </c>
      <c r="GE416" s="5">
        <f t="shared" si="1273"/>
        <v>3</v>
      </c>
      <c r="GF416" s="5" t="str">
        <f t="shared" si="1274"/>
        <v>Nivel de riesgo medio</v>
      </c>
      <c r="GG416" s="5" t="s">
        <v>273</v>
      </c>
      <c r="GH416" s="5" t="s">
        <v>266</v>
      </c>
      <c r="GI416" s="5" t="s">
        <v>266</v>
      </c>
      <c r="GJ416" s="5" t="s">
        <v>233</v>
      </c>
      <c r="GK416" s="5" t="s">
        <v>233</v>
      </c>
      <c r="GL416" s="5" t="s">
        <v>298</v>
      </c>
      <c r="GM416" s="5" t="s">
        <v>273</v>
      </c>
      <c r="GN416" s="5" t="s">
        <v>243</v>
      </c>
      <c r="GO416" s="5" t="s">
        <v>257</v>
      </c>
      <c r="GP416" s="5" t="s">
        <v>244</v>
      </c>
      <c r="GQ416" s="5" t="s">
        <v>244</v>
      </c>
      <c r="GR416" s="5" t="s">
        <v>244</v>
      </c>
      <c r="GS416" s="5" t="s">
        <v>243</v>
      </c>
      <c r="GT416" s="5" t="s">
        <v>243</v>
      </c>
      <c r="GU416" s="5" t="s">
        <v>785</v>
      </c>
      <c r="GV416" s="5" t="str">
        <f>TEXT("6284407512857046783","0")</f>
        <v>6284407512857040000</v>
      </c>
    </row>
    <row r="417" spans="1:204" ht="15.75" customHeight="1" x14ac:dyDescent="0.15">
      <c r="A417" s="1">
        <f t="shared" si="1224"/>
        <v>417</v>
      </c>
      <c r="B417" s="4">
        <v>45853.940462962964</v>
      </c>
      <c r="C417" s="5" t="s">
        <v>204</v>
      </c>
      <c r="D417" s="5" t="s">
        <v>206</v>
      </c>
      <c r="F417" s="5" t="s">
        <v>204</v>
      </c>
      <c r="G417" s="5" t="s">
        <v>204</v>
      </c>
      <c r="H417" s="5" t="s">
        <v>206</v>
      </c>
      <c r="J417" s="5" t="s">
        <v>209</v>
      </c>
      <c r="O417" s="5" t="s">
        <v>209</v>
      </c>
      <c r="T417" s="5" t="s">
        <v>209</v>
      </c>
      <c r="X417" s="5" t="s">
        <v>208</v>
      </c>
      <c r="AC417" s="5" t="s">
        <v>208</v>
      </c>
      <c r="AH417" s="5" t="s">
        <v>210</v>
      </c>
      <c r="AI417" s="5">
        <v>2022</v>
      </c>
      <c r="AJ417" s="5" t="s">
        <v>238</v>
      </c>
      <c r="AK417" s="5" t="str">
        <f t="shared" si="1225"/>
        <v>Trabajadora por cuenta propia</v>
      </c>
      <c r="AL417" s="5" t="s">
        <v>239</v>
      </c>
      <c r="AO417" s="5" t="s">
        <v>390</v>
      </c>
      <c r="AP417" s="5" t="s">
        <v>240</v>
      </c>
      <c r="AR417" s="5" t="s">
        <v>301</v>
      </c>
      <c r="AS417" s="5" t="s">
        <v>301</v>
      </c>
      <c r="AT417" s="5" t="s">
        <v>301</v>
      </c>
      <c r="AU417" s="5" t="s">
        <v>301</v>
      </c>
      <c r="AV417" s="5" t="s">
        <v>457</v>
      </c>
      <c r="AW417" s="5" t="s">
        <v>206</v>
      </c>
      <c r="BF417" s="5" t="s">
        <v>204</v>
      </c>
      <c r="BG417" s="5" t="s">
        <v>215</v>
      </c>
      <c r="BH417" s="5" t="s">
        <v>242</v>
      </c>
      <c r="BI417" s="5" t="s">
        <v>271</v>
      </c>
      <c r="BJ417" s="5" t="s">
        <v>242</v>
      </c>
      <c r="BK417" s="5" t="s">
        <v>243</v>
      </c>
      <c r="BL417" s="5" t="s">
        <v>216</v>
      </c>
      <c r="BM417" s="5" t="s">
        <v>246</v>
      </c>
      <c r="BN417" s="5" t="s">
        <v>243</v>
      </c>
      <c r="BO417" s="5" t="s">
        <v>216</v>
      </c>
      <c r="BP417" s="5" t="s">
        <v>216</v>
      </c>
      <c r="BQ417" s="5" t="s">
        <v>216</v>
      </c>
      <c r="BR417" s="5" t="s">
        <v>216</v>
      </c>
      <c r="BS417" s="5" t="s">
        <v>247</v>
      </c>
      <c r="BT417" s="5" t="s">
        <v>217</v>
      </c>
      <c r="BU417" s="5" t="s">
        <v>217</v>
      </c>
      <c r="BV417" s="5" t="s">
        <v>217</v>
      </c>
      <c r="BW417" s="5" t="s">
        <v>217</v>
      </c>
      <c r="BX417" s="5" t="s">
        <v>217</v>
      </c>
      <c r="BY417" s="5" t="s">
        <v>217</v>
      </c>
      <c r="CD417" s="5" t="s">
        <v>206</v>
      </c>
      <c r="CH417" s="5" t="s">
        <v>206</v>
      </c>
      <c r="CI417" s="5" t="s">
        <v>206</v>
      </c>
      <c r="CJ417" s="5">
        <v>0</v>
      </c>
      <c r="CK417" s="5" t="s">
        <v>223</v>
      </c>
      <c r="CU417" s="5" t="s">
        <v>206</v>
      </c>
      <c r="DA417" s="5" t="s">
        <v>272</v>
      </c>
      <c r="DB417" s="5">
        <f t="shared" si="1226"/>
        <v>1</v>
      </c>
      <c r="DC417" s="5" t="s">
        <v>251</v>
      </c>
      <c r="DD417" s="5">
        <f t="shared" si="1227"/>
        <v>1</v>
      </c>
      <c r="DE417" s="5" t="s">
        <v>251</v>
      </c>
      <c r="DF417" s="5">
        <f t="shared" si="1228"/>
        <v>1</v>
      </c>
      <c r="DG417" s="5" t="s">
        <v>251</v>
      </c>
      <c r="DH417" s="5">
        <f t="shared" si="1229"/>
        <v>1</v>
      </c>
      <c r="DI417" s="5" t="s">
        <v>251</v>
      </c>
      <c r="DJ417" s="5">
        <f t="shared" si="1230"/>
        <v>1</v>
      </c>
      <c r="DK417" s="5" t="s">
        <v>251</v>
      </c>
      <c r="DL417" s="5">
        <f t="shared" si="1231"/>
        <v>1</v>
      </c>
      <c r="DM417" s="5" t="s">
        <v>251</v>
      </c>
      <c r="DN417" s="5">
        <f t="shared" si="1232"/>
        <v>1</v>
      </c>
      <c r="DO417" s="5" t="s">
        <v>229</v>
      </c>
      <c r="DP417" s="5">
        <f t="shared" si="1233"/>
        <v>4</v>
      </c>
      <c r="DQ417" s="5" t="s">
        <v>281</v>
      </c>
      <c r="DR417" s="5">
        <f t="shared" si="1234"/>
        <v>1</v>
      </c>
      <c r="DS417" s="5" t="s">
        <v>281</v>
      </c>
      <c r="DT417" s="5">
        <f t="shared" si="1235"/>
        <v>1</v>
      </c>
      <c r="DU417" s="5" t="s">
        <v>281</v>
      </c>
      <c r="DV417" s="5">
        <f t="shared" si="1236"/>
        <v>1</v>
      </c>
      <c r="DW417" s="5" t="s">
        <v>281</v>
      </c>
      <c r="DX417" s="5">
        <f t="shared" si="1237"/>
        <v>1</v>
      </c>
      <c r="DY417" s="5">
        <f t="shared" si="1238"/>
        <v>15</v>
      </c>
      <c r="DZ417" s="5" t="str">
        <f t="shared" si="1239"/>
        <v>Nivel de riesgo bajo</v>
      </c>
      <c r="EA417" s="5" t="s">
        <v>253</v>
      </c>
      <c r="EB417" s="5">
        <f t="shared" si="1240"/>
        <v>0</v>
      </c>
      <c r="EC417" s="5" t="s">
        <v>253</v>
      </c>
      <c r="ED417" s="5">
        <f t="shared" si="1241"/>
        <v>0</v>
      </c>
      <c r="EE417" s="5" t="s">
        <v>253</v>
      </c>
      <c r="EF417" s="5">
        <f t="shared" si="1242"/>
        <v>0</v>
      </c>
      <c r="EG417" s="5">
        <f t="shared" si="1243"/>
        <v>0</v>
      </c>
      <c r="EH417" s="5" t="str">
        <f t="shared" si="1244"/>
        <v>Nivel de riesgo bajo</v>
      </c>
      <c r="EI417" s="5" t="s">
        <v>253</v>
      </c>
      <c r="EJ417" s="5">
        <f t="shared" si="1245"/>
        <v>0</v>
      </c>
      <c r="EK417" s="5" t="s">
        <v>253</v>
      </c>
      <c r="EL417" s="5">
        <f t="shared" si="1246"/>
        <v>0</v>
      </c>
      <c r="EM417" s="5" t="s">
        <v>248</v>
      </c>
      <c r="EN417" s="5">
        <f t="shared" si="1247"/>
        <v>1</v>
      </c>
      <c r="EO417" s="5">
        <f t="shared" si="1248"/>
        <v>1</v>
      </c>
      <c r="EP417" s="5" t="str">
        <f t="shared" si="1249"/>
        <v>Nivel de riesgo bajo</v>
      </c>
      <c r="EQ417" s="5" t="s">
        <v>253</v>
      </c>
      <c r="ER417" s="5">
        <f t="shared" si="1250"/>
        <v>4</v>
      </c>
      <c r="ES417" s="5" t="s">
        <v>253</v>
      </c>
      <c r="ET417" s="5">
        <f t="shared" si="1251"/>
        <v>4</v>
      </c>
      <c r="EU417" s="5" t="s">
        <v>253</v>
      </c>
      <c r="EV417" s="5">
        <f t="shared" si="1252"/>
        <v>4</v>
      </c>
      <c r="EW417" s="5" t="s">
        <v>253</v>
      </c>
      <c r="EX417" s="5">
        <f t="shared" si="1253"/>
        <v>4</v>
      </c>
      <c r="EY417" s="5">
        <f t="shared" si="1254"/>
        <v>16</v>
      </c>
      <c r="EZ417" s="5" t="str">
        <f t="shared" si="1255"/>
        <v>Nivel de riesgo alto</v>
      </c>
      <c r="FA417" s="5" t="s">
        <v>253</v>
      </c>
      <c r="FB417" s="5">
        <f t="shared" si="1256"/>
        <v>0</v>
      </c>
      <c r="FC417" s="5" t="s">
        <v>253</v>
      </c>
      <c r="FD417" s="5">
        <f t="shared" si="1257"/>
        <v>0</v>
      </c>
      <c r="FE417" s="5" t="s">
        <v>253</v>
      </c>
      <c r="FF417" s="5">
        <f t="shared" si="1258"/>
        <v>0</v>
      </c>
      <c r="FG417" s="5">
        <f t="shared" si="1259"/>
        <v>0</v>
      </c>
      <c r="FH417" s="5" t="str">
        <f t="shared" si="1260"/>
        <v>Nivel de riesgo bajo</v>
      </c>
      <c r="FI417" s="5" t="s">
        <v>253</v>
      </c>
      <c r="FJ417" s="5">
        <f t="shared" si="1261"/>
        <v>0</v>
      </c>
      <c r="FK417" s="5" t="s">
        <v>253</v>
      </c>
      <c r="FL417" s="5">
        <f t="shared" si="1262"/>
        <v>0</v>
      </c>
      <c r="FM417" s="5" t="s">
        <v>253</v>
      </c>
      <c r="FN417" s="5">
        <f t="shared" si="1263"/>
        <v>0</v>
      </c>
      <c r="FO417" s="5">
        <f t="shared" si="1264"/>
        <v>0</v>
      </c>
      <c r="FP417" s="5" t="str">
        <f t="shared" si="1265"/>
        <v>Nivel de riesgo bajo</v>
      </c>
      <c r="FQ417" s="5" t="s">
        <v>206</v>
      </c>
      <c r="FR417" s="5">
        <f t="shared" si="1266"/>
        <v>0</v>
      </c>
      <c r="FS417" s="5" t="s">
        <v>206</v>
      </c>
      <c r="FT417" s="5">
        <f t="shared" si="1267"/>
        <v>0</v>
      </c>
      <c r="FU417" s="5" t="s">
        <v>206</v>
      </c>
      <c r="FV417" s="5">
        <f t="shared" si="1268"/>
        <v>0</v>
      </c>
      <c r="FW417" s="5" t="s">
        <v>206</v>
      </c>
      <c r="FX417" s="5">
        <f t="shared" si="1269"/>
        <v>0</v>
      </c>
      <c r="FY417" s="5" t="s">
        <v>206</v>
      </c>
      <c r="FZ417" s="5">
        <f t="shared" si="1270"/>
        <v>0</v>
      </c>
      <c r="GA417" s="5" t="s">
        <v>206</v>
      </c>
      <c r="GB417" s="5">
        <f t="shared" si="1271"/>
        <v>0</v>
      </c>
      <c r="GC417" s="5" t="s">
        <v>206</v>
      </c>
      <c r="GD417" s="5">
        <f t="shared" si="1272"/>
        <v>0</v>
      </c>
      <c r="GE417" s="5">
        <f t="shared" si="1273"/>
        <v>0</v>
      </c>
      <c r="GF417" s="5" t="str">
        <f t="shared" si="1274"/>
        <v>Nivel de riesgo bajo</v>
      </c>
      <c r="GG417" s="5" t="s">
        <v>255</v>
      </c>
      <c r="GH417" s="5" t="s">
        <v>255</v>
      </c>
      <c r="GI417" s="5" t="s">
        <v>255</v>
      </c>
      <c r="GJ417" s="5" t="s">
        <v>255</v>
      </c>
      <c r="GK417" s="5" t="s">
        <v>233</v>
      </c>
      <c r="GL417" s="5" t="s">
        <v>233</v>
      </c>
      <c r="GM417" s="5" t="s">
        <v>233</v>
      </c>
      <c r="GN417" s="5" t="s">
        <v>256</v>
      </c>
      <c r="GO417" s="5" t="s">
        <v>256</v>
      </c>
      <c r="GP417" s="5" t="s">
        <v>256</v>
      </c>
      <c r="GQ417" s="5" t="s">
        <v>234</v>
      </c>
      <c r="GR417" s="5" t="s">
        <v>234</v>
      </c>
      <c r="GS417" s="5" t="s">
        <v>256</v>
      </c>
      <c r="GT417" s="5" t="s">
        <v>256</v>
      </c>
      <c r="GU417" s="5" t="s">
        <v>786</v>
      </c>
      <c r="GV417" s="5" t="str">
        <f>TEXT("6284424569898113951","0")</f>
        <v>6284424569898110000</v>
      </c>
    </row>
    <row r="418" spans="1:204" ht="15.75" customHeight="1" x14ac:dyDescent="0.15">
      <c r="A418" s="1">
        <f t="shared" si="1224"/>
        <v>418</v>
      </c>
      <c r="B418" s="4">
        <v>45853.968506944446</v>
      </c>
      <c r="C418" s="5" t="s">
        <v>204</v>
      </c>
      <c r="D418" s="5" t="s">
        <v>206</v>
      </c>
      <c r="F418" s="5" t="s">
        <v>206</v>
      </c>
      <c r="G418" s="5" t="s">
        <v>206</v>
      </c>
      <c r="H418" s="5" t="s">
        <v>206</v>
      </c>
      <c r="K418" s="5" t="s">
        <v>237</v>
      </c>
      <c r="O418" s="5" t="s">
        <v>209</v>
      </c>
      <c r="U418" s="5" t="s">
        <v>237</v>
      </c>
      <c r="X418" s="5" t="s">
        <v>208</v>
      </c>
      <c r="AE418" s="5" t="s">
        <v>237</v>
      </c>
      <c r="AH418" s="5" t="s">
        <v>275</v>
      </c>
      <c r="AI418" s="5">
        <v>2019</v>
      </c>
      <c r="AJ418" s="5" t="s">
        <v>238</v>
      </c>
      <c r="AK418" s="5" t="str">
        <f t="shared" si="1225"/>
        <v>Trabajadora por cuenta propia</v>
      </c>
      <c r="AM418" s="5" t="s">
        <v>309</v>
      </c>
      <c r="AP418" s="5" t="s">
        <v>240</v>
      </c>
      <c r="AR418" s="5" t="s">
        <v>276</v>
      </c>
      <c r="AS418" s="5" t="s">
        <v>276</v>
      </c>
      <c r="AT418" s="5" t="s">
        <v>276</v>
      </c>
      <c r="AU418" s="5" t="s">
        <v>276</v>
      </c>
      <c r="AV418" s="5" t="s">
        <v>269</v>
      </c>
      <c r="AW418" s="5" t="s">
        <v>204</v>
      </c>
      <c r="AX418" s="5" t="s">
        <v>206</v>
      </c>
      <c r="BF418" s="5" t="s">
        <v>204</v>
      </c>
      <c r="BG418" s="5" t="s">
        <v>215</v>
      </c>
      <c r="BH418" s="5" t="s">
        <v>264</v>
      </c>
      <c r="BI418" s="5" t="s">
        <v>215</v>
      </c>
      <c r="BJ418" s="5" t="s">
        <v>264</v>
      </c>
      <c r="BK418" s="5" t="s">
        <v>246</v>
      </c>
      <c r="BL418" s="5" t="s">
        <v>244</v>
      </c>
      <c r="BM418" s="5" t="s">
        <v>244</v>
      </c>
      <c r="BN418" s="5" t="s">
        <v>244</v>
      </c>
      <c r="BO418" s="5" t="s">
        <v>244</v>
      </c>
      <c r="BP418" s="5" t="s">
        <v>244</v>
      </c>
      <c r="BQ418" s="5" t="s">
        <v>244</v>
      </c>
      <c r="BR418" s="5" t="s">
        <v>244</v>
      </c>
      <c r="BS418" s="5" t="s">
        <v>248</v>
      </c>
      <c r="BT418" s="5" t="s">
        <v>248</v>
      </c>
      <c r="BU418" s="5" t="s">
        <v>248</v>
      </c>
      <c r="BV418" s="5" t="s">
        <v>248</v>
      </c>
      <c r="BW418" s="5" t="s">
        <v>248</v>
      </c>
      <c r="BX418" s="5" t="s">
        <v>248</v>
      </c>
      <c r="BY418" s="5" t="s">
        <v>248</v>
      </c>
      <c r="BZ418" s="5" t="s">
        <v>216</v>
      </c>
      <c r="CA418" s="5" t="s">
        <v>216</v>
      </c>
      <c r="CB418" s="5" t="s">
        <v>216</v>
      </c>
      <c r="CC418" s="5" t="s">
        <v>216</v>
      </c>
      <c r="CD418" s="5" t="s">
        <v>206</v>
      </c>
      <c r="CH418" s="5" t="s">
        <v>206</v>
      </c>
      <c r="CI418" s="5" t="s">
        <v>206</v>
      </c>
      <c r="CJ418" s="5">
        <v>1</v>
      </c>
      <c r="CO418" s="5" t="s">
        <v>433</v>
      </c>
      <c r="CU418" s="5" t="s">
        <v>204</v>
      </c>
      <c r="CV418" s="5" t="s">
        <v>350</v>
      </c>
      <c r="CW418" s="5" t="s">
        <v>371</v>
      </c>
      <c r="CX418" s="5" t="s">
        <v>352</v>
      </c>
      <c r="CY418" s="5" t="s">
        <v>353</v>
      </c>
      <c r="CZ418" s="5" t="s">
        <v>206</v>
      </c>
      <c r="DA418" s="5" t="s">
        <v>272</v>
      </c>
      <c r="DB418" s="5">
        <f t="shared" si="1226"/>
        <v>1</v>
      </c>
      <c r="DC418" s="5" t="s">
        <v>251</v>
      </c>
      <c r="DD418" s="5">
        <f t="shared" si="1227"/>
        <v>1</v>
      </c>
      <c r="DE418" s="5" t="s">
        <v>251</v>
      </c>
      <c r="DF418" s="5">
        <f t="shared" si="1228"/>
        <v>1</v>
      </c>
      <c r="DG418" s="5" t="s">
        <v>251</v>
      </c>
      <c r="DH418" s="5">
        <f t="shared" si="1229"/>
        <v>1</v>
      </c>
      <c r="DI418" s="5" t="s">
        <v>251</v>
      </c>
      <c r="DJ418" s="5">
        <f t="shared" si="1230"/>
        <v>1</v>
      </c>
      <c r="DK418" s="5" t="s">
        <v>251</v>
      </c>
      <c r="DL418" s="5">
        <f t="shared" si="1231"/>
        <v>1</v>
      </c>
      <c r="DM418" s="5" t="s">
        <v>251</v>
      </c>
      <c r="DN418" s="5">
        <f t="shared" si="1232"/>
        <v>1</v>
      </c>
      <c r="DO418" s="5" t="s">
        <v>281</v>
      </c>
      <c r="DP418" s="5">
        <f t="shared" si="1233"/>
        <v>1</v>
      </c>
      <c r="DQ418" s="5" t="s">
        <v>281</v>
      </c>
      <c r="DR418" s="5">
        <f t="shared" si="1234"/>
        <v>1</v>
      </c>
      <c r="DS418" s="5" t="s">
        <v>281</v>
      </c>
      <c r="DT418" s="5">
        <f t="shared" si="1235"/>
        <v>1</v>
      </c>
      <c r="DU418" s="5" t="s">
        <v>281</v>
      </c>
      <c r="DV418" s="5">
        <f t="shared" si="1236"/>
        <v>1</v>
      </c>
      <c r="DW418" s="5" t="s">
        <v>281</v>
      </c>
      <c r="DX418" s="5">
        <f t="shared" si="1237"/>
        <v>1</v>
      </c>
      <c r="DY418" s="5">
        <f t="shared" si="1238"/>
        <v>12</v>
      </c>
      <c r="DZ418" s="5" t="str">
        <f t="shared" si="1239"/>
        <v>Nivel de riesgo bajo</v>
      </c>
      <c r="EA418" s="5" t="s">
        <v>248</v>
      </c>
      <c r="EB418" s="5">
        <f t="shared" si="1240"/>
        <v>1</v>
      </c>
      <c r="EC418" s="5" t="s">
        <v>248</v>
      </c>
      <c r="ED418" s="5">
        <f t="shared" si="1241"/>
        <v>1</v>
      </c>
      <c r="EE418" s="5" t="s">
        <v>253</v>
      </c>
      <c r="EF418" s="5">
        <f t="shared" si="1242"/>
        <v>0</v>
      </c>
      <c r="EG418" s="5">
        <f t="shared" si="1243"/>
        <v>2</v>
      </c>
      <c r="EH418" s="5" t="str">
        <f t="shared" si="1244"/>
        <v>Nivel de riesgo medio</v>
      </c>
      <c r="EI418" s="5" t="s">
        <v>253</v>
      </c>
      <c r="EJ418" s="5">
        <f t="shared" si="1245"/>
        <v>0</v>
      </c>
      <c r="EK418" s="5" t="s">
        <v>253</v>
      </c>
      <c r="EL418" s="5">
        <f t="shared" si="1246"/>
        <v>0</v>
      </c>
      <c r="EM418" s="5" t="s">
        <v>253</v>
      </c>
      <c r="EN418" s="5">
        <f t="shared" si="1247"/>
        <v>0</v>
      </c>
      <c r="EO418" s="5">
        <f t="shared" si="1248"/>
        <v>0</v>
      </c>
      <c r="EP418" s="5" t="str">
        <f t="shared" si="1249"/>
        <v>Nivel de riesgo bajo</v>
      </c>
      <c r="EQ418" s="5" t="s">
        <v>253</v>
      </c>
      <c r="ER418" s="5">
        <f t="shared" si="1250"/>
        <v>4</v>
      </c>
      <c r="ES418" s="5" t="s">
        <v>253</v>
      </c>
      <c r="ET418" s="5">
        <f t="shared" si="1251"/>
        <v>4</v>
      </c>
      <c r="EU418" s="5" t="s">
        <v>254</v>
      </c>
      <c r="EV418" s="5">
        <f t="shared" si="1252"/>
        <v>0</v>
      </c>
      <c r="EW418" s="5" t="s">
        <v>254</v>
      </c>
      <c r="EX418" s="5">
        <f t="shared" si="1253"/>
        <v>0</v>
      </c>
      <c r="EY418" s="5">
        <f t="shared" si="1254"/>
        <v>8</v>
      </c>
      <c r="EZ418" s="5" t="str">
        <f t="shared" si="1255"/>
        <v>Nivel de riesgo alto</v>
      </c>
      <c r="FA418" s="5" t="s">
        <v>253</v>
      </c>
      <c r="FB418" s="5">
        <f t="shared" si="1256"/>
        <v>0</v>
      </c>
      <c r="FC418" s="5" t="s">
        <v>253</v>
      </c>
      <c r="FD418" s="5">
        <f t="shared" si="1257"/>
        <v>0</v>
      </c>
      <c r="FE418" s="5" t="s">
        <v>253</v>
      </c>
      <c r="FF418" s="5">
        <f t="shared" si="1258"/>
        <v>0</v>
      </c>
      <c r="FG418" s="5">
        <f t="shared" si="1259"/>
        <v>0</v>
      </c>
      <c r="FH418" s="5" t="str">
        <f t="shared" si="1260"/>
        <v>Nivel de riesgo bajo</v>
      </c>
      <c r="FI418" s="5" t="s">
        <v>253</v>
      </c>
      <c r="FJ418" s="5">
        <f t="shared" si="1261"/>
        <v>0</v>
      </c>
      <c r="FK418" s="5" t="s">
        <v>253</v>
      </c>
      <c r="FL418" s="5">
        <f t="shared" si="1262"/>
        <v>0</v>
      </c>
      <c r="FM418" s="5" t="s">
        <v>253</v>
      </c>
      <c r="FN418" s="5">
        <f t="shared" si="1263"/>
        <v>0</v>
      </c>
      <c r="FO418" s="5">
        <f t="shared" si="1264"/>
        <v>0</v>
      </c>
      <c r="FP418" s="5" t="str">
        <f t="shared" si="1265"/>
        <v>Nivel de riesgo bajo</v>
      </c>
      <c r="FQ418" s="5" t="s">
        <v>206</v>
      </c>
      <c r="FR418" s="5">
        <f t="shared" si="1266"/>
        <v>0</v>
      </c>
      <c r="FS418" s="5" t="s">
        <v>206</v>
      </c>
      <c r="FT418" s="5">
        <f t="shared" si="1267"/>
        <v>0</v>
      </c>
      <c r="FU418" s="5" t="s">
        <v>206</v>
      </c>
      <c r="FV418" s="5">
        <f t="shared" si="1268"/>
        <v>0</v>
      </c>
      <c r="FW418" s="5" t="s">
        <v>206</v>
      </c>
      <c r="FX418" s="5">
        <f t="shared" si="1269"/>
        <v>0</v>
      </c>
      <c r="FY418" s="5" t="s">
        <v>206</v>
      </c>
      <c r="FZ418" s="5">
        <f t="shared" si="1270"/>
        <v>0</v>
      </c>
      <c r="GA418" s="5" t="s">
        <v>206</v>
      </c>
      <c r="GB418" s="5">
        <f t="shared" si="1271"/>
        <v>0</v>
      </c>
      <c r="GC418" s="5" t="s">
        <v>206</v>
      </c>
      <c r="GD418" s="5">
        <f t="shared" si="1272"/>
        <v>0</v>
      </c>
      <c r="GE418" s="5">
        <f t="shared" si="1273"/>
        <v>0</v>
      </c>
      <c r="GF418" s="5" t="str">
        <f t="shared" si="1274"/>
        <v>Nivel de riesgo bajo</v>
      </c>
      <c r="GG418" s="5" t="s">
        <v>266</v>
      </c>
      <c r="GH418" s="5" t="s">
        <v>266</v>
      </c>
      <c r="GI418" s="5" t="s">
        <v>266</v>
      </c>
      <c r="GJ418" s="5" t="s">
        <v>233</v>
      </c>
      <c r="GK418" s="5" t="s">
        <v>233</v>
      </c>
      <c r="GL418" s="5" t="s">
        <v>233</v>
      </c>
      <c r="GM418" s="5" t="s">
        <v>233</v>
      </c>
      <c r="GN418" s="5" t="s">
        <v>257</v>
      </c>
      <c r="GO418" s="5" t="s">
        <v>257</v>
      </c>
      <c r="GP418" s="5" t="s">
        <v>257</v>
      </c>
      <c r="GQ418" s="5" t="s">
        <v>257</v>
      </c>
      <c r="GR418" s="5" t="s">
        <v>257</v>
      </c>
      <c r="GS418" s="5" t="s">
        <v>257</v>
      </c>
      <c r="GT418" s="5" t="s">
        <v>257</v>
      </c>
      <c r="GU418" s="5" t="s">
        <v>787</v>
      </c>
      <c r="GV418" s="5" t="str">
        <f>TEXT("6284448797779767329","0")</f>
        <v>6284448797779760000</v>
      </c>
    </row>
    <row r="419" spans="1:204" ht="15.75" customHeight="1" x14ac:dyDescent="0.15">
      <c r="A419" s="1">
        <f t="shared" si="1224"/>
        <v>419</v>
      </c>
      <c r="B419" s="4">
        <v>45853.995555555557</v>
      </c>
      <c r="C419" s="5" t="s">
        <v>204</v>
      </c>
      <c r="D419" s="5" t="s">
        <v>206</v>
      </c>
      <c r="F419" s="5" t="s">
        <v>206</v>
      </c>
      <c r="G419" s="5" t="s">
        <v>206</v>
      </c>
      <c r="H419" s="5" t="s">
        <v>206</v>
      </c>
      <c r="K419" s="5" t="s">
        <v>237</v>
      </c>
      <c r="P419" s="5" t="s">
        <v>237</v>
      </c>
      <c r="T419" s="5" t="s">
        <v>209</v>
      </c>
      <c r="X419" s="5" t="s">
        <v>208</v>
      </c>
      <c r="AE419" s="5" t="s">
        <v>237</v>
      </c>
      <c r="AH419" s="5" t="s">
        <v>275</v>
      </c>
      <c r="AI419" s="5">
        <v>2010</v>
      </c>
      <c r="AJ419" s="5" t="s">
        <v>238</v>
      </c>
      <c r="AK419" s="5" t="str">
        <f t="shared" si="1225"/>
        <v>Trabajadora por cuenta propia</v>
      </c>
      <c r="AL419" s="5" t="s">
        <v>239</v>
      </c>
      <c r="AP419" s="5" t="s">
        <v>284</v>
      </c>
      <c r="AR419" s="5" t="s">
        <v>301</v>
      </c>
      <c r="AS419" s="5" t="s">
        <v>261</v>
      </c>
      <c r="AT419" s="5" t="s">
        <v>261</v>
      </c>
      <c r="AU419" s="5" t="s">
        <v>261</v>
      </c>
      <c r="AV419" s="5" t="s">
        <v>277</v>
      </c>
      <c r="AW419" s="5" t="s">
        <v>204</v>
      </c>
      <c r="AX419" s="5" t="s">
        <v>206</v>
      </c>
      <c r="BF419" s="5" t="s">
        <v>204</v>
      </c>
      <c r="BG419" s="5" t="s">
        <v>207</v>
      </c>
      <c r="BH419" s="5" t="s">
        <v>215</v>
      </c>
      <c r="BI419" s="5" t="s">
        <v>207</v>
      </c>
      <c r="BJ419" s="5" t="s">
        <v>215</v>
      </c>
      <c r="BK419" s="5" t="s">
        <v>246</v>
      </c>
      <c r="BL419" s="5" t="s">
        <v>216</v>
      </c>
      <c r="BM419" s="5" t="s">
        <v>216</v>
      </c>
      <c r="BN419" s="5" t="s">
        <v>246</v>
      </c>
      <c r="BO419" s="5" t="s">
        <v>246</v>
      </c>
      <c r="BP419" s="5" t="s">
        <v>246</v>
      </c>
      <c r="BQ419" s="5" t="s">
        <v>246</v>
      </c>
      <c r="BR419" s="5" t="s">
        <v>243</v>
      </c>
      <c r="BS419" s="5" t="s">
        <v>247</v>
      </c>
      <c r="BT419" s="5" t="s">
        <v>217</v>
      </c>
      <c r="BU419" s="5" t="s">
        <v>248</v>
      </c>
      <c r="BV419" s="5" t="s">
        <v>217</v>
      </c>
      <c r="BW419" s="5" t="s">
        <v>247</v>
      </c>
      <c r="BX419" s="5" t="s">
        <v>247</v>
      </c>
      <c r="BY419" s="5" t="s">
        <v>248</v>
      </c>
      <c r="BZ419" s="5" t="s">
        <v>216</v>
      </c>
      <c r="CA419" s="5" t="s">
        <v>216</v>
      </c>
      <c r="CB419" s="5" t="s">
        <v>216</v>
      </c>
      <c r="CC419" s="5" t="s">
        <v>244</v>
      </c>
      <c r="CD419" s="5" t="s">
        <v>206</v>
      </c>
      <c r="CH419" s="5" t="s">
        <v>206</v>
      </c>
      <c r="CI419" s="5" t="s">
        <v>291</v>
      </c>
      <c r="CJ419" s="5">
        <v>2</v>
      </c>
      <c r="CK419" s="5" t="s">
        <v>223</v>
      </c>
      <c r="CU419" s="5" t="s">
        <v>206</v>
      </c>
      <c r="DA419" s="5" t="s">
        <v>231</v>
      </c>
      <c r="DB419" s="5">
        <f t="shared" si="1226"/>
        <v>2</v>
      </c>
      <c r="DC419" s="5" t="s">
        <v>250</v>
      </c>
      <c r="DD419" s="5">
        <f t="shared" si="1227"/>
        <v>3</v>
      </c>
      <c r="DE419" s="5" t="s">
        <v>230</v>
      </c>
      <c r="DF419" s="5">
        <f t="shared" si="1228"/>
        <v>2</v>
      </c>
      <c r="DG419" s="5" t="s">
        <v>251</v>
      </c>
      <c r="DH419" s="5">
        <f t="shared" si="1229"/>
        <v>1</v>
      </c>
      <c r="DI419" s="5" t="s">
        <v>251</v>
      </c>
      <c r="DJ419" s="5">
        <f t="shared" si="1230"/>
        <v>1</v>
      </c>
      <c r="DK419" s="5" t="s">
        <v>251</v>
      </c>
      <c r="DL419" s="5">
        <f t="shared" si="1231"/>
        <v>1</v>
      </c>
      <c r="DM419" s="5" t="s">
        <v>251</v>
      </c>
      <c r="DN419" s="5">
        <f t="shared" si="1232"/>
        <v>1</v>
      </c>
      <c r="DO419" s="5" t="s">
        <v>231</v>
      </c>
      <c r="DP419" s="5">
        <f t="shared" si="1233"/>
        <v>2</v>
      </c>
      <c r="DQ419" s="5" t="s">
        <v>281</v>
      </c>
      <c r="DR419" s="5">
        <f t="shared" si="1234"/>
        <v>1</v>
      </c>
      <c r="DS419" s="5" t="s">
        <v>281</v>
      </c>
      <c r="DT419" s="5">
        <f t="shared" si="1235"/>
        <v>1</v>
      </c>
      <c r="DU419" s="5" t="s">
        <v>281</v>
      </c>
      <c r="DV419" s="5">
        <f t="shared" si="1236"/>
        <v>1</v>
      </c>
      <c r="DW419" s="5" t="s">
        <v>281</v>
      </c>
      <c r="DX419" s="5">
        <f t="shared" si="1237"/>
        <v>1</v>
      </c>
      <c r="DY419" s="5">
        <f t="shared" si="1238"/>
        <v>17</v>
      </c>
      <c r="DZ419" s="5" t="str">
        <f t="shared" si="1239"/>
        <v>Nivel de riesgo bajo</v>
      </c>
      <c r="EA419" s="5" t="s">
        <v>248</v>
      </c>
      <c r="EB419" s="5">
        <f t="shared" si="1240"/>
        <v>1</v>
      </c>
      <c r="EC419" s="5" t="s">
        <v>248</v>
      </c>
      <c r="ED419" s="5">
        <f t="shared" si="1241"/>
        <v>1</v>
      </c>
      <c r="EE419" s="5" t="s">
        <v>253</v>
      </c>
      <c r="EF419" s="5">
        <f t="shared" si="1242"/>
        <v>0</v>
      </c>
      <c r="EG419" s="5">
        <f t="shared" si="1243"/>
        <v>2</v>
      </c>
      <c r="EH419" s="5" t="str">
        <f t="shared" si="1244"/>
        <v>Nivel de riesgo medio</v>
      </c>
      <c r="EI419" s="5" t="s">
        <v>253</v>
      </c>
      <c r="EJ419" s="5">
        <f t="shared" si="1245"/>
        <v>0</v>
      </c>
      <c r="EK419" s="5" t="s">
        <v>248</v>
      </c>
      <c r="EL419" s="5">
        <f t="shared" si="1246"/>
        <v>1</v>
      </c>
      <c r="EM419" s="5" t="s">
        <v>253</v>
      </c>
      <c r="EN419" s="5">
        <f t="shared" si="1247"/>
        <v>0</v>
      </c>
      <c r="EO419" s="5">
        <f t="shared" si="1248"/>
        <v>1</v>
      </c>
      <c r="EP419" s="5" t="str">
        <f t="shared" si="1249"/>
        <v>Nivel de riesgo bajo</v>
      </c>
      <c r="EQ419" s="5" t="s">
        <v>253</v>
      </c>
      <c r="ER419" s="5">
        <f t="shared" si="1250"/>
        <v>4</v>
      </c>
      <c r="ES419" s="5" t="s">
        <v>253</v>
      </c>
      <c r="ET419" s="5">
        <f t="shared" si="1251"/>
        <v>4</v>
      </c>
      <c r="EU419" s="5" t="s">
        <v>253</v>
      </c>
      <c r="EV419" s="5">
        <f t="shared" si="1252"/>
        <v>4</v>
      </c>
      <c r="EW419" s="5" t="s">
        <v>253</v>
      </c>
      <c r="EX419" s="5">
        <f t="shared" si="1253"/>
        <v>4</v>
      </c>
      <c r="EY419" s="5">
        <f t="shared" si="1254"/>
        <v>16</v>
      </c>
      <c r="EZ419" s="5" t="str">
        <f t="shared" si="1255"/>
        <v>Nivel de riesgo alto</v>
      </c>
      <c r="FA419" s="5" t="s">
        <v>253</v>
      </c>
      <c r="FB419" s="5">
        <f t="shared" si="1256"/>
        <v>0</v>
      </c>
      <c r="FC419" s="5" t="s">
        <v>253</v>
      </c>
      <c r="FD419" s="5">
        <f t="shared" si="1257"/>
        <v>0</v>
      </c>
      <c r="FE419" s="5" t="s">
        <v>253</v>
      </c>
      <c r="FF419" s="5">
        <f t="shared" si="1258"/>
        <v>0</v>
      </c>
      <c r="FG419" s="5">
        <f t="shared" si="1259"/>
        <v>0</v>
      </c>
      <c r="FH419" s="5" t="str">
        <f t="shared" si="1260"/>
        <v>Nivel de riesgo bajo</v>
      </c>
      <c r="FI419" s="5" t="s">
        <v>253</v>
      </c>
      <c r="FJ419" s="5">
        <f t="shared" si="1261"/>
        <v>0</v>
      </c>
      <c r="FK419" s="5" t="s">
        <v>253</v>
      </c>
      <c r="FL419" s="5">
        <f t="shared" si="1262"/>
        <v>0</v>
      </c>
      <c r="FM419" s="5" t="s">
        <v>253</v>
      </c>
      <c r="FN419" s="5">
        <f t="shared" si="1263"/>
        <v>0</v>
      </c>
      <c r="FO419" s="5">
        <f t="shared" si="1264"/>
        <v>0</v>
      </c>
      <c r="FP419" s="5" t="str">
        <f t="shared" si="1265"/>
        <v>Nivel de riesgo bajo</v>
      </c>
      <c r="FQ419" s="5" t="s">
        <v>206</v>
      </c>
      <c r="FR419" s="5">
        <f t="shared" si="1266"/>
        <v>0</v>
      </c>
      <c r="FS419" s="5" t="s">
        <v>206</v>
      </c>
      <c r="FT419" s="5">
        <f t="shared" si="1267"/>
        <v>0</v>
      </c>
      <c r="FU419" s="5" t="s">
        <v>206</v>
      </c>
      <c r="FV419" s="5">
        <f t="shared" si="1268"/>
        <v>0</v>
      </c>
      <c r="FW419" s="5" t="s">
        <v>206</v>
      </c>
      <c r="FX419" s="5">
        <f t="shared" si="1269"/>
        <v>0</v>
      </c>
      <c r="FY419" s="5" t="s">
        <v>206</v>
      </c>
      <c r="FZ419" s="5">
        <f t="shared" si="1270"/>
        <v>0</v>
      </c>
      <c r="GA419" s="5" t="s">
        <v>206</v>
      </c>
      <c r="GB419" s="5">
        <f t="shared" si="1271"/>
        <v>0</v>
      </c>
      <c r="GC419" s="5" t="s">
        <v>206</v>
      </c>
      <c r="GD419" s="5">
        <f t="shared" si="1272"/>
        <v>0</v>
      </c>
      <c r="GE419" s="5">
        <f t="shared" si="1273"/>
        <v>0</v>
      </c>
      <c r="GF419" s="5" t="str">
        <f t="shared" si="1274"/>
        <v>Nivel de riesgo bajo</v>
      </c>
      <c r="GG419" s="5" t="s">
        <v>273</v>
      </c>
      <c r="GH419" s="5" t="s">
        <v>233</v>
      </c>
      <c r="GI419" s="5" t="s">
        <v>273</v>
      </c>
      <c r="GJ419" s="5" t="s">
        <v>233</v>
      </c>
      <c r="GK419" s="5" t="s">
        <v>233</v>
      </c>
      <c r="GL419" s="5" t="s">
        <v>233</v>
      </c>
      <c r="GM419" s="5" t="s">
        <v>233</v>
      </c>
      <c r="GN419" s="5" t="s">
        <v>257</v>
      </c>
      <c r="GO419" s="5" t="s">
        <v>257</v>
      </c>
      <c r="GP419" s="5" t="s">
        <v>257</v>
      </c>
      <c r="GQ419" s="5" t="s">
        <v>257</v>
      </c>
      <c r="GR419" s="5" t="s">
        <v>257</v>
      </c>
      <c r="GS419" s="5" t="s">
        <v>257</v>
      </c>
      <c r="GT419" s="5" t="s">
        <v>257</v>
      </c>
      <c r="GU419" s="5" t="s">
        <v>788</v>
      </c>
      <c r="GV419" s="5" t="str">
        <f>TEXT("6284472160693564283","0")</f>
        <v>6284472160693560000</v>
      </c>
    </row>
    <row r="420" spans="1:204" ht="15.75" customHeight="1" x14ac:dyDescent="0.15">
      <c r="A420" s="1">
        <f t="shared" si="1224"/>
        <v>420</v>
      </c>
      <c r="B420" s="4">
        <v>45856.430798611109</v>
      </c>
      <c r="C420" s="5" t="s">
        <v>204</v>
      </c>
      <c r="D420" s="5" t="s">
        <v>204</v>
      </c>
      <c r="E420" s="5" t="s">
        <v>335</v>
      </c>
      <c r="F420" s="5" t="s">
        <v>206</v>
      </c>
      <c r="G420" s="5" t="s">
        <v>206</v>
      </c>
      <c r="H420" s="5" t="s">
        <v>206</v>
      </c>
      <c r="L420" s="5" t="s">
        <v>236</v>
      </c>
      <c r="O420" s="5" t="s">
        <v>209</v>
      </c>
      <c r="T420" s="5" t="s">
        <v>209</v>
      </c>
      <c r="Y420" s="5" t="s">
        <v>209</v>
      </c>
      <c r="AD420" s="5" t="s">
        <v>209</v>
      </c>
      <c r="AH420" s="5" t="s">
        <v>210</v>
      </c>
      <c r="AI420" s="5">
        <v>2018</v>
      </c>
      <c r="AJ420" s="5" t="s">
        <v>238</v>
      </c>
      <c r="AK420" s="5" t="str">
        <f t="shared" si="1225"/>
        <v>Trabajadora por cuenta propia</v>
      </c>
      <c r="AL420" s="5" t="s">
        <v>239</v>
      </c>
      <c r="AP420" s="5" t="s">
        <v>284</v>
      </c>
      <c r="AR420" s="5" t="s">
        <v>301</v>
      </c>
      <c r="AS420" s="5" t="s">
        <v>301</v>
      </c>
      <c r="AT420" s="5" t="s">
        <v>301</v>
      </c>
      <c r="AU420" s="5" t="s">
        <v>301</v>
      </c>
      <c r="AV420" s="5" t="s">
        <v>213</v>
      </c>
      <c r="AW420" s="5" t="s">
        <v>204</v>
      </c>
      <c r="AX420" s="5" t="s">
        <v>204</v>
      </c>
      <c r="AY420" s="5" t="s">
        <v>214</v>
      </c>
      <c r="AZ420" s="5" t="s">
        <v>204</v>
      </c>
      <c r="BA420" s="5" t="s">
        <v>474</v>
      </c>
      <c r="BF420" s="5" t="s">
        <v>204</v>
      </c>
      <c r="BG420" s="5" t="s">
        <v>215</v>
      </c>
      <c r="BH420" s="5" t="s">
        <v>264</v>
      </c>
      <c r="BI420" s="5" t="s">
        <v>242</v>
      </c>
      <c r="BJ420" s="5" t="s">
        <v>215</v>
      </c>
      <c r="BK420" s="5" t="s">
        <v>216</v>
      </c>
      <c r="BL420" s="5" t="s">
        <v>216</v>
      </c>
      <c r="BM420" s="5" t="s">
        <v>216</v>
      </c>
      <c r="BN420" s="5" t="s">
        <v>216</v>
      </c>
      <c r="BO420" s="5" t="s">
        <v>216</v>
      </c>
      <c r="BP420" s="5" t="s">
        <v>244</v>
      </c>
      <c r="BQ420" s="5" t="s">
        <v>216</v>
      </c>
      <c r="BR420" s="5" t="s">
        <v>216</v>
      </c>
      <c r="BS420" s="5" t="s">
        <v>217</v>
      </c>
      <c r="BT420" s="5" t="s">
        <v>217</v>
      </c>
      <c r="BU420" s="5" t="s">
        <v>217</v>
      </c>
      <c r="BV420" s="5" t="s">
        <v>217</v>
      </c>
      <c r="BW420" s="5" t="s">
        <v>217</v>
      </c>
      <c r="BX420" s="5" t="s">
        <v>217</v>
      </c>
      <c r="BY420" s="5" t="s">
        <v>217</v>
      </c>
      <c r="BZ420" s="5" t="s">
        <v>216</v>
      </c>
      <c r="CA420" s="5" t="s">
        <v>216</v>
      </c>
      <c r="CB420" s="5" t="s">
        <v>216</v>
      </c>
      <c r="CC420" s="5" t="s">
        <v>216</v>
      </c>
      <c r="CD420" s="5" t="s">
        <v>206</v>
      </c>
      <c r="CH420" s="5" t="s">
        <v>206</v>
      </c>
      <c r="CI420" s="5" t="s">
        <v>206</v>
      </c>
      <c r="CJ420" s="5">
        <v>0</v>
      </c>
      <c r="CK420" s="5" t="s">
        <v>223</v>
      </c>
      <c r="CU420" s="5" t="s">
        <v>206</v>
      </c>
      <c r="DA420" s="5" t="s">
        <v>272</v>
      </c>
      <c r="DB420" s="5">
        <f t="shared" si="1226"/>
        <v>1</v>
      </c>
      <c r="DC420" s="5" t="s">
        <v>251</v>
      </c>
      <c r="DD420" s="5">
        <f t="shared" si="1227"/>
        <v>1</v>
      </c>
      <c r="DE420" s="5" t="s">
        <v>251</v>
      </c>
      <c r="DF420" s="5">
        <f t="shared" si="1228"/>
        <v>1</v>
      </c>
      <c r="DG420" s="5" t="s">
        <v>251</v>
      </c>
      <c r="DH420" s="5">
        <f t="shared" si="1229"/>
        <v>1</v>
      </c>
      <c r="DI420" s="5" t="s">
        <v>251</v>
      </c>
      <c r="DJ420" s="5">
        <f t="shared" si="1230"/>
        <v>1</v>
      </c>
      <c r="DK420" s="5" t="s">
        <v>251</v>
      </c>
      <c r="DL420" s="5">
        <f t="shared" si="1231"/>
        <v>1</v>
      </c>
      <c r="DM420" s="5" t="s">
        <v>251</v>
      </c>
      <c r="DN420" s="5">
        <f t="shared" si="1232"/>
        <v>1</v>
      </c>
      <c r="DO420" s="5" t="s">
        <v>281</v>
      </c>
      <c r="DP420" s="5">
        <f t="shared" si="1233"/>
        <v>1</v>
      </c>
      <c r="DQ420" s="5" t="s">
        <v>281</v>
      </c>
      <c r="DR420" s="5">
        <f t="shared" si="1234"/>
        <v>1</v>
      </c>
      <c r="DS420" s="5" t="s">
        <v>281</v>
      </c>
      <c r="DT420" s="5">
        <f t="shared" si="1235"/>
        <v>1</v>
      </c>
      <c r="DU420" s="5" t="s">
        <v>281</v>
      </c>
      <c r="DV420" s="5">
        <f t="shared" si="1236"/>
        <v>1</v>
      </c>
      <c r="DW420" s="5" t="s">
        <v>281</v>
      </c>
      <c r="DX420" s="5">
        <f t="shared" si="1237"/>
        <v>1</v>
      </c>
      <c r="DY420" s="5">
        <f t="shared" si="1238"/>
        <v>12</v>
      </c>
      <c r="DZ420" s="5" t="str">
        <f t="shared" si="1239"/>
        <v>Nivel de riesgo bajo</v>
      </c>
      <c r="EA420" s="5" t="s">
        <v>253</v>
      </c>
      <c r="EB420" s="5">
        <f t="shared" si="1240"/>
        <v>0</v>
      </c>
      <c r="EC420" s="5" t="s">
        <v>253</v>
      </c>
      <c r="ED420" s="5">
        <f t="shared" si="1241"/>
        <v>0</v>
      </c>
      <c r="EE420" s="5" t="s">
        <v>253</v>
      </c>
      <c r="EF420" s="5">
        <f t="shared" si="1242"/>
        <v>0</v>
      </c>
      <c r="EG420" s="5">
        <f t="shared" si="1243"/>
        <v>0</v>
      </c>
      <c r="EH420" s="5" t="str">
        <f t="shared" si="1244"/>
        <v>Nivel de riesgo bajo</v>
      </c>
      <c r="EI420" s="5" t="s">
        <v>253</v>
      </c>
      <c r="EJ420" s="5">
        <f t="shared" si="1245"/>
        <v>0</v>
      </c>
      <c r="EK420" s="5" t="s">
        <v>254</v>
      </c>
      <c r="EL420" s="5">
        <f t="shared" si="1246"/>
        <v>4</v>
      </c>
      <c r="EM420" s="5" t="s">
        <v>253</v>
      </c>
      <c r="EN420" s="5">
        <f t="shared" si="1247"/>
        <v>0</v>
      </c>
      <c r="EO420" s="5">
        <f t="shared" si="1248"/>
        <v>4</v>
      </c>
      <c r="EP420" s="5" t="str">
        <f t="shared" si="1249"/>
        <v>Nivel de riesgo medio</v>
      </c>
      <c r="EQ420" s="5" t="s">
        <v>247</v>
      </c>
      <c r="ER420" s="5">
        <f t="shared" si="1250"/>
        <v>2</v>
      </c>
      <c r="ES420" s="5" t="s">
        <v>254</v>
      </c>
      <c r="ET420" s="5">
        <f t="shared" si="1251"/>
        <v>0</v>
      </c>
      <c r="EU420" s="5" t="s">
        <v>254</v>
      </c>
      <c r="EV420" s="5">
        <f t="shared" si="1252"/>
        <v>0</v>
      </c>
      <c r="EW420" s="5" t="s">
        <v>254</v>
      </c>
      <c r="EX420" s="5">
        <f t="shared" si="1253"/>
        <v>0</v>
      </c>
      <c r="EY420" s="5">
        <f t="shared" si="1254"/>
        <v>2</v>
      </c>
      <c r="EZ420" s="5" t="str">
        <f t="shared" si="1255"/>
        <v>Nivel de riesgo medio</v>
      </c>
      <c r="FA420" s="5" t="s">
        <v>247</v>
      </c>
      <c r="FB420" s="5">
        <f t="shared" si="1256"/>
        <v>2</v>
      </c>
      <c r="FC420" s="5" t="s">
        <v>247</v>
      </c>
      <c r="FD420" s="5">
        <f t="shared" si="1257"/>
        <v>2</v>
      </c>
      <c r="FE420" s="5" t="s">
        <v>247</v>
      </c>
      <c r="FF420" s="5">
        <f t="shared" si="1258"/>
        <v>2</v>
      </c>
      <c r="FG420" s="5">
        <f t="shared" si="1259"/>
        <v>6</v>
      </c>
      <c r="FH420" s="5" t="str">
        <f t="shared" si="1260"/>
        <v>Nivel de riesgo alto</v>
      </c>
      <c r="FI420" s="5" t="s">
        <v>253</v>
      </c>
      <c r="FJ420" s="5">
        <f t="shared" si="1261"/>
        <v>0</v>
      </c>
      <c r="FK420" s="5" t="s">
        <v>253</v>
      </c>
      <c r="FL420" s="5">
        <f t="shared" si="1262"/>
        <v>0</v>
      </c>
      <c r="FM420" s="5" t="s">
        <v>253</v>
      </c>
      <c r="FN420" s="5">
        <f t="shared" si="1263"/>
        <v>0</v>
      </c>
      <c r="FO420" s="5">
        <f t="shared" si="1264"/>
        <v>0</v>
      </c>
      <c r="FP420" s="5" t="str">
        <f t="shared" si="1265"/>
        <v>Nivel de riesgo bajo</v>
      </c>
      <c r="FQ420" s="5" t="s">
        <v>206</v>
      </c>
      <c r="FR420" s="5">
        <f t="shared" si="1266"/>
        <v>0</v>
      </c>
      <c r="FS420" s="5" t="s">
        <v>206</v>
      </c>
      <c r="FT420" s="5">
        <f t="shared" si="1267"/>
        <v>0</v>
      </c>
      <c r="FU420" s="5" t="s">
        <v>206</v>
      </c>
      <c r="FV420" s="5">
        <f t="shared" si="1268"/>
        <v>0</v>
      </c>
      <c r="FW420" s="5" t="s">
        <v>206</v>
      </c>
      <c r="FX420" s="5">
        <f t="shared" si="1269"/>
        <v>0</v>
      </c>
      <c r="FY420" s="5" t="s">
        <v>206</v>
      </c>
      <c r="FZ420" s="5">
        <f t="shared" si="1270"/>
        <v>0</v>
      </c>
      <c r="GA420" s="5" t="s">
        <v>206</v>
      </c>
      <c r="GB420" s="5">
        <f t="shared" si="1271"/>
        <v>0</v>
      </c>
      <c r="GC420" s="5" t="s">
        <v>206</v>
      </c>
      <c r="GD420" s="5">
        <f t="shared" si="1272"/>
        <v>0</v>
      </c>
      <c r="GE420" s="5">
        <f t="shared" si="1273"/>
        <v>0</v>
      </c>
      <c r="GF420" s="5" t="str">
        <f t="shared" si="1274"/>
        <v>Nivel de riesgo bajo</v>
      </c>
      <c r="GG420" s="5" t="s">
        <v>255</v>
      </c>
      <c r="GH420" s="5" t="s">
        <v>255</v>
      </c>
      <c r="GI420" s="5" t="s">
        <v>255</v>
      </c>
      <c r="GJ420" s="5" t="s">
        <v>255</v>
      </c>
      <c r="GK420" s="5" t="s">
        <v>233</v>
      </c>
      <c r="GL420" s="5" t="s">
        <v>255</v>
      </c>
      <c r="GM420" s="5" t="s">
        <v>255</v>
      </c>
      <c r="GN420" s="5" t="s">
        <v>256</v>
      </c>
      <c r="GO420" s="5" t="s">
        <v>257</v>
      </c>
      <c r="GP420" s="5" t="s">
        <v>257</v>
      </c>
      <c r="GQ420" s="5" t="s">
        <v>256</v>
      </c>
      <c r="GR420" s="5" t="s">
        <v>256</v>
      </c>
      <c r="GS420" s="5" t="s">
        <v>256</v>
      </c>
      <c r="GT420" s="5" t="s">
        <v>256</v>
      </c>
      <c r="GU420" s="5" t="s">
        <v>789</v>
      </c>
      <c r="GV420" s="5" t="str">
        <f>TEXT("6286576219127159924","0")</f>
        <v>6286576219127150000</v>
      </c>
    </row>
    <row r="421" spans="1:204" ht="15.75" customHeight="1" x14ac:dyDescent="0.15">
      <c r="A421" s="1">
        <f t="shared" si="1224"/>
        <v>421</v>
      </c>
      <c r="B421" s="4">
        <v>45859.251400462963</v>
      </c>
      <c r="C421" s="5" t="s">
        <v>204</v>
      </c>
      <c r="D421" s="5" t="s">
        <v>206</v>
      </c>
      <c r="F421" s="5" t="s">
        <v>206</v>
      </c>
      <c r="G421" s="5" t="s">
        <v>206</v>
      </c>
      <c r="H421" s="5" t="s">
        <v>206</v>
      </c>
      <c r="J421" s="5" t="s">
        <v>209</v>
      </c>
      <c r="O421" s="5" t="s">
        <v>209</v>
      </c>
      <c r="S421" s="5" t="s">
        <v>208</v>
      </c>
      <c r="AB421" s="5" t="s">
        <v>207</v>
      </c>
      <c r="AG421" s="5" t="s">
        <v>207</v>
      </c>
      <c r="AH421" s="5" t="s">
        <v>790</v>
      </c>
      <c r="AI421" s="5">
        <v>2013</v>
      </c>
      <c r="AJ421" s="5" t="s">
        <v>330</v>
      </c>
      <c r="AK421" s="5" t="str">
        <f t="shared" si="1225"/>
        <v>Asalariada</v>
      </c>
      <c r="AQ421" s="5" t="s">
        <v>204</v>
      </c>
      <c r="AR421" s="5" t="s">
        <v>301</v>
      </c>
      <c r="AS421" s="5" t="s">
        <v>301</v>
      </c>
      <c r="AT421" s="5" t="s">
        <v>276</v>
      </c>
      <c r="AU421" s="5" t="s">
        <v>301</v>
      </c>
      <c r="AV421" s="5" t="s">
        <v>213</v>
      </c>
      <c r="AW421" s="5" t="s">
        <v>206</v>
      </c>
      <c r="BF421" s="5" t="s">
        <v>204</v>
      </c>
      <c r="BG421" s="5" t="s">
        <v>207</v>
      </c>
      <c r="BH421" s="5" t="s">
        <v>207</v>
      </c>
      <c r="BI421" s="5" t="s">
        <v>207</v>
      </c>
      <c r="BJ421" s="5" t="s">
        <v>207</v>
      </c>
      <c r="BK421" s="5" t="s">
        <v>243</v>
      </c>
      <c r="BL421" s="5" t="s">
        <v>216</v>
      </c>
      <c r="BM421" s="5" t="s">
        <v>243</v>
      </c>
      <c r="BN421" s="5" t="s">
        <v>216</v>
      </c>
      <c r="BO421" s="5" t="s">
        <v>216</v>
      </c>
      <c r="BP421" s="5" t="s">
        <v>216</v>
      </c>
      <c r="BQ421" s="5" t="s">
        <v>216</v>
      </c>
      <c r="BR421" s="5" t="s">
        <v>216</v>
      </c>
      <c r="BS421" s="5" t="s">
        <v>254</v>
      </c>
      <c r="BT421" s="5" t="s">
        <v>247</v>
      </c>
      <c r="BU421" s="5" t="s">
        <v>254</v>
      </c>
      <c r="BV421" s="5" t="s">
        <v>217</v>
      </c>
      <c r="BW421" s="5" t="s">
        <v>217</v>
      </c>
      <c r="BX421" s="5" t="s">
        <v>217</v>
      </c>
      <c r="BY421" s="5" t="s">
        <v>217</v>
      </c>
      <c r="CD421" s="5" t="s">
        <v>206</v>
      </c>
      <c r="CH421" s="5" t="s">
        <v>206</v>
      </c>
      <c r="CI421" s="5" t="s">
        <v>206</v>
      </c>
      <c r="CJ421" s="5">
        <v>0</v>
      </c>
      <c r="CK421" s="5" t="s">
        <v>223</v>
      </c>
      <c r="CU421" s="5" t="s">
        <v>206</v>
      </c>
      <c r="DA421" s="5" t="s">
        <v>231</v>
      </c>
      <c r="DB421" s="5">
        <f t="shared" si="1226"/>
        <v>2</v>
      </c>
      <c r="DC421" s="5" t="s">
        <v>280</v>
      </c>
      <c r="DD421" s="5">
        <f t="shared" si="1227"/>
        <v>4</v>
      </c>
      <c r="DE421" s="5" t="s">
        <v>250</v>
      </c>
      <c r="DF421" s="5">
        <f t="shared" si="1228"/>
        <v>3</v>
      </c>
      <c r="DG421" s="5" t="s">
        <v>250</v>
      </c>
      <c r="DH421" s="5">
        <f t="shared" si="1229"/>
        <v>3</v>
      </c>
      <c r="DI421" s="5" t="s">
        <v>280</v>
      </c>
      <c r="DJ421" s="5">
        <f t="shared" si="1230"/>
        <v>4</v>
      </c>
      <c r="DK421" s="5" t="s">
        <v>280</v>
      </c>
      <c r="DL421" s="5">
        <f t="shared" si="1231"/>
        <v>4</v>
      </c>
      <c r="DM421" s="5" t="s">
        <v>251</v>
      </c>
      <c r="DN421" s="5">
        <f t="shared" si="1232"/>
        <v>1</v>
      </c>
      <c r="DO421" s="5" t="s">
        <v>281</v>
      </c>
      <c r="DP421" s="5">
        <f t="shared" si="1233"/>
        <v>1</v>
      </c>
      <c r="DQ421" s="5" t="s">
        <v>281</v>
      </c>
      <c r="DR421" s="5">
        <f t="shared" si="1234"/>
        <v>1</v>
      </c>
      <c r="DS421" s="5" t="s">
        <v>281</v>
      </c>
      <c r="DT421" s="5">
        <f t="shared" si="1235"/>
        <v>1</v>
      </c>
      <c r="DU421" s="5" t="s">
        <v>281</v>
      </c>
      <c r="DV421" s="5">
        <f t="shared" si="1236"/>
        <v>1</v>
      </c>
      <c r="DW421" s="5" t="s">
        <v>281</v>
      </c>
      <c r="DX421" s="5">
        <f t="shared" si="1237"/>
        <v>1</v>
      </c>
      <c r="DY421" s="5">
        <f t="shared" si="1238"/>
        <v>26</v>
      </c>
      <c r="DZ421" s="5" t="str">
        <f t="shared" si="1239"/>
        <v>Nivel de riesgo alto</v>
      </c>
      <c r="EA421" s="5" t="s">
        <v>253</v>
      </c>
      <c r="EB421" s="5">
        <f t="shared" si="1240"/>
        <v>0</v>
      </c>
      <c r="EC421" s="5" t="s">
        <v>253</v>
      </c>
      <c r="ED421" s="5">
        <f t="shared" si="1241"/>
        <v>0</v>
      </c>
      <c r="EE421" s="5" t="s">
        <v>253</v>
      </c>
      <c r="EF421" s="5">
        <f t="shared" si="1242"/>
        <v>0</v>
      </c>
      <c r="EG421" s="5">
        <f t="shared" si="1243"/>
        <v>0</v>
      </c>
      <c r="EH421" s="5" t="str">
        <f t="shared" si="1244"/>
        <v>Nivel de riesgo bajo</v>
      </c>
      <c r="EI421" s="5" t="s">
        <v>253</v>
      </c>
      <c r="EJ421" s="5">
        <f t="shared" si="1245"/>
        <v>0</v>
      </c>
      <c r="EK421" s="5" t="s">
        <v>253</v>
      </c>
      <c r="EL421" s="5">
        <f t="shared" si="1246"/>
        <v>0</v>
      </c>
      <c r="EM421" s="5" t="s">
        <v>253</v>
      </c>
      <c r="EN421" s="5">
        <f t="shared" si="1247"/>
        <v>0</v>
      </c>
      <c r="EO421" s="5">
        <f t="shared" si="1248"/>
        <v>0</v>
      </c>
      <c r="EP421" s="5" t="str">
        <f t="shared" si="1249"/>
        <v>Nivel de riesgo bajo</v>
      </c>
      <c r="EQ421" s="5" t="s">
        <v>254</v>
      </c>
      <c r="ER421" s="5">
        <f t="shared" si="1250"/>
        <v>0</v>
      </c>
      <c r="ES421" s="5" t="s">
        <v>247</v>
      </c>
      <c r="ET421" s="5">
        <f t="shared" si="1251"/>
        <v>2</v>
      </c>
      <c r="EU421" s="5" t="s">
        <v>254</v>
      </c>
      <c r="EV421" s="5">
        <f t="shared" si="1252"/>
        <v>0</v>
      </c>
      <c r="EW421" s="5" t="s">
        <v>254</v>
      </c>
      <c r="EX421" s="5">
        <f t="shared" si="1253"/>
        <v>0</v>
      </c>
      <c r="EY421" s="5">
        <f t="shared" si="1254"/>
        <v>2</v>
      </c>
      <c r="EZ421" s="5" t="str">
        <f t="shared" si="1255"/>
        <v>Nivel de riesgo medio</v>
      </c>
      <c r="FA421" s="5" t="s">
        <v>253</v>
      </c>
      <c r="FB421" s="5">
        <f t="shared" si="1256"/>
        <v>0</v>
      </c>
      <c r="FC421" s="5" t="s">
        <v>232</v>
      </c>
      <c r="FD421" s="5">
        <f t="shared" si="1257"/>
        <v>3</v>
      </c>
      <c r="FE421" s="5" t="s">
        <v>253</v>
      </c>
      <c r="FF421" s="5">
        <f t="shared" si="1258"/>
        <v>0</v>
      </c>
      <c r="FG421" s="5">
        <f t="shared" si="1259"/>
        <v>3</v>
      </c>
      <c r="FH421" s="5" t="str">
        <f t="shared" si="1260"/>
        <v>Nivel de riesgo medio</v>
      </c>
      <c r="FI421" s="5" t="s">
        <v>253</v>
      </c>
      <c r="FJ421" s="5">
        <f t="shared" si="1261"/>
        <v>0</v>
      </c>
      <c r="FK421" s="5" t="s">
        <v>253</v>
      </c>
      <c r="FL421" s="5">
        <f t="shared" si="1262"/>
        <v>0</v>
      </c>
      <c r="FM421" s="5" t="s">
        <v>253</v>
      </c>
      <c r="FN421" s="5">
        <f t="shared" si="1263"/>
        <v>0</v>
      </c>
      <c r="FO421" s="5">
        <f t="shared" si="1264"/>
        <v>0</v>
      </c>
      <c r="FP421" s="5" t="str">
        <f t="shared" si="1265"/>
        <v>Nivel de riesgo bajo</v>
      </c>
      <c r="FQ421" s="5" t="s">
        <v>206</v>
      </c>
      <c r="FR421" s="5">
        <f t="shared" si="1266"/>
        <v>0</v>
      </c>
      <c r="FS421" s="5" t="s">
        <v>206</v>
      </c>
      <c r="FT421" s="5">
        <f t="shared" si="1267"/>
        <v>0</v>
      </c>
      <c r="FU421" s="5" t="s">
        <v>206</v>
      </c>
      <c r="FV421" s="5">
        <f t="shared" si="1268"/>
        <v>0</v>
      </c>
      <c r="FW421" s="5" t="s">
        <v>206</v>
      </c>
      <c r="FX421" s="5">
        <f t="shared" si="1269"/>
        <v>0</v>
      </c>
      <c r="FY421" s="5" t="s">
        <v>206</v>
      </c>
      <c r="FZ421" s="5">
        <f t="shared" si="1270"/>
        <v>0</v>
      </c>
      <c r="GA421" s="5" t="s">
        <v>206</v>
      </c>
      <c r="GB421" s="5">
        <f t="shared" si="1271"/>
        <v>0</v>
      </c>
      <c r="GC421" s="5" t="s">
        <v>206</v>
      </c>
      <c r="GD421" s="5">
        <f t="shared" si="1272"/>
        <v>0</v>
      </c>
      <c r="GE421" s="5">
        <f t="shared" si="1273"/>
        <v>0</v>
      </c>
      <c r="GF421" s="5" t="str">
        <f t="shared" si="1274"/>
        <v>Nivel de riesgo bajo</v>
      </c>
      <c r="GG421" s="5" t="s">
        <v>255</v>
      </c>
      <c r="GH421" s="5" t="s">
        <v>255</v>
      </c>
      <c r="GI421" s="5" t="s">
        <v>255</v>
      </c>
      <c r="GJ421" s="5" t="s">
        <v>255</v>
      </c>
      <c r="GK421" s="5" t="s">
        <v>233</v>
      </c>
      <c r="GL421" s="5" t="s">
        <v>233</v>
      </c>
      <c r="GM421" s="5" t="s">
        <v>233</v>
      </c>
      <c r="GN421" s="5" t="s">
        <v>256</v>
      </c>
      <c r="GO421" s="5" t="s">
        <v>256</v>
      </c>
      <c r="GP421" s="5" t="s">
        <v>256</v>
      </c>
      <c r="GQ421" s="5" t="s">
        <v>256</v>
      </c>
      <c r="GR421" s="5" t="s">
        <v>256</v>
      </c>
      <c r="GS421" s="5" t="s">
        <v>256</v>
      </c>
      <c r="GT421" s="5" t="s">
        <v>256</v>
      </c>
      <c r="GU421" s="5" t="s">
        <v>791</v>
      </c>
      <c r="GV421" s="5" t="str">
        <f>TEXT("6289013212024028689","0")</f>
        <v>6289013212024020000</v>
      </c>
    </row>
    <row r="422" spans="1:204" ht="15.75" customHeight="1" x14ac:dyDescent="0.15">
      <c r="A422" s="1">
        <f t="shared" si="1224"/>
        <v>422</v>
      </c>
      <c r="B422" s="4">
        <v>45860.474618055552</v>
      </c>
      <c r="C422" s="5" t="s">
        <v>204</v>
      </c>
      <c r="D422" s="5" t="s">
        <v>206</v>
      </c>
      <c r="F422" s="5" t="s">
        <v>206</v>
      </c>
      <c r="G422" s="5" t="s">
        <v>204</v>
      </c>
      <c r="H422" s="5" t="s">
        <v>206</v>
      </c>
      <c r="L422" s="5" t="s">
        <v>236</v>
      </c>
      <c r="O422" s="5" t="s">
        <v>209</v>
      </c>
      <c r="T422" s="5" t="s">
        <v>209</v>
      </c>
      <c r="X422" s="5" t="s">
        <v>208</v>
      </c>
      <c r="AD422" s="5" t="s">
        <v>209</v>
      </c>
      <c r="AH422" s="5" t="s">
        <v>275</v>
      </c>
      <c r="AI422" s="5">
        <v>2020</v>
      </c>
      <c r="AJ422" s="5" t="s">
        <v>238</v>
      </c>
      <c r="AK422" s="5" t="str">
        <f t="shared" si="1225"/>
        <v>Trabajadora por cuenta propia</v>
      </c>
      <c r="AN422" s="5" t="s">
        <v>288</v>
      </c>
      <c r="AP422" s="5" t="s">
        <v>321</v>
      </c>
      <c r="AR422" s="5" t="s">
        <v>261</v>
      </c>
      <c r="AS422" s="5" t="s">
        <v>261</v>
      </c>
      <c r="AT422" s="5" t="s">
        <v>294</v>
      </c>
      <c r="AU422" s="5" t="s">
        <v>294</v>
      </c>
      <c r="AV422" s="5" t="s">
        <v>269</v>
      </c>
      <c r="AW422" s="5" t="s">
        <v>204</v>
      </c>
      <c r="AX422" s="5" t="s">
        <v>204</v>
      </c>
      <c r="AY422" s="5" t="s">
        <v>214</v>
      </c>
      <c r="AZ422" s="5" t="s">
        <v>204</v>
      </c>
      <c r="BA422" s="5" t="s">
        <v>295</v>
      </c>
      <c r="BB422" s="5" t="s">
        <v>206</v>
      </c>
      <c r="BC422" s="5" t="s">
        <v>206</v>
      </c>
      <c r="BD422" s="5" t="s">
        <v>206</v>
      </c>
      <c r="BE422" s="5" t="s">
        <v>206</v>
      </c>
      <c r="BF422" s="5" t="s">
        <v>204</v>
      </c>
      <c r="BG422" s="5" t="s">
        <v>278</v>
      </c>
      <c r="BH422" s="5" t="s">
        <v>271</v>
      </c>
      <c r="BI422" s="5" t="s">
        <v>278</v>
      </c>
      <c r="BJ422" s="5" t="s">
        <v>278</v>
      </c>
      <c r="BK422" s="5" t="s">
        <v>246</v>
      </c>
      <c r="BL422" s="5" t="s">
        <v>246</v>
      </c>
      <c r="BM422" s="5" t="s">
        <v>243</v>
      </c>
      <c r="BN422" s="5" t="s">
        <v>246</v>
      </c>
      <c r="BO422" s="5" t="s">
        <v>243</v>
      </c>
      <c r="BP422" s="5" t="s">
        <v>243</v>
      </c>
      <c r="BQ422" s="5" t="s">
        <v>246</v>
      </c>
      <c r="BR422" s="5" t="s">
        <v>246</v>
      </c>
      <c r="BS422" s="5" t="s">
        <v>232</v>
      </c>
      <c r="BT422" s="5" t="s">
        <v>232</v>
      </c>
      <c r="BU422" s="5" t="s">
        <v>247</v>
      </c>
      <c r="BV422" s="5" t="s">
        <v>248</v>
      </c>
      <c r="BW422" s="5" t="s">
        <v>247</v>
      </c>
      <c r="BX422" s="5" t="s">
        <v>247</v>
      </c>
      <c r="BY422" s="5" t="s">
        <v>248</v>
      </c>
      <c r="BZ422" s="5" t="s">
        <v>246</v>
      </c>
      <c r="CA422" s="5" t="s">
        <v>243</v>
      </c>
      <c r="CB422" s="5" t="s">
        <v>246</v>
      </c>
      <c r="CC422" s="5" t="s">
        <v>243</v>
      </c>
      <c r="CD422" s="5" t="s">
        <v>206</v>
      </c>
      <c r="CH422" s="5" t="s">
        <v>206</v>
      </c>
      <c r="CI422" s="5" t="s">
        <v>249</v>
      </c>
      <c r="CJ422" s="5">
        <v>2</v>
      </c>
      <c r="CK422" s="5" t="s">
        <v>223</v>
      </c>
      <c r="CU422" s="5" t="s">
        <v>206</v>
      </c>
      <c r="DA422" s="5" t="s">
        <v>231</v>
      </c>
      <c r="DB422" s="5">
        <f t="shared" si="1226"/>
        <v>2</v>
      </c>
      <c r="DC422" s="5" t="s">
        <v>230</v>
      </c>
      <c r="DD422" s="5">
        <f t="shared" si="1227"/>
        <v>2</v>
      </c>
      <c r="DE422" s="5" t="s">
        <v>230</v>
      </c>
      <c r="DF422" s="5">
        <f t="shared" si="1228"/>
        <v>2</v>
      </c>
      <c r="DG422" s="5" t="s">
        <v>230</v>
      </c>
      <c r="DH422" s="5">
        <f t="shared" si="1229"/>
        <v>2</v>
      </c>
      <c r="DI422" s="5" t="s">
        <v>251</v>
      </c>
      <c r="DJ422" s="5">
        <f t="shared" si="1230"/>
        <v>1</v>
      </c>
      <c r="DK422" s="5" t="s">
        <v>251</v>
      </c>
      <c r="DL422" s="5">
        <f t="shared" si="1231"/>
        <v>1</v>
      </c>
      <c r="DM422" s="5" t="s">
        <v>251</v>
      </c>
      <c r="DN422" s="5">
        <f t="shared" si="1232"/>
        <v>1</v>
      </c>
      <c r="DO422" s="5" t="s">
        <v>231</v>
      </c>
      <c r="DP422" s="5">
        <f t="shared" si="1233"/>
        <v>2</v>
      </c>
      <c r="DQ422" s="5" t="s">
        <v>231</v>
      </c>
      <c r="DR422" s="5">
        <f t="shared" si="1234"/>
        <v>2</v>
      </c>
      <c r="DS422" s="5" t="s">
        <v>231</v>
      </c>
      <c r="DT422" s="5">
        <f t="shared" si="1235"/>
        <v>2</v>
      </c>
      <c r="DU422" s="5" t="s">
        <v>231</v>
      </c>
      <c r="DV422" s="5">
        <f t="shared" si="1236"/>
        <v>2</v>
      </c>
      <c r="DW422" s="5" t="s">
        <v>231</v>
      </c>
      <c r="DX422" s="5">
        <f t="shared" si="1237"/>
        <v>2</v>
      </c>
      <c r="DY422" s="5">
        <f t="shared" si="1238"/>
        <v>21</v>
      </c>
      <c r="DZ422" s="5" t="str">
        <f t="shared" si="1239"/>
        <v>Nivel de riesgo medio</v>
      </c>
      <c r="EA422" s="5" t="s">
        <v>253</v>
      </c>
      <c r="EB422" s="5">
        <f t="shared" si="1240"/>
        <v>0</v>
      </c>
      <c r="EC422" s="5" t="s">
        <v>248</v>
      </c>
      <c r="ED422" s="5">
        <f t="shared" si="1241"/>
        <v>1</v>
      </c>
      <c r="EE422" s="5" t="s">
        <v>248</v>
      </c>
      <c r="EF422" s="5">
        <f t="shared" si="1242"/>
        <v>1</v>
      </c>
      <c r="EG422" s="5">
        <f t="shared" si="1243"/>
        <v>2</v>
      </c>
      <c r="EH422" s="5" t="str">
        <f t="shared" si="1244"/>
        <v>Nivel de riesgo medio</v>
      </c>
      <c r="EI422" s="5" t="s">
        <v>253</v>
      </c>
      <c r="EJ422" s="5">
        <f t="shared" si="1245"/>
        <v>0</v>
      </c>
      <c r="EK422" s="5" t="s">
        <v>248</v>
      </c>
      <c r="EL422" s="5">
        <f t="shared" si="1246"/>
        <v>1</v>
      </c>
      <c r="EM422" s="5" t="s">
        <v>253</v>
      </c>
      <c r="EN422" s="5">
        <f t="shared" si="1247"/>
        <v>0</v>
      </c>
      <c r="EO422" s="5">
        <f t="shared" si="1248"/>
        <v>1</v>
      </c>
      <c r="EP422" s="5" t="str">
        <f t="shared" si="1249"/>
        <v>Nivel de riesgo bajo</v>
      </c>
      <c r="EQ422" s="5" t="s">
        <v>253</v>
      </c>
      <c r="ER422" s="5">
        <f t="shared" si="1250"/>
        <v>4</v>
      </c>
      <c r="ES422" s="5" t="s">
        <v>253</v>
      </c>
      <c r="ET422" s="5">
        <f t="shared" si="1251"/>
        <v>4</v>
      </c>
      <c r="EU422" s="5" t="s">
        <v>248</v>
      </c>
      <c r="EV422" s="5">
        <f t="shared" si="1252"/>
        <v>3</v>
      </c>
      <c r="EW422" s="5" t="s">
        <v>247</v>
      </c>
      <c r="EX422" s="5">
        <f t="shared" si="1253"/>
        <v>2</v>
      </c>
      <c r="EY422" s="5">
        <f t="shared" si="1254"/>
        <v>13</v>
      </c>
      <c r="EZ422" s="5" t="str">
        <f t="shared" si="1255"/>
        <v>Nivel de riesgo alto</v>
      </c>
      <c r="FA422" s="5" t="s">
        <v>248</v>
      </c>
      <c r="FB422" s="5">
        <f t="shared" si="1256"/>
        <v>1</v>
      </c>
      <c r="FC422" s="5" t="s">
        <v>253</v>
      </c>
      <c r="FD422" s="5">
        <f t="shared" si="1257"/>
        <v>0</v>
      </c>
      <c r="FE422" s="5" t="s">
        <v>253</v>
      </c>
      <c r="FF422" s="5">
        <f t="shared" si="1258"/>
        <v>0</v>
      </c>
      <c r="FG422" s="5">
        <f t="shared" si="1259"/>
        <v>1</v>
      </c>
      <c r="FH422" s="5" t="str">
        <f t="shared" si="1260"/>
        <v>Nivel de riesgo bajo</v>
      </c>
      <c r="FI422" s="5" t="s">
        <v>248</v>
      </c>
      <c r="FJ422" s="5">
        <f t="shared" si="1261"/>
        <v>1</v>
      </c>
      <c r="FK422" s="5" t="s">
        <v>248</v>
      </c>
      <c r="FL422" s="5">
        <f t="shared" si="1262"/>
        <v>1</v>
      </c>
      <c r="FM422" s="5" t="s">
        <v>248</v>
      </c>
      <c r="FN422" s="5">
        <f t="shared" si="1263"/>
        <v>1</v>
      </c>
      <c r="FO422" s="5">
        <f t="shared" si="1264"/>
        <v>3</v>
      </c>
      <c r="FP422" s="5" t="str">
        <f t="shared" si="1265"/>
        <v>Nivel de riesgo medio</v>
      </c>
      <c r="FQ422" s="5" t="s">
        <v>206</v>
      </c>
      <c r="FR422" s="5">
        <f t="shared" si="1266"/>
        <v>0</v>
      </c>
      <c r="FS422" s="5" t="s">
        <v>206</v>
      </c>
      <c r="FT422" s="5">
        <f t="shared" si="1267"/>
        <v>0</v>
      </c>
      <c r="FU422" s="5" t="s">
        <v>206</v>
      </c>
      <c r="FV422" s="5">
        <f t="shared" si="1268"/>
        <v>0</v>
      </c>
      <c r="FW422" s="5" t="s">
        <v>206</v>
      </c>
      <c r="FX422" s="5">
        <f t="shared" si="1269"/>
        <v>0</v>
      </c>
      <c r="FY422" s="5" t="s">
        <v>206</v>
      </c>
      <c r="FZ422" s="5">
        <f t="shared" si="1270"/>
        <v>0</v>
      </c>
      <c r="GA422" s="5" t="s">
        <v>206</v>
      </c>
      <c r="GB422" s="5">
        <f t="shared" si="1271"/>
        <v>0</v>
      </c>
      <c r="GC422" s="5" t="s">
        <v>206</v>
      </c>
      <c r="GD422" s="5">
        <f t="shared" si="1272"/>
        <v>0</v>
      </c>
      <c r="GE422" s="5">
        <f t="shared" si="1273"/>
        <v>0</v>
      </c>
      <c r="GF422" s="5" t="str">
        <f t="shared" si="1274"/>
        <v>Nivel de riesgo bajo</v>
      </c>
      <c r="GG422" s="5" t="s">
        <v>255</v>
      </c>
      <c r="GH422" s="5" t="s">
        <v>255</v>
      </c>
      <c r="GI422" s="5" t="s">
        <v>273</v>
      </c>
      <c r="GJ422" s="5" t="s">
        <v>266</v>
      </c>
      <c r="GK422" s="5" t="s">
        <v>233</v>
      </c>
      <c r="GL422" s="5" t="s">
        <v>266</v>
      </c>
      <c r="GM422" s="5" t="s">
        <v>298</v>
      </c>
      <c r="GN422" s="5" t="s">
        <v>256</v>
      </c>
      <c r="GO422" s="5" t="s">
        <v>257</v>
      </c>
      <c r="GP422" s="5" t="s">
        <v>243</v>
      </c>
      <c r="GQ422" s="5" t="s">
        <v>257</v>
      </c>
      <c r="GR422" s="5" t="s">
        <v>257</v>
      </c>
      <c r="GS422" s="5" t="s">
        <v>257</v>
      </c>
      <c r="GT422" s="5" t="s">
        <v>243</v>
      </c>
      <c r="GU422" s="5" t="s">
        <v>792</v>
      </c>
      <c r="GV422" s="5" t="str">
        <f>TEXT("6290070070752583153","0")</f>
        <v>6290070070752580000</v>
      </c>
    </row>
    <row r="423" spans="1:204" ht="15.75" hidden="1" customHeight="1" x14ac:dyDescent="0.15">
      <c r="B423" s="4">
        <v>45860.475428240738</v>
      </c>
      <c r="C423" s="5" t="s">
        <v>204</v>
      </c>
      <c r="D423" s="5" t="s">
        <v>206</v>
      </c>
      <c r="F423" s="5" t="s">
        <v>204</v>
      </c>
      <c r="G423" s="5" t="s">
        <v>206</v>
      </c>
      <c r="H423" s="5" t="s">
        <v>204</v>
      </c>
      <c r="K423" s="5" t="s">
        <v>237</v>
      </c>
      <c r="N423" s="5" t="s">
        <v>208</v>
      </c>
      <c r="S423" s="5" t="s">
        <v>208</v>
      </c>
      <c r="Z423" s="5" t="s">
        <v>237</v>
      </c>
      <c r="AD423" s="5" t="s">
        <v>209</v>
      </c>
      <c r="AH423" s="5" t="s">
        <v>268</v>
      </c>
      <c r="AI423" s="5">
        <v>2018</v>
      </c>
      <c r="AJ423" s="5" t="s">
        <v>260</v>
      </c>
      <c r="AK423" s="5"/>
      <c r="AR423" s="5" t="s">
        <v>301</v>
      </c>
      <c r="AS423" s="5" t="s">
        <v>301</v>
      </c>
      <c r="AT423" s="5" t="s">
        <v>301</v>
      </c>
      <c r="AU423" s="5" t="s">
        <v>301</v>
      </c>
      <c r="AV423" s="5" t="s">
        <v>302</v>
      </c>
      <c r="AW423" s="5" t="s">
        <v>206</v>
      </c>
      <c r="BF423" s="5" t="s">
        <v>204</v>
      </c>
      <c r="BG423" s="5" t="s">
        <v>278</v>
      </c>
      <c r="BH423" s="5" t="s">
        <v>278</v>
      </c>
      <c r="BI423" s="5" t="s">
        <v>278</v>
      </c>
      <c r="BJ423" s="5" t="s">
        <v>278</v>
      </c>
      <c r="BK423" s="5" t="s">
        <v>246</v>
      </c>
      <c r="BL423" s="5" t="s">
        <v>243</v>
      </c>
      <c r="BM423" s="5" t="s">
        <v>246</v>
      </c>
      <c r="BN423" s="5" t="s">
        <v>246</v>
      </c>
      <c r="BO423" s="5" t="s">
        <v>246</v>
      </c>
      <c r="BP423" s="5" t="s">
        <v>243</v>
      </c>
      <c r="BQ423" s="5" t="s">
        <v>246</v>
      </c>
      <c r="BR423" s="5" t="s">
        <v>246</v>
      </c>
      <c r="BS423" s="5" t="s">
        <v>217</v>
      </c>
      <c r="BT423" s="5" t="s">
        <v>248</v>
      </c>
      <c r="BU423" s="5" t="s">
        <v>247</v>
      </c>
      <c r="BV423" s="5" t="s">
        <v>217</v>
      </c>
      <c r="BW423" s="5" t="s">
        <v>217</v>
      </c>
      <c r="BX423" s="5" t="s">
        <v>217</v>
      </c>
      <c r="BY423" s="5" t="s">
        <v>217</v>
      </c>
      <c r="CD423" s="5" t="s">
        <v>206</v>
      </c>
      <c r="CH423" s="5" t="s">
        <v>206</v>
      </c>
      <c r="CI423" s="5" t="s">
        <v>307</v>
      </c>
      <c r="CJ423" s="5">
        <v>1</v>
      </c>
      <c r="CK423" s="5" t="s">
        <v>223</v>
      </c>
      <c r="CU423" s="5" t="s">
        <v>206</v>
      </c>
      <c r="DA423" s="5" t="s">
        <v>252</v>
      </c>
      <c r="DB423" s="5"/>
      <c r="DC423" s="5" t="s">
        <v>230</v>
      </c>
      <c r="DD423" s="5"/>
      <c r="DE423" s="5" t="s">
        <v>230</v>
      </c>
      <c r="DF423" s="5"/>
      <c r="DG423" s="5" t="s">
        <v>230</v>
      </c>
      <c r="DH423" s="5"/>
      <c r="DI423" s="5" t="s">
        <v>230</v>
      </c>
      <c r="DJ423" s="5"/>
      <c r="DK423" s="5" t="s">
        <v>230</v>
      </c>
      <c r="DL423" s="5"/>
      <c r="DM423" s="5" t="s">
        <v>251</v>
      </c>
      <c r="DN423" s="5"/>
      <c r="DO423" s="5" t="s">
        <v>231</v>
      </c>
      <c r="DP423" s="5"/>
      <c r="DQ423" s="5" t="s">
        <v>281</v>
      </c>
      <c r="DR423" s="5"/>
      <c r="DS423" s="5" t="s">
        <v>231</v>
      </c>
      <c r="DT423" s="5"/>
      <c r="DU423" s="5" t="s">
        <v>231</v>
      </c>
      <c r="DV423" s="5"/>
      <c r="DW423" s="5" t="s">
        <v>281</v>
      </c>
      <c r="DX423" s="5"/>
      <c r="DY423" s="5"/>
      <c r="DZ423" s="5"/>
      <c r="EA423" s="5" t="s">
        <v>248</v>
      </c>
      <c r="EB423" s="5"/>
      <c r="EC423" s="5" t="s">
        <v>247</v>
      </c>
      <c r="ED423" s="5"/>
      <c r="EE423" s="5" t="s">
        <v>254</v>
      </c>
      <c r="EF423" s="5"/>
      <c r="EG423" s="5"/>
      <c r="EH423" s="5"/>
      <c r="EI423" s="5" t="s">
        <v>254</v>
      </c>
      <c r="EJ423" s="5"/>
      <c r="EK423" s="5" t="s">
        <v>232</v>
      </c>
      <c r="EL423" s="5"/>
      <c r="EM423" s="5" t="s">
        <v>254</v>
      </c>
      <c r="EN423" s="5"/>
      <c r="EO423" s="5"/>
      <c r="EP423" s="5"/>
      <c r="EQ423" s="5" t="s">
        <v>254</v>
      </c>
      <c r="ER423" s="5"/>
      <c r="ES423" s="5" t="s">
        <v>254</v>
      </c>
      <c r="ET423" s="5"/>
      <c r="EU423" s="5" t="s">
        <v>254</v>
      </c>
      <c r="EV423" s="5"/>
      <c r="EW423" s="5" t="s">
        <v>254</v>
      </c>
      <c r="EX423" s="5"/>
      <c r="EY423" s="5"/>
      <c r="EZ423" s="5"/>
      <c r="FA423" s="5" t="s">
        <v>253</v>
      </c>
      <c r="FB423" s="5"/>
      <c r="FC423" s="5" t="s">
        <v>253</v>
      </c>
      <c r="FD423" s="5"/>
      <c r="FE423" s="5" t="s">
        <v>253</v>
      </c>
      <c r="FF423" s="5"/>
      <c r="FG423" s="5"/>
      <c r="FH423" s="5"/>
      <c r="FI423" s="5" t="s">
        <v>253</v>
      </c>
      <c r="FJ423" s="5"/>
      <c r="FK423" s="5" t="s">
        <v>253</v>
      </c>
      <c r="FL423" s="5"/>
      <c r="FM423" s="5" t="s">
        <v>253</v>
      </c>
      <c r="FN423" s="5"/>
      <c r="FO423" s="5"/>
      <c r="FP423" s="5"/>
      <c r="FQ423" s="5" t="s">
        <v>206</v>
      </c>
      <c r="FR423" s="5"/>
      <c r="FS423" s="5" t="s">
        <v>206</v>
      </c>
      <c r="FT423" s="5"/>
      <c r="FU423" s="5" t="s">
        <v>206</v>
      </c>
      <c r="FV423" s="5"/>
      <c r="FW423" s="5" t="s">
        <v>206</v>
      </c>
      <c r="FX423" s="5"/>
      <c r="FY423" s="5" t="s">
        <v>206</v>
      </c>
      <c r="FZ423" s="5"/>
      <c r="GA423" s="5" t="s">
        <v>206</v>
      </c>
      <c r="GB423" s="5"/>
      <c r="GC423" s="5" t="s">
        <v>206</v>
      </c>
      <c r="GD423" s="5"/>
      <c r="GE423" s="5"/>
      <c r="GF423" s="5"/>
      <c r="GG423" s="5" t="s">
        <v>273</v>
      </c>
      <c r="GH423" s="5" t="s">
        <v>273</v>
      </c>
      <c r="GI423" s="5" t="s">
        <v>273</v>
      </c>
      <c r="GJ423" s="5" t="s">
        <v>273</v>
      </c>
      <c r="GK423" s="5" t="s">
        <v>233</v>
      </c>
      <c r="GL423" s="5" t="s">
        <v>233</v>
      </c>
      <c r="GM423" s="5" t="s">
        <v>298</v>
      </c>
      <c r="GN423" s="5" t="s">
        <v>243</v>
      </c>
      <c r="GO423" s="5" t="s">
        <v>243</v>
      </c>
      <c r="GP423" s="5" t="s">
        <v>243</v>
      </c>
      <c r="GQ423" s="5" t="s">
        <v>243</v>
      </c>
      <c r="GR423" s="5" t="s">
        <v>243</v>
      </c>
      <c r="GS423" s="5" t="s">
        <v>243</v>
      </c>
      <c r="GT423" s="5" t="s">
        <v>243</v>
      </c>
      <c r="GU423" s="5" t="s">
        <v>793</v>
      </c>
      <c r="GV423" s="5" t="str">
        <f>TEXT("6290070771793548246","0")</f>
        <v>6290070771793540000</v>
      </c>
    </row>
    <row r="424" spans="1:204" ht="15.75" customHeight="1" x14ac:dyDescent="0.15">
      <c r="A424" s="1">
        <f t="shared" ref="A424:A431" si="1275">ROW(A424)</f>
        <v>424</v>
      </c>
      <c r="B424" s="4">
        <v>45860.477592592593</v>
      </c>
      <c r="C424" s="5" t="s">
        <v>204</v>
      </c>
      <c r="D424" s="5" t="s">
        <v>206</v>
      </c>
      <c r="F424" s="5" t="s">
        <v>204</v>
      </c>
      <c r="G424" s="5" t="s">
        <v>204</v>
      </c>
      <c r="H424" s="5" t="s">
        <v>206</v>
      </c>
      <c r="K424" s="5" t="s">
        <v>237</v>
      </c>
      <c r="O424" s="5" t="s">
        <v>209</v>
      </c>
      <c r="T424" s="5" t="s">
        <v>209</v>
      </c>
      <c r="Z424" s="5" t="s">
        <v>237</v>
      </c>
      <c r="AC424" s="5" t="s">
        <v>208</v>
      </c>
      <c r="AH424" s="5" t="s">
        <v>259</v>
      </c>
      <c r="AI424" s="5">
        <v>2019</v>
      </c>
      <c r="AJ424" s="5" t="s">
        <v>238</v>
      </c>
      <c r="AK424" s="5" t="str">
        <f t="shared" ref="AK424:AK431" si="1276">IF(OR(AJ424="Empleada del sector privado",AJ424="Empleada del sector público"),"Asalariada",
IF(AJ424="Trabajadora por cuenta propia","Trabajadora por cuenta propia",""))</f>
        <v>Trabajadora por cuenta propia</v>
      </c>
      <c r="AL424" s="5" t="s">
        <v>239</v>
      </c>
      <c r="AP424" s="5" t="s">
        <v>284</v>
      </c>
      <c r="AR424" s="5" t="s">
        <v>241</v>
      </c>
      <c r="AS424" s="5" t="s">
        <v>301</v>
      </c>
      <c r="AT424" s="5" t="s">
        <v>301</v>
      </c>
      <c r="AU424" s="5" t="s">
        <v>241</v>
      </c>
      <c r="AV424" s="5" t="s">
        <v>213</v>
      </c>
      <c r="AW424" s="5" t="s">
        <v>206</v>
      </c>
      <c r="BF424" s="5" t="s">
        <v>204</v>
      </c>
      <c r="BG424" s="5" t="s">
        <v>278</v>
      </c>
      <c r="BH424" s="5" t="s">
        <v>278</v>
      </c>
      <c r="BI424" s="5" t="s">
        <v>278</v>
      </c>
      <c r="BJ424" s="5" t="s">
        <v>278</v>
      </c>
      <c r="BK424" s="5" t="s">
        <v>245</v>
      </c>
      <c r="BL424" s="5" t="s">
        <v>245</v>
      </c>
      <c r="BM424" s="5" t="s">
        <v>245</v>
      </c>
      <c r="BN424" s="5" t="s">
        <v>245</v>
      </c>
      <c r="BO424" s="5" t="s">
        <v>243</v>
      </c>
      <c r="BP424" s="5" t="s">
        <v>245</v>
      </c>
      <c r="BQ424" s="5" t="s">
        <v>245</v>
      </c>
      <c r="BR424" s="5" t="s">
        <v>245</v>
      </c>
      <c r="BS424" s="5" t="s">
        <v>254</v>
      </c>
      <c r="BT424" s="5" t="s">
        <v>254</v>
      </c>
      <c r="BU424" s="5" t="s">
        <v>254</v>
      </c>
      <c r="BV424" s="5" t="s">
        <v>232</v>
      </c>
      <c r="BW424" s="5" t="s">
        <v>232</v>
      </c>
      <c r="BX424" s="5" t="s">
        <v>232</v>
      </c>
      <c r="BY424" s="5" t="s">
        <v>232</v>
      </c>
      <c r="CD424" s="5" t="s">
        <v>206</v>
      </c>
      <c r="CH424" s="5" t="s">
        <v>206</v>
      </c>
      <c r="CI424" s="5" t="s">
        <v>206</v>
      </c>
      <c r="CJ424" s="5">
        <v>1</v>
      </c>
      <c r="CK424" s="5" t="s">
        <v>223</v>
      </c>
      <c r="CU424" s="5" t="s">
        <v>206</v>
      </c>
      <c r="DA424" s="5" t="s">
        <v>231</v>
      </c>
      <c r="DB424" s="5">
        <f t="shared" ref="DB424:DB431" si="1277">IF(DA424="Mejor que lo habitual",1,
IF(DA424="Igual que lo habitual",2,
IF(DA424="Menos que lo habitual",3,
IF(DA424="Mucho menos que lo habitual",4,""))))</f>
        <v>2</v>
      </c>
      <c r="DC424" s="5" t="s">
        <v>280</v>
      </c>
      <c r="DD424" s="5">
        <f t="shared" ref="DD424:DD431" si="1278">IF(DC424="No, en absoluto",1,
IF(DC424="No más que lo habitual",2,
IF(DC424="Bastante más que lo habitual",3,
IF(DC424="Mucho más que lo habitual",4,""))))</f>
        <v>4</v>
      </c>
      <c r="DE424" s="5" t="s">
        <v>280</v>
      </c>
      <c r="DF424" s="5">
        <f t="shared" ref="DF424:DF431" si="1279">IF(DE424="No, en absoluto",1,
IF(DE424="No más que lo habitual",2,
IF(DE424="Bastante más que lo habitual",3,
IF(DE424="Mucho más que lo habitual",4,""))))</f>
        <v>4</v>
      </c>
      <c r="DG424" s="5" t="s">
        <v>250</v>
      </c>
      <c r="DH424" s="5">
        <f t="shared" ref="DH424:DH431" si="1280">IF(DG424="No, en absoluto",1,
IF(DG424="No más que lo habitual",2,
IF(DG424="Bastante más que lo habitual",3,
IF(DG424="Mucho más que lo habitual",4,""))))</f>
        <v>3</v>
      </c>
      <c r="DI424" s="5" t="s">
        <v>250</v>
      </c>
      <c r="DJ424" s="5">
        <f t="shared" ref="DJ424:DJ431" si="1281">IF(DI424="No, en absoluto",1,
IF(DI424="No más que lo habitual",2,
IF(DI424="Bastante más que lo habitual",3,
IF(DI424="Mucho más que lo habitual",4,""))))</f>
        <v>3</v>
      </c>
      <c r="DK424" s="5" t="s">
        <v>230</v>
      </c>
      <c r="DL424" s="5">
        <f t="shared" ref="DL424:DL431" si="1282">IF(DK424="No, en absoluto",1,
IF(DK424="No más que lo habitual",2,
IF(DK424="Bastante más que lo habitual",3,
IF(DK424="Mucho más que lo habitual",4,""))))</f>
        <v>2</v>
      </c>
      <c r="DM424" s="5" t="s">
        <v>230</v>
      </c>
      <c r="DN424" s="5">
        <f t="shared" ref="DN424:DN431" si="1283">IF(DM424="No, en absoluto",1,
IF(DM424="No más que lo habitual",2,
IF(DM424="Bastante más que lo habitual",3,
IF(DM424="Mucho más que lo habitual",4,""))))</f>
        <v>2</v>
      </c>
      <c r="DO424" s="5" t="s">
        <v>231</v>
      </c>
      <c r="DP424" s="5">
        <f t="shared" ref="DP424:DP431" si="1284">IF(DO424="Más que lo habitual",1,
IF(DO424="Igual que lo habitual",2,
IF(DO424="Menos que lo habitual",3,
IF(DO424="Mucho menos que lo habitual",4,""))))</f>
        <v>2</v>
      </c>
      <c r="DQ424" s="5" t="s">
        <v>231</v>
      </c>
      <c r="DR424" s="5">
        <f t="shared" ref="DR424:DR431" si="1285">IF(DQ424="Más que lo habitual",1,
IF(DQ424="Igual que lo habitual",2,
IF(DQ424="Menos que lo habitual",3,
IF(DQ424="Mucho menos que lo habitual",4,""))))</f>
        <v>2</v>
      </c>
      <c r="DS424" s="5" t="s">
        <v>231</v>
      </c>
      <c r="DT424" s="5">
        <f t="shared" ref="DT424:DT431" si="1286">IF(DS424="Más que lo habitual",1,
IF(DS424="Igual que lo habitual",2,
IF(DS424="Menos que lo habitual",3,
IF(DS424="Mucho menos que lo habitual",4,""))))</f>
        <v>2</v>
      </c>
      <c r="DU424" s="5" t="s">
        <v>231</v>
      </c>
      <c r="DV424" s="5">
        <f t="shared" ref="DV424:DV431" si="1287">IF(DU424="Más que lo habitual",1,
IF(DU424="Igual que lo habitual",2,
IF(DU424="Menos que lo habitual",3,
IF(DU424="Mucho menos que lo habitual",4,""))))</f>
        <v>2</v>
      </c>
      <c r="DW424" s="5" t="s">
        <v>231</v>
      </c>
      <c r="DX424" s="5">
        <f t="shared" ref="DX424:DX431" si="1288">IF(DW424="Más que lo habitual",1,
IF(DW424="Igual que lo habitual",2,
IF(DW424="Menos que lo habitual",3,
IF(DW424="Mucho menos que lo habitual",4,""))))</f>
        <v>2</v>
      </c>
      <c r="DY424" s="5">
        <f t="shared" ref="DY424:DY431" si="1289">SUM(DB424,DD424,DF424,DH424,DJ424,DL424,DN424,DP424,DR424,DT424,DV424,DX424)</f>
        <v>30</v>
      </c>
      <c r="DZ424" s="5" t="str">
        <f t="shared" ref="DZ424:DZ431" si="1290">IF(DY424&lt;=18,"Nivel de riesgo bajo",
IF(DY424&lt;=23,"Nivel de riesgo medio",
"Nivel de riesgo alto"))</f>
        <v>Nivel de riesgo alto</v>
      </c>
      <c r="EA424" s="5" t="s">
        <v>248</v>
      </c>
      <c r="EB424" s="5">
        <f t="shared" ref="EB424:EB431" si="1291">IF(EA424="Nunca/ casi nunca",0,
IF(EA424="Rara vez",1,
IF(EA424="A veces",2,
IF(EA424="A menudo",3,
IF(EA424="Siempre",4,"")))))</f>
        <v>1</v>
      </c>
      <c r="EC424" s="5" t="s">
        <v>247</v>
      </c>
      <c r="ED424" s="5">
        <f t="shared" ref="ED424:ED431" si="1292">IF(EC424="Nunca/ casi nunca",0,
IF(EC424="Rara vez",1,
IF(EC424="A veces",2,
IF(EC424="A menudo",3,
IF(EC424="Siempre",4,"")))))</f>
        <v>2</v>
      </c>
      <c r="EE424" s="5" t="s">
        <v>253</v>
      </c>
      <c r="EF424" s="5">
        <f t="shared" ref="EF424:EF431" si="1293">IF(EE424="Nunca/ casi nunca",0,
IF(EE424="Rara vez",1,
IF(EE424="A veces",2,
IF(EE424="A menudo",3,
IF(EE424="Siempre",4,"")))))</f>
        <v>0</v>
      </c>
      <c r="EG424" s="5">
        <f t="shared" ref="EG424:EG431" si="1294">SUM(EB424,ED424,EF424)</f>
        <v>3</v>
      </c>
      <c r="EH424" s="5" t="str">
        <f t="shared" ref="EH424:EH431" si="1295">IF(EG424&lt;=1,"Nivel de riesgo bajo",
IF(EG424&lt;=4,"Nivel de riesgo medio",
"Nivel de riesgo alto"))</f>
        <v>Nivel de riesgo medio</v>
      </c>
      <c r="EI424" s="5" t="s">
        <v>253</v>
      </c>
      <c r="EJ424" s="5">
        <f t="shared" ref="EJ424:EJ431" si="1296">IF(EI424="Nunca/ casi nunca",0,
IF(EI424="Rara vez",1,
IF(EI424="A veces",2,
IF(EI424="A menudo",3,
IF(EI424="Siempre",4,"")))))</f>
        <v>0</v>
      </c>
      <c r="EK424" s="5" t="s">
        <v>253</v>
      </c>
      <c r="EL424" s="5">
        <f t="shared" ref="EL424:EL431" si="1297">IF(EK424="Nunca/ casi nunca",0,
IF(EK424="Rara vez",1,
IF(EK424="A veces",2,
IF(EK424="A menudo",3,
IF(EK424="Siempre",4,"")))))</f>
        <v>0</v>
      </c>
      <c r="EM424" s="5" t="s">
        <v>248</v>
      </c>
      <c r="EN424" s="5">
        <f t="shared" ref="EN424:EN431" si="1298">IF(EM424="Nunca/ casi nunca",0,
IF(EM424="Rara vez",1,
IF(EM424="A veces",2,
IF(EM424="A menudo",3,
IF(EM424="Siempre",4,"")))))</f>
        <v>1</v>
      </c>
      <c r="EO424" s="5">
        <f t="shared" ref="EO424:EO431" si="1299">SUM(EJ424,EL424,EN424)</f>
        <v>1</v>
      </c>
      <c r="EP424" s="5" t="str">
        <f t="shared" ref="EP424:EP431" si="1300">IF(EO424&lt;=1,"Nivel de riesgo bajo",
IF(EO424&lt;=5,"Nivel de riesgo medio",
"Nivel de riesgo alto"))</f>
        <v>Nivel de riesgo bajo</v>
      </c>
      <c r="EQ424" s="5" t="s">
        <v>253</v>
      </c>
      <c r="ER424" s="5">
        <f t="shared" ref="ER424:ER431" si="1301">IF(EQ424="Nunca/ casi nunca",4,
IF(EQ424="Rara vez",3,
IF(EQ424="A veces",2,
IF(EQ424="A menudo",1,
IF(EQ424="Siempre",0,"")))))</f>
        <v>4</v>
      </c>
      <c r="ES424" s="5" t="s">
        <v>248</v>
      </c>
      <c r="ET424" s="5">
        <f t="shared" ref="ET424:ET431" si="1302">IF(ES424="Nunca/ casi nunca",4,
IF(ES424="Rara vez",3,
IF(ES424="A veces",2,
IF(ES424="A menudo",1,
IF(ES424="Siempre",0,"")))))</f>
        <v>3</v>
      </c>
      <c r="EU424" s="5" t="s">
        <v>254</v>
      </c>
      <c r="EV424" s="5">
        <f t="shared" ref="EV424:EV431" si="1303">IF(EU424="Nunca/ casi nunca",4,
IF(EU424="Rara vez",3,
IF(EU424="A veces",2,
IF(EU424="A menudo",1,
IF(EU424="Siempre",0,"")))))</f>
        <v>0</v>
      </c>
      <c r="EW424" s="5" t="s">
        <v>254</v>
      </c>
      <c r="EX424" s="5">
        <f t="shared" ref="EX424:EX431" si="1304">IF(EW424="Nunca/ casi nunca",4,
IF(EW424="Rara vez",3,
IF(EW424="A veces",2,
IF(EW424="A menudo",1,
IF(EW424="Siempre",0,"")))))</f>
        <v>0</v>
      </c>
      <c r="EY424" s="5">
        <f t="shared" ref="EY424:EY431" si="1305">SUM(ER424,ET424,EV424,EX424)</f>
        <v>7</v>
      </c>
      <c r="EZ424" s="5" t="str">
        <f t="shared" ref="EZ424:EZ431" si="1306">IF(EY424&lt;=0,"Nivel de riesgo bajo",
IF(EY424&lt;=4,"Nivel de riesgo medio",
"Nivel de riesgo alto"))</f>
        <v>Nivel de riesgo alto</v>
      </c>
      <c r="FA424" s="5" t="s">
        <v>253</v>
      </c>
      <c r="FB424" s="5">
        <f t="shared" ref="FB424:FB431" si="1307">IF(FA424="Nunca/ casi nunca",0,
IF(FA424="Rara vez",1,
IF(FA424="A veces",2,
IF(FA424="A menudo",3,
IF(FA424="Siempre",4,"")))))</f>
        <v>0</v>
      </c>
      <c r="FC424" s="5" t="s">
        <v>253</v>
      </c>
      <c r="FD424" s="5">
        <f t="shared" ref="FD424:FD431" si="1308">IF(FC424="Nunca/ casi nunca",0,
IF(FC424="Rara vez",1,
IF(FC424="A veces",2,
IF(FC424="A menudo",3,
IF(FC424="Siempre",4,"")))))</f>
        <v>0</v>
      </c>
      <c r="FE424" s="5" t="s">
        <v>253</v>
      </c>
      <c r="FF424" s="5">
        <f t="shared" ref="FF424:FF431" si="1309">IF(FE424="Nunca/ casi nunca",0,
IF(FE424="Rara vez",1,
IF(FE424="A veces",2,
IF(FE424="A menudo",3,
IF(FE424="Siempre",4,"")))))</f>
        <v>0</v>
      </c>
      <c r="FG424" s="5">
        <f t="shared" ref="FG424:FG431" si="1310">SUM(FB424,FD424,FF424)</f>
        <v>0</v>
      </c>
      <c r="FH424" s="5" t="str">
        <f t="shared" ref="FH424:FH431" si="1311">IF(FG424&lt;=2,"Nivel de riesgo bajo",
IF(FG424&lt;=5,"Nivel de riesgo medio",
"Nivel de riesgo alto"))</f>
        <v>Nivel de riesgo bajo</v>
      </c>
      <c r="FI424" s="5" t="s">
        <v>253</v>
      </c>
      <c r="FJ424" s="5">
        <f t="shared" ref="FJ424:FJ431" si="1312">IF(FI424="Nunca/ casi nunca",0,
IF(FI424="Rara vez",1,
IF(FI424="A veces",2,
IF(FI424="A menudo",3,
IF(FI424="Siempre",4,"")))))</f>
        <v>0</v>
      </c>
      <c r="FK424" s="5" t="s">
        <v>253</v>
      </c>
      <c r="FL424" s="5">
        <f t="shared" ref="FL424:FL431" si="1313">IF(FK424="Nunca/ casi nunca",0,
IF(FK424="Rara vez",1,
IF(FK424="A veces",2,
IF(FK424="A menudo",3,
IF(FK424="Siempre",4,"")))))</f>
        <v>0</v>
      </c>
      <c r="FM424" s="5" t="s">
        <v>253</v>
      </c>
      <c r="FN424" s="5">
        <f t="shared" ref="FN424:FN431" si="1314">IF(FM424="Nunca/ casi nunca",0,
IF(FM424="Rara vez",1,
IF(FM424="A veces",2,
IF(FM424="A menudo",3,
IF(FM424="Siempre",4,"")))))</f>
        <v>0</v>
      </c>
      <c r="FO424" s="5">
        <f t="shared" ref="FO424:FO431" si="1315">SUM(FJ424,FL424,FN424)</f>
        <v>0</v>
      </c>
      <c r="FP424" s="5" t="str">
        <f t="shared" ref="FP424:FP431" si="1316">IF(FO424&lt;=2,"Nivel de riesgo bajo",
IF(FO424&lt;=5,"Nivel de riesgo medio",
"Nivel de riesgo alto"))</f>
        <v>Nivel de riesgo bajo</v>
      </c>
      <c r="FQ424" s="5" t="s">
        <v>206</v>
      </c>
      <c r="FR424" s="5">
        <f t="shared" ref="FR424:FR431" si="1317">IF(FQ424="No",0,
IF(FQ424="Sí, unas pocas veces",1,
IF(FQ424="Sí, mensualmente",2,
IF(FQ424="Sí, semanalmente",3,
IF(FQ424="Sí, diariamente",4,"")))))</f>
        <v>0</v>
      </c>
      <c r="FS424" s="5" t="s">
        <v>206</v>
      </c>
      <c r="FT424" s="5">
        <f t="shared" ref="FT424:FT431" si="1318">IF(FS424="No",0,
IF(FS424="Sí, unas pocas veces",1,
IF(FS424="Sí, mensualmente",2,
IF(FS424="Sí, semanalmente",3,
IF(FS424="Sí, diariamente",4,"")))))</f>
        <v>0</v>
      </c>
      <c r="FU424" s="5" t="s">
        <v>206</v>
      </c>
      <c r="FV424" s="5">
        <f t="shared" ref="FV424:FV431" si="1319">IF(FU424="No",0,
IF(FU424="Sí, unas pocas veces",1,
IF(FU424="Sí, mensualmente",2,
IF(FU424="Sí, semanalmente",3,
IF(FU424="Sí, diariamente",4,"")))))</f>
        <v>0</v>
      </c>
      <c r="FW424" s="5" t="s">
        <v>206</v>
      </c>
      <c r="FX424" s="5">
        <f t="shared" ref="FX424:FX431" si="1320">IF(FW424="No",0,
IF(FW424="Sí, unas pocas veces",1,
IF(FW424="Sí, mensualmente",2,
IF(FW424="Sí, semanalmente",3,
IF(FW424="Sí, diariamente",4,"")))))</f>
        <v>0</v>
      </c>
      <c r="FY424" s="5" t="s">
        <v>206</v>
      </c>
      <c r="FZ424" s="5">
        <f t="shared" ref="FZ424:FZ431" si="1321">IF(FY424="No",0,
IF(FY424="Sí, unas pocas veces",1,
IF(FY424="Sí, mensualmente",2,
IF(FY424="Sí, semanalmente",3,
IF(FY424="Sí, diariamente",4,"")))))</f>
        <v>0</v>
      </c>
      <c r="GA424" s="5" t="s">
        <v>206</v>
      </c>
      <c r="GB424" s="5">
        <f t="shared" ref="GB424:GB431" si="1322">IF(GA424="No",0,
IF(GA424="Sí, unas pocas veces",1,
IF(GA424="Sí, mensualmente",2,
IF(GA424="Sí, semanalmente",3,
IF(GA424="Sí, diariamente",4,"")))))</f>
        <v>0</v>
      </c>
      <c r="GC424" s="5" t="s">
        <v>206</v>
      </c>
      <c r="GD424" s="5">
        <f t="shared" ref="GD424:GD431" si="1323">IF(GC424="No",0,
IF(GC424="Sí, unas pocas veces",1,
IF(GC424="Sí, mensualmente",2,
IF(GC424="Sí, semanalmente",3,
IF(GC424="Sí, diariamente",4,"")))))</f>
        <v>0</v>
      </c>
      <c r="GE424" s="5">
        <f t="shared" ref="GE424:GE431" si="1324">SUM(FR424,FT424,FV424,FX424,FZ424,GB424,GD424)</f>
        <v>0</v>
      </c>
      <c r="GF424" s="5" t="str">
        <f t="shared" ref="GF424:GF431" si="1325">IF(GE424&lt;=0,"Nivel de riesgo bajo",
IF(GE424&lt;=14,"Nivel de riesgo medio",
"Nivel de riesgo alto"))</f>
        <v>Nivel de riesgo bajo</v>
      </c>
      <c r="GG424" s="5" t="s">
        <v>255</v>
      </c>
      <c r="GH424" s="5" t="s">
        <v>266</v>
      </c>
      <c r="GI424" s="5" t="s">
        <v>266</v>
      </c>
      <c r="GJ424" s="5" t="s">
        <v>266</v>
      </c>
      <c r="GK424" s="5" t="s">
        <v>233</v>
      </c>
      <c r="GL424" s="5" t="s">
        <v>233</v>
      </c>
      <c r="GM424" s="5" t="s">
        <v>233</v>
      </c>
      <c r="GN424" s="5" t="s">
        <v>243</v>
      </c>
      <c r="GO424" s="5" t="s">
        <v>243</v>
      </c>
      <c r="GP424" s="5" t="s">
        <v>243</v>
      </c>
      <c r="GQ424" s="5" t="s">
        <v>243</v>
      </c>
      <c r="GR424" s="5" t="s">
        <v>243</v>
      </c>
      <c r="GS424" s="5" t="s">
        <v>243</v>
      </c>
      <c r="GT424" s="5" t="s">
        <v>243</v>
      </c>
      <c r="GU424" s="5" t="s">
        <v>360</v>
      </c>
      <c r="GV424" s="5" t="str">
        <f>TEXT("6290072642515994348","0")</f>
        <v>6290072642515990000</v>
      </c>
    </row>
    <row r="425" spans="1:204" ht="15.75" customHeight="1" x14ac:dyDescent="0.15">
      <c r="A425" s="1">
        <f t="shared" si="1275"/>
        <v>425</v>
      </c>
      <c r="B425" s="4">
        <v>45860.480208333334</v>
      </c>
      <c r="C425" s="5" t="s">
        <v>204</v>
      </c>
      <c r="D425" s="5" t="s">
        <v>206</v>
      </c>
      <c r="F425" s="5" t="s">
        <v>206</v>
      </c>
      <c r="G425" s="5" t="s">
        <v>206</v>
      </c>
      <c r="H425" s="5" t="s">
        <v>204</v>
      </c>
      <c r="K425" s="5" t="s">
        <v>237</v>
      </c>
      <c r="N425" s="5" t="s">
        <v>208</v>
      </c>
      <c r="W425" s="5" t="s">
        <v>207</v>
      </c>
      <c r="AB425" s="5" t="s">
        <v>207</v>
      </c>
      <c r="AG425" s="5" t="s">
        <v>207</v>
      </c>
      <c r="AH425" s="5" t="s">
        <v>268</v>
      </c>
      <c r="AI425" s="5">
        <v>2021</v>
      </c>
      <c r="AJ425" s="5" t="s">
        <v>238</v>
      </c>
      <c r="AK425" s="5" t="str">
        <f t="shared" si="1276"/>
        <v>Trabajadora por cuenta propia</v>
      </c>
      <c r="AM425" s="5" t="s">
        <v>309</v>
      </c>
      <c r="AP425" s="5" t="s">
        <v>240</v>
      </c>
      <c r="AR425" s="5" t="s">
        <v>276</v>
      </c>
      <c r="AS425" s="5" t="s">
        <v>276</v>
      </c>
      <c r="AT425" s="5" t="s">
        <v>276</v>
      </c>
      <c r="AU425" s="5" t="s">
        <v>276</v>
      </c>
      <c r="AV425" s="5" t="s">
        <v>269</v>
      </c>
      <c r="AW425" s="5" t="s">
        <v>204</v>
      </c>
      <c r="AX425" s="5" t="s">
        <v>204</v>
      </c>
      <c r="AY425" s="5" t="s">
        <v>339</v>
      </c>
      <c r="AZ425" s="5" t="s">
        <v>204</v>
      </c>
      <c r="BA425" s="5" t="s">
        <v>348</v>
      </c>
      <c r="BF425" s="5" t="s">
        <v>204</v>
      </c>
      <c r="BG425" s="5" t="s">
        <v>278</v>
      </c>
      <c r="BH425" s="5" t="s">
        <v>271</v>
      </c>
      <c r="BI425" s="5" t="s">
        <v>278</v>
      </c>
      <c r="BJ425" s="5" t="s">
        <v>278</v>
      </c>
      <c r="BK425" s="5" t="s">
        <v>243</v>
      </c>
      <c r="BL425" s="5" t="s">
        <v>246</v>
      </c>
      <c r="BM425" s="5" t="s">
        <v>245</v>
      </c>
      <c r="BN425" s="5" t="s">
        <v>244</v>
      </c>
      <c r="BO425" s="5" t="s">
        <v>243</v>
      </c>
      <c r="BP425" s="5" t="s">
        <v>243</v>
      </c>
      <c r="BQ425" s="5" t="s">
        <v>216</v>
      </c>
      <c r="BR425" s="5" t="s">
        <v>243</v>
      </c>
      <c r="BS425" s="5" t="s">
        <v>232</v>
      </c>
      <c r="BT425" s="5" t="s">
        <v>232</v>
      </c>
      <c r="BU425" s="5" t="s">
        <v>248</v>
      </c>
      <c r="BV425" s="5" t="s">
        <v>217</v>
      </c>
      <c r="BW425" s="5" t="s">
        <v>217</v>
      </c>
      <c r="BX425" s="5" t="s">
        <v>247</v>
      </c>
      <c r="BY425" s="5" t="s">
        <v>232</v>
      </c>
      <c r="BZ425" s="5" t="s">
        <v>244</v>
      </c>
      <c r="CA425" s="5" t="s">
        <v>246</v>
      </c>
      <c r="CB425" s="5" t="s">
        <v>244</v>
      </c>
      <c r="CC425" s="5" t="s">
        <v>244</v>
      </c>
      <c r="CD425" s="5" t="s">
        <v>206</v>
      </c>
      <c r="CH425" s="5" t="s">
        <v>369</v>
      </c>
      <c r="CI425" s="5" t="s">
        <v>206</v>
      </c>
      <c r="CJ425" s="5">
        <v>3</v>
      </c>
      <c r="CL425" s="5" t="s">
        <v>414</v>
      </c>
      <c r="CU425" s="5" t="s">
        <v>206</v>
      </c>
      <c r="DA425" s="5" t="s">
        <v>252</v>
      </c>
      <c r="DB425" s="5">
        <f t="shared" si="1277"/>
        <v>3</v>
      </c>
      <c r="DC425" s="5" t="s">
        <v>230</v>
      </c>
      <c r="DD425" s="5">
        <f t="shared" si="1278"/>
        <v>2</v>
      </c>
      <c r="DE425" s="5" t="s">
        <v>230</v>
      </c>
      <c r="DF425" s="5">
        <f t="shared" si="1279"/>
        <v>2</v>
      </c>
      <c r="DG425" s="5" t="s">
        <v>250</v>
      </c>
      <c r="DH425" s="5">
        <f t="shared" si="1280"/>
        <v>3</v>
      </c>
      <c r="DI425" s="5" t="s">
        <v>230</v>
      </c>
      <c r="DJ425" s="5">
        <f t="shared" si="1281"/>
        <v>2</v>
      </c>
      <c r="DK425" s="5" t="s">
        <v>251</v>
      </c>
      <c r="DL425" s="5">
        <f t="shared" si="1282"/>
        <v>1</v>
      </c>
      <c r="DM425" s="5" t="s">
        <v>251</v>
      </c>
      <c r="DN425" s="5">
        <f t="shared" si="1283"/>
        <v>1</v>
      </c>
      <c r="DO425" s="5" t="s">
        <v>281</v>
      </c>
      <c r="DP425" s="5">
        <f t="shared" si="1284"/>
        <v>1</v>
      </c>
      <c r="DQ425" s="5" t="s">
        <v>281</v>
      </c>
      <c r="DR425" s="5">
        <f t="shared" si="1285"/>
        <v>1</v>
      </c>
      <c r="DS425" s="5" t="s">
        <v>231</v>
      </c>
      <c r="DT425" s="5">
        <f t="shared" si="1286"/>
        <v>2</v>
      </c>
      <c r="DU425" s="5" t="s">
        <v>231</v>
      </c>
      <c r="DV425" s="5">
        <f t="shared" si="1287"/>
        <v>2</v>
      </c>
      <c r="DW425" s="5" t="s">
        <v>231</v>
      </c>
      <c r="DX425" s="5">
        <f t="shared" si="1288"/>
        <v>2</v>
      </c>
      <c r="DY425" s="5">
        <f t="shared" si="1289"/>
        <v>22</v>
      </c>
      <c r="DZ425" s="5" t="str">
        <f t="shared" si="1290"/>
        <v>Nivel de riesgo medio</v>
      </c>
      <c r="EA425" s="5" t="s">
        <v>253</v>
      </c>
      <c r="EB425" s="5">
        <f t="shared" si="1291"/>
        <v>0</v>
      </c>
      <c r="EC425" s="5" t="s">
        <v>248</v>
      </c>
      <c r="ED425" s="5">
        <f t="shared" si="1292"/>
        <v>1</v>
      </c>
      <c r="EE425" s="5" t="s">
        <v>248</v>
      </c>
      <c r="EF425" s="5">
        <f t="shared" si="1293"/>
        <v>1</v>
      </c>
      <c r="EG425" s="5">
        <f t="shared" si="1294"/>
        <v>2</v>
      </c>
      <c r="EH425" s="5" t="str">
        <f t="shared" si="1295"/>
        <v>Nivel de riesgo medio</v>
      </c>
      <c r="EI425" s="5" t="s">
        <v>253</v>
      </c>
      <c r="EJ425" s="5">
        <f t="shared" si="1296"/>
        <v>0</v>
      </c>
      <c r="EK425" s="5" t="s">
        <v>247</v>
      </c>
      <c r="EL425" s="5">
        <f t="shared" si="1297"/>
        <v>2</v>
      </c>
      <c r="EM425" s="5" t="s">
        <v>247</v>
      </c>
      <c r="EN425" s="5">
        <f t="shared" si="1298"/>
        <v>2</v>
      </c>
      <c r="EO425" s="5">
        <f t="shared" si="1299"/>
        <v>4</v>
      </c>
      <c r="EP425" s="5" t="str">
        <f t="shared" si="1300"/>
        <v>Nivel de riesgo medio</v>
      </c>
      <c r="EQ425" s="5" t="s">
        <v>247</v>
      </c>
      <c r="ER425" s="5">
        <f t="shared" si="1301"/>
        <v>2</v>
      </c>
      <c r="ES425" s="5" t="s">
        <v>254</v>
      </c>
      <c r="ET425" s="5">
        <f t="shared" si="1302"/>
        <v>0</v>
      </c>
      <c r="EU425" s="5" t="s">
        <v>254</v>
      </c>
      <c r="EV425" s="5">
        <f t="shared" si="1303"/>
        <v>0</v>
      </c>
      <c r="EW425" s="5" t="s">
        <v>254</v>
      </c>
      <c r="EX425" s="5">
        <f t="shared" si="1304"/>
        <v>0</v>
      </c>
      <c r="EY425" s="5">
        <f t="shared" si="1305"/>
        <v>2</v>
      </c>
      <c r="EZ425" s="5" t="str">
        <f t="shared" si="1306"/>
        <v>Nivel de riesgo medio</v>
      </c>
      <c r="FA425" s="5" t="s">
        <v>248</v>
      </c>
      <c r="FB425" s="5">
        <f t="shared" si="1307"/>
        <v>1</v>
      </c>
      <c r="FC425" s="5" t="s">
        <v>248</v>
      </c>
      <c r="FD425" s="5">
        <f t="shared" si="1308"/>
        <v>1</v>
      </c>
      <c r="FE425" s="5" t="s">
        <v>248</v>
      </c>
      <c r="FF425" s="5">
        <f t="shared" si="1309"/>
        <v>1</v>
      </c>
      <c r="FG425" s="5">
        <f t="shared" si="1310"/>
        <v>3</v>
      </c>
      <c r="FH425" s="5" t="str">
        <f t="shared" si="1311"/>
        <v>Nivel de riesgo medio</v>
      </c>
      <c r="FI425" s="5" t="s">
        <v>253</v>
      </c>
      <c r="FJ425" s="5">
        <f t="shared" si="1312"/>
        <v>0</v>
      </c>
      <c r="FK425" s="5" t="s">
        <v>253</v>
      </c>
      <c r="FL425" s="5">
        <f t="shared" si="1313"/>
        <v>0</v>
      </c>
      <c r="FM425" s="5" t="s">
        <v>253</v>
      </c>
      <c r="FN425" s="5">
        <f t="shared" si="1314"/>
        <v>0</v>
      </c>
      <c r="FO425" s="5">
        <f t="shared" si="1315"/>
        <v>0</v>
      </c>
      <c r="FP425" s="5" t="str">
        <f t="shared" si="1316"/>
        <v>Nivel de riesgo bajo</v>
      </c>
      <c r="FQ425" s="5" t="s">
        <v>206</v>
      </c>
      <c r="FR425" s="5">
        <f t="shared" si="1317"/>
        <v>0</v>
      </c>
      <c r="FS425" s="5" t="s">
        <v>206</v>
      </c>
      <c r="FT425" s="5">
        <f t="shared" si="1318"/>
        <v>0</v>
      </c>
      <c r="FU425" s="5" t="s">
        <v>206</v>
      </c>
      <c r="FV425" s="5">
        <f t="shared" si="1319"/>
        <v>0</v>
      </c>
      <c r="FW425" s="5" t="s">
        <v>206</v>
      </c>
      <c r="FX425" s="5">
        <f t="shared" si="1320"/>
        <v>0</v>
      </c>
      <c r="FY425" s="5" t="s">
        <v>206</v>
      </c>
      <c r="FZ425" s="5">
        <f t="shared" si="1321"/>
        <v>0</v>
      </c>
      <c r="GA425" s="5" t="s">
        <v>206</v>
      </c>
      <c r="GB425" s="5">
        <f t="shared" si="1322"/>
        <v>0</v>
      </c>
      <c r="GC425" s="5" t="s">
        <v>206</v>
      </c>
      <c r="GD425" s="5">
        <f t="shared" si="1323"/>
        <v>0</v>
      </c>
      <c r="GE425" s="5">
        <f t="shared" si="1324"/>
        <v>0</v>
      </c>
      <c r="GF425" s="5" t="str">
        <f t="shared" si="1325"/>
        <v>Nivel de riesgo bajo</v>
      </c>
      <c r="GG425" s="5" t="s">
        <v>266</v>
      </c>
      <c r="GH425" s="5" t="s">
        <v>273</v>
      </c>
      <c r="GI425" s="5" t="s">
        <v>255</v>
      </c>
      <c r="GJ425" s="5" t="s">
        <v>298</v>
      </c>
      <c r="GK425" s="5" t="s">
        <v>233</v>
      </c>
      <c r="GL425" s="5" t="s">
        <v>266</v>
      </c>
      <c r="GM425" s="5" t="s">
        <v>273</v>
      </c>
      <c r="GN425" s="5" t="s">
        <v>243</v>
      </c>
      <c r="GO425" s="5" t="s">
        <v>257</v>
      </c>
      <c r="GP425" s="5" t="s">
        <v>244</v>
      </c>
      <c r="GQ425" s="5" t="s">
        <v>243</v>
      </c>
      <c r="GR425" s="5" t="s">
        <v>243</v>
      </c>
      <c r="GS425" s="5" t="s">
        <v>257</v>
      </c>
      <c r="GT425" s="5" t="s">
        <v>256</v>
      </c>
      <c r="GU425" s="5" t="s">
        <v>794</v>
      </c>
      <c r="GV425" s="5" t="str">
        <f>TEXT("6290074900312369926","0")</f>
        <v>6290074900312360000</v>
      </c>
    </row>
    <row r="426" spans="1:204" ht="15.75" customHeight="1" x14ac:dyDescent="0.15">
      <c r="A426" s="1">
        <f t="shared" si="1275"/>
        <v>426</v>
      </c>
      <c r="B426" s="4">
        <v>45860.480856481481</v>
      </c>
      <c r="C426" s="5" t="s">
        <v>204</v>
      </c>
      <c r="D426" s="5" t="s">
        <v>206</v>
      </c>
      <c r="F426" s="5" t="s">
        <v>206</v>
      </c>
      <c r="G426" s="5" t="s">
        <v>206</v>
      </c>
      <c r="H426" s="5" t="s">
        <v>206</v>
      </c>
      <c r="J426" s="5" t="s">
        <v>209</v>
      </c>
      <c r="N426" s="5" t="s">
        <v>208</v>
      </c>
      <c r="T426" s="5" t="s">
        <v>209</v>
      </c>
      <c r="Y426" s="5" t="s">
        <v>209</v>
      </c>
      <c r="AG426" s="5" t="s">
        <v>207</v>
      </c>
      <c r="AH426" s="5" t="s">
        <v>268</v>
      </c>
      <c r="AI426" s="5">
        <v>2021</v>
      </c>
      <c r="AJ426" s="5" t="s">
        <v>330</v>
      </c>
      <c r="AK426" s="5" t="str">
        <f t="shared" si="1276"/>
        <v>Asalariada</v>
      </c>
      <c r="AQ426" s="5" t="s">
        <v>206</v>
      </c>
      <c r="AR426" s="5" t="s">
        <v>241</v>
      </c>
      <c r="AS426" s="5" t="s">
        <v>301</v>
      </c>
      <c r="AT426" s="5" t="s">
        <v>301</v>
      </c>
      <c r="AU426" s="5" t="s">
        <v>301</v>
      </c>
      <c r="AV426" s="5" t="s">
        <v>269</v>
      </c>
      <c r="AW426" s="5" t="s">
        <v>204</v>
      </c>
      <c r="AX426" s="5" t="s">
        <v>204</v>
      </c>
      <c r="AY426" s="5" t="s">
        <v>214</v>
      </c>
      <c r="AZ426" s="5" t="s">
        <v>206</v>
      </c>
      <c r="BA426" s="5" t="s">
        <v>344</v>
      </c>
      <c r="BF426" s="5" t="s">
        <v>204</v>
      </c>
      <c r="BG426" s="5" t="s">
        <v>207</v>
      </c>
      <c r="BH426" s="5" t="s">
        <v>207</v>
      </c>
      <c r="BI426" s="5" t="s">
        <v>207</v>
      </c>
      <c r="BJ426" s="5" t="s">
        <v>207</v>
      </c>
      <c r="BK426" s="5" t="s">
        <v>245</v>
      </c>
      <c r="BL426" s="5" t="s">
        <v>245</v>
      </c>
      <c r="BM426" s="5" t="s">
        <v>245</v>
      </c>
      <c r="BN426" s="5" t="s">
        <v>245</v>
      </c>
      <c r="BO426" s="5" t="s">
        <v>245</v>
      </c>
      <c r="BP426" s="5" t="s">
        <v>245</v>
      </c>
      <c r="BQ426" s="5" t="s">
        <v>245</v>
      </c>
      <c r="BR426" s="5" t="s">
        <v>245</v>
      </c>
      <c r="BS426" s="5" t="s">
        <v>254</v>
      </c>
      <c r="BT426" s="5" t="s">
        <v>254</v>
      </c>
      <c r="BU426" s="5" t="s">
        <v>254</v>
      </c>
      <c r="BV426" s="5" t="s">
        <v>254</v>
      </c>
      <c r="BW426" s="5" t="s">
        <v>254</v>
      </c>
      <c r="BX426" s="5" t="s">
        <v>254</v>
      </c>
      <c r="BY426" s="5" t="s">
        <v>254</v>
      </c>
      <c r="BZ426" s="5" t="s">
        <v>245</v>
      </c>
      <c r="CA426" s="5" t="s">
        <v>245</v>
      </c>
      <c r="CB426" s="5" t="s">
        <v>245</v>
      </c>
      <c r="CC426" s="5" t="s">
        <v>245</v>
      </c>
      <c r="CD426" s="5" t="s">
        <v>206</v>
      </c>
      <c r="CH426" s="5" t="s">
        <v>206</v>
      </c>
      <c r="CI426" s="5" t="s">
        <v>206</v>
      </c>
      <c r="CJ426" s="5">
        <v>0</v>
      </c>
      <c r="CL426" s="5" t="s">
        <v>414</v>
      </c>
      <c r="CU426" s="5" t="s">
        <v>206</v>
      </c>
      <c r="DA426" s="5" t="s">
        <v>252</v>
      </c>
      <c r="DB426" s="5">
        <f t="shared" si="1277"/>
        <v>3</v>
      </c>
      <c r="DC426" s="5" t="s">
        <v>280</v>
      </c>
      <c r="DD426" s="5">
        <f t="shared" si="1278"/>
        <v>4</v>
      </c>
      <c r="DE426" s="5" t="s">
        <v>280</v>
      </c>
      <c r="DF426" s="5">
        <f t="shared" si="1279"/>
        <v>4</v>
      </c>
      <c r="DG426" s="5" t="s">
        <v>280</v>
      </c>
      <c r="DH426" s="5">
        <f t="shared" si="1280"/>
        <v>4</v>
      </c>
      <c r="DI426" s="5" t="s">
        <v>280</v>
      </c>
      <c r="DJ426" s="5">
        <f t="shared" si="1281"/>
        <v>4</v>
      </c>
      <c r="DK426" s="5" t="s">
        <v>280</v>
      </c>
      <c r="DL426" s="5">
        <f t="shared" si="1282"/>
        <v>4</v>
      </c>
      <c r="DM426" s="5" t="s">
        <v>280</v>
      </c>
      <c r="DN426" s="5">
        <f t="shared" si="1283"/>
        <v>4</v>
      </c>
      <c r="DO426" s="5" t="s">
        <v>229</v>
      </c>
      <c r="DP426" s="5">
        <f t="shared" si="1284"/>
        <v>4</v>
      </c>
      <c r="DQ426" s="5" t="s">
        <v>229</v>
      </c>
      <c r="DR426" s="5">
        <f t="shared" si="1285"/>
        <v>4</v>
      </c>
      <c r="DS426" s="5" t="s">
        <v>229</v>
      </c>
      <c r="DT426" s="5">
        <f t="shared" si="1286"/>
        <v>4</v>
      </c>
      <c r="DU426" s="5" t="s">
        <v>229</v>
      </c>
      <c r="DV426" s="5">
        <f t="shared" si="1287"/>
        <v>4</v>
      </c>
      <c r="DW426" s="5" t="s">
        <v>229</v>
      </c>
      <c r="DX426" s="5">
        <f t="shared" si="1288"/>
        <v>4</v>
      </c>
      <c r="DY426" s="5">
        <f t="shared" si="1289"/>
        <v>47</v>
      </c>
      <c r="DZ426" s="5" t="str">
        <f t="shared" si="1290"/>
        <v>Nivel de riesgo alto</v>
      </c>
      <c r="EA426" s="5" t="s">
        <v>254</v>
      </c>
      <c r="EB426" s="5">
        <f t="shared" si="1291"/>
        <v>4</v>
      </c>
      <c r="EC426" s="5" t="s">
        <v>254</v>
      </c>
      <c r="ED426" s="5">
        <f t="shared" si="1292"/>
        <v>4</v>
      </c>
      <c r="EE426" s="5" t="s">
        <v>254</v>
      </c>
      <c r="EF426" s="5">
        <f t="shared" si="1293"/>
        <v>4</v>
      </c>
      <c r="EG426" s="5">
        <f t="shared" si="1294"/>
        <v>12</v>
      </c>
      <c r="EH426" s="5" t="str">
        <f t="shared" si="1295"/>
        <v>Nivel de riesgo alto</v>
      </c>
      <c r="EI426" s="5" t="s">
        <v>254</v>
      </c>
      <c r="EJ426" s="5">
        <f t="shared" si="1296"/>
        <v>4</v>
      </c>
      <c r="EK426" s="5" t="s">
        <v>254</v>
      </c>
      <c r="EL426" s="5">
        <f t="shared" si="1297"/>
        <v>4</v>
      </c>
      <c r="EM426" s="5" t="s">
        <v>254</v>
      </c>
      <c r="EN426" s="5">
        <f t="shared" si="1298"/>
        <v>4</v>
      </c>
      <c r="EO426" s="5">
        <f t="shared" si="1299"/>
        <v>12</v>
      </c>
      <c r="EP426" s="5" t="str">
        <f t="shared" si="1300"/>
        <v>Nivel de riesgo alto</v>
      </c>
      <c r="EQ426" s="5" t="s">
        <v>254</v>
      </c>
      <c r="ER426" s="5">
        <f t="shared" si="1301"/>
        <v>0</v>
      </c>
      <c r="ES426" s="5" t="s">
        <v>254</v>
      </c>
      <c r="ET426" s="5">
        <f t="shared" si="1302"/>
        <v>0</v>
      </c>
      <c r="EU426" s="5" t="s">
        <v>254</v>
      </c>
      <c r="EV426" s="5">
        <f t="shared" si="1303"/>
        <v>0</v>
      </c>
      <c r="EW426" s="5" t="s">
        <v>254</v>
      </c>
      <c r="EX426" s="5">
        <f t="shared" si="1304"/>
        <v>0</v>
      </c>
      <c r="EY426" s="5">
        <f t="shared" si="1305"/>
        <v>0</v>
      </c>
      <c r="EZ426" s="5" t="str">
        <f t="shared" si="1306"/>
        <v>Nivel de riesgo bajo</v>
      </c>
      <c r="FA426" s="5" t="s">
        <v>254</v>
      </c>
      <c r="FB426" s="5">
        <f t="shared" si="1307"/>
        <v>4</v>
      </c>
      <c r="FC426" s="5" t="s">
        <v>254</v>
      </c>
      <c r="FD426" s="5">
        <f t="shared" si="1308"/>
        <v>4</v>
      </c>
      <c r="FE426" s="5" t="s">
        <v>254</v>
      </c>
      <c r="FF426" s="5">
        <f t="shared" si="1309"/>
        <v>4</v>
      </c>
      <c r="FG426" s="5">
        <f t="shared" si="1310"/>
        <v>12</v>
      </c>
      <c r="FH426" s="5" t="str">
        <f t="shared" si="1311"/>
        <v>Nivel de riesgo alto</v>
      </c>
      <c r="FI426" s="5" t="s">
        <v>254</v>
      </c>
      <c r="FJ426" s="5">
        <f t="shared" si="1312"/>
        <v>4</v>
      </c>
      <c r="FK426" s="5" t="s">
        <v>254</v>
      </c>
      <c r="FL426" s="5">
        <f t="shared" si="1313"/>
        <v>4</v>
      </c>
      <c r="FM426" s="5" t="s">
        <v>254</v>
      </c>
      <c r="FN426" s="5">
        <f t="shared" si="1314"/>
        <v>4</v>
      </c>
      <c r="FO426" s="5">
        <f t="shared" si="1315"/>
        <v>12</v>
      </c>
      <c r="FP426" s="5" t="str">
        <f t="shared" si="1316"/>
        <v>Nivel de riesgo alto</v>
      </c>
      <c r="FQ426" s="5" t="s">
        <v>206</v>
      </c>
      <c r="FR426" s="5">
        <f t="shared" si="1317"/>
        <v>0</v>
      </c>
      <c r="FS426" s="5" t="s">
        <v>206</v>
      </c>
      <c r="FT426" s="5">
        <f t="shared" si="1318"/>
        <v>0</v>
      </c>
      <c r="FU426" s="5" t="s">
        <v>206</v>
      </c>
      <c r="FV426" s="5">
        <f t="shared" si="1319"/>
        <v>0</v>
      </c>
      <c r="FW426" s="5" t="s">
        <v>206</v>
      </c>
      <c r="FX426" s="5">
        <f t="shared" si="1320"/>
        <v>0</v>
      </c>
      <c r="FY426" s="5" t="s">
        <v>206</v>
      </c>
      <c r="FZ426" s="5">
        <f t="shared" si="1321"/>
        <v>0</v>
      </c>
      <c r="GA426" s="5" t="s">
        <v>206</v>
      </c>
      <c r="GB426" s="5">
        <f t="shared" si="1322"/>
        <v>0</v>
      </c>
      <c r="GC426" s="5" t="s">
        <v>206</v>
      </c>
      <c r="GD426" s="5">
        <f t="shared" si="1323"/>
        <v>0</v>
      </c>
      <c r="GE426" s="5">
        <f t="shared" si="1324"/>
        <v>0</v>
      </c>
      <c r="GF426" s="5" t="str">
        <f t="shared" si="1325"/>
        <v>Nivel de riesgo bajo</v>
      </c>
      <c r="GG426" s="5" t="s">
        <v>255</v>
      </c>
      <c r="GH426" s="5" t="s">
        <v>255</v>
      </c>
      <c r="GI426" s="5" t="s">
        <v>255</v>
      </c>
      <c r="GJ426" s="5" t="s">
        <v>255</v>
      </c>
      <c r="GK426" s="5" t="s">
        <v>255</v>
      </c>
      <c r="GL426" s="5" t="s">
        <v>255</v>
      </c>
      <c r="GM426" s="5" t="s">
        <v>255</v>
      </c>
      <c r="GN426" s="5" t="s">
        <v>257</v>
      </c>
      <c r="GO426" s="5" t="s">
        <v>257</v>
      </c>
      <c r="GP426" s="5" t="s">
        <v>257</v>
      </c>
      <c r="GQ426" s="5" t="s">
        <v>257</v>
      </c>
      <c r="GR426" s="5" t="s">
        <v>257</v>
      </c>
      <c r="GS426" s="5" t="s">
        <v>257</v>
      </c>
      <c r="GT426" s="5" t="s">
        <v>257</v>
      </c>
      <c r="GU426" s="5" t="s">
        <v>795</v>
      </c>
      <c r="GV426" s="5" t="str">
        <f>TEXT("6290075460713727798","0")</f>
        <v>6290075460713720000</v>
      </c>
    </row>
    <row r="427" spans="1:204" ht="15.75" customHeight="1" x14ac:dyDescent="0.15">
      <c r="A427" s="1">
        <f t="shared" si="1275"/>
        <v>427</v>
      </c>
      <c r="B427" s="4">
        <v>45860.481307870374</v>
      </c>
      <c r="C427" s="5" t="s">
        <v>204</v>
      </c>
      <c r="D427" s="5" t="s">
        <v>206</v>
      </c>
      <c r="F427" s="5" t="s">
        <v>206</v>
      </c>
      <c r="G427" s="5" t="s">
        <v>206</v>
      </c>
      <c r="H427" s="5" t="s">
        <v>206</v>
      </c>
      <c r="K427" s="5" t="s">
        <v>237</v>
      </c>
      <c r="N427" s="5" t="s">
        <v>208</v>
      </c>
      <c r="T427" s="5" t="s">
        <v>209</v>
      </c>
      <c r="X427" s="5" t="s">
        <v>208</v>
      </c>
      <c r="AG427" s="5" t="s">
        <v>207</v>
      </c>
      <c r="AH427" s="5" t="s">
        <v>268</v>
      </c>
      <c r="AI427" s="5">
        <v>2009</v>
      </c>
      <c r="AJ427" s="5" t="s">
        <v>330</v>
      </c>
      <c r="AK427" s="5" t="str">
        <f t="shared" si="1276"/>
        <v>Asalariada</v>
      </c>
      <c r="AQ427" s="5" t="s">
        <v>204</v>
      </c>
      <c r="AR427" s="5" t="s">
        <v>301</v>
      </c>
      <c r="AS427" s="5" t="s">
        <v>301</v>
      </c>
      <c r="AT427" s="5" t="s">
        <v>241</v>
      </c>
      <c r="AU427" s="5" t="s">
        <v>241</v>
      </c>
      <c r="AV427" s="5" t="s">
        <v>213</v>
      </c>
      <c r="AW427" s="5" t="s">
        <v>204</v>
      </c>
      <c r="AX427" s="5" t="s">
        <v>204</v>
      </c>
      <c r="AY427" s="5" t="s">
        <v>214</v>
      </c>
      <c r="AZ427" s="5" t="s">
        <v>206</v>
      </c>
      <c r="BA427" s="5" t="s">
        <v>263</v>
      </c>
      <c r="BF427" s="5" t="s">
        <v>204</v>
      </c>
      <c r="BG427" s="5" t="s">
        <v>207</v>
      </c>
      <c r="BH427" s="5" t="s">
        <v>264</v>
      </c>
      <c r="BI427" s="5" t="s">
        <v>207</v>
      </c>
      <c r="BJ427" s="5" t="s">
        <v>264</v>
      </c>
      <c r="BK427" s="5" t="s">
        <v>244</v>
      </c>
      <c r="BL427" s="5" t="s">
        <v>244</v>
      </c>
      <c r="BM427" s="5" t="s">
        <v>244</v>
      </c>
      <c r="BN427" s="5" t="s">
        <v>244</v>
      </c>
      <c r="BO427" s="5" t="s">
        <v>244</v>
      </c>
      <c r="BP427" s="5" t="s">
        <v>243</v>
      </c>
      <c r="BQ427" s="5" t="s">
        <v>244</v>
      </c>
      <c r="BR427" s="5" t="s">
        <v>244</v>
      </c>
      <c r="BS427" s="5" t="s">
        <v>247</v>
      </c>
      <c r="BT427" s="5" t="s">
        <v>248</v>
      </c>
      <c r="BU427" s="5" t="s">
        <v>247</v>
      </c>
      <c r="BV427" s="5" t="s">
        <v>247</v>
      </c>
      <c r="BW427" s="5" t="s">
        <v>247</v>
      </c>
      <c r="BX427" s="5" t="s">
        <v>248</v>
      </c>
      <c r="BY427" s="5" t="s">
        <v>247</v>
      </c>
      <c r="BZ427" s="5" t="s">
        <v>246</v>
      </c>
      <c r="CA427" s="5" t="s">
        <v>246</v>
      </c>
      <c r="CB427" s="5" t="s">
        <v>246</v>
      </c>
      <c r="CC427" s="5" t="s">
        <v>246</v>
      </c>
      <c r="CD427" s="5" t="s">
        <v>206</v>
      </c>
      <c r="CH427" s="5" t="s">
        <v>206</v>
      </c>
      <c r="CI427" s="5" t="s">
        <v>206</v>
      </c>
      <c r="CJ427" s="5">
        <v>0</v>
      </c>
      <c r="CK427" s="5" t="s">
        <v>223</v>
      </c>
      <c r="CU427" s="5" t="s">
        <v>206</v>
      </c>
      <c r="DA427" s="5" t="s">
        <v>272</v>
      </c>
      <c r="DB427" s="5">
        <f t="shared" si="1277"/>
        <v>1</v>
      </c>
      <c r="DC427" s="5" t="s">
        <v>230</v>
      </c>
      <c r="DD427" s="5">
        <f t="shared" si="1278"/>
        <v>2</v>
      </c>
      <c r="DE427" s="5" t="s">
        <v>251</v>
      </c>
      <c r="DF427" s="5">
        <f t="shared" si="1279"/>
        <v>1</v>
      </c>
      <c r="DG427" s="5" t="s">
        <v>251</v>
      </c>
      <c r="DH427" s="5">
        <f t="shared" si="1280"/>
        <v>1</v>
      </c>
      <c r="DI427" s="5" t="s">
        <v>251</v>
      </c>
      <c r="DJ427" s="5">
        <f t="shared" si="1281"/>
        <v>1</v>
      </c>
      <c r="DK427" s="5" t="s">
        <v>251</v>
      </c>
      <c r="DL427" s="5">
        <f t="shared" si="1282"/>
        <v>1</v>
      </c>
      <c r="DM427" s="5" t="s">
        <v>251</v>
      </c>
      <c r="DN427" s="5">
        <f t="shared" si="1283"/>
        <v>1</v>
      </c>
      <c r="DO427" s="5" t="s">
        <v>231</v>
      </c>
      <c r="DP427" s="5">
        <f t="shared" si="1284"/>
        <v>2</v>
      </c>
      <c r="DQ427" s="5" t="s">
        <v>281</v>
      </c>
      <c r="DR427" s="5">
        <f t="shared" si="1285"/>
        <v>1</v>
      </c>
      <c r="DS427" s="5" t="s">
        <v>281</v>
      </c>
      <c r="DT427" s="5">
        <f t="shared" si="1286"/>
        <v>1</v>
      </c>
      <c r="DU427" s="5" t="s">
        <v>281</v>
      </c>
      <c r="DV427" s="5">
        <f t="shared" si="1287"/>
        <v>1</v>
      </c>
      <c r="DW427" s="5" t="s">
        <v>281</v>
      </c>
      <c r="DX427" s="5">
        <f t="shared" si="1288"/>
        <v>1</v>
      </c>
      <c r="DY427" s="5">
        <f t="shared" si="1289"/>
        <v>14</v>
      </c>
      <c r="DZ427" s="5" t="str">
        <f t="shared" si="1290"/>
        <v>Nivel de riesgo bajo</v>
      </c>
      <c r="EA427" s="5" t="s">
        <v>247</v>
      </c>
      <c r="EB427" s="5">
        <f t="shared" si="1291"/>
        <v>2</v>
      </c>
      <c r="EC427" s="5" t="s">
        <v>247</v>
      </c>
      <c r="ED427" s="5">
        <f t="shared" si="1292"/>
        <v>2</v>
      </c>
      <c r="EE427" s="5" t="s">
        <v>248</v>
      </c>
      <c r="EF427" s="5">
        <f t="shared" si="1293"/>
        <v>1</v>
      </c>
      <c r="EG427" s="5">
        <f t="shared" si="1294"/>
        <v>5</v>
      </c>
      <c r="EH427" s="5" t="str">
        <f t="shared" si="1295"/>
        <v>Nivel de riesgo alto</v>
      </c>
      <c r="EI427" s="5" t="s">
        <v>253</v>
      </c>
      <c r="EJ427" s="5">
        <f t="shared" si="1296"/>
        <v>0</v>
      </c>
      <c r="EK427" s="5" t="s">
        <v>253</v>
      </c>
      <c r="EL427" s="5">
        <f t="shared" si="1297"/>
        <v>0</v>
      </c>
      <c r="EM427" s="5" t="s">
        <v>253</v>
      </c>
      <c r="EN427" s="5">
        <f t="shared" si="1298"/>
        <v>0</v>
      </c>
      <c r="EO427" s="5">
        <f t="shared" si="1299"/>
        <v>0</v>
      </c>
      <c r="EP427" s="5" t="str">
        <f t="shared" si="1300"/>
        <v>Nivel de riesgo bajo</v>
      </c>
      <c r="EQ427" s="5" t="s">
        <v>232</v>
      </c>
      <c r="ER427" s="5">
        <f t="shared" si="1301"/>
        <v>1</v>
      </c>
      <c r="ES427" s="5" t="s">
        <v>232</v>
      </c>
      <c r="ET427" s="5">
        <f t="shared" si="1302"/>
        <v>1</v>
      </c>
      <c r="EU427" s="5" t="s">
        <v>254</v>
      </c>
      <c r="EV427" s="5">
        <f t="shared" si="1303"/>
        <v>0</v>
      </c>
      <c r="EW427" s="5" t="s">
        <v>254</v>
      </c>
      <c r="EX427" s="5">
        <f t="shared" si="1304"/>
        <v>0</v>
      </c>
      <c r="EY427" s="5">
        <f t="shared" si="1305"/>
        <v>2</v>
      </c>
      <c r="EZ427" s="5" t="str">
        <f t="shared" si="1306"/>
        <v>Nivel de riesgo medio</v>
      </c>
      <c r="FA427" s="5" t="s">
        <v>232</v>
      </c>
      <c r="FB427" s="5">
        <f t="shared" si="1307"/>
        <v>3</v>
      </c>
      <c r="FC427" s="5" t="s">
        <v>253</v>
      </c>
      <c r="FD427" s="5">
        <f t="shared" si="1308"/>
        <v>0</v>
      </c>
      <c r="FE427" s="5" t="s">
        <v>253</v>
      </c>
      <c r="FF427" s="5">
        <f t="shared" si="1309"/>
        <v>0</v>
      </c>
      <c r="FG427" s="5">
        <f t="shared" si="1310"/>
        <v>3</v>
      </c>
      <c r="FH427" s="5" t="str">
        <f t="shared" si="1311"/>
        <v>Nivel de riesgo medio</v>
      </c>
      <c r="FI427" s="5" t="s">
        <v>253</v>
      </c>
      <c r="FJ427" s="5">
        <f t="shared" si="1312"/>
        <v>0</v>
      </c>
      <c r="FK427" s="5" t="s">
        <v>253</v>
      </c>
      <c r="FL427" s="5">
        <f t="shared" si="1313"/>
        <v>0</v>
      </c>
      <c r="FM427" s="5" t="s">
        <v>253</v>
      </c>
      <c r="FN427" s="5">
        <f t="shared" si="1314"/>
        <v>0</v>
      </c>
      <c r="FO427" s="5">
        <f t="shared" si="1315"/>
        <v>0</v>
      </c>
      <c r="FP427" s="5" t="str">
        <f t="shared" si="1316"/>
        <v>Nivel de riesgo bajo</v>
      </c>
      <c r="FQ427" s="5" t="s">
        <v>206</v>
      </c>
      <c r="FR427" s="5">
        <f t="shared" si="1317"/>
        <v>0</v>
      </c>
      <c r="FS427" s="5" t="s">
        <v>206</v>
      </c>
      <c r="FT427" s="5">
        <f t="shared" si="1318"/>
        <v>0</v>
      </c>
      <c r="FU427" s="5" t="s">
        <v>206</v>
      </c>
      <c r="FV427" s="5">
        <f t="shared" si="1319"/>
        <v>0</v>
      </c>
      <c r="FW427" s="5" t="s">
        <v>206</v>
      </c>
      <c r="FX427" s="5">
        <f t="shared" si="1320"/>
        <v>0</v>
      </c>
      <c r="FY427" s="5" t="s">
        <v>206</v>
      </c>
      <c r="FZ427" s="5">
        <f t="shared" si="1321"/>
        <v>0</v>
      </c>
      <c r="GA427" s="5" t="s">
        <v>206</v>
      </c>
      <c r="GB427" s="5">
        <f t="shared" si="1322"/>
        <v>0</v>
      </c>
      <c r="GC427" s="5" t="s">
        <v>206</v>
      </c>
      <c r="GD427" s="5">
        <f t="shared" si="1323"/>
        <v>0</v>
      </c>
      <c r="GE427" s="5">
        <f t="shared" si="1324"/>
        <v>0</v>
      </c>
      <c r="GF427" s="5" t="str">
        <f t="shared" si="1325"/>
        <v>Nivel de riesgo bajo</v>
      </c>
      <c r="GG427" s="5" t="s">
        <v>255</v>
      </c>
      <c r="GH427" s="5" t="s">
        <v>255</v>
      </c>
      <c r="GI427" s="5" t="s">
        <v>255</v>
      </c>
      <c r="GJ427" s="5" t="s">
        <v>255</v>
      </c>
      <c r="GK427" s="5" t="s">
        <v>233</v>
      </c>
      <c r="GL427" s="5" t="s">
        <v>255</v>
      </c>
      <c r="GM427" s="5" t="s">
        <v>266</v>
      </c>
      <c r="GN427" s="5" t="s">
        <v>234</v>
      </c>
      <c r="GO427" s="5" t="s">
        <v>234</v>
      </c>
      <c r="GP427" s="5" t="s">
        <v>234</v>
      </c>
      <c r="GQ427" s="5" t="s">
        <v>234</v>
      </c>
      <c r="GR427" s="5" t="s">
        <v>234</v>
      </c>
      <c r="GS427" s="5" t="s">
        <v>234</v>
      </c>
      <c r="GT427" s="5" t="s">
        <v>234</v>
      </c>
      <c r="GU427" s="5" t="s">
        <v>796</v>
      </c>
      <c r="GV427" s="5" t="str">
        <f>TEXT("6290075857914746067","0")</f>
        <v>6290075857914740000</v>
      </c>
    </row>
    <row r="428" spans="1:204" ht="15.75" customHeight="1" x14ac:dyDescent="0.15">
      <c r="A428" s="1">
        <f t="shared" si="1275"/>
        <v>428</v>
      </c>
      <c r="B428" s="4">
        <v>45860.482604166667</v>
      </c>
      <c r="C428" s="5" t="s">
        <v>204</v>
      </c>
      <c r="D428" s="5" t="s">
        <v>206</v>
      </c>
      <c r="F428" s="5" t="s">
        <v>206</v>
      </c>
      <c r="G428" s="5" t="s">
        <v>204</v>
      </c>
      <c r="H428" s="5" t="s">
        <v>206</v>
      </c>
      <c r="L428" s="5" t="s">
        <v>236</v>
      </c>
      <c r="O428" s="5" t="s">
        <v>209</v>
      </c>
      <c r="U428" s="5" t="s">
        <v>237</v>
      </c>
      <c r="X428" s="5" t="s">
        <v>208</v>
      </c>
      <c r="AF428" s="5" t="s">
        <v>236</v>
      </c>
      <c r="AH428" s="5" t="s">
        <v>259</v>
      </c>
      <c r="AI428" s="5">
        <v>2025</v>
      </c>
      <c r="AJ428" s="5" t="s">
        <v>238</v>
      </c>
      <c r="AK428" s="5" t="str">
        <f t="shared" si="1276"/>
        <v>Trabajadora por cuenta propia</v>
      </c>
      <c r="AL428" s="5" t="s">
        <v>239</v>
      </c>
      <c r="AP428" s="5" t="s">
        <v>284</v>
      </c>
      <c r="AR428" s="5" t="s">
        <v>276</v>
      </c>
      <c r="AS428" s="5" t="s">
        <v>276</v>
      </c>
      <c r="AT428" s="5" t="s">
        <v>276</v>
      </c>
      <c r="AU428" s="5" t="s">
        <v>276</v>
      </c>
      <c r="AV428" s="5" t="s">
        <v>213</v>
      </c>
      <c r="AW428" s="5" t="s">
        <v>204</v>
      </c>
      <c r="AX428" s="5" t="s">
        <v>206</v>
      </c>
      <c r="BF428" s="5" t="s">
        <v>204</v>
      </c>
      <c r="BG428" s="5" t="s">
        <v>278</v>
      </c>
      <c r="BH428" s="5" t="s">
        <v>215</v>
      </c>
      <c r="BI428" s="5" t="s">
        <v>242</v>
      </c>
      <c r="BJ428" s="5" t="s">
        <v>242</v>
      </c>
      <c r="BK428" s="5" t="s">
        <v>245</v>
      </c>
      <c r="BL428" s="5" t="s">
        <v>245</v>
      </c>
      <c r="BM428" s="5" t="s">
        <v>245</v>
      </c>
      <c r="BN428" s="5" t="s">
        <v>245</v>
      </c>
      <c r="BO428" s="5" t="s">
        <v>245</v>
      </c>
      <c r="BP428" s="5" t="s">
        <v>245</v>
      </c>
      <c r="BQ428" s="5" t="s">
        <v>245</v>
      </c>
      <c r="BR428" s="5" t="s">
        <v>245</v>
      </c>
      <c r="BS428" s="5" t="s">
        <v>232</v>
      </c>
      <c r="BT428" s="5" t="s">
        <v>232</v>
      </c>
      <c r="BU428" s="5" t="s">
        <v>232</v>
      </c>
      <c r="BV428" s="5" t="s">
        <v>232</v>
      </c>
      <c r="BW428" s="5" t="s">
        <v>232</v>
      </c>
      <c r="BX428" s="5" t="s">
        <v>232</v>
      </c>
      <c r="BY428" s="5" t="s">
        <v>232</v>
      </c>
      <c r="BZ428" s="5" t="s">
        <v>246</v>
      </c>
      <c r="CA428" s="5" t="s">
        <v>246</v>
      </c>
      <c r="CB428" s="5" t="s">
        <v>246</v>
      </c>
      <c r="CC428" s="5" t="s">
        <v>246</v>
      </c>
      <c r="CD428" s="5" t="s">
        <v>206</v>
      </c>
      <c r="CH428" s="5" t="s">
        <v>673</v>
      </c>
      <c r="CI428" s="5" t="s">
        <v>206</v>
      </c>
      <c r="CJ428" s="5">
        <v>4</v>
      </c>
      <c r="CK428" s="5" t="s">
        <v>223</v>
      </c>
      <c r="CU428" s="5" t="s">
        <v>206</v>
      </c>
      <c r="DA428" s="5" t="s">
        <v>272</v>
      </c>
      <c r="DB428" s="5">
        <f t="shared" si="1277"/>
        <v>1</v>
      </c>
      <c r="DC428" s="5" t="s">
        <v>230</v>
      </c>
      <c r="DD428" s="5">
        <f t="shared" si="1278"/>
        <v>2</v>
      </c>
      <c r="DE428" s="5" t="s">
        <v>230</v>
      </c>
      <c r="DF428" s="5">
        <f t="shared" si="1279"/>
        <v>2</v>
      </c>
      <c r="DG428" s="5" t="s">
        <v>230</v>
      </c>
      <c r="DH428" s="5">
        <f t="shared" si="1280"/>
        <v>2</v>
      </c>
      <c r="DI428" s="5" t="s">
        <v>230</v>
      </c>
      <c r="DJ428" s="5">
        <f t="shared" si="1281"/>
        <v>2</v>
      </c>
      <c r="DK428" s="5" t="s">
        <v>230</v>
      </c>
      <c r="DL428" s="5">
        <f t="shared" si="1282"/>
        <v>2</v>
      </c>
      <c r="DM428" s="5" t="s">
        <v>230</v>
      </c>
      <c r="DN428" s="5">
        <f t="shared" si="1283"/>
        <v>2</v>
      </c>
      <c r="DO428" s="5" t="s">
        <v>231</v>
      </c>
      <c r="DP428" s="5">
        <f t="shared" si="1284"/>
        <v>2</v>
      </c>
      <c r="DQ428" s="5" t="s">
        <v>231</v>
      </c>
      <c r="DR428" s="5">
        <f t="shared" si="1285"/>
        <v>2</v>
      </c>
      <c r="DS428" s="5" t="s">
        <v>231</v>
      </c>
      <c r="DT428" s="5">
        <f t="shared" si="1286"/>
        <v>2</v>
      </c>
      <c r="DU428" s="5" t="s">
        <v>231</v>
      </c>
      <c r="DV428" s="5">
        <f t="shared" si="1287"/>
        <v>2</v>
      </c>
      <c r="DW428" s="5" t="s">
        <v>231</v>
      </c>
      <c r="DX428" s="5">
        <f t="shared" si="1288"/>
        <v>2</v>
      </c>
      <c r="DY428" s="5">
        <f t="shared" si="1289"/>
        <v>23</v>
      </c>
      <c r="DZ428" s="5" t="str">
        <f t="shared" si="1290"/>
        <v>Nivel de riesgo medio</v>
      </c>
      <c r="EA428" s="5" t="s">
        <v>232</v>
      </c>
      <c r="EB428" s="5">
        <f t="shared" si="1291"/>
        <v>3</v>
      </c>
      <c r="EC428" s="5" t="s">
        <v>232</v>
      </c>
      <c r="ED428" s="5">
        <f t="shared" si="1292"/>
        <v>3</v>
      </c>
      <c r="EE428" s="5" t="s">
        <v>232</v>
      </c>
      <c r="EF428" s="5">
        <f t="shared" si="1293"/>
        <v>3</v>
      </c>
      <c r="EG428" s="5">
        <f t="shared" si="1294"/>
        <v>9</v>
      </c>
      <c r="EH428" s="5" t="str">
        <f t="shared" si="1295"/>
        <v>Nivel de riesgo alto</v>
      </c>
      <c r="EI428" s="5" t="s">
        <v>232</v>
      </c>
      <c r="EJ428" s="5">
        <f t="shared" si="1296"/>
        <v>3</v>
      </c>
      <c r="EK428" s="5" t="s">
        <v>232</v>
      </c>
      <c r="EL428" s="5">
        <f t="shared" si="1297"/>
        <v>3</v>
      </c>
      <c r="EM428" s="5" t="s">
        <v>232</v>
      </c>
      <c r="EN428" s="5">
        <f t="shared" si="1298"/>
        <v>3</v>
      </c>
      <c r="EO428" s="5">
        <f t="shared" si="1299"/>
        <v>9</v>
      </c>
      <c r="EP428" s="5" t="str">
        <f t="shared" si="1300"/>
        <v>Nivel de riesgo alto</v>
      </c>
      <c r="EQ428" s="5" t="s">
        <v>232</v>
      </c>
      <c r="ER428" s="5">
        <f t="shared" si="1301"/>
        <v>1</v>
      </c>
      <c r="ES428" s="5" t="s">
        <v>232</v>
      </c>
      <c r="ET428" s="5">
        <f t="shared" si="1302"/>
        <v>1</v>
      </c>
      <c r="EU428" s="5" t="s">
        <v>232</v>
      </c>
      <c r="EV428" s="5">
        <f t="shared" si="1303"/>
        <v>1</v>
      </c>
      <c r="EW428" s="5" t="s">
        <v>232</v>
      </c>
      <c r="EX428" s="5">
        <f t="shared" si="1304"/>
        <v>1</v>
      </c>
      <c r="EY428" s="5">
        <f t="shared" si="1305"/>
        <v>4</v>
      </c>
      <c r="EZ428" s="5" t="str">
        <f t="shared" si="1306"/>
        <v>Nivel de riesgo medio</v>
      </c>
      <c r="FA428" s="5" t="s">
        <v>232</v>
      </c>
      <c r="FB428" s="5">
        <f t="shared" si="1307"/>
        <v>3</v>
      </c>
      <c r="FC428" s="5" t="s">
        <v>232</v>
      </c>
      <c r="FD428" s="5">
        <f t="shared" si="1308"/>
        <v>3</v>
      </c>
      <c r="FE428" s="5" t="s">
        <v>232</v>
      </c>
      <c r="FF428" s="5">
        <f t="shared" si="1309"/>
        <v>3</v>
      </c>
      <c r="FG428" s="5">
        <f t="shared" si="1310"/>
        <v>9</v>
      </c>
      <c r="FH428" s="5" t="str">
        <f t="shared" si="1311"/>
        <v>Nivel de riesgo alto</v>
      </c>
      <c r="FI428" s="5" t="s">
        <v>232</v>
      </c>
      <c r="FJ428" s="5">
        <f t="shared" si="1312"/>
        <v>3</v>
      </c>
      <c r="FK428" s="5" t="s">
        <v>232</v>
      </c>
      <c r="FL428" s="5">
        <f t="shared" si="1313"/>
        <v>3</v>
      </c>
      <c r="FM428" s="5" t="s">
        <v>232</v>
      </c>
      <c r="FN428" s="5">
        <f t="shared" si="1314"/>
        <v>3</v>
      </c>
      <c r="FO428" s="5">
        <f t="shared" si="1315"/>
        <v>9</v>
      </c>
      <c r="FP428" s="5" t="str">
        <f t="shared" si="1316"/>
        <v>Nivel de riesgo alto</v>
      </c>
      <c r="FQ428" s="5" t="s">
        <v>206</v>
      </c>
      <c r="FR428" s="5">
        <f t="shared" si="1317"/>
        <v>0</v>
      </c>
      <c r="FS428" s="5" t="s">
        <v>206</v>
      </c>
      <c r="FT428" s="5">
        <f t="shared" si="1318"/>
        <v>0</v>
      </c>
      <c r="FU428" s="5" t="s">
        <v>206</v>
      </c>
      <c r="FV428" s="5">
        <f t="shared" si="1319"/>
        <v>0</v>
      </c>
      <c r="FW428" s="5" t="s">
        <v>206</v>
      </c>
      <c r="FX428" s="5">
        <f t="shared" si="1320"/>
        <v>0</v>
      </c>
      <c r="FY428" s="5" t="s">
        <v>206</v>
      </c>
      <c r="FZ428" s="5">
        <f t="shared" si="1321"/>
        <v>0</v>
      </c>
      <c r="GA428" s="5" t="s">
        <v>206</v>
      </c>
      <c r="GB428" s="5">
        <f t="shared" si="1322"/>
        <v>0</v>
      </c>
      <c r="GC428" s="5" t="s">
        <v>206</v>
      </c>
      <c r="GD428" s="5">
        <f t="shared" si="1323"/>
        <v>0</v>
      </c>
      <c r="GE428" s="5">
        <f t="shared" si="1324"/>
        <v>0</v>
      </c>
      <c r="GF428" s="5" t="str">
        <f t="shared" si="1325"/>
        <v>Nivel de riesgo bajo</v>
      </c>
      <c r="GG428" s="5" t="s">
        <v>273</v>
      </c>
      <c r="GH428" s="5" t="s">
        <v>273</v>
      </c>
      <c r="GI428" s="5" t="s">
        <v>273</v>
      </c>
      <c r="GJ428" s="5" t="s">
        <v>298</v>
      </c>
      <c r="GK428" s="5" t="s">
        <v>233</v>
      </c>
      <c r="GL428" s="5" t="s">
        <v>233</v>
      </c>
      <c r="GM428" s="5" t="s">
        <v>233</v>
      </c>
      <c r="GN428" s="5" t="s">
        <v>234</v>
      </c>
      <c r="GO428" s="5" t="s">
        <v>234</v>
      </c>
      <c r="GP428" s="5" t="s">
        <v>234</v>
      </c>
      <c r="GQ428" s="5" t="s">
        <v>234</v>
      </c>
      <c r="GR428" s="5" t="s">
        <v>234</v>
      </c>
      <c r="GS428" s="5" t="s">
        <v>234</v>
      </c>
      <c r="GT428" s="5" t="s">
        <v>234</v>
      </c>
      <c r="GU428" s="5" t="s">
        <v>797</v>
      </c>
      <c r="GV428" s="5" t="str">
        <f>TEXT("6290076975837337330","0")</f>
        <v>6290076975837330000</v>
      </c>
    </row>
    <row r="429" spans="1:204" ht="15.75" customHeight="1" x14ac:dyDescent="0.15">
      <c r="A429" s="1">
        <f t="shared" si="1275"/>
        <v>429</v>
      </c>
      <c r="B429" s="4">
        <v>45860.485833333332</v>
      </c>
      <c r="C429" s="5" t="s">
        <v>204</v>
      </c>
      <c r="D429" s="5" t="s">
        <v>206</v>
      </c>
      <c r="F429" s="5" t="s">
        <v>206</v>
      </c>
      <c r="G429" s="5" t="s">
        <v>206</v>
      </c>
      <c r="H429" s="5" t="s">
        <v>206</v>
      </c>
      <c r="K429" s="5" t="s">
        <v>237</v>
      </c>
      <c r="P429" s="5" t="s">
        <v>237</v>
      </c>
      <c r="S429" s="5" t="s">
        <v>208</v>
      </c>
      <c r="Y429" s="5" t="s">
        <v>209</v>
      </c>
      <c r="AC429" s="5" t="s">
        <v>208</v>
      </c>
      <c r="AH429" s="5" t="s">
        <v>210</v>
      </c>
      <c r="AI429" s="5">
        <v>2020</v>
      </c>
      <c r="AJ429" s="5" t="s">
        <v>238</v>
      </c>
      <c r="AK429" s="5" t="str">
        <f t="shared" si="1276"/>
        <v>Trabajadora por cuenta propia</v>
      </c>
      <c r="AN429" s="5" t="s">
        <v>288</v>
      </c>
      <c r="AP429" s="5" t="s">
        <v>240</v>
      </c>
      <c r="AR429" s="5" t="s">
        <v>276</v>
      </c>
      <c r="AS429" s="5" t="s">
        <v>276</v>
      </c>
      <c r="AT429" s="5" t="s">
        <v>276</v>
      </c>
      <c r="AU429" s="5" t="s">
        <v>276</v>
      </c>
      <c r="AV429" s="5" t="s">
        <v>269</v>
      </c>
      <c r="AW429" s="5" t="s">
        <v>204</v>
      </c>
      <c r="AX429" s="5" t="s">
        <v>204</v>
      </c>
      <c r="AY429" s="5" t="s">
        <v>214</v>
      </c>
      <c r="AZ429" s="5" t="s">
        <v>204</v>
      </c>
      <c r="BA429" s="5" t="s">
        <v>295</v>
      </c>
      <c r="BB429" s="5" t="s">
        <v>206</v>
      </c>
      <c r="BC429" s="5" t="s">
        <v>206</v>
      </c>
      <c r="BD429" s="5" t="s">
        <v>290</v>
      </c>
      <c r="BE429" s="5" t="s">
        <v>204</v>
      </c>
      <c r="BF429" s="5" t="s">
        <v>204</v>
      </c>
      <c r="BG429" s="5" t="s">
        <v>278</v>
      </c>
      <c r="BH429" s="5" t="s">
        <v>278</v>
      </c>
      <c r="BI429" s="5" t="s">
        <v>271</v>
      </c>
      <c r="BJ429" s="5" t="s">
        <v>242</v>
      </c>
      <c r="BK429" s="5" t="s">
        <v>243</v>
      </c>
      <c r="BL429" s="5" t="s">
        <v>243</v>
      </c>
      <c r="BM429" s="5" t="s">
        <v>245</v>
      </c>
      <c r="BN429" s="5" t="s">
        <v>243</v>
      </c>
      <c r="BO429" s="5" t="s">
        <v>245</v>
      </c>
      <c r="BP429" s="5" t="s">
        <v>245</v>
      </c>
      <c r="BQ429" s="5" t="s">
        <v>245</v>
      </c>
      <c r="BR429" s="5" t="s">
        <v>243</v>
      </c>
      <c r="BS429" s="5" t="s">
        <v>254</v>
      </c>
      <c r="BT429" s="5" t="s">
        <v>254</v>
      </c>
      <c r="BU429" s="5" t="s">
        <v>247</v>
      </c>
      <c r="BV429" s="5" t="s">
        <v>247</v>
      </c>
      <c r="BW429" s="5" t="s">
        <v>247</v>
      </c>
      <c r="BX429" s="5" t="s">
        <v>247</v>
      </c>
      <c r="BY429" s="5" t="s">
        <v>247</v>
      </c>
      <c r="BZ429" s="5" t="s">
        <v>245</v>
      </c>
      <c r="CA429" s="5" t="s">
        <v>245</v>
      </c>
      <c r="CB429" s="5" t="s">
        <v>243</v>
      </c>
      <c r="CC429" s="5" t="s">
        <v>243</v>
      </c>
      <c r="CD429" s="5" t="s">
        <v>206</v>
      </c>
      <c r="CH429" s="5" t="s">
        <v>206</v>
      </c>
      <c r="CI429" s="5" t="s">
        <v>206</v>
      </c>
      <c r="CJ429" s="5">
        <v>0</v>
      </c>
      <c r="CL429" s="5" t="s">
        <v>648</v>
      </c>
      <c r="CU429" s="5" t="s">
        <v>204</v>
      </c>
      <c r="CV429" s="5" t="s">
        <v>350</v>
      </c>
      <c r="CW429" s="5" t="s">
        <v>351</v>
      </c>
      <c r="CX429" s="5" t="s">
        <v>352</v>
      </c>
      <c r="CY429" s="5" t="s">
        <v>353</v>
      </c>
      <c r="CZ429" s="5" t="s">
        <v>228</v>
      </c>
      <c r="DA429" s="5" t="s">
        <v>252</v>
      </c>
      <c r="DB429" s="5">
        <f t="shared" si="1277"/>
        <v>3</v>
      </c>
      <c r="DC429" s="5" t="s">
        <v>280</v>
      </c>
      <c r="DD429" s="5">
        <f t="shared" si="1278"/>
        <v>4</v>
      </c>
      <c r="DE429" s="5" t="s">
        <v>250</v>
      </c>
      <c r="DF429" s="5">
        <f t="shared" si="1279"/>
        <v>3</v>
      </c>
      <c r="DG429" s="5" t="s">
        <v>230</v>
      </c>
      <c r="DH429" s="5">
        <f t="shared" si="1280"/>
        <v>2</v>
      </c>
      <c r="DI429" s="5" t="s">
        <v>230</v>
      </c>
      <c r="DJ429" s="5">
        <f t="shared" si="1281"/>
        <v>2</v>
      </c>
      <c r="DK429" s="5" t="s">
        <v>251</v>
      </c>
      <c r="DL429" s="5">
        <f t="shared" si="1282"/>
        <v>1</v>
      </c>
      <c r="DM429" s="5" t="s">
        <v>251</v>
      </c>
      <c r="DN429" s="5">
        <f t="shared" si="1283"/>
        <v>1</v>
      </c>
      <c r="DO429" s="5" t="s">
        <v>281</v>
      </c>
      <c r="DP429" s="5">
        <f t="shared" si="1284"/>
        <v>1</v>
      </c>
      <c r="DQ429" s="5" t="s">
        <v>281</v>
      </c>
      <c r="DR429" s="5">
        <f t="shared" si="1285"/>
        <v>1</v>
      </c>
      <c r="DS429" s="5" t="s">
        <v>231</v>
      </c>
      <c r="DT429" s="5">
        <f t="shared" si="1286"/>
        <v>2</v>
      </c>
      <c r="DU429" s="5" t="s">
        <v>231</v>
      </c>
      <c r="DV429" s="5">
        <f t="shared" si="1287"/>
        <v>2</v>
      </c>
      <c r="DW429" s="5" t="s">
        <v>231</v>
      </c>
      <c r="DX429" s="5">
        <f t="shared" si="1288"/>
        <v>2</v>
      </c>
      <c r="DY429" s="5">
        <f t="shared" si="1289"/>
        <v>24</v>
      </c>
      <c r="DZ429" s="5" t="str">
        <f t="shared" si="1290"/>
        <v>Nivel de riesgo alto</v>
      </c>
      <c r="EA429" s="5" t="s">
        <v>248</v>
      </c>
      <c r="EB429" s="5">
        <f t="shared" si="1291"/>
        <v>1</v>
      </c>
      <c r="EC429" s="5" t="s">
        <v>248</v>
      </c>
      <c r="ED429" s="5">
        <f t="shared" si="1292"/>
        <v>1</v>
      </c>
      <c r="EE429" s="5" t="s">
        <v>253</v>
      </c>
      <c r="EF429" s="5">
        <f t="shared" si="1293"/>
        <v>0</v>
      </c>
      <c r="EG429" s="5">
        <f t="shared" si="1294"/>
        <v>2</v>
      </c>
      <c r="EH429" s="5" t="str">
        <f t="shared" si="1295"/>
        <v>Nivel de riesgo medio</v>
      </c>
      <c r="EI429" s="5" t="s">
        <v>248</v>
      </c>
      <c r="EJ429" s="5">
        <f t="shared" si="1296"/>
        <v>1</v>
      </c>
      <c r="EK429" s="5" t="s">
        <v>254</v>
      </c>
      <c r="EL429" s="5">
        <f t="shared" si="1297"/>
        <v>4</v>
      </c>
      <c r="EM429" s="5" t="s">
        <v>232</v>
      </c>
      <c r="EN429" s="5">
        <f t="shared" si="1298"/>
        <v>3</v>
      </c>
      <c r="EO429" s="5">
        <f t="shared" si="1299"/>
        <v>8</v>
      </c>
      <c r="EP429" s="5" t="str">
        <f t="shared" si="1300"/>
        <v>Nivel de riesgo alto</v>
      </c>
      <c r="EQ429" s="5" t="s">
        <v>253</v>
      </c>
      <c r="ER429" s="5">
        <f t="shared" si="1301"/>
        <v>4</v>
      </c>
      <c r="ES429" s="5" t="s">
        <v>253</v>
      </c>
      <c r="ET429" s="5">
        <f t="shared" si="1302"/>
        <v>4</v>
      </c>
      <c r="EU429" s="5" t="s">
        <v>254</v>
      </c>
      <c r="EV429" s="5">
        <f t="shared" si="1303"/>
        <v>0</v>
      </c>
      <c r="EW429" s="5" t="s">
        <v>248</v>
      </c>
      <c r="EX429" s="5">
        <f t="shared" si="1304"/>
        <v>3</v>
      </c>
      <c r="EY429" s="5">
        <f t="shared" si="1305"/>
        <v>11</v>
      </c>
      <c r="EZ429" s="5" t="str">
        <f t="shared" si="1306"/>
        <v>Nivel de riesgo alto</v>
      </c>
      <c r="FA429" s="5" t="s">
        <v>248</v>
      </c>
      <c r="FB429" s="5">
        <f t="shared" si="1307"/>
        <v>1</v>
      </c>
      <c r="FC429" s="5" t="s">
        <v>253</v>
      </c>
      <c r="FD429" s="5">
        <f t="shared" si="1308"/>
        <v>0</v>
      </c>
      <c r="FE429" s="5" t="s">
        <v>253</v>
      </c>
      <c r="FF429" s="5">
        <f t="shared" si="1309"/>
        <v>0</v>
      </c>
      <c r="FG429" s="5">
        <f t="shared" si="1310"/>
        <v>1</v>
      </c>
      <c r="FH429" s="5" t="str">
        <f t="shared" si="1311"/>
        <v>Nivel de riesgo bajo</v>
      </c>
      <c r="FI429" s="5" t="s">
        <v>254</v>
      </c>
      <c r="FJ429" s="5">
        <f t="shared" si="1312"/>
        <v>4</v>
      </c>
      <c r="FK429" s="5" t="s">
        <v>254</v>
      </c>
      <c r="FL429" s="5">
        <f t="shared" si="1313"/>
        <v>4</v>
      </c>
      <c r="FM429" s="5" t="s">
        <v>254</v>
      </c>
      <c r="FN429" s="5">
        <f t="shared" si="1314"/>
        <v>4</v>
      </c>
      <c r="FO429" s="5">
        <f t="shared" si="1315"/>
        <v>12</v>
      </c>
      <c r="FP429" s="5" t="str">
        <f t="shared" si="1316"/>
        <v>Nivel de riesgo alto</v>
      </c>
      <c r="FQ429" s="5" t="s">
        <v>206</v>
      </c>
      <c r="FR429" s="5">
        <f t="shared" si="1317"/>
        <v>0</v>
      </c>
      <c r="FS429" s="5" t="s">
        <v>206</v>
      </c>
      <c r="FT429" s="5">
        <f t="shared" si="1318"/>
        <v>0</v>
      </c>
      <c r="FU429" s="5" t="s">
        <v>206</v>
      </c>
      <c r="FV429" s="5">
        <f t="shared" si="1319"/>
        <v>0</v>
      </c>
      <c r="FW429" s="5" t="s">
        <v>206</v>
      </c>
      <c r="FX429" s="5">
        <f t="shared" si="1320"/>
        <v>0</v>
      </c>
      <c r="FY429" s="5" t="s">
        <v>206</v>
      </c>
      <c r="FZ429" s="5">
        <f t="shared" si="1321"/>
        <v>0</v>
      </c>
      <c r="GA429" s="5" t="s">
        <v>206</v>
      </c>
      <c r="GB429" s="5">
        <f t="shared" si="1322"/>
        <v>0</v>
      </c>
      <c r="GC429" s="5" t="s">
        <v>206</v>
      </c>
      <c r="GD429" s="5">
        <f t="shared" si="1323"/>
        <v>0</v>
      </c>
      <c r="GE429" s="5">
        <f t="shared" si="1324"/>
        <v>0</v>
      </c>
      <c r="GF429" s="5" t="str">
        <f t="shared" si="1325"/>
        <v>Nivel de riesgo bajo</v>
      </c>
      <c r="GG429" s="5" t="s">
        <v>273</v>
      </c>
      <c r="GH429" s="5" t="s">
        <v>273</v>
      </c>
      <c r="GI429" s="5" t="s">
        <v>266</v>
      </c>
      <c r="GJ429" s="5" t="s">
        <v>298</v>
      </c>
      <c r="GK429" s="5" t="s">
        <v>233</v>
      </c>
      <c r="GL429" s="5" t="s">
        <v>298</v>
      </c>
      <c r="GM429" s="5" t="s">
        <v>255</v>
      </c>
      <c r="GN429" s="5" t="s">
        <v>243</v>
      </c>
      <c r="GO429" s="5" t="s">
        <v>234</v>
      </c>
      <c r="GP429" s="5" t="s">
        <v>234</v>
      </c>
      <c r="GQ429" s="5" t="s">
        <v>234</v>
      </c>
      <c r="GR429" s="5" t="s">
        <v>234</v>
      </c>
      <c r="GS429" s="5" t="s">
        <v>234</v>
      </c>
      <c r="GT429" s="5" t="s">
        <v>234</v>
      </c>
      <c r="GU429" s="5" t="s">
        <v>798</v>
      </c>
      <c r="GV429" s="5" t="str">
        <f>TEXT("6290079766633388938","0")</f>
        <v>6290079766633380000</v>
      </c>
    </row>
    <row r="430" spans="1:204" ht="15.75" customHeight="1" x14ac:dyDescent="0.15">
      <c r="A430" s="1">
        <f t="shared" si="1275"/>
        <v>430</v>
      </c>
      <c r="B430" s="4">
        <v>45860.486504629633</v>
      </c>
      <c r="C430" s="5" t="s">
        <v>204</v>
      </c>
      <c r="D430" s="5" t="s">
        <v>206</v>
      </c>
      <c r="F430" s="5" t="s">
        <v>206</v>
      </c>
      <c r="G430" s="5" t="s">
        <v>204</v>
      </c>
      <c r="H430" s="5" t="s">
        <v>206</v>
      </c>
      <c r="J430" s="5" t="s">
        <v>209</v>
      </c>
      <c r="P430" s="5" t="s">
        <v>237</v>
      </c>
      <c r="S430" s="5" t="s">
        <v>208</v>
      </c>
      <c r="X430" s="5" t="s">
        <v>208</v>
      </c>
      <c r="AC430" s="5" t="s">
        <v>208</v>
      </c>
      <c r="AH430" s="5" t="s">
        <v>210</v>
      </c>
      <c r="AI430" s="5">
        <v>2015</v>
      </c>
      <c r="AJ430" s="5" t="s">
        <v>238</v>
      </c>
      <c r="AK430" s="5" t="str">
        <f t="shared" si="1276"/>
        <v>Trabajadora por cuenta propia</v>
      </c>
      <c r="AM430" s="5" t="s">
        <v>309</v>
      </c>
      <c r="AP430" s="5" t="s">
        <v>284</v>
      </c>
      <c r="AR430" s="5" t="s">
        <v>301</v>
      </c>
      <c r="AS430" s="5" t="s">
        <v>241</v>
      </c>
      <c r="AT430" s="5" t="s">
        <v>241</v>
      </c>
      <c r="AU430" s="5" t="s">
        <v>241</v>
      </c>
      <c r="AV430" s="5" t="s">
        <v>285</v>
      </c>
      <c r="AW430" s="5" t="s">
        <v>204</v>
      </c>
      <c r="AX430" s="5" t="s">
        <v>204</v>
      </c>
      <c r="AY430" s="5" t="s">
        <v>214</v>
      </c>
      <c r="AZ430" s="5" t="s">
        <v>204</v>
      </c>
      <c r="BA430" s="5" t="s">
        <v>295</v>
      </c>
      <c r="BB430" s="5" t="s">
        <v>206</v>
      </c>
      <c r="BC430" s="5" t="s">
        <v>206</v>
      </c>
      <c r="BD430" s="5" t="s">
        <v>290</v>
      </c>
      <c r="BE430" s="5" t="s">
        <v>204</v>
      </c>
      <c r="BF430" s="5" t="s">
        <v>204</v>
      </c>
      <c r="BG430" s="5" t="s">
        <v>207</v>
      </c>
      <c r="BH430" s="5" t="s">
        <v>215</v>
      </c>
      <c r="BI430" s="5" t="s">
        <v>207</v>
      </c>
      <c r="BJ430" s="5" t="s">
        <v>264</v>
      </c>
      <c r="BK430" s="5" t="s">
        <v>246</v>
      </c>
      <c r="BL430" s="5" t="s">
        <v>244</v>
      </c>
      <c r="BM430" s="5" t="s">
        <v>243</v>
      </c>
      <c r="BN430" s="5" t="s">
        <v>244</v>
      </c>
      <c r="BO430" s="5" t="s">
        <v>243</v>
      </c>
      <c r="BP430" s="5" t="s">
        <v>244</v>
      </c>
      <c r="BQ430" s="5" t="s">
        <v>244</v>
      </c>
      <c r="BR430" s="5" t="s">
        <v>244</v>
      </c>
      <c r="BS430" s="5" t="s">
        <v>247</v>
      </c>
      <c r="BT430" s="5" t="s">
        <v>248</v>
      </c>
      <c r="BU430" s="5" t="s">
        <v>232</v>
      </c>
      <c r="BV430" s="5" t="s">
        <v>247</v>
      </c>
      <c r="BW430" s="5" t="s">
        <v>247</v>
      </c>
      <c r="BX430" s="5" t="s">
        <v>247</v>
      </c>
      <c r="BY430" s="5" t="s">
        <v>247</v>
      </c>
      <c r="BZ430" s="5" t="s">
        <v>244</v>
      </c>
      <c r="CA430" s="5" t="s">
        <v>243</v>
      </c>
      <c r="CB430" s="5" t="s">
        <v>244</v>
      </c>
      <c r="CC430" s="5" t="s">
        <v>243</v>
      </c>
      <c r="CD430" s="5" t="s">
        <v>206</v>
      </c>
      <c r="CH430" s="5" t="s">
        <v>206</v>
      </c>
      <c r="CI430" s="5" t="s">
        <v>206</v>
      </c>
      <c r="CJ430" s="5">
        <v>0</v>
      </c>
      <c r="CK430" s="5" t="s">
        <v>223</v>
      </c>
      <c r="CU430" s="5" t="s">
        <v>206</v>
      </c>
      <c r="DA430" s="5" t="s">
        <v>231</v>
      </c>
      <c r="DB430" s="5">
        <f t="shared" si="1277"/>
        <v>2</v>
      </c>
      <c r="DC430" s="5" t="s">
        <v>230</v>
      </c>
      <c r="DD430" s="5">
        <f t="shared" si="1278"/>
        <v>2</v>
      </c>
      <c r="DE430" s="5" t="s">
        <v>250</v>
      </c>
      <c r="DF430" s="5">
        <f t="shared" si="1279"/>
        <v>3</v>
      </c>
      <c r="DG430" s="5" t="s">
        <v>230</v>
      </c>
      <c r="DH430" s="5">
        <f t="shared" si="1280"/>
        <v>2</v>
      </c>
      <c r="DI430" s="5" t="s">
        <v>230</v>
      </c>
      <c r="DJ430" s="5">
        <f t="shared" si="1281"/>
        <v>2</v>
      </c>
      <c r="DK430" s="5" t="s">
        <v>230</v>
      </c>
      <c r="DL430" s="5">
        <f t="shared" si="1282"/>
        <v>2</v>
      </c>
      <c r="DM430" s="5" t="s">
        <v>251</v>
      </c>
      <c r="DN430" s="5">
        <f t="shared" si="1283"/>
        <v>1</v>
      </c>
      <c r="DO430" s="5" t="s">
        <v>281</v>
      </c>
      <c r="DP430" s="5">
        <f t="shared" si="1284"/>
        <v>1</v>
      </c>
      <c r="DQ430" s="5" t="s">
        <v>281</v>
      </c>
      <c r="DR430" s="5">
        <f t="shared" si="1285"/>
        <v>1</v>
      </c>
      <c r="DS430" s="5" t="s">
        <v>281</v>
      </c>
      <c r="DT430" s="5">
        <f t="shared" si="1286"/>
        <v>1</v>
      </c>
      <c r="DU430" s="5" t="s">
        <v>281</v>
      </c>
      <c r="DV430" s="5">
        <f t="shared" si="1287"/>
        <v>1</v>
      </c>
      <c r="DW430" s="5" t="s">
        <v>281</v>
      </c>
      <c r="DX430" s="5">
        <f t="shared" si="1288"/>
        <v>1</v>
      </c>
      <c r="DY430" s="5">
        <f t="shared" si="1289"/>
        <v>19</v>
      </c>
      <c r="DZ430" s="5" t="str">
        <f t="shared" si="1290"/>
        <v>Nivel de riesgo medio</v>
      </c>
      <c r="EA430" s="5" t="s">
        <v>247</v>
      </c>
      <c r="EB430" s="5">
        <f t="shared" si="1291"/>
        <v>2</v>
      </c>
      <c r="EC430" s="5" t="s">
        <v>253</v>
      </c>
      <c r="ED430" s="5">
        <f t="shared" si="1292"/>
        <v>0</v>
      </c>
      <c r="EE430" s="5" t="s">
        <v>248</v>
      </c>
      <c r="EF430" s="5">
        <f t="shared" si="1293"/>
        <v>1</v>
      </c>
      <c r="EG430" s="5">
        <f t="shared" si="1294"/>
        <v>3</v>
      </c>
      <c r="EH430" s="5" t="str">
        <f t="shared" si="1295"/>
        <v>Nivel de riesgo medio</v>
      </c>
      <c r="EI430" s="5" t="s">
        <v>248</v>
      </c>
      <c r="EJ430" s="5">
        <f t="shared" si="1296"/>
        <v>1</v>
      </c>
      <c r="EK430" s="5" t="s">
        <v>253</v>
      </c>
      <c r="EL430" s="5">
        <f t="shared" si="1297"/>
        <v>0</v>
      </c>
      <c r="EM430" s="5" t="s">
        <v>248</v>
      </c>
      <c r="EN430" s="5">
        <f t="shared" si="1298"/>
        <v>1</v>
      </c>
      <c r="EO430" s="5">
        <f t="shared" si="1299"/>
        <v>2</v>
      </c>
      <c r="EP430" s="5" t="str">
        <f t="shared" si="1300"/>
        <v>Nivel de riesgo medio</v>
      </c>
      <c r="EQ430" s="5" t="s">
        <v>247</v>
      </c>
      <c r="ER430" s="5">
        <f t="shared" si="1301"/>
        <v>2</v>
      </c>
      <c r="ES430" s="5" t="s">
        <v>247</v>
      </c>
      <c r="ET430" s="5">
        <f t="shared" si="1302"/>
        <v>2</v>
      </c>
      <c r="EU430" s="5" t="s">
        <v>254</v>
      </c>
      <c r="EV430" s="5">
        <f t="shared" si="1303"/>
        <v>0</v>
      </c>
      <c r="EW430" s="5" t="s">
        <v>254</v>
      </c>
      <c r="EX430" s="5">
        <f t="shared" si="1304"/>
        <v>0</v>
      </c>
      <c r="EY430" s="5">
        <f t="shared" si="1305"/>
        <v>4</v>
      </c>
      <c r="EZ430" s="5" t="str">
        <f t="shared" si="1306"/>
        <v>Nivel de riesgo medio</v>
      </c>
      <c r="FA430" s="5" t="s">
        <v>248</v>
      </c>
      <c r="FB430" s="5">
        <f t="shared" si="1307"/>
        <v>1</v>
      </c>
      <c r="FC430" s="5" t="s">
        <v>248</v>
      </c>
      <c r="FD430" s="5">
        <f t="shared" si="1308"/>
        <v>1</v>
      </c>
      <c r="FE430" s="5" t="s">
        <v>247</v>
      </c>
      <c r="FF430" s="5">
        <f t="shared" si="1309"/>
        <v>2</v>
      </c>
      <c r="FG430" s="5">
        <f t="shared" si="1310"/>
        <v>4</v>
      </c>
      <c r="FH430" s="5" t="str">
        <f t="shared" si="1311"/>
        <v>Nivel de riesgo medio</v>
      </c>
      <c r="FI430" s="5" t="s">
        <v>248</v>
      </c>
      <c r="FJ430" s="5">
        <f t="shared" si="1312"/>
        <v>1</v>
      </c>
      <c r="FK430" s="5" t="s">
        <v>253</v>
      </c>
      <c r="FL430" s="5">
        <f t="shared" si="1313"/>
        <v>0</v>
      </c>
      <c r="FM430" s="5" t="s">
        <v>253</v>
      </c>
      <c r="FN430" s="5">
        <f t="shared" si="1314"/>
        <v>0</v>
      </c>
      <c r="FO430" s="5">
        <f t="shared" si="1315"/>
        <v>1</v>
      </c>
      <c r="FP430" s="5" t="str">
        <f t="shared" si="1316"/>
        <v>Nivel de riesgo bajo</v>
      </c>
      <c r="FQ430" s="5" t="s">
        <v>206</v>
      </c>
      <c r="FR430" s="5">
        <f t="shared" si="1317"/>
        <v>0</v>
      </c>
      <c r="FS430" s="5" t="s">
        <v>206</v>
      </c>
      <c r="FT430" s="5">
        <f t="shared" si="1318"/>
        <v>0</v>
      </c>
      <c r="FU430" s="5" t="s">
        <v>206</v>
      </c>
      <c r="FV430" s="5">
        <f t="shared" si="1319"/>
        <v>0</v>
      </c>
      <c r="FW430" s="5" t="s">
        <v>206</v>
      </c>
      <c r="FX430" s="5">
        <f t="shared" si="1320"/>
        <v>0</v>
      </c>
      <c r="FY430" s="5" t="s">
        <v>206</v>
      </c>
      <c r="FZ430" s="5">
        <f t="shared" si="1321"/>
        <v>0</v>
      </c>
      <c r="GA430" s="5" t="s">
        <v>206</v>
      </c>
      <c r="GB430" s="5">
        <f t="shared" si="1322"/>
        <v>0</v>
      </c>
      <c r="GC430" s="5" t="s">
        <v>206</v>
      </c>
      <c r="GD430" s="5">
        <f t="shared" si="1323"/>
        <v>0</v>
      </c>
      <c r="GE430" s="5">
        <f t="shared" si="1324"/>
        <v>0</v>
      </c>
      <c r="GF430" s="5" t="str">
        <f t="shared" si="1325"/>
        <v>Nivel de riesgo bajo</v>
      </c>
      <c r="GG430" s="5" t="s">
        <v>255</v>
      </c>
      <c r="GH430" s="5" t="s">
        <v>255</v>
      </c>
      <c r="GI430" s="5" t="s">
        <v>255</v>
      </c>
      <c r="GJ430" s="5" t="s">
        <v>255</v>
      </c>
      <c r="GK430" s="5" t="s">
        <v>233</v>
      </c>
      <c r="GL430" s="5" t="s">
        <v>273</v>
      </c>
      <c r="GM430" s="5" t="s">
        <v>273</v>
      </c>
      <c r="GN430" s="5" t="s">
        <v>243</v>
      </c>
      <c r="GO430" s="5" t="s">
        <v>243</v>
      </c>
      <c r="GP430" s="5" t="s">
        <v>243</v>
      </c>
      <c r="GQ430" s="5" t="s">
        <v>243</v>
      </c>
      <c r="GR430" s="5" t="s">
        <v>243</v>
      </c>
      <c r="GS430" s="5" t="s">
        <v>243</v>
      </c>
      <c r="GT430" s="5" t="s">
        <v>243</v>
      </c>
      <c r="GU430" s="5" t="s">
        <v>360</v>
      </c>
      <c r="GV430" s="5" t="str">
        <f>TEXT("6290080343846692614","0")</f>
        <v>6290080343846690000</v>
      </c>
    </row>
    <row r="431" spans="1:204" ht="15.75" customHeight="1" x14ac:dyDescent="0.15">
      <c r="A431" s="1">
        <f t="shared" si="1275"/>
        <v>431</v>
      </c>
      <c r="B431" s="4">
        <v>45860.486909722225</v>
      </c>
      <c r="C431" s="5" t="s">
        <v>204</v>
      </c>
      <c r="D431" s="5" t="s">
        <v>206</v>
      </c>
      <c r="F431" s="5" t="s">
        <v>206</v>
      </c>
      <c r="G431" s="5" t="s">
        <v>206</v>
      </c>
      <c r="H431" s="5" t="s">
        <v>206</v>
      </c>
      <c r="J431" s="5" t="s">
        <v>209</v>
      </c>
      <c r="Q431" s="5" t="s">
        <v>236</v>
      </c>
      <c r="S431" s="5" t="s">
        <v>208</v>
      </c>
      <c r="AB431" s="5" t="s">
        <v>207</v>
      </c>
      <c r="AG431" s="5" t="s">
        <v>207</v>
      </c>
      <c r="AH431" s="5" t="s">
        <v>275</v>
      </c>
      <c r="AI431" s="5">
        <v>2011</v>
      </c>
      <c r="AJ431" s="5" t="s">
        <v>238</v>
      </c>
      <c r="AK431" s="5" t="str">
        <f t="shared" si="1276"/>
        <v>Trabajadora por cuenta propia</v>
      </c>
      <c r="AL431" s="5" t="s">
        <v>239</v>
      </c>
      <c r="AP431" s="5" t="s">
        <v>240</v>
      </c>
      <c r="AR431" s="5" t="s">
        <v>241</v>
      </c>
      <c r="AS431" s="5" t="s">
        <v>241</v>
      </c>
      <c r="AT431" s="5" t="s">
        <v>241</v>
      </c>
      <c r="AU431" s="5" t="s">
        <v>241</v>
      </c>
      <c r="AV431" s="5" t="s">
        <v>213</v>
      </c>
      <c r="AW431" s="5" t="s">
        <v>206</v>
      </c>
      <c r="BF431" s="5" t="s">
        <v>204</v>
      </c>
      <c r="BG431" s="5" t="s">
        <v>271</v>
      </c>
      <c r="BH431" s="5" t="s">
        <v>207</v>
      </c>
      <c r="BI431" s="5" t="s">
        <v>271</v>
      </c>
      <c r="BJ431" s="5" t="s">
        <v>207</v>
      </c>
      <c r="BK431" s="5" t="s">
        <v>245</v>
      </c>
      <c r="BL431" s="5" t="s">
        <v>216</v>
      </c>
      <c r="BM431" s="5" t="s">
        <v>243</v>
      </c>
      <c r="BN431" s="5" t="s">
        <v>244</v>
      </c>
      <c r="BO431" s="5" t="s">
        <v>243</v>
      </c>
      <c r="BP431" s="5" t="s">
        <v>244</v>
      </c>
      <c r="BQ431" s="5" t="s">
        <v>244</v>
      </c>
      <c r="BR431" s="5" t="s">
        <v>246</v>
      </c>
      <c r="BS431" s="5" t="s">
        <v>247</v>
      </c>
      <c r="BT431" s="5" t="s">
        <v>217</v>
      </c>
      <c r="BU431" s="5" t="s">
        <v>217</v>
      </c>
      <c r="BV431" s="5" t="s">
        <v>217</v>
      </c>
      <c r="BW431" s="5" t="s">
        <v>217</v>
      </c>
      <c r="BX431" s="5" t="s">
        <v>217</v>
      </c>
      <c r="BY431" s="5" t="s">
        <v>217</v>
      </c>
      <c r="CD431" s="5" t="s">
        <v>204</v>
      </c>
      <c r="CE431" s="5" t="s">
        <v>218</v>
      </c>
      <c r="CF431" s="5" t="s">
        <v>219</v>
      </c>
      <c r="CG431" s="5" t="s">
        <v>206</v>
      </c>
      <c r="CH431" s="5" t="s">
        <v>331</v>
      </c>
      <c r="CI431" s="5" t="s">
        <v>291</v>
      </c>
      <c r="CJ431" s="5">
        <v>2</v>
      </c>
      <c r="CK431" s="5" t="s">
        <v>223</v>
      </c>
      <c r="CU431" s="5" t="s">
        <v>206</v>
      </c>
      <c r="DA431" s="5" t="s">
        <v>231</v>
      </c>
      <c r="DB431" s="5">
        <f t="shared" si="1277"/>
        <v>2</v>
      </c>
      <c r="DC431" s="5" t="s">
        <v>250</v>
      </c>
      <c r="DD431" s="5">
        <f t="shared" si="1278"/>
        <v>3</v>
      </c>
      <c r="DE431" s="5" t="s">
        <v>250</v>
      </c>
      <c r="DF431" s="5">
        <f t="shared" si="1279"/>
        <v>3</v>
      </c>
      <c r="DG431" s="5" t="s">
        <v>251</v>
      </c>
      <c r="DH431" s="5">
        <f t="shared" si="1280"/>
        <v>1</v>
      </c>
      <c r="DI431" s="5" t="s">
        <v>251</v>
      </c>
      <c r="DJ431" s="5">
        <f t="shared" si="1281"/>
        <v>1</v>
      </c>
      <c r="DK431" s="5" t="s">
        <v>251</v>
      </c>
      <c r="DL431" s="5">
        <f t="shared" si="1282"/>
        <v>1</v>
      </c>
      <c r="DM431" s="5" t="s">
        <v>251</v>
      </c>
      <c r="DN431" s="5">
        <f t="shared" si="1283"/>
        <v>1</v>
      </c>
      <c r="DO431" s="5" t="s">
        <v>229</v>
      </c>
      <c r="DP431" s="5">
        <f t="shared" si="1284"/>
        <v>4</v>
      </c>
      <c r="DQ431" s="5" t="s">
        <v>231</v>
      </c>
      <c r="DR431" s="5">
        <f t="shared" si="1285"/>
        <v>2</v>
      </c>
      <c r="DS431" s="5" t="s">
        <v>231</v>
      </c>
      <c r="DT431" s="5">
        <f t="shared" si="1286"/>
        <v>2</v>
      </c>
      <c r="DU431" s="5" t="s">
        <v>231</v>
      </c>
      <c r="DV431" s="5">
        <f t="shared" si="1287"/>
        <v>2</v>
      </c>
      <c r="DW431" s="5" t="s">
        <v>231</v>
      </c>
      <c r="DX431" s="5">
        <f t="shared" si="1288"/>
        <v>2</v>
      </c>
      <c r="DY431" s="5">
        <f t="shared" si="1289"/>
        <v>24</v>
      </c>
      <c r="DZ431" s="5" t="str">
        <f t="shared" si="1290"/>
        <v>Nivel de riesgo alto</v>
      </c>
      <c r="EA431" s="5" t="s">
        <v>248</v>
      </c>
      <c r="EB431" s="5">
        <f t="shared" si="1291"/>
        <v>1</v>
      </c>
      <c r="EC431" s="5" t="s">
        <v>248</v>
      </c>
      <c r="ED431" s="5">
        <f t="shared" si="1292"/>
        <v>1</v>
      </c>
      <c r="EE431" s="5" t="s">
        <v>248</v>
      </c>
      <c r="EF431" s="5">
        <f t="shared" si="1293"/>
        <v>1</v>
      </c>
      <c r="EG431" s="5">
        <f t="shared" si="1294"/>
        <v>3</v>
      </c>
      <c r="EH431" s="5" t="str">
        <f t="shared" si="1295"/>
        <v>Nivel de riesgo medio</v>
      </c>
      <c r="EI431" s="5" t="s">
        <v>248</v>
      </c>
      <c r="EJ431" s="5">
        <f t="shared" si="1296"/>
        <v>1</v>
      </c>
      <c r="EK431" s="5" t="s">
        <v>248</v>
      </c>
      <c r="EL431" s="5">
        <f t="shared" si="1297"/>
        <v>1</v>
      </c>
      <c r="EM431" s="5" t="s">
        <v>248</v>
      </c>
      <c r="EN431" s="5">
        <f t="shared" si="1298"/>
        <v>1</v>
      </c>
      <c r="EO431" s="5">
        <f t="shared" si="1299"/>
        <v>3</v>
      </c>
      <c r="EP431" s="5" t="str">
        <f t="shared" si="1300"/>
        <v>Nivel de riesgo medio</v>
      </c>
      <c r="EQ431" s="5" t="s">
        <v>248</v>
      </c>
      <c r="ER431" s="5">
        <f t="shared" si="1301"/>
        <v>3</v>
      </c>
      <c r="ES431" s="5" t="s">
        <v>248</v>
      </c>
      <c r="ET431" s="5">
        <f t="shared" si="1302"/>
        <v>3</v>
      </c>
      <c r="EU431" s="5" t="s">
        <v>248</v>
      </c>
      <c r="EV431" s="5">
        <f t="shared" si="1303"/>
        <v>3</v>
      </c>
      <c r="EW431" s="5" t="s">
        <v>248</v>
      </c>
      <c r="EX431" s="5">
        <f t="shared" si="1304"/>
        <v>3</v>
      </c>
      <c r="EY431" s="5">
        <f t="shared" si="1305"/>
        <v>12</v>
      </c>
      <c r="EZ431" s="5" t="str">
        <f t="shared" si="1306"/>
        <v>Nivel de riesgo alto</v>
      </c>
      <c r="FA431" s="5" t="s">
        <v>248</v>
      </c>
      <c r="FB431" s="5">
        <f t="shared" si="1307"/>
        <v>1</v>
      </c>
      <c r="FC431" s="5" t="s">
        <v>248</v>
      </c>
      <c r="FD431" s="5">
        <f t="shared" si="1308"/>
        <v>1</v>
      </c>
      <c r="FE431" s="5" t="s">
        <v>248</v>
      </c>
      <c r="FF431" s="5">
        <f t="shared" si="1309"/>
        <v>1</v>
      </c>
      <c r="FG431" s="5">
        <f t="shared" si="1310"/>
        <v>3</v>
      </c>
      <c r="FH431" s="5" t="str">
        <f t="shared" si="1311"/>
        <v>Nivel de riesgo medio</v>
      </c>
      <c r="FI431" s="5" t="s">
        <v>248</v>
      </c>
      <c r="FJ431" s="5">
        <f t="shared" si="1312"/>
        <v>1</v>
      </c>
      <c r="FK431" s="5" t="s">
        <v>248</v>
      </c>
      <c r="FL431" s="5">
        <f t="shared" si="1313"/>
        <v>1</v>
      </c>
      <c r="FM431" s="5" t="s">
        <v>248</v>
      </c>
      <c r="FN431" s="5">
        <f t="shared" si="1314"/>
        <v>1</v>
      </c>
      <c r="FO431" s="5">
        <f t="shared" si="1315"/>
        <v>3</v>
      </c>
      <c r="FP431" s="5" t="str">
        <f t="shared" si="1316"/>
        <v>Nivel de riesgo medio</v>
      </c>
      <c r="FQ431" s="5" t="s">
        <v>206</v>
      </c>
      <c r="FR431" s="5">
        <f t="shared" si="1317"/>
        <v>0</v>
      </c>
      <c r="FS431" s="5" t="s">
        <v>206</v>
      </c>
      <c r="FT431" s="5">
        <f t="shared" si="1318"/>
        <v>0</v>
      </c>
      <c r="FU431" s="5" t="s">
        <v>206</v>
      </c>
      <c r="FV431" s="5">
        <f t="shared" si="1319"/>
        <v>0</v>
      </c>
      <c r="FW431" s="5" t="s">
        <v>206</v>
      </c>
      <c r="FX431" s="5">
        <f t="shared" si="1320"/>
        <v>0</v>
      </c>
      <c r="FY431" s="5" t="s">
        <v>206</v>
      </c>
      <c r="FZ431" s="5">
        <f t="shared" si="1321"/>
        <v>0</v>
      </c>
      <c r="GA431" s="5" t="s">
        <v>206</v>
      </c>
      <c r="GB431" s="5">
        <f t="shared" si="1322"/>
        <v>0</v>
      </c>
      <c r="GC431" s="5" t="s">
        <v>206</v>
      </c>
      <c r="GD431" s="5">
        <f t="shared" si="1323"/>
        <v>0</v>
      </c>
      <c r="GE431" s="5">
        <f t="shared" si="1324"/>
        <v>0</v>
      </c>
      <c r="GF431" s="5" t="str">
        <f t="shared" si="1325"/>
        <v>Nivel de riesgo bajo</v>
      </c>
      <c r="GG431" s="5" t="s">
        <v>255</v>
      </c>
      <c r="GH431" s="5" t="s">
        <v>273</v>
      </c>
      <c r="GI431" s="5" t="s">
        <v>273</v>
      </c>
      <c r="GJ431" s="5" t="s">
        <v>298</v>
      </c>
      <c r="GK431" s="5" t="s">
        <v>233</v>
      </c>
      <c r="GL431" s="5" t="s">
        <v>273</v>
      </c>
      <c r="GM431" s="5" t="s">
        <v>255</v>
      </c>
      <c r="GN431" s="5" t="s">
        <v>243</v>
      </c>
      <c r="GO431" s="5" t="s">
        <v>234</v>
      </c>
      <c r="GP431" s="5" t="s">
        <v>243</v>
      </c>
      <c r="GQ431" s="5" t="s">
        <v>244</v>
      </c>
      <c r="GR431" s="5" t="s">
        <v>244</v>
      </c>
      <c r="GS431" s="5" t="s">
        <v>244</v>
      </c>
      <c r="GT431" s="5" t="s">
        <v>243</v>
      </c>
      <c r="GU431" s="5" t="s">
        <v>799</v>
      </c>
      <c r="GV431" s="5" t="str">
        <f>TEXT("6290080691456251555","0")</f>
        <v>6290080691456250000</v>
      </c>
    </row>
    <row r="432" spans="1:204" ht="15.75" hidden="1" customHeight="1" x14ac:dyDescent="0.15">
      <c r="B432" s="4">
        <v>45860.489895833336</v>
      </c>
      <c r="C432" s="5" t="s">
        <v>206</v>
      </c>
      <c r="GV432" s="5" t="str">
        <f>TEXT("6290083275244059924","0")</f>
        <v>6290083275244050000</v>
      </c>
    </row>
    <row r="433" spans="1:204" ht="15.75" customHeight="1" x14ac:dyDescent="0.15">
      <c r="A433" s="1">
        <f t="shared" ref="A433:A443" si="1326">ROW(A433)</f>
        <v>433</v>
      </c>
      <c r="B433" s="4">
        <v>45860.495520833334</v>
      </c>
      <c r="C433" s="5" t="s">
        <v>204</v>
      </c>
      <c r="D433" s="5" t="s">
        <v>206</v>
      </c>
      <c r="F433" s="5" t="s">
        <v>206</v>
      </c>
      <c r="G433" s="5" t="s">
        <v>206</v>
      </c>
      <c r="H433" s="5" t="s">
        <v>206</v>
      </c>
      <c r="L433" s="5" t="s">
        <v>236</v>
      </c>
      <c r="N433" s="5" t="s">
        <v>208</v>
      </c>
      <c r="W433" s="5" t="s">
        <v>207</v>
      </c>
      <c r="Y433" s="5" t="s">
        <v>209</v>
      </c>
      <c r="AG433" s="5" t="s">
        <v>207</v>
      </c>
      <c r="AH433" s="5" t="s">
        <v>268</v>
      </c>
      <c r="AI433" s="5">
        <v>2024</v>
      </c>
      <c r="AJ433" s="5" t="s">
        <v>238</v>
      </c>
      <c r="AK433" s="5" t="str">
        <f t="shared" ref="AK433:AK443" si="1327">IF(OR(AJ433="Empleada del sector privado",AJ433="Empleada del sector público"),"Asalariada",
IF(AJ433="Trabajadora por cuenta propia","Trabajadora por cuenta propia",""))</f>
        <v>Trabajadora por cuenta propia</v>
      </c>
      <c r="AL433" s="5" t="s">
        <v>239</v>
      </c>
      <c r="AP433" s="5" t="s">
        <v>365</v>
      </c>
      <c r="AR433" s="5" t="s">
        <v>241</v>
      </c>
      <c r="AS433" s="5" t="s">
        <v>241</v>
      </c>
      <c r="AT433" s="5" t="s">
        <v>241</v>
      </c>
      <c r="AU433" s="5" t="s">
        <v>241</v>
      </c>
      <c r="AV433" s="5" t="s">
        <v>213</v>
      </c>
      <c r="AW433" s="5" t="s">
        <v>206</v>
      </c>
      <c r="BF433" s="5" t="s">
        <v>206</v>
      </c>
      <c r="CK433" s="5" t="s">
        <v>223</v>
      </c>
      <c r="CU433" s="5" t="s">
        <v>206</v>
      </c>
      <c r="DA433" s="5" t="s">
        <v>272</v>
      </c>
      <c r="DB433" s="5">
        <f t="shared" ref="DB433:DB443" si="1328">IF(DA433="Mejor que lo habitual",1,
IF(DA433="Igual que lo habitual",2,
IF(DA433="Menos que lo habitual",3,
IF(DA433="Mucho menos que lo habitual",4,""))))</f>
        <v>1</v>
      </c>
      <c r="DC433" s="5" t="s">
        <v>230</v>
      </c>
      <c r="DD433" s="5">
        <f t="shared" ref="DD433:DD443" si="1329">IF(DC433="No, en absoluto",1,
IF(DC433="No más que lo habitual",2,
IF(DC433="Bastante más que lo habitual",3,
IF(DC433="Mucho más que lo habitual",4,""))))</f>
        <v>2</v>
      </c>
      <c r="DE433" s="5" t="s">
        <v>230</v>
      </c>
      <c r="DF433" s="5">
        <f t="shared" ref="DF433:DF443" si="1330">IF(DE433="No, en absoluto",1,
IF(DE433="No más que lo habitual",2,
IF(DE433="Bastante más que lo habitual",3,
IF(DE433="Mucho más que lo habitual",4,""))))</f>
        <v>2</v>
      </c>
      <c r="DG433" s="5" t="s">
        <v>230</v>
      </c>
      <c r="DH433" s="5">
        <f t="shared" ref="DH433:DH443" si="1331">IF(DG433="No, en absoluto",1,
IF(DG433="No más que lo habitual",2,
IF(DG433="Bastante más que lo habitual",3,
IF(DG433="Mucho más que lo habitual",4,""))))</f>
        <v>2</v>
      </c>
      <c r="DI433" s="5" t="s">
        <v>230</v>
      </c>
      <c r="DJ433" s="5">
        <f t="shared" ref="DJ433:DJ443" si="1332">IF(DI433="No, en absoluto",1,
IF(DI433="No más que lo habitual",2,
IF(DI433="Bastante más que lo habitual",3,
IF(DI433="Mucho más que lo habitual",4,""))))</f>
        <v>2</v>
      </c>
      <c r="DK433" s="5" t="s">
        <v>230</v>
      </c>
      <c r="DL433" s="5">
        <f t="shared" ref="DL433:DL443" si="1333">IF(DK433="No, en absoluto",1,
IF(DK433="No más que lo habitual",2,
IF(DK433="Bastante más que lo habitual",3,
IF(DK433="Mucho más que lo habitual",4,""))))</f>
        <v>2</v>
      </c>
      <c r="DM433" s="5" t="s">
        <v>230</v>
      </c>
      <c r="DN433" s="5">
        <f t="shared" ref="DN433:DN443" si="1334">IF(DM433="No, en absoluto",1,
IF(DM433="No más que lo habitual",2,
IF(DM433="Bastante más que lo habitual",3,
IF(DM433="Mucho más que lo habitual",4,""))))</f>
        <v>2</v>
      </c>
      <c r="DO433" s="5" t="s">
        <v>252</v>
      </c>
      <c r="DP433" s="5">
        <f t="shared" ref="DP433:DP443" si="1335">IF(DO433="Más que lo habitual",1,
IF(DO433="Igual que lo habitual",2,
IF(DO433="Menos que lo habitual",3,
IF(DO433="Mucho menos que lo habitual",4,""))))</f>
        <v>3</v>
      </c>
      <c r="DQ433" s="5" t="s">
        <v>252</v>
      </c>
      <c r="DR433" s="5">
        <f t="shared" ref="DR433:DR443" si="1336">IF(DQ433="Más que lo habitual",1,
IF(DQ433="Igual que lo habitual",2,
IF(DQ433="Menos que lo habitual",3,
IF(DQ433="Mucho menos que lo habitual",4,""))))</f>
        <v>3</v>
      </c>
      <c r="DS433" s="5" t="s">
        <v>252</v>
      </c>
      <c r="DT433" s="5">
        <f t="shared" ref="DT433:DT443" si="1337">IF(DS433="Más que lo habitual",1,
IF(DS433="Igual que lo habitual",2,
IF(DS433="Menos que lo habitual",3,
IF(DS433="Mucho menos que lo habitual",4,""))))</f>
        <v>3</v>
      </c>
      <c r="DU433" s="5" t="s">
        <v>252</v>
      </c>
      <c r="DV433" s="5">
        <f t="shared" ref="DV433:DV443" si="1338">IF(DU433="Más que lo habitual",1,
IF(DU433="Igual que lo habitual",2,
IF(DU433="Menos que lo habitual",3,
IF(DU433="Mucho menos que lo habitual",4,""))))</f>
        <v>3</v>
      </c>
      <c r="DW433" s="5" t="s">
        <v>252</v>
      </c>
      <c r="DX433" s="5">
        <f t="shared" ref="DX433:DX443" si="1339">IF(DW433="Más que lo habitual",1,
IF(DW433="Igual que lo habitual",2,
IF(DW433="Menos que lo habitual",3,
IF(DW433="Mucho menos que lo habitual",4,""))))</f>
        <v>3</v>
      </c>
      <c r="DY433" s="5">
        <f t="shared" ref="DY433:DY443" si="1340">SUM(DB433,DD433,DF433,DH433,DJ433,DL433,DN433,DP433,DR433,DT433,DV433,DX433)</f>
        <v>28</v>
      </c>
      <c r="DZ433" s="5" t="str">
        <f t="shared" ref="DZ433:DZ443" si="1341">IF(DY433&lt;=18,"Nivel de riesgo bajo",
IF(DY433&lt;=23,"Nivel de riesgo medio",
"Nivel de riesgo alto"))</f>
        <v>Nivel de riesgo alto</v>
      </c>
      <c r="EA433" s="5" t="s">
        <v>247</v>
      </c>
      <c r="EB433" s="5">
        <f t="shared" ref="EB433:EB443" si="1342">IF(EA433="Nunca/ casi nunca",0,
IF(EA433="Rara vez",1,
IF(EA433="A veces",2,
IF(EA433="A menudo",3,
IF(EA433="Siempre",4,"")))))</f>
        <v>2</v>
      </c>
      <c r="EC433" s="5" t="s">
        <v>247</v>
      </c>
      <c r="ED433" s="5">
        <f t="shared" ref="ED433:ED443" si="1343">IF(EC433="Nunca/ casi nunca",0,
IF(EC433="Rara vez",1,
IF(EC433="A veces",2,
IF(EC433="A menudo",3,
IF(EC433="Siempre",4,"")))))</f>
        <v>2</v>
      </c>
      <c r="EE433" s="5" t="s">
        <v>247</v>
      </c>
      <c r="EF433" s="5">
        <f t="shared" ref="EF433:EF443" si="1344">IF(EE433="Nunca/ casi nunca",0,
IF(EE433="Rara vez",1,
IF(EE433="A veces",2,
IF(EE433="A menudo",3,
IF(EE433="Siempre",4,"")))))</f>
        <v>2</v>
      </c>
      <c r="EG433" s="5">
        <f t="shared" ref="EG433:EG443" si="1345">SUM(EB433,ED433,EF433)</f>
        <v>6</v>
      </c>
      <c r="EH433" s="5" t="str">
        <f t="shared" ref="EH433:EH443" si="1346">IF(EG433&lt;=1,"Nivel de riesgo bajo",
IF(EG433&lt;=4,"Nivel de riesgo medio",
"Nivel de riesgo alto"))</f>
        <v>Nivel de riesgo alto</v>
      </c>
      <c r="EI433" s="5" t="s">
        <v>247</v>
      </c>
      <c r="EJ433" s="5">
        <f t="shared" ref="EJ433:EJ443" si="1347">IF(EI433="Nunca/ casi nunca",0,
IF(EI433="Rara vez",1,
IF(EI433="A veces",2,
IF(EI433="A menudo",3,
IF(EI433="Siempre",4,"")))))</f>
        <v>2</v>
      </c>
      <c r="EK433" s="5" t="s">
        <v>247</v>
      </c>
      <c r="EL433" s="5">
        <f t="shared" ref="EL433:EL443" si="1348">IF(EK433="Nunca/ casi nunca",0,
IF(EK433="Rara vez",1,
IF(EK433="A veces",2,
IF(EK433="A menudo",3,
IF(EK433="Siempre",4,"")))))</f>
        <v>2</v>
      </c>
      <c r="EM433" s="5" t="s">
        <v>247</v>
      </c>
      <c r="EN433" s="5">
        <f t="shared" ref="EN433:EN443" si="1349">IF(EM433="Nunca/ casi nunca",0,
IF(EM433="Rara vez",1,
IF(EM433="A veces",2,
IF(EM433="A menudo",3,
IF(EM433="Siempre",4,"")))))</f>
        <v>2</v>
      </c>
      <c r="EO433" s="5">
        <f t="shared" ref="EO433:EO443" si="1350">SUM(EJ433,EL433,EN433)</f>
        <v>6</v>
      </c>
      <c r="EP433" s="5" t="str">
        <f t="shared" ref="EP433:EP443" si="1351">IF(EO433&lt;=1,"Nivel de riesgo bajo",
IF(EO433&lt;=5,"Nivel de riesgo medio",
"Nivel de riesgo alto"))</f>
        <v>Nivel de riesgo alto</v>
      </c>
      <c r="EQ433" s="5" t="s">
        <v>247</v>
      </c>
      <c r="ER433" s="5">
        <f t="shared" ref="ER433:ER443" si="1352">IF(EQ433="Nunca/ casi nunca",4,
IF(EQ433="Rara vez",3,
IF(EQ433="A veces",2,
IF(EQ433="A menudo",1,
IF(EQ433="Siempre",0,"")))))</f>
        <v>2</v>
      </c>
      <c r="ES433" s="5" t="s">
        <v>247</v>
      </c>
      <c r="ET433" s="5">
        <f t="shared" ref="ET433:ET443" si="1353">IF(ES433="Nunca/ casi nunca",4,
IF(ES433="Rara vez",3,
IF(ES433="A veces",2,
IF(ES433="A menudo",1,
IF(ES433="Siempre",0,"")))))</f>
        <v>2</v>
      </c>
      <c r="EU433" s="5" t="s">
        <v>247</v>
      </c>
      <c r="EV433" s="5">
        <f t="shared" ref="EV433:EV443" si="1354">IF(EU433="Nunca/ casi nunca",4,
IF(EU433="Rara vez",3,
IF(EU433="A veces",2,
IF(EU433="A menudo",1,
IF(EU433="Siempre",0,"")))))</f>
        <v>2</v>
      </c>
      <c r="EW433" s="5" t="s">
        <v>247</v>
      </c>
      <c r="EX433" s="5">
        <f t="shared" ref="EX433:EX443" si="1355">IF(EW433="Nunca/ casi nunca",4,
IF(EW433="Rara vez",3,
IF(EW433="A veces",2,
IF(EW433="A menudo",1,
IF(EW433="Siempre",0,"")))))</f>
        <v>2</v>
      </c>
      <c r="EY433" s="5">
        <f t="shared" ref="EY433:EY443" si="1356">SUM(ER433,ET433,EV433,EX433)</f>
        <v>8</v>
      </c>
      <c r="EZ433" s="5" t="str">
        <f t="shared" ref="EZ433:EZ443" si="1357">IF(EY433&lt;=0,"Nivel de riesgo bajo",
IF(EY433&lt;=4,"Nivel de riesgo medio",
"Nivel de riesgo alto"))</f>
        <v>Nivel de riesgo alto</v>
      </c>
      <c r="FA433" s="5" t="s">
        <v>247</v>
      </c>
      <c r="FB433" s="5">
        <f t="shared" ref="FB433:FB443" si="1358">IF(FA433="Nunca/ casi nunca",0,
IF(FA433="Rara vez",1,
IF(FA433="A veces",2,
IF(FA433="A menudo",3,
IF(FA433="Siempre",4,"")))))</f>
        <v>2</v>
      </c>
      <c r="FC433" s="5" t="s">
        <v>247</v>
      </c>
      <c r="FD433" s="5">
        <f t="shared" ref="FD433:FD443" si="1359">IF(FC433="Nunca/ casi nunca",0,
IF(FC433="Rara vez",1,
IF(FC433="A veces",2,
IF(FC433="A menudo",3,
IF(FC433="Siempre",4,"")))))</f>
        <v>2</v>
      </c>
      <c r="FE433" s="5" t="s">
        <v>247</v>
      </c>
      <c r="FF433" s="5">
        <f t="shared" ref="FF433:FF443" si="1360">IF(FE433="Nunca/ casi nunca",0,
IF(FE433="Rara vez",1,
IF(FE433="A veces",2,
IF(FE433="A menudo",3,
IF(FE433="Siempre",4,"")))))</f>
        <v>2</v>
      </c>
      <c r="FG433" s="5">
        <f t="shared" ref="FG433:FG443" si="1361">SUM(FB433,FD433,FF433)</f>
        <v>6</v>
      </c>
      <c r="FH433" s="5" t="str">
        <f t="shared" ref="FH433:FH443" si="1362">IF(FG433&lt;=2,"Nivel de riesgo bajo",
IF(FG433&lt;=5,"Nivel de riesgo medio",
"Nivel de riesgo alto"))</f>
        <v>Nivel de riesgo alto</v>
      </c>
      <c r="FI433" s="5" t="s">
        <v>247</v>
      </c>
      <c r="FJ433" s="5">
        <f t="shared" ref="FJ433:FJ443" si="1363">IF(FI433="Nunca/ casi nunca",0,
IF(FI433="Rara vez",1,
IF(FI433="A veces",2,
IF(FI433="A menudo",3,
IF(FI433="Siempre",4,"")))))</f>
        <v>2</v>
      </c>
      <c r="FK433" s="5" t="s">
        <v>247</v>
      </c>
      <c r="FL433" s="5">
        <f t="shared" ref="FL433:FL443" si="1364">IF(FK433="Nunca/ casi nunca",0,
IF(FK433="Rara vez",1,
IF(FK433="A veces",2,
IF(FK433="A menudo",3,
IF(FK433="Siempre",4,"")))))</f>
        <v>2</v>
      </c>
      <c r="FM433" s="5" t="s">
        <v>247</v>
      </c>
      <c r="FN433" s="5">
        <f t="shared" ref="FN433:FN443" si="1365">IF(FM433="Nunca/ casi nunca",0,
IF(FM433="Rara vez",1,
IF(FM433="A veces",2,
IF(FM433="A menudo",3,
IF(FM433="Siempre",4,"")))))</f>
        <v>2</v>
      </c>
      <c r="FO433" s="5">
        <f t="shared" ref="FO433:FO443" si="1366">SUM(FJ433,FL433,FN433)</f>
        <v>6</v>
      </c>
      <c r="FP433" s="5" t="str">
        <f t="shared" ref="FP433:FP443" si="1367">IF(FO433&lt;=2,"Nivel de riesgo bajo",
IF(FO433&lt;=5,"Nivel de riesgo medio",
"Nivel de riesgo alto"))</f>
        <v>Nivel de riesgo alto</v>
      </c>
      <c r="FQ433" s="5" t="s">
        <v>206</v>
      </c>
      <c r="FR433" s="5">
        <f t="shared" ref="FR433:FR443" si="1368">IF(FQ433="No",0,
IF(FQ433="Sí, unas pocas veces",1,
IF(FQ433="Sí, mensualmente",2,
IF(FQ433="Sí, semanalmente",3,
IF(FQ433="Sí, diariamente",4,"")))))</f>
        <v>0</v>
      </c>
      <c r="FS433" s="5" t="s">
        <v>206</v>
      </c>
      <c r="FT433" s="5">
        <f t="shared" ref="FT433:FT443" si="1369">IF(FS433="No",0,
IF(FS433="Sí, unas pocas veces",1,
IF(FS433="Sí, mensualmente",2,
IF(FS433="Sí, semanalmente",3,
IF(FS433="Sí, diariamente",4,"")))))</f>
        <v>0</v>
      </c>
      <c r="FU433" s="5" t="s">
        <v>206</v>
      </c>
      <c r="FV433" s="5">
        <f t="shared" ref="FV433:FV443" si="1370">IF(FU433="No",0,
IF(FU433="Sí, unas pocas veces",1,
IF(FU433="Sí, mensualmente",2,
IF(FU433="Sí, semanalmente",3,
IF(FU433="Sí, diariamente",4,"")))))</f>
        <v>0</v>
      </c>
      <c r="FW433" s="5" t="s">
        <v>206</v>
      </c>
      <c r="FX433" s="5">
        <f t="shared" ref="FX433:FX443" si="1371">IF(FW433="No",0,
IF(FW433="Sí, unas pocas veces",1,
IF(FW433="Sí, mensualmente",2,
IF(FW433="Sí, semanalmente",3,
IF(FW433="Sí, diariamente",4,"")))))</f>
        <v>0</v>
      </c>
      <c r="FY433" s="5" t="s">
        <v>206</v>
      </c>
      <c r="FZ433" s="5">
        <f t="shared" ref="FZ433:FZ443" si="1372">IF(FY433="No",0,
IF(FY433="Sí, unas pocas veces",1,
IF(FY433="Sí, mensualmente",2,
IF(FY433="Sí, semanalmente",3,
IF(FY433="Sí, diariamente",4,"")))))</f>
        <v>0</v>
      </c>
      <c r="GA433" s="5" t="s">
        <v>206</v>
      </c>
      <c r="GB433" s="5">
        <f t="shared" ref="GB433:GB443" si="1373">IF(GA433="No",0,
IF(GA433="Sí, unas pocas veces",1,
IF(GA433="Sí, mensualmente",2,
IF(GA433="Sí, semanalmente",3,
IF(GA433="Sí, diariamente",4,"")))))</f>
        <v>0</v>
      </c>
      <c r="GC433" s="5" t="s">
        <v>206</v>
      </c>
      <c r="GD433" s="5">
        <f t="shared" ref="GD433:GD443" si="1374">IF(GC433="No",0,
IF(GC433="Sí, unas pocas veces",1,
IF(GC433="Sí, mensualmente",2,
IF(GC433="Sí, semanalmente",3,
IF(GC433="Sí, diariamente",4,"")))))</f>
        <v>0</v>
      </c>
      <c r="GE433" s="5">
        <f t="shared" ref="GE433:GE443" si="1375">SUM(FR433,FT433,FV433,FX433,FZ433,GB433,GD433)</f>
        <v>0</v>
      </c>
      <c r="GF433" s="5" t="str">
        <f t="shared" ref="GF433:GF443" si="1376">IF(GE433&lt;=0,"Nivel de riesgo bajo",
IF(GE433&lt;=14,"Nivel de riesgo medio",
"Nivel de riesgo alto"))</f>
        <v>Nivel de riesgo bajo</v>
      </c>
      <c r="GG433" s="5" t="s">
        <v>255</v>
      </c>
      <c r="GH433" s="5" t="s">
        <v>255</v>
      </c>
      <c r="GI433" s="5" t="s">
        <v>255</v>
      </c>
      <c r="GJ433" s="5" t="s">
        <v>255</v>
      </c>
      <c r="GK433" s="5" t="s">
        <v>255</v>
      </c>
      <c r="GL433" s="5" t="s">
        <v>255</v>
      </c>
      <c r="GM433" s="5" t="s">
        <v>255</v>
      </c>
      <c r="GN433" s="5" t="s">
        <v>244</v>
      </c>
      <c r="GO433" s="5" t="s">
        <v>244</v>
      </c>
      <c r="GP433" s="5" t="s">
        <v>244</v>
      </c>
      <c r="GQ433" s="5" t="s">
        <v>244</v>
      </c>
      <c r="GR433" s="5" t="s">
        <v>244</v>
      </c>
      <c r="GS433" s="5" t="s">
        <v>244</v>
      </c>
      <c r="GT433" s="5" t="s">
        <v>244</v>
      </c>
      <c r="GU433" s="5" t="s">
        <v>800</v>
      </c>
      <c r="GV433" s="5" t="str">
        <f>TEXT("6290088133844763795","0")</f>
        <v>6290088133844760000</v>
      </c>
    </row>
    <row r="434" spans="1:204" ht="15.75" customHeight="1" x14ac:dyDescent="0.15">
      <c r="A434" s="1">
        <f t="shared" si="1326"/>
        <v>434</v>
      </c>
      <c r="B434" s="4">
        <v>45860.49759259259</v>
      </c>
      <c r="C434" s="5" t="s">
        <v>204</v>
      </c>
      <c r="D434" s="5" t="s">
        <v>204</v>
      </c>
      <c r="E434" s="5" t="s">
        <v>338</v>
      </c>
      <c r="F434" s="5" t="s">
        <v>206</v>
      </c>
      <c r="G434" s="5" t="s">
        <v>206</v>
      </c>
      <c r="H434" s="5" t="s">
        <v>206</v>
      </c>
      <c r="J434" s="5" t="s">
        <v>209</v>
      </c>
      <c r="O434" s="5" t="s">
        <v>209</v>
      </c>
      <c r="U434" s="5" t="s">
        <v>237</v>
      </c>
      <c r="Y434" s="5" t="s">
        <v>209</v>
      </c>
      <c r="AE434" s="5" t="s">
        <v>237</v>
      </c>
      <c r="AH434" s="5" t="s">
        <v>210</v>
      </c>
      <c r="AI434" s="5">
        <v>2015</v>
      </c>
      <c r="AJ434" s="5" t="s">
        <v>238</v>
      </c>
      <c r="AK434" s="5" t="str">
        <f t="shared" si="1327"/>
        <v>Trabajadora por cuenta propia</v>
      </c>
      <c r="AL434" s="5" t="s">
        <v>239</v>
      </c>
      <c r="AP434" s="5" t="s">
        <v>240</v>
      </c>
      <c r="AR434" s="5" t="s">
        <v>241</v>
      </c>
      <c r="AS434" s="5" t="s">
        <v>241</v>
      </c>
      <c r="AT434" s="5" t="s">
        <v>241</v>
      </c>
      <c r="AU434" s="5" t="s">
        <v>241</v>
      </c>
      <c r="AV434" s="5" t="s">
        <v>269</v>
      </c>
      <c r="AW434" s="5" t="s">
        <v>204</v>
      </c>
      <c r="AX434" s="5" t="s">
        <v>204</v>
      </c>
      <c r="AY434" s="5" t="s">
        <v>270</v>
      </c>
      <c r="AZ434" s="5" t="s">
        <v>204</v>
      </c>
      <c r="BA434" s="5" t="s">
        <v>289</v>
      </c>
      <c r="BB434" s="5" t="s">
        <v>206</v>
      </c>
      <c r="BC434" s="5" t="s">
        <v>206</v>
      </c>
      <c r="BD434" s="5" t="s">
        <v>290</v>
      </c>
      <c r="BE434" s="5" t="s">
        <v>204</v>
      </c>
      <c r="BF434" s="5" t="s">
        <v>204</v>
      </c>
      <c r="BG434" s="5" t="s">
        <v>278</v>
      </c>
      <c r="BH434" s="5" t="s">
        <v>278</v>
      </c>
      <c r="BI434" s="5" t="s">
        <v>278</v>
      </c>
      <c r="BJ434" s="5" t="s">
        <v>278</v>
      </c>
      <c r="BK434" s="5" t="s">
        <v>243</v>
      </c>
      <c r="BL434" s="5" t="s">
        <v>243</v>
      </c>
      <c r="BM434" s="5" t="s">
        <v>243</v>
      </c>
      <c r="BN434" s="5" t="s">
        <v>243</v>
      </c>
      <c r="BO434" s="5" t="s">
        <v>245</v>
      </c>
      <c r="BP434" s="5" t="s">
        <v>243</v>
      </c>
      <c r="BQ434" s="5" t="s">
        <v>243</v>
      </c>
      <c r="BR434" s="5" t="s">
        <v>246</v>
      </c>
      <c r="BS434" s="5" t="s">
        <v>248</v>
      </c>
      <c r="BT434" s="5" t="s">
        <v>254</v>
      </c>
      <c r="BU434" s="5" t="s">
        <v>217</v>
      </c>
      <c r="BV434" s="5" t="s">
        <v>217</v>
      </c>
      <c r="BW434" s="5" t="s">
        <v>232</v>
      </c>
      <c r="BX434" s="5" t="s">
        <v>232</v>
      </c>
      <c r="BY434" s="5" t="s">
        <v>217</v>
      </c>
      <c r="BZ434" s="5" t="s">
        <v>246</v>
      </c>
      <c r="CA434" s="5" t="s">
        <v>243</v>
      </c>
      <c r="CB434" s="5" t="s">
        <v>246</v>
      </c>
      <c r="CC434" s="5" t="s">
        <v>243</v>
      </c>
      <c r="CD434" s="5" t="s">
        <v>206</v>
      </c>
      <c r="CH434" s="5" t="s">
        <v>221</v>
      </c>
      <c r="CI434" s="5" t="s">
        <v>206</v>
      </c>
      <c r="CJ434" s="5">
        <v>0</v>
      </c>
      <c r="CK434" s="5" t="s">
        <v>223</v>
      </c>
      <c r="CU434" s="5" t="s">
        <v>206</v>
      </c>
      <c r="DA434" s="5" t="s">
        <v>231</v>
      </c>
      <c r="DB434" s="5">
        <f t="shared" si="1328"/>
        <v>2</v>
      </c>
      <c r="DC434" s="5" t="s">
        <v>230</v>
      </c>
      <c r="DD434" s="5">
        <f t="shared" si="1329"/>
        <v>2</v>
      </c>
      <c r="DE434" s="5" t="s">
        <v>250</v>
      </c>
      <c r="DF434" s="5">
        <f t="shared" si="1330"/>
        <v>3</v>
      </c>
      <c r="DG434" s="5" t="s">
        <v>230</v>
      </c>
      <c r="DH434" s="5">
        <f t="shared" si="1331"/>
        <v>2</v>
      </c>
      <c r="DI434" s="5" t="s">
        <v>250</v>
      </c>
      <c r="DJ434" s="5">
        <f t="shared" si="1332"/>
        <v>3</v>
      </c>
      <c r="DK434" s="5" t="s">
        <v>250</v>
      </c>
      <c r="DL434" s="5">
        <f t="shared" si="1333"/>
        <v>3</v>
      </c>
      <c r="DM434" s="5" t="s">
        <v>280</v>
      </c>
      <c r="DN434" s="5">
        <f t="shared" si="1334"/>
        <v>4</v>
      </c>
      <c r="DO434" s="5" t="s">
        <v>231</v>
      </c>
      <c r="DP434" s="5">
        <f t="shared" si="1335"/>
        <v>2</v>
      </c>
      <c r="DQ434" s="5" t="s">
        <v>231</v>
      </c>
      <c r="DR434" s="5">
        <f t="shared" si="1336"/>
        <v>2</v>
      </c>
      <c r="DS434" s="5" t="s">
        <v>231</v>
      </c>
      <c r="DT434" s="5">
        <f t="shared" si="1337"/>
        <v>2</v>
      </c>
      <c r="DU434" s="5" t="s">
        <v>231</v>
      </c>
      <c r="DV434" s="5">
        <f t="shared" si="1338"/>
        <v>2</v>
      </c>
      <c r="DW434" s="5" t="s">
        <v>231</v>
      </c>
      <c r="DX434" s="5">
        <f t="shared" si="1339"/>
        <v>2</v>
      </c>
      <c r="DY434" s="5">
        <f t="shared" si="1340"/>
        <v>29</v>
      </c>
      <c r="DZ434" s="5" t="str">
        <f t="shared" si="1341"/>
        <v>Nivel de riesgo alto</v>
      </c>
      <c r="EA434" s="5" t="s">
        <v>247</v>
      </c>
      <c r="EB434" s="5">
        <f t="shared" si="1342"/>
        <v>2</v>
      </c>
      <c r="EC434" s="5" t="s">
        <v>247</v>
      </c>
      <c r="ED434" s="5">
        <f t="shared" si="1343"/>
        <v>2</v>
      </c>
      <c r="EE434" s="5" t="s">
        <v>247</v>
      </c>
      <c r="EF434" s="5">
        <f t="shared" si="1344"/>
        <v>2</v>
      </c>
      <c r="EG434" s="5">
        <f t="shared" si="1345"/>
        <v>6</v>
      </c>
      <c r="EH434" s="5" t="str">
        <f t="shared" si="1346"/>
        <v>Nivel de riesgo alto</v>
      </c>
      <c r="EI434" s="5" t="s">
        <v>247</v>
      </c>
      <c r="EJ434" s="5">
        <f t="shared" si="1347"/>
        <v>2</v>
      </c>
      <c r="EK434" s="5" t="s">
        <v>247</v>
      </c>
      <c r="EL434" s="5">
        <f t="shared" si="1348"/>
        <v>2</v>
      </c>
      <c r="EM434" s="5" t="s">
        <v>247</v>
      </c>
      <c r="EN434" s="5">
        <f t="shared" si="1349"/>
        <v>2</v>
      </c>
      <c r="EO434" s="5">
        <f t="shared" si="1350"/>
        <v>6</v>
      </c>
      <c r="EP434" s="5" t="str">
        <f t="shared" si="1351"/>
        <v>Nivel de riesgo alto</v>
      </c>
      <c r="EQ434" s="5" t="s">
        <v>247</v>
      </c>
      <c r="ER434" s="5">
        <f t="shared" si="1352"/>
        <v>2</v>
      </c>
      <c r="ES434" s="5" t="s">
        <v>247</v>
      </c>
      <c r="ET434" s="5">
        <f t="shared" si="1353"/>
        <v>2</v>
      </c>
      <c r="EU434" s="5" t="s">
        <v>247</v>
      </c>
      <c r="EV434" s="5">
        <f t="shared" si="1354"/>
        <v>2</v>
      </c>
      <c r="EW434" s="5" t="s">
        <v>247</v>
      </c>
      <c r="EX434" s="5">
        <f t="shared" si="1355"/>
        <v>2</v>
      </c>
      <c r="EY434" s="5">
        <f t="shared" si="1356"/>
        <v>8</v>
      </c>
      <c r="EZ434" s="5" t="str">
        <f t="shared" si="1357"/>
        <v>Nivel de riesgo alto</v>
      </c>
      <c r="FA434" s="5" t="s">
        <v>247</v>
      </c>
      <c r="FB434" s="5">
        <f t="shared" si="1358"/>
        <v>2</v>
      </c>
      <c r="FC434" s="5" t="s">
        <v>247</v>
      </c>
      <c r="FD434" s="5">
        <f t="shared" si="1359"/>
        <v>2</v>
      </c>
      <c r="FE434" s="5" t="s">
        <v>247</v>
      </c>
      <c r="FF434" s="5">
        <f t="shared" si="1360"/>
        <v>2</v>
      </c>
      <c r="FG434" s="5">
        <f t="shared" si="1361"/>
        <v>6</v>
      </c>
      <c r="FH434" s="5" t="str">
        <f t="shared" si="1362"/>
        <v>Nivel de riesgo alto</v>
      </c>
      <c r="FI434" s="5" t="s">
        <v>247</v>
      </c>
      <c r="FJ434" s="5">
        <f t="shared" si="1363"/>
        <v>2</v>
      </c>
      <c r="FK434" s="5" t="s">
        <v>247</v>
      </c>
      <c r="FL434" s="5">
        <f t="shared" si="1364"/>
        <v>2</v>
      </c>
      <c r="FM434" s="5" t="s">
        <v>247</v>
      </c>
      <c r="FN434" s="5">
        <f t="shared" si="1365"/>
        <v>2</v>
      </c>
      <c r="FO434" s="5">
        <f t="shared" si="1366"/>
        <v>6</v>
      </c>
      <c r="FP434" s="5" t="str">
        <f t="shared" si="1367"/>
        <v>Nivel de riesgo alto</v>
      </c>
      <c r="FQ434" s="5" t="s">
        <v>265</v>
      </c>
      <c r="FR434" s="5">
        <f t="shared" si="1368"/>
        <v>1</v>
      </c>
      <c r="FS434" s="5" t="s">
        <v>265</v>
      </c>
      <c r="FT434" s="5">
        <f t="shared" si="1369"/>
        <v>1</v>
      </c>
      <c r="FU434" s="5" t="s">
        <v>265</v>
      </c>
      <c r="FV434" s="5">
        <f t="shared" si="1370"/>
        <v>1</v>
      </c>
      <c r="FW434" s="5" t="s">
        <v>206</v>
      </c>
      <c r="FX434" s="5">
        <f t="shared" si="1371"/>
        <v>0</v>
      </c>
      <c r="FY434" s="5" t="s">
        <v>206</v>
      </c>
      <c r="FZ434" s="5">
        <f t="shared" si="1372"/>
        <v>0</v>
      </c>
      <c r="GA434" s="5" t="s">
        <v>206</v>
      </c>
      <c r="GB434" s="5">
        <f t="shared" si="1373"/>
        <v>0</v>
      </c>
      <c r="GC434" s="5" t="s">
        <v>206</v>
      </c>
      <c r="GD434" s="5">
        <f t="shared" si="1374"/>
        <v>0</v>
      </c>
      <c r="GE434" s="5">
        <f t="shared" si="1375"/>
        <v>3</v>
      </c>
      <c r="GF434" s="5" t="str">
        <f t="shared" si="1376"/>
        <v>Nivel de riesgo medio</v>
      </c>
      <c r="GG434" s="5" t="s">
        <v>273</v>
      </c>
      <c r="GH434" s="5" t="s">
        <v>273</v>
      </c>
      <c r="GI434" s="5" t="s">
        <v>273</v>
      </c>
      <c r="GJ434" s="5" t="s">
        <v>298</v>
      </c>
      <c r="GK434" s="5" t="s">
        <v>233</v>
      </c>
      <c r="GL434" s="5" t="s">
        <v>233</v>
      </c>
      <c r="GM434" s="5" t="s">
        <v>273</v>
      </c>
      <c r="GN434" s="5" t="s">
        <v>257</v>
      </c>
      <c r="GO434" s="5" t="s">
        <v>257</v>
      </c>
      <c r="GP434" s="5" t="s">
        <v>257</v>
      </c>
      <c r="GQ434" s="5" t="s">
        <v>257</v>
      </c>
      <c r="GR434" s="5" t="s">
        <v>257</v>
      </c>
      <c r="GS434" s="5" t="s">
        <v>257</v>
      </c>
      <c r="GT434" s="5" t="s">
        <v>257</v>
      </c>
      <c r="GU434" s="5" t="s">
        <v>801</v>
      </c>
      <c r="GV434" s="5" t="str">
        <f>TEXT("6290089922437469170","0")</f>
        <v>6290089922437460000</v>
      </c>
    </row>
    <row r="435" spans="1:204" ht="15.75" customHeight="1" x14ac:dyDescent="0.15">
      <c r="A435" s="1">
        <f t="shared" si="1326"/>
        <v>435</v>
      </c>
      <c r="B435" s="4">
        <v>45860.49800925926</v>
      </c>
      <c r="C435" s="5" t="s">
        <v>204</v>
      </c>
      <c r="D435" s="5" t="s">
        <v>206</v>
      </c>
      <c r="F435" s="5" t="s">
        <v>206</v>
      </c>
      <c r="G435" s="5" t="s">
        <v>206</v>
      </c>
      <c r="H435" s="5" t="s">
        <v>206</v>
      </c>
      <c r="K435" s="5" t="s">
        <v>237</v>
      </c>
      <c r="P435" s="5" t="s">
        <v>237</v>
      </c>
      <c r="U435" s="5" t="s">
        <v>237</v>
      </c>
      <c r="Z435" s="5" t="s">
        <v>237</v>
      </c>
      <c r="AE435" s="5" t="s">
        <v>237</v>
      </c>
      <c r="AH435" s="5" t="s">
        <v>268</v>
      </c>
      <c r="AI435" s="5">
        <v>2018</v>
      </c>
      <c r="AJ435" s="5" t="s">
        <v>238</v>
      </c>
      <c r="AK435" s="5" t="str">
        <f t="shared" si="1327"/>
        <v>Trabajadora por cuenta propia</v>
      </c>
      <c r="AN435" s="5" t="s">
        <v>288</v>
      </c>
      <c r="AP435" s="5" t="s">
        <v>802</v>
      </c>
      <c r="AR435" s="5" t="s">
        <v>241</v>
      </c>
      <c r="AS435" s="5" t="s">
        <v>241</v>
      </c>
      <c r="AT435" s="5" t="s">
        <v>241</v>
      </c>
      <c r="AU435" s="5" t="s">
        <v>241</v>
      </c>
      <c r="AV435" s="5" t="s">
        <v>269</v>
      </c>
      <c r="AW435" s="5" t="s">
        <v>204</v>
      </c>
      <c r="AX435" s="5" t="s">
        <v>204</v>
      </c>
      <c r="AY435" s="5" t="s">
        <v>214</v>
      </c>
      <c r="AZ435" s="5" t="s">
        <v>204</v>
      </c>
      <c r="BA435" s="5" t="s">
        <v>263</v>
      </c>
      <c r="BF435" s="5" t="s">
        <v>204</v>
      </c>
      <c r="BG435" s="5" t="s">
        <v>278</v>
      </c>
      <c r="BH435" s="5" t="s">
        <v>242</v>
      </c>
      <c r="BI435" s="5" t="s">
        <v>207</v>
      </c>
      <c r="BJ435" s="5" t="s">
        <v>242</v>
      </c>
      <c r="BK435" s="5" t="s">
        <v>243</v>
      </c>
      <c r="BL435" s="5" t="s">
        <v>243</v>
      </c>
      <c r="BM435" s="5" t="s">
        <v>243</v>
      </c>
      <c r="BN435" s="5" t="s">
        <v>246</v>
      </c>
      <c r="BO435" s="5" t="s">
        <v>246</v>
      </c>
      <c r="BP435" s="5" t="s">
        <v>243</v>
      </c>
      <c r="BQ435" s="5" t="s">
        <v>243</v>
      </c>
      <c r="BR435" s="5" t="s">
        <v>246</v>
      </c>
      <c r="BS435" s="5" t="s">
        <v>254</v>
      </c>
      <c r="BT435" s="5" t="s">
        <v>254</v>
      </c>
      <c r="BU435" s="5" t="s">
        <v>232</v>
      </c>
      <c r="BV435" s="5" t="s">
        <v>232</v>
      </c>
      <c r="BW435" s="5" t="s">
        <v>247</v>
      </c>
      <c r="BX435" s="5" t="s">
        <v>247</v>
      </c>
      <c r="BY435" s="5" t="s">
        <v>248</v>
      </c>
      <c r="BZ435" s="5" t="s">
        <v>243</v>
      </c>
      <c r="CA435" s="5" t="s">
        <v>243</v>
      </c>
      <c r="CB435" s="5" t="s">
        <v>243</v>
      </c>
      <c r="CC435" s="5" t="s">
        <v>243</v>
      </c>
      <c r="CD435" s="5" t="s">
        <v>204</v>
      </c>
      <c r="CE435" s="5" t="s">
        <v>218</v>
      </c>
      <c r="CF435" s="5" t="s">
        <v>279</v>
      </c>
      <c r="CG435" s="5" t="s">
        <v>206</v>
      </c>
      <c r="CH435" s="5" t="s">
        <v>206</v>
      </c>
      <c r="CI435" s="5" t="s">
        <v>383</v>
      </c>
      <c r="CJ435" s="5">
        <v>3</v>
      </c>
      <c r="CK435" s="5" t="s">
        <v>223</v>
      </c>
      <c r="CU435" s="5" t="s">
        <v>206</v>
      </c>
      <c r="DA435" s="5" t="s">
        <v>229</v>
      </c>
      <c r="DB435" s="5">
        <f t="shared" si="1328"/>
        <v>4</v>
      </c>
      <c r="DC435" s="5" t="s">
        <v>250</v>
      </c>
      <c r="DD435" s="5">
        <f t="shared" si="1329"/>
        <v>3</v>
      </c>
      <c r="DE435" s="5" t="s">
        <v>250</v>
      </c>
      <c r="DF435" s="5">
        <f t="shared" si="1330"/>
        <v>3</v>
      </c>
      <c r="DG435" s="5" t="s">
        <v>230</v>
      </c>
      <c r="DH435" s="5">
        <f t="shared" si="1331"/>
        <v>2</v>
      </c>
      <c r="DI435" s="5" t="s">
        <v>250</v>
      </c>
      <c r="DJ435" s="5">
        <f t="shared" si="1332"/>
        <v>3</v>
      </c>
      <c r="DK435" s="5" t="s">
        <v>230</v>
      </c>
      <c r="DL435" s="5">
        <f t="shared" si="1333"/>
        <v>2</v>
      </c>
      <c r="DM435" s="5" t="s">
        <v>251</v>
      </c>
      <c r="DN435" s="5">
        <f t="shared" si="1334"/>
        <v>1</v>
      </c>
      <c r="DO435" s="5" t="s">
        <v>252</v>
      </c>
      <c r="DP435" s="5">
        <f t="shared" si="1335"/>
        <v>3</v>
      </c>
      <c r="DQ435" s="5" t="s">
        <v>231</v>
      </c>
      <c r="DR435" s="5">
        <f t="shared" si="1336"/>
        <v>2</v>
      </c>
      <c r="DS435" s="5" t="s">
        <v>231</v>
      </c>
      <c r="DT435" s="5">
        <f t="shared" si="1337"/>
        <v>2</v>
      </c>
      <c r="DU435" s="5" t="s">
        <v>231</v>
      </c>
      <c r="DV435" s="5">
        <f t="shared" si="1338"/>
        <v>2</v>
      </c>
      <c r="DW435" s="5" t="s">
        <v>231</v>
      </c>
      <c r="DX435" s="5">
        <f t="shared" si="1339"/>
        <v>2</v>
      </c>
      <c r="DY435" s="5">
        <f t="shared" si="1340"/>
        <v>29</v>
      </c>
      <c r="DZ435" s="5" t="str">
        <f t="shared" si="1341"/>
        <v>Nivel de riesgo alto</v>
      </c>
      <c r="EA435" s="5" t="s">
        <v>247</v>
      </c>
      <c r="EB435" s="5">
        <f t="shared" si="1342"/>
        <v>2</v>
      </c>
      <c r="EC435" s="5" t="s">
        <v>248</v>
      </c>
      <c r="ED435" s="5">
        <f t="shared" si="1343"/>
        <v>1</v>
      </c>
      <c r="EE435" s="5" t="s">
        <v>248</v>
      </c>
      <c r="EF435" s="5">
        <f t="shared" si="1344"/>
        <v>1</v>
      </c>
      <c r="EG435" s="5">
        <f t="shared" si="1345"/>
        <v>4</v>
      </c>
      <c r="EH435" s="5" t="str">
        <f t="shared" si="1346"/>
        <v>Nivel de riesgo medio</v>
      </c>
      <c r="EI435" s="5" t="s">
        <v>247</v>
      </c>
      <c r="EJ435" s="5">
        <f t="shared" si="1347"/>
        <v>2</v>
      </c>
      <c r="EK435" s="5" t="s">
        <v>248</v>
      </c>
      <c r="EL435" s="5">
        <f t="shared" si="1348"/>
        <v>1</v>
      </c>
      <c r="EM435" s="5" t="s">
        <v>248</v>
      </c>
      <c r="EN435" s="5">
        <f t="shared" si="1349"/>
        <v>1</v>
      </c>
      <c r="EO435" s="5">
        <f t="shared" si="1350"/>
        <v>4</v>
      </c>
      <c r="EP435" s="5" t="str">
        <f t="shared" si="1351"/>
        <v>Nivel de riesgo medio</v>
      </c>
      <c r="EQ435" s="5" t="s">
        <v>247</v>
      </c>
      <c r="ER435" s="5">
        <f t="shared" si="1352"/>
        <v>2</v>
      </c>
      <c r="ES435" s="5" t="s">
        <v>232</v>
      </c>
      <c r="ET435" s="5">
        <f t="shared" si="1353"/>
        <v>1</v>
      </c>
      <c r="EU435" s="5" t="s">
        <v>254</v>
      </c>
      <c r="EV435" s="5">
        <f t="shared" si="1354"/>
        <v>0</v>
      </c>
      <c r="EW435" s="5" t="s">
        <v>254</v>
      </c>
      <c r="EX435" s="5">
        <f t="shared" si="1355"/>
        <v>0</v>
      </c>
      <c r="EY435" s="5">
        <f t="shared" si="1356"/>
        <v>3</v>
      </c>
      <c r="EZ435" s="5" t="str">
        <f t="shared" si="1357"/>
        <v>Nivel de riesgo medio</v>
      </c>
      <c r="FA435" s="5" t="s">
        <v>253</v>
      </c>
      <c r="FB435" s="5">
        <f t="shared" si="1358"/>
        <v>0</v>
      </c>
      <c r="FC435" s="5" t="s">
        <v>253</v>
      </c>
      <c r="FD435" s="5">
        <f t="shared" si="1359"/>
        <v>0</v>
      </c>
      <c r="FE435" s="5" t="s">
        <v>253</v>
      </c>
      <c r="FF435" s="5">
        <f t="shared" si="1360"/>
        <v>0</v>
      </c>
      <c r="FG435" s="5">
        <f t="shared" si="1361"/>
        <v>0</v>
      </c>
      <c r="FH435" s="5" t="str">
        <f t="shared" si="1362"/>
        <v>Nivel de riesgo bajo</v>
      </c>
      <c r="FI435" s="5" t="s">
        <v>253</v>
      </c>
      <c r="FJ435" s="5">
        <f t="shared" si="1363"/>
        <v>0</v>
      </c>
      <c r="FK435" s="5" t="s">
        <v>248</v>
      </c>
      <c r="FL435" s="5">
        <f t="shared" si="1364"/>
        <v>1</v>
      </c>
      <c r="FM435" s="5" t="s">
        <v>253</v>
      </c>
      <c r="FN435" s="5">
        <f t="shared" si="1365"/>
        <v>0</v>
      </c>
      <c r="FO435" s="5">
        <f t="shared" si="1366"/>
        <v>1</v>
      </c>
      <c r="FP435" s="5" t="str">
        <f t="shared" si="1367"/>
        <v>Nivel de riesgo bajo</v>
      </c>
      <c r="FQ435" s="5" t="s">
        <v>206</v>
      </c>
      <c r="FR435" s="5">
        <f t="shared" si="1368"/>
        <v>0</v>
      </c>
      <c r="FS435" s="5" t="s">
        <v>206</v>
      </c>
      <c r="FT435" s="5">
        <f t="shared" si="1369"/>
        <v>0</v>
      </c>
      <c r="FU435" s="5" t="s">
        <v>206</v>
      </c>
      <c r="FV435" s="5">
        <f t="shared" si="1370"/>
        <v>0</v>
      </c>
      <c r="FW435" s="5" t="s">
        <v>206</v>
      </c>
      <c r="FX435" s="5">
        <f t="shared" si="1371"/>
        <v>0</v>
      </c>
      <c r="FY435" s="5" t="s">
        <v>206</v>
      </c>
      <c r="FZ435" s="5">
        <f t="shared" si="1372"/>
        <v>0</v>
      </c>
      <c r="GA435" s="5" t="s">
        <v>206</v>
      </c>
      <c r="GB435" s="5">
        <f t="shared" si="1373"/>
        <v>0</v>
      </c>
      <c r="GC435" s="5" t="s">
        <v>206</v>
      </c>
      <c r="GD435" s="5">
        <f t="shared" si="1374"/>
        <v>0</v>
      </c>
      <c r="GE435" s="5">
        <f t="shared" si="1375"/>
        <v>0</v>
      </c>
      <c r="GF435" s="5" t="str">
        <f t="shared" si="1376"/>
        <v>Nivel de riesgo bajo</v>
      </c>
      <c r="GG435" s="5" t="s">
        <v>255</v>
      </c>
      <c r="GH435" s="5" t="s">
        <v>273</v>
      </c>
      <c r="GI435" s="5" t="s">
        <v>255</v>
      </c>
      <c r="GJ435" s="5" t="s">
        <v>255</v>
      </c>
      <c r="GK435" s="5" t="s">
        <v>233</v>
      </c>
      <c r="GL435" s="5" t="s">
        <v>273</v>
      </c>
      <c r="GM435" s="5" t="s">
        <v>233</v>
      </c>
      <c r="GN435" s="5" t="s">
        <v>243</v>
      </c>
      <c r="GO435" s="5" t="s">
        <v>243</v>
      </c>
      <c r="GP435" s="5" t="s">
        <v>257</v>
      </c>
      <c r="GQ435" s="5" t="s">
        <v>244</v>
      </c>
      <c r="GR435" s="5" t="s">
        <v>244</v>
      </c>
      <c r="GS435" s="5" t="s">
        <v>244</v>
      </c>
      <c r="GT435" s="5" t="s">
        <v>244</v>
      </c>
      <c r="GU435" s="5" t="s">
        <v>803</v>
      </c>
      <c r="GV435" s="5" t="str">
        <f>TEXT("6290090284219089072","0")</f>
        <v>6290090284219080000</v>
      </c>
    </row>
    <row r="436" spans="1:204" ht="15.75" customHeight="1" x14ac:dyDescent="0.15">
      <c r="A436" s="1">
        <f t="shared" si="1326"/>
        <v>436</v>
      </c>
      <c r="B436" s="4">
        <v>45860.500798611109</v>
      </c>
      <c r="C436" s="5" t="s">
        <v>204</v>
      </c>
      <c r="D436" s="5" t="s">
        <v>206</v>
      </c>
      <c r="F436" s="5" t="s">
        <v>206</v>
      </c>
      <c r="G436" s="5" t="s">
        <v>206</v>
      </c>
      <c r="H436" s="5" t="s">
        <v>206</v>
      </c>
      <c r="K436" s="5" t="s">
        <v>237</v>
      </c>
      <c r="O436" s="5" t="s">
        <v>209</v>
      </c>
      <c r="U436" s="5" t="s">
        <v>237</v>
      </c>
      <c r="Y436" s="5" t="s">
        <v>209</v>
      </c>
      <c r="AD436" s="5" t="s">
        <v>209</v>
      </c>
      <c r="AH436" s="5" t="s">
        <v>210</v>
      </c>
      <c r="AI436" s="5">
        <v>2020</v>
      </c>
      <c r="AJ436" s="5" t="s">
        <v>238</v>
      </c>
      <c r="AK436" s="5" t="str">
        <f t="shared" si="1327"/>
        <v>Trabajadora por cuenta propia</v>
      </c>
      <c r="AL436" s="5" t="s">
        <v>239</v>
      </c>
      <c r="AP436" s="5" t="s">
        <v>240</v>
      </c>
      <c r="AR436" s="5" t="s">
        <v>301</v>
      </c>
      <c r="AS436" s="5" t="s">
        <v>241</v>
      </c>
      <c r="AT436" s="5" t="s">
        <v>241</v>
      </c>
      <c r="AU436" s="5" t="s">
        <v>241</v>
      </c>
      <c r="AV436" s="5" t="s">
        <v>269</v>
      </c>
      <c r="AW436" s="5" t="s">
        <v>204</v>
      </c>
      <c r="AX436" s="5" t="s">
        <v>204</v>
      </c>
      <c r="AY436" s="5" t="s">
        <v>214</v>
      </c>
      <c r="AZ436" s="5" t="s">
        <v>204</v>
      </c>
      <c r="BA436" s="5" t="s">
        <v>263</v>
      </c>
      <c r="BF436" s="5" t="s">
        <v>204</v>
      </c>
      <c r="BG436" s="5" t="s">
        <v>271</v>
      </c>
      <c r="BH436" s="5" t="s">
        <v>242</v>
      </c>
      <c r="BI436" s="5" t="s">
        <v>278</v>
      </c>
      <c r="BJ436" s="5" t="s">
        <v>271</v>
      </c>
      <c r="BK436" s="5" t="s">
        <v>246</v>
      </c>
      <c r="BL436" s="5" t="s">
        <v>244</v>
      </c>
      <c r="BM436" s="5" t="s">
        <v>246</v>
      </c>
      <c r="BN436" s="5" t="s">
        <v>244</v>
      </c>
      <c r="BO436" s="5" t="s">
        <v>244</v>
      </c>
      <c r="BP436" s="5" t="s">
        <v>244</v>
      </c>
      <c r="BQ436" s="5" t="s">
        <v>246</v>
      </c>
      <c r="BR436" s="5" t="s">
        <v>244</v>
      </c>
      <c r="BS436" s="5" t="s">
        <v>247</v>
      </c>
      <c r="BT436" s="5" t="s">
        <v>247</v>
      </c>
      <c r="BU436" s="5" t="s">
        <v>248</v>
      </c>
      <c r="BV436" s="5" t="s">
        <v>248</v>
      </c>
      <c r="BW436" s="5" t="s">
        <v>248</v>
      </c>
      <c r="BX436" s="5" t="s">
        <v>247</v>
      </c>
      <c r="BY436" s="5" t="s">
        <v>248</v>
      </c>
      <c r="BZ436" s="5" t="s">
        <v>246</v>
      </c>
      <c r="CA436" s="5" t="s">
        <v>244</v>
      </c>
      <c r="CB436" s="5" t="s">
        <v>216</v>
      </c>
      <c r="CC436" s="5" t="s">
        <v>243</v>
      </c>
      <c r="CD436" s="5" t="s">
        <v>204</v>
      </c>
      <c r="CE436" s="5" t="s">
        <v>218</v>
      </c>
      <c r="CF436" s="5" t="s">
        <v>219</v>
      </c>
      <c r="CG436" s="5" t="s">
        <v>206</v>
      </c>
      <c r="CH436" s="5" t="s">
        <v>310</v>
      </c>
      <c r="CI436" s="5" t="s">
        <v>249</v>
      </c>
      <c r="CJ436" s="5">
        <v>3</v>
      </c>
      <c r="CM436" s="5" t="s">
        <v>358</v>
      </c>
      <c r="CU436" s="5" t="s">
        <v>204</v>
      </c>
      <c r="CV436" s="5" t="s">
        <v>350</v>
      </c>
      <c r="CW436" s="5" t="s">
        <v>371</v>
      </c>
      <c r="CX436" s="5" t="s">
        <v>352</v>
      </c>
      <c r="CY436" s="5" t="s">
        <v>353</v>
      </c>
      <c r="CZ436" s="5" t="s">
        <v>206</v>
      </c>
      <c r="DA436" s="5" t="s">
        <v>272</v>
      </c>
      <c r="DB436" s="5">
        <f t="shared" si="1328"/>
        <v>1</v>
      </c>
      <c r="DC436" s="5" t="s">
        <v>230</v>
      </c>
      <c r="DD436" s="5">
        <f t="shared" si="1329"/>
        <v>2</v>
      </c>
      <c r="DE436" s="5" t="s">
        <v>250</v>
      </c>
      <c r="DF436" s="5">
        <f t="shared" si="1330"/>
        <v>3</v>
      </c>
      <c r="DG436" s="5" t="s">
        <v>230</v>
      </c>
      <c r="DH436" s="5">
        <f t="shared" si="1331"/>
        <v>2</v>
      </c>
      <c r="DI436" s="5" t="s">
        <v>230</v>
      </c>
      <c r="DJ436" s="5">
        <f t="shared" si="1332"/>
        <v>2</v>
      </c>
      <c r="DK436" s="5" t="s">
        <v>230</v>
      </c>
      <c r="DL436" s="5">
        <f t="shared" si="1333"/>
        <v>2</v>
      </c>
      <c r="DM436" s="5" t="s">
        <v>251</v>
      </c>
      <c r="DN436" s="5">
        <f t="shared" si="1334"/>
        <v>1</v>
      </c>
      <c r="DO436" s="5" t="s">
        <v>231</v>
      </c>
      <c r="DP436" s="5">
        <f t="shared" si="1335"/>
        <v>2</v>
      </c>
      <c r="DQ436" s="5" t="s">
        <v>281</v>
      </c>
      <c r="DR436" s="5">
        <f t="shared" si="1336"/>
        <v>1</v>
      </c>
      <c r="DS436" s="5" t="s">
        <v>281</v>
      </c>
      <c r="DT436" s="5">
        <f t="shared" si="1337"/>
        <v>1</v>
      </c>
      <c r="DU436" s="5" t="s">
        <v>281</v>
      </c>
      <c r="DV436" s="5">
        <f t="shared" si="1338"/>
        <v>1</v>
      </c>
      <c r="DW436" s="5" t="s">
        <v>281</v>
      </c>
      <c r="DX436" s="5">
        <f t="shared" si="1339"/>
        <v>1</v>
      </c>
      <c r="DY436" s="5">
        <f t="shared" si="1340"/>
        <v>19</v>
      </c>
      <c r="DZ436" s="5" t="str">
        <f t="shared" si="1341"/>
        <v>Nivel de riesgo medio</v>
      </c>
      <c r="EA436" s="5" t="s">
        <v>247</v>
      </c>
      <c r="EB436" s="5">
        <f t="shared" si="1342"/>
        <v>2</v>
      </c>
      <c r="EC436" s="5" t="s">
        <v>247</v>
      </c>
      <c r="ED436" s="5">
        <f t="shared" si="1343"/>
        <v>2</v>
      </c>
      <c r="EE436" s="5" t="s">
        <v>248</v>
      </c>
      <c r="EF436" s="5">
        <f t="shared" si="1344"/>
        <v>1</v>
      </c>
      <c r="EG436" s="5">
        <f t="shared" si="1345"/>
        <v>5</v>
      </c>
      <c r="EH436" s="5" t="str">
        <f t="shared" si="1346"/>
        <v>Nivel de riesgo alto</v>
      </c>
      <c r="EI436" s="5" t="s">
        <v>248</v>
      </c>
      <c r="EJ436" s="5">
        <f t="shared" si="1347"/>
        <v>1</v>
      </c>
      <c r="EK436" s="5" t="s">
        <v>248</v>
      </c>
      <c r="EL436" s="5">
        <f t="shared" si="1348"/>
        <v>1</v>
      </c>
      <c r="EM436" s="5" t="s">
        <v>253</v>
      </c>
      <c r="EN436" s="5">
        <f t="shared" si="1349"/>
        <v>0</v>
      </c>
      <c r="EO436" s="5">
        <f t="shared" si="1350"/>
        <v>2</v>
      </c>
      <c r="EP436" s="5" t="str">
        <f t="shared" si="1351"/>
        <v>Nivel de riesgo medio</v>
      </c>
      <c r="EQ436" s="5" t="s">
        <v>253</v>
      </c>
      <c r="ER436" s="5">
        <f t="shared" si="1352"/>
        <v>4</v>
      </c>
      <c r="ES436" s="5" t="s">
        <v>253</v>
      </c>
      <c r="ET436" s="5">
        <f t="shared" si="1353"/>
        <v>4</v>
      </c>
      <c r="EU436" s="5" t="s">
        <v>254</v>
      </c>
      <c r="EV436" s="5">
        <f t="shared" si="1354"/>
        <v>0</v>
      </c>
      <c r="EW436" s="5" t="s">
        <v>247</v>
      </c>
      <c r="EX436" s="5">
        <f t="shared" si="1355"/>
        <v>2</v>
      </c>
      <c r="EY436" s="5">
        <f t="shared" si="1356"/>
        <v>10</v>
      </c>
      <c r="EZ436" s="5" t="str">
        <f t="shared" si="1357"/>
        <v>Nivel de riesgo alto</v>
      </c>
      <c r="FA436" s="5" t="s">
        <v>247</v>
      </c>
      <c r="FB436" s="5">
        <f t="shared" si="1358"/>
        <v>2</v>
      </c>
      <c r="FC436" s="5" t="s">
        <v>253</v>
      </c>
      <c r="FD436" s="5">
        <f t="shared" si="1359"/>
        <v>0</v>
      </c>
      <c r="FE436" s="5" t="s">
        <v>253</v>
      </c>
      <c r="FF436" s="5">
        <f t="shared" si="1360"/>
        <v>0</v>
      </c>
      <c r="FG436" s="5">
        <f t="shared" si="1361"/>
        <v>2</v>
      </c>
      <c r="FH436" s="5" t="str">
        <f t="shared" si="1362"/>
        <v>Nivel de riesgo bajo</v>
      </c>
      <c r="FI436" s="5" t="s">
        <v>247</v>
      </c>
      <c r="FJ436" s="5">
        <f t="shared" si="1363"/>
        <v>2</v>
      </c>
      <c r="FK436" s="5" t="s">
        <v>247</v>
      </c>
      <c r="FL436" s="5">
        <f t="shared" si="1364"/>
        <v>2</v>
      </c>
      <c r="FM436" s="5" t="s">
        <v>247</v>
      </c>
      <c r="FN436" s="5">
        <f t="shared" si="1365"/>
        <v>2</v>
      </c>
      <c r="FO436" s="5">
        <f t="shared" si="1366"/>
        <v>6</v>
      </c>
      <c r="FP436" s="5" t="str">
        <f t="shared" si="1367"/>
        <v>Nivel de riesgo alto</v>
      </c>
      <c r="FQ436" s="5" t="s">
        <v>265</v>
      </c>
      <c r="FR436" s="5">
        <f t="shared" si="1368"/>
        <v>1</v>
      </c>
      <c r="FS436" s="5" t="s">
        <v>206</v>
      </c>
      <c r="FT436" s="5">
        <f t="shared" si="1369"/>
        <v>0</v>
      </c>
      <c r="FU436" s="5" t="s">
        <v>206</v>
      </c>
      <c r="FV436" s="5">
        <f t="shared" si="1370"/>
        <v>0</v>
      </c>
      <c r="FW436" s="5" t="s">
        <v>206</v>
      </c>
      <c r="FX436" s="5">
        <f t="shared" si="1371"/>
        <v>0</v>
      </c>
      <c r="FY436" s="5" t="s">
        <v>206</v>
      </c>
      <c r="FZ436" s="5">
        <f t="shared" si="1372"/>
        <v>0</v>
      </c>
      <c r="GA436" s="5" t="s">
        <v>206</v>
      </c>
      <c r="GB436" s="5">
        <f t="shared" si="1373"/>
        <v>0</v>
      </c>
      <c r="GC436" s="5" t="s">
        <v>206</v>
      </c>
      <c r="GD436" s="5">
        <f t="shared" si="1374"/>
        <v>0</v>
      </c>
      <c r="GE436" s="5">
        <f t="shared" si="1375"/>
        <v>1</v>
      </c>
      <c r="GF436" s="5" t="str">
        <f t="shared" si="1376"/>
        <v>Nivel de riesgo medio</v>
      </c>
      <c r="GG436" s="5" t="s">
        <v>255</v>
      </c>
      <c r="GH436" s="5" t="s">
        <v>255</v>
      </c>
      <c r="GI436" s="5" t="s">
        <v>255</v>
      </c>
      <c r="GJ436" s="5" t="s">
        <v>255</v>
      </c>
      <c r="GK436" s="5" t="s">
        <v>233</v>
      </c>
      <c r="GL436" s="5" t="s">
        <v>255</v>
      </c>
      <c r="GM436" s="5" t="s">
        <v>298</v>
      </c>
      <c r="GN436" s="5" t="s">
        <v>256</v>
      </c>
      <c r="GO436" s="5" t="s">
        <v>243</v>
      </c>
      <c r="GP436" s="5" t="s">
        <v>243</v>
      </c>
      <c r="GQ436" s="5" t="s">
        <v>257</v>
      </c>
      <c r="GR436" s="5" t="s">
        <v>257</v>
      </c>
      <c r="GS436" s="5" t="s">
        <v>257</v>
      </c>
      <c r="GT436" s="5" t="s">
        <v>257</v>
      </c>
      <c r="GU436" s="5" t="s">
        <v>804</v>
      </c>
      <c r="GV436" s="5" t="str">
        <f>TEXT("6290092695325539739","0")</f>
        <v>6290092695325530000</v>
      </c>
    </row>
    <row r="437" spans="1:204" ht="15.75" customHeight="1" x14ac:dyDescent="0.15">
      <c r="A437" s="1">
        <f t="shared" si="1326"/>
        <v>437</v>
      </c>
      <c r="B437" s="4">
        <v>45860.501516203702</v>
      </c>
      <c r="C437" s="5" t="s">
        <v>204</v>
      </c>
      <c r="D437" s="5" t="s">
        <v>204</v>
      </c>
      <c r="E437" s="5" t="s">
        <v>495</v>
      </c>
      <c r="F437" s="5" t="s">
        <v>206</v>
      </c>
      <c r="G437" s="5" t="s">
        <v>204</v>
      </c>
      <c r="H437" s="5" t="s">
        <v>206</v>
      </c>
      <c r="K437" s="5" t="s">
        <v>237</v>
      </c>
      <c r="O437" s="5" t="s">
        <v>209</v>
      </c>
      <c r="T437" s="5" t="s">
        <v>209</v>
      </c>
      <c r="Y437" s="5" t="s">
        <v>209</v>
      </c>
      <c r="AC437" s="5" t="s">
        <v>208</v>
      </c>
      <c r="AH437" s="5" t="s">
        <v>210</v>
      </c>
      <c r="AI437" s="5">
        <v>2023</v>
      </c>
      <c r="AJ437" s="5" t="s">
        <v>330</v>
      </c>
      <c r="AK437" s="5" t="str">
        <f t="shared" si="1327"/>
        <v>Asalariada</v>
      </c>
      <c r="AQ437" s="5" t="s">
        <v>204</v>
      </c>
      <c r="AR437" s="5" t="s">
        <v>241</v>
      </c>
      <c r="AS437" s="5" t="s">
        <v>241</v>
      </c>
      <c r="AT437" s="5" t="s">
        <v>241</v>
      </c>
      <c r="AU437" s="5" t="s">
        <v>241</v>
      </c>
      <c r="AV437" s="5" t="s">
        <v>213</v>
      </c>
      <c r="AW437" s="5" t="s">
        <v>206</v>
      </c>
      <c r="BF437" s="5" t="s">
        <v>204</v>
      </c>
      <c r="BG437" s="5" t="s">
        <v>278</v>
      </c>
      <c r="BH437" s="5" t="s">
        <v>271</v>
      </c>
      <c r="BI437" s="5" t="s">
        <v>278</v>
      </c>
      <c r="BJ437" s="5" t="s">
        <v>278</v>
      </c>
      <c r="BK437" s="5" t="s">
        <v>243</v>
      </c>
      <c r="BL437" s="5" t="s">
        <v>243</v>
      </c>
      <c r="BM437" s="5" t="s">
        <v>243</v>
      </c>
      <c r="BN437" s="5" t="s">
        <v>243</v>
      </c>
      <c r="BO437" s="5" t="s">
        <v>243</v>
      </c>
      <c r="BP437" s="5" t="s">
        <v>243</v>
      </c>
      <c r="BQ437" s="5" t="s">
        <v>243</v>
      </c>
      <c r="BR437" s="5" t="s">
        <v>243</v>
      </c>
      <c r="BS437" s="5" t="s">
        <v>232</v>
      </c>
      <c r="BT437" s="5" t="s">
        <v>232</v>
      </c>
      <c r="BU437" s="5" t="s">
        <v>248</v>
      </c>
      <c r="BV437" s="5" t="s">
        <v>247</v>
      </c>
      <c r="BW437" s="5" t="s">
        <v>248</v>
      </c>
      <c r="BX437" s="5" t="s">
        <v>248</v>
      </c>
      <c r="BY437" s="5" t="s">
        <v>248</v>
      </c>
      <c r="CD437" s="5" t="s">
        <v>206</v>
      </c>
      <c r="CH437" s="5" t="s">
        <v>206</v>
      </c>
      <c r="CI437" s="5" t="s">
        <v>206</v>
      </c>
      <c r="CJ437" s="5">
        <v>2</v>
      </c>
      <c r="CK437" s="5" t="s">
        <v>223</v>
      </c>
      <c r="CU437" s="5" t="s">
        <v>206</v>
      </c>
      <c r="DA437" s="5" t="s">
        <v>252</v>
      </c>
      <c r="DB437" s="5">
        <f t="shared" si="1328"/>
        <v>3</v>
      </c>
      <c r="DC437" s="5" t="s">
        <v>250</v>
      </c>
      <c r="DD437" s="5">
        <f t="shared" si="1329"/>
        <v>3</v>
      </c>
      <c r="DE437" s="5" t="s">
        <v>250</v>
      </c>
      <c r="DF437" s="5">
        <f t="shared" si="1330"/>
        <v>3</v>
      </c>
      <c r="DG437" s="5" t="s">
        <v>250</v>
      </c>
      <c r="DH437" s="5">
        <f t="shared" si="1331"/>
        <v>3</v>
      </c>
      <c r="DI437" s="5" t="s">
        <v>250</v>
      </c>
      <c r="DJ437" s="5">
        <f t="shared" si="1332"/>
        <v>3</v>
      </c>
      <c r="DK437" s="5" t="s">
        <v>250</v>
      </c>
      <c r="DL437" s="5">
        <f t="shared" si="1333"/>
        <v>3</v>
      </c>
      <c r="DM437" s="5" t="s">
        <v>250</v>
      </c>
      <c r="DN437" s="5">
        <f t="shared" si="1334"/>
        <v>3</v>
      </c>
      <c r="DO437" s="5" t="s">
        <v>231</v>
      </c>
      <c r="DP437" s="5">
        <f t="shared" si="1335"/>
        <v>2</v>
      </c>
      <c r="DQ437" s="5" t="s">
        <v>231</v>
      </c>
      <c r="DR437" s="5">
        <f t="shared" si="1336"/>
        <v>2</v>
      </c>
      <c r="DS437" s="5" t="s">
        <v>252</v>
      </c>
      <c r="DT437" s="5">
        <f t="shared" si="1337"/>
        <v>3</v>
      </c>
      <c r="DU437" s="5" t="s">
        <v>231</v>
      </c>
      <c r="DV437" s="5">
        <f t="shared" si="1338"/>
        <v>2</v>
      </c>
      <c r="DW437" s="5" t="s">
        <v>252</v>
      </c>
      <c r="DX437" s="5">
        <f t="shared" si="1339"/>
        <v>3</v>
      </c>
      <c r="DY437" s="5">
        <f t="shared" si="1340"/>
        <v>33</v>
      </c>
      <c r="DZ437" s="5" t="str">
        <f t="shared" si="1341"/>
        <v>Nivel de riesgo alto</v>
      </c>
      <c r="EA437" s="5" t="s">
        <v>248</v>
      </c>
      <c r="EB437" s="5">
        <f t="shared" si="1342"/>
        <v>1</v>
      </c>
      <c r="EC437" s="5" t="s">
        <v>248</v>
      </c>
      <c r="ED437" s="5">
        <f t="shared" si="1343"/>
        <v>1</v>
      </c>
      <c r="EE437" s="5" t="s">
        <v>248</v>
      </c>
      <c r="EF437" s="5">
        <f t="shared" si="1344"/>
        <v>1</v>
      </c>
      <c r="EG437" s="5">
        <f t="shared" si="1345"/>
        <v>3</v>
      </c>
      <c r="EH437" s="5" t="str">
        <f t="shared" si="1346"/>
        <v>Nivel de riesgo medio</v>
      </c>
      <c r="EI437" s="5" t="s">
        <v>248</v>
      </c>
      <c r="EJ437" s="5">
        <f t="shared" si="1347"/>
        <v>1</v>
      </c>
      <c r="EK437" s="5" t="s">
        <v>248</v>
      </c>
      <c r="EL437" s="5">
        <f t="shared" si="1348"/>
        <v>1</v>
      </c>
      <c r="EM437" s="5" t="s">
        <v>248</v>
      </c>
      <c r="EN437" s="5">
        <f t="shared" si="1349"/>
        <v>1</v>
      </c>
      <c r="EO437" s="5">
        <f t="shared" si="1350"/>
        <v>3</v>
      </c>
      <c r="EP437" s="5" t="str">
        <f t="shared" si="1351"/>
        <v>Nivel de riesgo medio</v>
      </c>
      <c r="EQ437" s="5" t="s">
        <v>232</v>
      </c>
      <c r="ER437" s="5">
        <f t="shared" si="1352"/>
        <v>1</v>
      </c>
      <c r="ES437" s="5" t="s">
        <v>232</v>
      </c>
      <c r="ET437" s="5">
        <f t="shared" si="1353"/>
        <v>1</v>
      </c>
      <c r="EU437" s="5" t="s">
        <v>232</v>
      </c>
      <c r="EV437" s="5">
        <f t="shared" si="1354"/>
        <v>1</v>
      </c>
      <c r="EW437" s="5" t="s">
        <v>232</v>
      </c>
      <c r="EX437" s="5">
        <f t="shared" si="1355"/>
        <v>1</v>
      </c>
      <c r="EY437" s="5">
        <f t="shared" si="1356"/>
        <v>4</v>
      </c>
      <c r="EZ437" s="5" t="str">
        <f t="shared" si="1357"/>
        <v>Nivel de riesgo medio</v>
      </c>
      <c r="FA437" s="5" t="s">
        <v>247</v>
      </c>
      <c r="FB437" s="5">
        <f t="shared" si="1358"/>
        <v>2</v>
      </c>
      <c r="FC437" s="5" t="s">
        <v>247</v>
      </c>
      <c r="FD437" s="5">
        <f t="shared" si="1359"/>
        <v>2</v>
      </c>
      <c r="FE437" s="5" t="s">
        <v>247</v>
      </c>
      <c r="FF437" s="5">
        <f t="shared" si="1360"/>
        <v>2</v>
      </c>
      <c r="FG437" s="5">
        <f t="shared" si="1361"/>
        <v>6</v>
      </c>
      <c r="FH437" s="5" t="str">
        <f t="shared" si="1362"/>
        <v>Nivel de riesgo alto</v>
      </c>
      <c r="FI437" s="5" t="s">
        <v>248</v>
      </c>
      <c r="FJ437" s="5">
        <f t="shared" si="1363"/>
        <v>1</v>
      </c>
      <c r="FK437" s="5" t="s">
        <v>253</v>
      </c>
      <c r="FL437" s="5">
        <f t="shared" si="1364"/>
        <v>0</v>
      </c>
      <c r="FM437" s="5" t="s">
        <v>253</v>
      </c>
      <c r="FN437" s="5">
        <f t="shared" si="1365"/>
        <v>0</v>
      </c>
      <c r="FO437" s="5">
        <f t="shared" si="1366"/>
        <v>1</v>
      </c>
      <c r="FP437" s="5" t="str">
        <f t="shared" si="1367"/>
        <v>Nivel de riesgo bajo</v>
      </c>
      <c r="FQ437" s="5" t="s">
        <v>206</v>
      </c>
      <c r="FR437" s="5">
        <f t="shared" si="1368"/>
        <v>0</v>
      </c>
      <c r="FS437" s="5" t="s">
        <v>206</v>
      </c>
      <c r="FT437" s="5">
        <f t="shared" si="1369"/>
        <v>0</v>
      </c>
      <c r="FU437" s="5" t="s">
        <v>206</v>
      </c>
      <c r="FV437" s="5">
        <f t="shared" si="1370"/>
        <v>0</v>
      </c>
      <c r="FW437" s="5" t="s">
        <v>206</v>
      </c>
      <c r="FX437" s="5">
        <f t="shared" si="1371"/>
        <v>0</v>
      </c>
      <c r="FY437" s="5" t="s">
        <v>206</v>
      </c>
      <c r="FZ437" s="5">
        <f t="shared" si="1372"/>
        <v>0</v>
      </c>
      <c r="GA437" s="5" t="s">
        <v>206</v>
      </c>
      <c r="GB437" s="5">
        <f t="shared" si="1373"/>
        <v>0</v>
      </c>
      <c r="GC437" s="5" t="s">
        <v>206</v>
      </c>
      <c r="GD437" s="5">
        <f t="shared" si="1374"/>
        <v>0</v>
      </c>
      <c r="GE437" s="5">
        <f t="shared" si="1375"/>
        <v>0</v>
      </c>
      <c r="GF437" s="5" t="str">
        <f t="shared" si="1376"/>
        <v>Nivel de riesgo bajo</v>
      </c>
      <c r="GG437" s="5" t="s">
        <v>273</v>
      </c>
      <c r="GH437" s="5" t="s">
        <v>273</v>
      </c>
      <c r="GI437" s="5" t="s">
        <v>273</v>
      </c>
      <c r="GJ437" s="5" t="s">
        <v>273</v>
      </c>
      <c r="GK437" s="5" t="s">
        <v>233</v>
      </c>
      <c r="GL437" s="5" t="s">
        <v>233</v>
      </c>
      <c r="GM437" s="5" t="s">
        <v>233</v>
      </c>
      <c r="GN437" s="5" t="s">
        <v>243</v>
      </c>
      <c r="GO437" s="5" t="s">
        <v>243</v>
      </c>
      <c r="GP437" s="5" t="s">
        <v>243</v>
      </c>
      <c r="GQ437" s="5" t="s">
        <v>243</v>
      </c>
      <c r="GR437" s="5" t="s">
        <v>243</v>
      </c>
      <c r="GS437" s="5" t="s">
        <v>243</v>
      </c>
      <c r="GT437" s="5" t="s">
        <v>243</v>
      </c>
      <c r="GU437" s="5" t="s">
        <v>805</v>
      </c>
      <c r="GV437" s="5" t="str">
        <f>TEXT("6290093311615245277","0")</f>
        <v>6290093311615240000</v>
      </c>
    </row>
    <row r="438" spans="1:204" ht="15.75" customHeight="1" x14ac:dyDescent="0.15">
      <c r="A438" s="1">
        <f t="shared" si="1326"/>
        <v>438</v>
      </c>
      <c r="B438" s="4">
        <v>45860.502592592595</v>
      </c>
      <c r="C438" s="5" t="s">
        <v>204</v>
      </c>
      <c r="D438" s="5" t="s">
        <v>206</v>
      </c>
      <c r="F438" s="5" t="s">
        <v>206</v>
      </c>
      <c r="G438" s="5" t="s">
        <v>206</v>
      </c>
      <c r="H438" s="5" t="s">
        <v>206</v>
      </c>
      <c r="L438" s="5" t="s">
        <v>236</v>
      </c>
      <c r="O438" s="5" t="s">
        <v>209</v>
      </c>
      <c r="T438" s="5" t="s">
        <v>209</v>
      </c>
      <c r="Y438" s="5" t="s">
        <v>209</v>
      </c>
      <c r="AG438" s="5" t="s">
        <v>207</v>
      </c>
      <c r="AH438" s="5" t="s">
        <v>268</v>
      </c>
      <c r="AI438" s="5">
        <v>1993</v>
      </c>
      <c r="AJ438" s="5" t="s">
        <v>330</v>
      </c>
      <c r="AK438" s="5" t="str">
        <f t="shared" si="1327"/>
        <v>Asalariada</v>
      </c>
      <c r="AQ438" s="5" t="s">
        <v>204</v>
      </c>
      <c r="AR438" s="5" t="s">
        <v>241</v>
      </c>
      <c r="AS438" s="5" t="s">
        <v>241</v>
      </c>
      <c r="AT438" s="5" t="s">
        <v>261</v>
      </c>
      <c r="AU438" s="5" t="s">
        <v>261</v>
      </c>
      <c r="AV438" s="5" t="s">
        <v>285</v>
      </c>
      <c r="AW438" s="5" t="s">
        <v>204</v>
      </c>
      <c r="AX438" s="5" t="s">
        <v>204</v>
      </c>
      <c r="AY438" s="5" t="s">
        <v>214</v>
      </c>
      <c r="AZ438" s="5" t="s">
        <v>204</v>
      </c>
      <c r="BA438" s="5" t="s">
        <v>263</v>
      </c>
      <c r="BF438" s="5" t="s">
        <v>204</v>
      </c>
      <c r="BG438" s="5" t="s">
        <v>207</v>
      </c>
      <c r="BH438" s="5" t="s">
        <v>242</v>
      </c>
      <c r="BI438" s="5" t="s">
        <v>207</v>
      </c>
      <c r="BJ438" s="5" t="s">
        <v>271</v>
      </c>
      <c r="BK438" s="5" t="s">
        <v>243</v>
      </c>
      <c r="BL438" s="5" t="s">
        <v>246</v>
      </c>
      <c r="BM438" s="5" t="s">
        <v>245</v>
      </c>
      <c r="BN438" s="5" t="s">
        <v>245</v>
      </c>
      <c r="BO438" s="5" t="s">
        <v>243</v>
      </c>
      <c r="BP438" s="5" t="s">
        <v>245</v>
      </c>
      <c r="BQ438" s="5" t="s">
        <v>245</v>
      </c>
      <c r="BR438" s="5" t="s">
        <v>243</v>
      </c>
      <c r="BS438" s="5" t="s">
        <v>254</v>
      </c>
      <c r="BT438" s="5" t="s">
        <v>232</v>
      </c>
      <c r="BU438" s="5" t="s">
        <v>232</v>
      </c>
      <c r="BV438" s="5" t="s">
        <v>254</v>
      </c>
      <c r="BW438" s="5" t="s">
        <v>254</v>
      </c>
      <c r="BX438" s="5" t="s">
        <v>254</v>
      </c>
      <c r="BY438" s="5" t="s">
        <v>254</v>
      </c>
      <c r="BZ438" s="5" t="s">
        <v>245</v>
      </c>
      <c r="CA438" s="5" t="s">
        <v>243</v>
      </c>
      <c r="CB438" s="5" t="s">
        <v>245</v>
      </c>
      <c r="CC438" s="5" t="s">
        <v>245</v>
      </c>
      <c r="CD438" s="5" t="s">
        <v>206</v>
      </c>
      <c r="CH438" s="5" t="s">
        <v>206</v>
      </c>
      <c r="CI438" s="5" t="s">
        <v>318</v>
      </c>
      <c r="CJ438" s="5">
        <v>8</v>
      </c>
      <c r="CK438" s="5" t="s">
        <v>223</v>
      </c>
      <c r="CU438" s="5" t="s">
        <v>206</v>
      </c>
      <c r="DA438" s="5" t="s">
        <v>252</v>
      </c>
      <c r="DB438" s="5">
        <f t="shared" si="1328"/>
        <v>3</v>
      </c>
      <c r="DC438" s="5" t="s">
        <v>280</v>
      </c>
      <c r="DD438" s="5">
        <f t="shared" si="1329"/>
        <v>4</v>
      </c>
      <c r="DE438" s="5" t="s">
        <v>280</v>
      </c>
      <c r="DF438" s="5">
        <f t="shared" si="1330"/>
        <v>4</v>
      </c>
      <c r="DG438" s="5" t="s">
        <v>250</v>
      </c>
      <c r="DH438" s="5">
        <f t="shared" si="1331"/>
        <v>3</v>
      </c>
      <c r="DI438" s="5" t="s">
        <v>280</v>
      </c>
      <c r="DJ438" s="5">
        <f t="shared" si="1332"/>
        <v>4</v>
      </c>
      <c r="DK438" s="5" t="s">
        <v>250</v>
      </c>
      <c r="DL438" s="5">
        <f t="shared" si="1333"/>
        <v>3</v>
      </c>
      <c r="DM438" s="5" t="s">
        <v>250</v>
      </c>
      <c r="DN438" s="5">
        <f t="shared" si="1334"/>
        <v>3</v>
      </c>
      <c r="DO438" s="5" t="s">
        <v>252</v>
      </c>
      <c r="DP438" s="5">
        <f t="shared" si="1335"/>
        <v>3</v>
      </c>
      <c r="DQ438" s="5" t="s">
        <v>229</v>
      </c>
      <c r="DR438" s="5">
        <f t="shared" si="1336"/>
        <v>4</v>
      </c>
      <c r="DS438" s="5" t="s">
        <v>252</v>
      </c>
      <c r="DT438" s="5">
        <f t="shared" si="1337"/>
        <v>3</v>
      </c>
      <c r="DU438" s="5" t="s">
        <v>252</v>
      </c>
      <c r="DV438" s="5">
        <f t="shared" si="1338"/>
        <v>3</v>
      </c>
      <c r="DW438" s="5" t="s">
        <v>229</v>
      </c>
      <c r="DX438" s="5">
        <f t="shared" si="1339"/>
        <v>4</v>
      </c>
      <c r="DY438" s="5">
        <f t="shared" si="1340"/>
        <v>41</v>
      </c>
      <c r="DZ438" s="5" t="str">
        <f t="shared" si="1341"/>
        <v>Nivel de riesgo alto</v>
      </c>
      <c r="EA438" s="5" t="s">
        <v>253</v>
      </c>
      <c r="EB438" s="5">
        <f t="shared" si="1342"/>
        <v>0</v>
      </c>
      <c r="EC438" s="5" t="s">
        <v>247</v>
      </c>
      <c r="ED438" s="5">
        <f t="shared" si="1343"/>
        <v>2</v>
      </c>
      <c r="EE438" s="5" t="s">
        <v>253</v>
      </c>
      <c r="EF438" s="5">
        <f t="shared" si="1344"/>
        <v>0</v>
      </c>
      <c r="EG438" s="5">
        <f t="shared" si="1345"/>
        <v>2</v>
      </c>
      <c r="EH438" s="5" t="str">
        <f t="shared" si="1346"/>
        <v>Nivel de riesgo medio</v>
      </c>
      <c r="EI438" s="5" t="s">
        <v>248</v>
      </c>
      <c r="EJ438" s="5">
        <f t="shared" si="1347"/>
        <v>1</v>
      </c>
      <c r="EK438" s="5" t="s">
        <v>248</v>
      </c>
      <c r="EL438" s="5">
        <f t="shared" si="1348"/>
        <v>1</v>
      </c>
      <c r="EM438" s="5" t="s">
        <v>232</v>
      </c>
      <c r="EN438" s="5">
        <f t="shared" si="1349"/>
        <v>3</v>
      </c>
      <c r="EO438" s="5">
        <f t="shared" si="1350"/>
        <v>5</v>
      </c>
      <c r="EP438" s="5" t="str">
        <f t="shared" si="1351"/>
        <v>Nivel de riesgo medio</v>
      </c>
      <c r="EQ438" s="5" t="s">
        <v>248</v>
      </c>
      <c r="ER438" s="5">
        <f t="shared" si="1352"/>
        <v>3</v>
      </c>
      <c r="ES438" s="5" t="s">
        <v>232</v>
      </c>
      <c r="ET438" s="5">
        <f t="shared" si="1353"/>
        <v>1</v>
      </c>
      <c r="EU438" s="5" t="s">
        <v>247</v>
      </c>
      <c r="EV438" s="5">
        <f t="shared" si="1354"/>
        <v>2</v>
      </c>
      <c r="EW438" s="5" t="s">
        <v>254</v>
      </c>
      <c r="EX438" s="5">
        <f t="shared" si="1355"/>
        <v>0</v>
      </c>
      <c r="EY438" s="5">
        <f t="shared" si="1356"/>
        <v>6</v>
      </c>
      <c r="EZ438" s="5" t="str">
        <f t="shared" si="1357"/>
        <v>Nivel de riesgo alto</v>
      </c>
      <c r="FA438" s="5" t="s">
        <v>253</v>
      </c>
      <c r="FB438" s="5">
        <f t="shared" si="1358"/>
        <v>0</v>
      </c>
      <c r="FC438" s="5" t="s">
        <v>253</v>
      </c>
      <c r="FD438" s="5">
        <f t="shared" si="1359"/>
        <v>0</v>
      </c>
      <c r="FE438" s="5" t="s">
        <v>253</v>
      </c>
      <c r="FF438" s="5">
        <f t="shared" si="1360"/>
        <v>0</v>
      </c>
      <c r="FG438" s="5">
        <f t="shared" si="1361"/>
        <v>0</v>
      </c>
      <c r="FH438" s="5" t="str">
        <f t="shared" si="1362"/>
        <v>Nivel de riesgo bajo</v>
      </c>
      <c r="FI438" s="5" t="s">
        <v>248</v>
      </c>
      <c r="FJ438" s="5">
        <f t="shared" si="1363"/>
        <v>1</v>
      </c>
      <c r="FK438" s="5" t="s">
        <v>248</v>
      </c>
      <c r="FL438" s="5">
        <f t="shared" si="1364"/>
        <v>1</v>
      </c>
      <c r="FM438" s="5" t="s">
        <v>248</v>
      </c>
      <c r="FN438" s="5">
        <f t="shared" si="1365"/>
        <v>1</v>
      </c>
      <c r="FO438" s="5">
        <f t="shared" si="1366"/>
        <v>3</v>
      </c>
      <c r="FP438" s="5" t="str">
        <f t="shared" si="1367"/>
        <v>Nivel de riesgo medio</v>
      </c>
      <c r="FQ438" s="5" t="s">
        <v>206</v>
      </c>
      <c r="FR438" s="5">
        <f t="shared" si="1368"/>
        <v>0</v>
      </c>
      <c r="FS438" s="5" t="s">
        <v>206</v>
      </c>
      <c r="FT438" s="5">
        <f t="shared" si="1369"/>
        <v>0</v>
      </c>
      <c r="FU438" s="5" t="s">
        <v>206</v>
      </c>
      <c r="FV438" s="5">
        <f t="shared" si="1370"/>
        <v>0</v>
      </c>
      <c r="FW438" s="5" t="s">
        <v>206</v>
      </c>
      <c r="FX438" s="5">
        <f t="shared" si="1371"/>
        <v>0</v>
      </c>
      <c r="FY438" s="5" t="s">
        <v>206</v>
      </c>
      <c r="FZ438" s="5">
        <f t="shared" si="1372"/>
        <v>0</v>
      </c>
      <c r="GA438" s="5" t="s">
        <v>206</v>
      </c>
      <c r="GB438" s="5">
        <f t="shared" si="1373"/>
        <v>0</v>
      </c>
      <c r="GC438" s="5" t="s">
        <v>265</v>
      </c>
      <c r="GD438" s="5">
        <f t="shared" si="1374"/>
        <v>1</v>
      </c>
      <c r="GE438" s="5">
        <f t="shared" si="1375"/>
        <v>1</v>
      </c>
      <c r="GF438" s="5" t="str">
        <f t="shared" si="1376"/>
        <v>Nivel de riesgo medio</v>
      </c>
      <c r="GG438" s="5" t="s">
        <v>255</v>
      </c>
      <c r="GH438" s="5" t="s">
        <v>298</v>
      </c>
      <c r="GI438" s="5" t="s">
        <v>255</v>
      </c>
      <c r="GJ438" s="5" t="s">
        <v>255</v>
      </c>
      <c r="GK438" s="5" t="s">
        <v>255</v>
      </c>
      <c r="GL438" s="5" t="s">
        <v>255</v>
      </c>
      <c r="GM438" s="5" t="s">
        <v>233</v>
      </c>
      <c r="GN438" s="5" t="s">
        <v>257</v>
      </c>
      <c r="GO438" s="5" t="s">
        <v>257</v>
      </c>
      <c r="GP438" s="5" t="s">
        <v>257</v>
      </c>
      <c r="GQ438" s="5" t="s">
        <v>257</v>
      </c>
      <c r="GR438" s="5" t="s">
        <v>257</v>
      </c>
      <c r="GS438" s="5" t="s">
        <v>257</v>
      </c>
      <c r="GT438" s="5" t="s">
        <v>257</v>
      </c>
      <c r="GU438" s="5" t="s">
        <v>806</v>
      </c>
      <c r="GV438" s="5" t="str">
        <f>TEXT("6290094247115797876","0")</f>
        <v>6290094247115790000</v>
      </c>
    </row>
    <row r="439" spans="1:204" ht="15.75" customHeight="1" x14ac:dyDescent="0.15">
      <c r="A439" s="1">
        <f t="shared" si="1326"/>
        <v>439</v>
      </c>
      <c r="B439" s="4">
        <v>45860.505370370367</v>
      </c>
      <c r="C439" s="5" t="s">
        <v>204</v>
      </c>
      <c r="D439" s="5" t="s">
        <v>206</v>
      </c>
      <c r="F439" s="5" t="s">
        <v>206</v>
      </c>
      <c r="G439" s="5" t="s">
        <v>206</v>
      </c>
      <c r="H439" s="5" t="s">
        <v>206</v>
      </c>
      <c r="J439" s="5" t="s">
        <v>209</v>
      </c>
      <c r="O439" s="5" t="s">
        <v>209</v>
      </c>
      <c r="S439" s="5" t="s">
        <v>208</v>
      </c>
      <c r="Z439" s="5" t="s">
        <v>237</v>
      </c>
      <c r="AC439" s="5" t="s">
        <v>208</v>
      </c>
      <c r="AH439" s="5" t="s">
        <v>210</v>
      </c>
      <c r="AI439" s="5">
        <v>2022</v>
      </c>
      <c r="AJ439" s="5" t="s">
        <v>238</v>
      </c>
      <c r="AK439" s="5" t="str">
        <f t="shared" si="1327"/>
        <v>Trabajadora por cuenta propia</v>
      </c>
      <c r="AL439" s="5" t="s">
        <v>239</v>
      </c>
      <c r="AP439" s="5" t="s">
        <v>297</v>
      </c>
      <c r="AR439" s="5" t="s">
        <v>261</v>
      </c>
      <c r="AS439" s="5" t="s">
        <v>261</v>
      </c>
      <c r="AT439" s="5" t="s">
        <v>276</v>
      </c>
      <c r="AU439" s="5" t="s">
        <v>276</v>
      </c>
      <c r="AV439" s="5" t="s">
        <v>213</v>
      </c>
      <c r="AW439" s="5" t="s">
        <v>206</v>
      </c>
      <c r="BF439" s="5" t="s">
        <v>204</v>
      </c>
      <c r="BG439" s="5" t="s">
        <v>207</v>
      </c>
      <c r="BH439" s="5" t="s">
        <v>242</v>
      </c>
      <c r="BI439" s="5" t="s">
        <v>207</v>
      </c>
      <c r="BJ439" s="5" t="s">
        <v>242</v>
      </c>
      <c r="BK439" s="5" t="s">
        <v>246</v>
      </c>
      <c r="BL439" s="5" t="s">
        <v>246</v>
      </c>
      <c r="BM439" s="5" t="s">
        <v>246</v>
      </c>
      <c r="BN439" s="5" t="s">
        <v>246</v>
      </c>
      <c r="BO439" s="5" t="s">
        <v>246</v>
      </c>
      <c r="BP439" s="5" t="s">
        <v>246</v>
      </c>
      <c r="BQ439" s="5" t="s">
        <v>246</v>
      </c>
      <c r="BR439" s="5" t="s">
        <v>246</v>
      </c>
      <c r="BS439" s="5" t="s">
        <v>247</v>
      </c>
      <c r="BT439" s="5" t="s">
        <v>247</v>
      </c>
      <c r="BU439" s="5" t="s">
        <v>247</v>
      </c>
      <c r="BV439" s="5" t="s">
        <v>247</v>
      </c>
      <c r="BW439" s="5" t="s">
        <v>247</v>
      </c>
      <c r="BX439" s="5" t="s">
        <v>247</v>
      </c>
      <c r="BY439" s="5" t="s">
        <v>247</v>
      </c>
      <c r="CD439" s="5" t="s">
        <v>206</v>
      </c>
      <c r="CH439" s="5" t="s">
        <v>206</v>
      </c>
      <c r="CI439" s="5" t="s">
        <v>249</v>
      </c>
      <c r="CJ439" s="5">
        <v>4</v>
      </c>
      <c r="CK439" s="5" t="s">
        <v>223</v>
      </c>
      <c r="CU439" s="5" t="s">
        <v>206</v>
      </c>
      <c r="DA439" s="5" t="s">
        <v>229</v>
      </c>
      <c r="DB439" s="5">
        <f t="shared" si="1328"/>
        <v>4</v>
      </c>
      <c r="DC439" s="5" t="s">
        <v>250</v>
      </c>
      <c r="DD439" s="5">
        <f t="shared" si="1329"/>
        <v>3</v>
      </c>
      <c r="DE439" s="5" t="s">
        <v>250</v>
      </c>
      <c r="DF439" s="5">
        <f t="shared" si="1330"/>
        <v>3</v>
      </c>
      <c r="DG439" s="5" t="s">
        <v>250</v>
      </c>
      <c r="DH439" s="5">
        <f t="shared" si="1331"/>
        <v>3</v>
      </c>
      <c r="DI439" s="5" t="s">
        <v>250</v>
      </c>
      <c r="DJ439" s="5">
        <f t="shared" si="1332"/>
        <v>3</v>
      </c>
      <c r="DK439" s="5" t="s">
        <v>250</v>
      </c>
      <c r="DL439" s="5">
        <f t="shared" si="1333"/>
        <v>3</v>
      </c>
      <c r="DM439" s="5" t="s">
        <v>250</v>
      </c>
      <c r="DN439" s="5">
        <f t="shared" si="1334"/>
        <v>3</v>
      </c>
      <c r="DO439" s="5" t="s">
        <v>252</v>
      </c>
      <c r="DP439" s="5">
        <f t="shared" si="1335"/>
        <v>3</v>
      </c>
      <c r="DQ439" s="5" t="s">
        <v>252</v>
      </c>
      <c r="DR439" s="5">
        <f t="shared" si="1336"/>
        <v>3</v>
      </c>
      <c r="DS439" s="5" t="s">
        <v>252</v>
      </c>
      <c r="DT439" s="5">
        <f t="shared" si="1337"/>
        <v>3</v>
      </c>
      <c r="DU439" s="5" t="s">
        <v>252</v>
      </c>
      <c r="DV439" s="5">
        <f t="shared" si="1338"/>
        <v>3</v>
      </c>
      <c r="DW439" s="5" t="s">
        <v>252</v>
      </c>
      <c r="DX439" s="5">
        <f t="shared" si="1339"/>
        <v>3</v>
      </c>
      <c r="DY439" s="5">
        <f t="shared" si="1340"/>
        <v>37</v>
      </c>
      <c r="DZ439" s="5" t="str">
        <f t="shared" si="1341"/>
        <v>Nivel de riesgo alto</v>
      </c>
      <c r="EA439" s="5" t="s">
        <v>232</v>
      </c>
      <c r="EB439" s="5">
        <f t="shared" si="1342"/>
        <v>3</v>
      </c>
      <c r="EC439" s="5" t="s">
        <v>232</v>
      </c>
      <c r="ED439" s="5">
        <f t="shared" si="1343"/>
        <v>3</v>
      </c>
      <c r="EE439" s="5" t="s">
        <v>232</v>
      </c>
      <c r="EF439" s="5">
        <f t="shared" si="1344"/>
        <v>3</v>
      </c>
      <c r="EG439" s="5">
        <f t="shared" si="1345"/>
        <v>9</v>
      </c>
      <c r="EH439" s="5" t="str">
        <f t="shared" si="1346"/>
        <v>Nivel de riesgo alto</v>
      </c>
      <c r="EI439" s="5" t="s">
        <v>232</v>
      </c>
      <c r="EJ439" s="5">
        <f t="shared" si="1347"/>
        <v>3</v>
      </c>
      <c r="EK439" s="5" t="s">
        <v>232</v>
      </c>
      <c r="EL439" s="5">
        <f t="shared" si="1348"/>
        <v>3</v>
      </c>
      <c r="EM439" s="5" t="s">
        <v>232</v>
      </c>
      <c r="EN439" s="5">
        <f t="shared" si="1349"/>
        <v>3</v>
      </c>
      <c r="EO439" s="5">
        <f t="shared" si="1350"/>
        <v>9</v>
      </c>
      <c r="EP439" s="5" t="str">
        <f t="shared" si="1351"/>
        <v>Nivel de riesgo alto</v>
      </c>
      <c r="EQ439" s="5" t="s">
        <v>232</v>
      </c>
      <c r="ER439" s="5">
        <f t="shared" si="1352"/>
        <v>1</v>
      </c>
      <c r="ES439" s="5" t="s">
        <v>232</v>
      </c>
      <c r="ET439" s="5">
        <f t="shared" si="1353"/>
        <v>1</v>
      </c>
      <c r="EU439" s="5" t="s">
        <v>232</v>
      </c>
      <c r="EV439" s="5">
        <f t="shared" si="1354"/>
        <v>1</v>
      </c>
      <c r="EW439" s="5" t="s">
        <v>232</v>
      </c>
      <c r="EX439" s="5">
        <f t="shared" si="1355"/>
        <v>1</v>
      </c>
      <c r="EY439" s="5">
        <f t="shared" si="1356"/>
        <v>4</v>
      </c>
      <c r="EZ439" s="5" t="str">
        <f t="shared" si="1357"/>
        <v>Nivel de riesgo medio</v>
      </c>
      <c r="FA439" s="5" t="s">
        <v>232</v>
      </c>
      <c r="FB439" s="5">
        <f t="shared" si="1358"/>
        <v>3</v>
      </c>
      <c r="FC439" s="5" t="s">
        <v>232</v>
      </c>
      <c r="FD439" s="5">
        <f t="shared" si="1359"/>
        <v>3</v>
      </c>
      <c r="FE439" s="5" t="s">
        <v>232</v>
      </c>
      <c r="FF439" s="5">
        <f t="shared" si="1360"/>
        <v>3</v>
      </c>
      <c r="FG439" s="5">
        <f t="shared" si="1361"/>
        <v>9</v>
      </c>
      <c r="FH439" s="5" t="str">
        <f t="shared" si="1362"/>
        <v>Nivel de riesgo alto</v>
      </c>
      <c r="FI439" s="5" t="s">
        <v>232</v>
      </c>
      <c r="FJ439" s="5">
        <f t="shared" si="1363"/>
        <v>3</v>
      </c>
      <c r="FK439" s="5" t="s">
        <v>232</v>
      </c>
      <c r="FL439" s="5">
        <f t="shared" si="1364"/>
        <v>3</v>
      </c>
      <c r="FM439" s="5" t="s">
        <v>232</v>
      </c>
      <c r="FN439" s="5">
        <f t="shared" si="1365"/>
        <v>3</v>
      </c>
      <c r="FO439" s="5">
        <f t="shared" si="1366"/>
        <v>9</v>
      </c>
      <c r="FP439" s="5" t="str">
        <f t="shared" si="1367"/>
        <v>Nivel de riesgo alto</v>
      </c>
      <c r="FQ439" s="5" t="s">
        <v>206</v>
      </c>
      <c r="FR439" s="5">
        <f t="shared" si="1368"/>
        <v>0</v>
      </c>
      <c r="FS439" s="5" t="s">
        <v>206</v>
      </c>
      <c r="FT439" s="5">
        <f t="shared" si="1369"/>
        <v>0</v>
      </c>
      <c r="FU439" s="5" t="s">
        <v>206</v>
      </c>
      <c r="FV439" s="5">
        <f t="shared" si="1370"/>
        <v>0</v>
      </c>
      <c r="FW439" s="5" t="s">
        <v>206</v>
      </c>
      <c r="FX439" s="5">
        <f t="shared" si="1371"/>
        <v>0</v>
      </c>
      <c r="FY439" s="5" t="s">
        <v>206</v>
      </c>
      <c r="FZ439" s="5">
        <f t="shared" si="1372"/>
        <v>0</v>
      </c>
      <c r="GA439" s="5" t="s">
        <v>206</v>
      </c>
      <c r="GB439" s="5">
        <f t="shared" si="1373"/>
        <v>0</v>
      </c>
      <c r="GC439" s="5" t="s">
        <v>206</v>
      </c>
      <c r="GD439" s="5">
        <f t="shared" si="1374"/>
        <v>0</v>
      </c>
      <c r="GE439" s="5">
        <f t="shared" si="1375"/>
        <v>0</v>
      </c>
      <c r="GF439" s="5" t="str">
        <f t="shared" si="1376"/>
        <v>Nivel de riesgo bajo</v>
      </c>
      <c r="GG439" s="5" t="s">
        <v>266</v>
      </c>
      <c r="GH439" s="5" t="s">
        <v>266</v>
      </c>
      <c r="GI439" s="5" t="s">
        <v>266</v>
      </c>
      <c r="GJ439" s="5" t="s">
        <v>266</v>
      </c>
      <c r="GK439" s="5" t="s">
        <v>266</v>
      </c>
      <c r="GL439" s="5" t="s">
        <v>266</v>
      </c>
      <c r="GM439" s="5" t="s">
        <v>266</v>
      </c>
      <c r="GN439" s="5" t="s">
        <v>243</v>
      </c>
      <c r="GO439" s="5" t="s">
        <v>243</v>
      </c>
      <c r="GP439" s="5" t="s">
        <v>243</v>
      </c>
      <c r="GQ439" s="5" t="s">
        <v>243</v>
      </c>
      <c r="GR439" s="5" t="s">
        <v>243</v>
      </c>
      <c r="GS439" s="5" t="s">
        <v>243</v>
      </c>
      <c r="GT439" s="5" t="s">
        <v>243</v>
      </c>
      <c r="GU439" s="5" t="s">
        <v>807</v>
      </c>
      <c r="GV439" s="5" t="str">
        <f>TEXT("6290096649424922184","0")</f>
        <v>6290096649424920000</v>
      </c>
    </row>
    <row r="440" spans="1:204" ht="15.75" customHeight="1" x14ac:dyDescent="0.15">
      <c r="A440" s="1">
        <f t="shared" si="1326"/>
        <v>440</v>
      </c>
      <c r="B440" s="4">
        <v>45860.507870370369</v>
      </c>
      <c r="C440" s="5" t="s">
        <v>204</v>
      </c>
      <c r="D440" s="5" t="s">
        <v>204</v>
      </c>
      <c r="E440" s="5" t="s">
        <v>335</v>
      </c>
      <c r="F440" s="5" t="s">
        <v>206</v>
      </c>
      <c r="G440" s="5" t="s">
        <v>206</v>
      </c>
      <c r="H440" s="5" t="s">
        <v>206</v>
      </c>
      <c r="K440" s="5" t="s">
        <v>237</v>
      </c>
      <c r="O440" s="5" t="s">
        <v>209</v>
      </c>
      <c r="T440" s="5" t="s">
        <v>209</v>
      </c>
      <c r="AB440" s="5" t="s">
        <v>207</v>
      </c>
      <c r="AE440" s="5" t="s">
        <v>237</v>
      </c>
      <c r="AH440" s="5" t="s">
        <v>210</v>
      </c>
      <c r="AI440" s="5">
        <v>1985</v>
      </c>
      <c r="AJ440" s="5" t="s">
        <v>238</v>
      </c>
      <c r="AK440" s="5" t="str">
        <f t="shared" si="1327"/>
        <v>Trabajadora por cuenta propia</v>
      </c>
      <c r="AM440" s="5" t="s">
        <v>309</v>
      </c>
      <c r="AP440" s="5" t="s">
        <v>240</v>
      </c>
      <c r="AR440" s="5" t="s">
        <v>261</v>
      </c>
      <c r="AS440" s="5" t="s">
        <v>261</v>
      </c>
      <c r="AT440" s="5" t="s">
        <v>261</v>
      </c>
      <c r="AU440" s="5" t="s">
        <v>261</v>
      </c>
      <c r="AV440" s="5" t="s">
        <v>285</v>
      </c>
      <c r="AW440" s="5" t="s">
        <v>204</v>
      </c>
      <c r="AX440" s="5" t="s">
        <v>206</v>
      </c>
      <c r="BF440" s="5" t="s">
        <v>204</v>
      </c>
      <c r="BG440" s="5" t="s">
        <v>207</v>
      </c>
      <c r="BH440" s="5" t="s">
        <v>215</v>
      </c>
      <c r="BI440" s="5" t="s">
        <v>271</v>
      </c>
      <c r="BJ440" s="5" t="s">
        <v>215</v>
      </c>
      <c r="BK440" s="5" t="s">
        <v>246</v>
      </c>
      <c r="BL440" s="5" t="s">
        <v>246</v>
      </c>
      <c r="BM440" s="5" t="s">
        <v>216</v>
      </c>
      <c r="BN440" s="5" t="s">
        <v>216</v>
      </c>
      <c r="BO440" s="5" t="s">
        <v>246</v>
      </c>
      <c r="BP440" s="5" t="s">
        <v>246</v>
      </c>
      <c r="BQ440" s="5" t="s">
        <v>246</v>
      </c>
      <c r="BR440" s="5" t="s">
        <v>216</v>
      </c>
      <c r="BS440" s="5" t="s">
        <v>217</v>
      </c>
      <c r="BT440" s="5" t="s">
        <v>217</v>
      </c>
      <c r="BU440" s="5" t="s">
        <v>248</v>
      </c>
      <c r="BV440" s="5" t="s">
        <v>248</v>
      </c>
      <c r="BW440" s="5" t="s">
        <v>217</v>
      </c>
      <c r="BX440" s="5" t="s">
        <v>217</v>
      </c>
      <c r="BY440" s="5" t="s">
        <v>217</v>
      </c>
      <c r="BZ440" s="5" t="s">
        <v>216</v>
      </c>
      <c r="CA440" s="5" t="s">
        <v>216</v>
      </c>
      <c r="CB440" s="5" t="s">
        <v>216</v>
      </c>
      <c r="CC440" s="5" t="s">
        <v>246</v>
      </c>
      <c r="CD440" s="5" t="s">
        <v>206</v>
      </c>
      <c r="CH440" s="5" t="s">
        <v>206</v>
      </c>
      <c r="CI440" s="5" t="s">
        <v>206</v>
      </c>
      <c r="CJ440" s="5">
        <v>0</v>
      </c>
      <c r="CK440" s="5" t="s">
        <v>223</v>
      </c>
      <c r="CU440" s="5" t="s">
        <v>206</v>
      </c>
      <c r="DA440" s="5" t="s">
        <v>231</v>
      </c>
      <c r="DB440" s="5">
        <f t="shared" si="1328"/>
        <v>2</v>
      </c>
      <c r="DC440" s="5" t="s">
        <v>251</v>
      </c>
      <c r="DD440" s="5">
        <f t="shared" si="1329"/>
        <v>1</v>
      </c>
      <c r="DE440" s="5" t="s">
        <v>251</v>
      </c>
      <c r="DF440" s="5">
        <f t="shared" si="1330"/>
        <v>1</v>
      </c>
      <c r="DG440" s="5" t="s">
        <v>251</v>
      </c>
      <c r="DH440" s="5">
        <f t="shared" si="1331"/>
        <v>1</v>
      </c>
      <c r="DI440" s="5" t="s">
        <v>251</v>
      </c>
      <c r="DJ440" s="5">
        <f t="shared" si="1332"/>
        <v>1</v>
      </c>
      <c r="DK440" s="5" t="s">
        <v>251</v>
      </c>
      <c r="DL440" s="5">
        <f t="shared" si="1333"/>
        <v>1</v>
      </c>
      <c r="DM440" s="5" t="s">
        <v>251</v>
      </c>
      <c r="DN440" s="5">
        <f t="shared" si="1334"/>
        <v>1</v>
      </c>
      <c r="DO440" s="5" t="s">
        <v>281</v>
      </c>
      <c r="DP440" s="5">
        <f t="shared" si="1335"/>
        <v>1</v>
      </c>
      <c r="DQ440" s="5" t="s">
        <v>281</v>
      </c>
      <c r="DR440" s="5">
        <f t="shared" si="1336"/>
        <v>1</v>
      </c>
      <c r="DS440" s="5" t="s">
        <v>281</v>
      </c>
      <c r="DT440" s="5">
        <f t="shared" si="1337"/>
        <v>1</v>
      </c>
      <c r="DU440" s="5" t="s">
        <v>281</v>
      </c>
      <c r="DV440" s="5">
        <f t="shared" si="1338"/>
        <v>1</v>
      </c>
      <c r="DW440" s="5" t="s">
        <v>281</v>
      </c>
      <c r="DX440" s="5">
        <f t="shared" si="1339"/>
        <v>1</v>
      </c>
      <c r="DY440" s="5">
        <f t="shared" si="1340"/>
        <v>13</v>
      </c>
      <c r="DZ440" s="5" t="str">
        <f t="shared" si="1341"/>
        <v>Nivel de riesgo bajo</v>
      </c>
      <c r="EA440" s="5" t="s">
        <v>248</v>
      </c>
      <c r="EB440" s="5">
        <f t="shared" si="1342"/>
        <v>1</v>
      </c>
      <c r="EC440" s="5" t="s">
        <v>248</v>
      </c>
      <c r="ED440" s="5">
        <f t="shared" si="1343"/>
        <v>1</v>
      </c>
      <c r="EE440" s="5" t="s">
        <v>253</v>
      </c>
      <c r="EF440" s="5">
        <f t="shared" si="1344"/>
        <v>0</v>
      </c>
      <c r="EG440" s="5">
        <f t="shared" si="1345"/>
        <v>2</v>
      </c>
      <c r="EH440" s="5" t="str">
        <f t="shared" si="1346"/>
        <v>Nivel de riesgo medio</v>
      </c>
      <c r="EI440" s="5" t="s">
        <v>253</v>
      </c>
      <c r="EJ440" s="5">
        <f t="shared" si="1347"/>
        <v>0</v>
      </c>
      <c r="EK440" s="5" t="s">
        <v>253</v>
      </c>
      <c r="EL440" s="5">
        <f t="shared" si="1348"/>
        <v>0</v>
      </c>
      <c r="EM440" s="5" t="s">
        <v>248</v>
      </c>
      <c r="EN440" s="5">
        <f t="shared" si="1349"/>
        <v>1</v>
      </c>
      <c r="EO440" s="5">
        <f t="shared" si="1350"/>
        <v>1</v>
      </c>
      <c r="EP440" s="5" t="str">
        <f t="shared" si="1351"/>
        <v>Nivel de riesgo bajo</v>
      </c>
      <c r="EQ440" s="5" t="s">
        <v>248</v>
      </c>
      <c r="ER440" s="5">
        <f t="shared" si="1352"/>
        <v>3</v>
      </c>
      <c r="ES440" s="5" t="s">
        <v>248</v>
      </c>
      <c r="ET440" s="5">
        <f t="shared" si="1353"/>
        <v>3</v>
      </c>
      <c r="EU440" s="5" t="s">
        <v>254</v>
      </c>
      <c r="EV440" s="5">
        <f t="shared" si="1354"/>
        <v>0</v>
      </c>
      <c r="EW440" s="5" t="s">
        <v>254</v>
      </c>
      <c r="EX440" s="5">
        <f t="shared" si="1355"/>
        <v>0</v>
      </c>
      <c r="EY440" s="5">
        <f t="shared" si="1356"/>
        <v>6</v>
      </c>
      <c r="EZ440" s="5" t="str">
        <f t="shared" si="1357"/>
        <v>Nivel de riesgo alto</v>
      </c>
      <c r="FA440" s="5" t="s">
        <v>253</v>
      </c>
      <c r="FB440" s="5">
        <f t="shared" si="1358"/>
        <v>0</v>
      </c>
      <c r="FC440" s="5" t="s">
        <v>253</v>
      </c>
      <c r="FD440" s="5">
        <f t="shared" si="1359"/>
        <v>0</v>
      </c>
      <c r="FE440" s="5" t="s">
        <v>253</v>
      </c>
      <c r="FF440" s="5">
        <f t="shared" si="1360"/>
        <v>0</v>
      </c>
      <c r="FG440" s="5">
        <f t="shared" si="1361"/>
        <v>0</v>
      </c>
      <c r="FH440" s="5" t="str">
        <f t="shared" si="1362"/>
        <v>Nivel de riesgo bajo</v>
      </c>
      <c r="FI440" s="5" t="s">
        <v>248</v>
      </c>
      <c r="FJ440" s="5">
        <f t="shared" si="1363"/>
        <v>1</v>
      </c>
      <c r="FK440" s="5" t="s">
        <v>253</v>
      </c>
      <c r="FL440" s="5">
        <f t="shared" si="1364"/>
        <v>0</v>
      </c>
      <c r="FM440" s="5" t="s">
        <v>253</v>
      </c>
      <c r="FN440" s="5">
        <f t="shared" si="1365"/>
        <v>0</v>
      </c>
      <c r="FO440" s="5">
        <f t="shared" si="1366"/>
        <v>1</v>
      </c>
      <c r="FP440" s="5" t="str">
        <f t="shared" si="1367"/>
        <v>Nivel de riesgo bajo</v>
      </c>
      <c r="FQ440" s="5" t="s">
        <v>206</v>
      </c>
      <c r="FR440" s="5">
        <f t="shared" si="1368"/>
        <v>0</v>
      </c>
      <c r="FS440" s="5" t="s">
        <v>206</v>
      </c>
      <c r="FT440" s="5">
        <f t="shared" si="1369"/>
        <v>0</v>
      </c>
      <c r="FU440" s="5" t="s">
        <v>206</v>
      </c>
      <c r="FV440" s="5">
        <f t="shared" si="1370"/>
        <v>0</v>
      </c>
      <c r="FW440" s="5" t="s">
        <v>206</v>
      </c>
      <c r="FX440" s="5">
        <f t="shared" si="1371"/>
        <v>0</v>
      </c>
      <c r="FY440" s="5" t="s">
        <v>206</v>
      </c>
      <c r="FZ440" s="5">
        <f t="shared" si="1372"/>
        <v>0</v>
      </c>
      <c r="GA440" s="5" t="s">
        <v>206</v>
      </c>
      <c r="GB440" s="5">
        <f t="shared" si="1373"/>
        <v>0</v>
      </c>
      <c r="GC440" s="5" t="s">
        <v>206</v>
      </c>
      <c r="GD440" s="5">
        <f t="shared" si="1374"/>
        <v>0</v>
      </c>
      <c r="GE440" s="5">
        <f t="shared" si="1375"/>
        <v>0</v>
      </c>
      <c r="GF440" s="5" t="str">
        <f t="shared" si="1376"/>
        <v>Nivel de riesgo bajo</v>
      </c>
      <c r="GG440" s="5" t="s">
        <v>273</v>
      </c>
      <c r="GH440" s="5" t="s">
        <v>266</v>
      </c>
      <c r="GI440" s="5" t="s">
        <v>273</v>
      </c>
      <c r="GJ440" s="5" t="s">
        <v>298</v>
      </c>
      <c r="GK440" s="5" t="s">
        <v>233</v>
      </c>
      <c r="GL440" s="5" t="s">
        <v>233</v>
      </c>
      <c r="GM440" s="5" t="s">
        <v>233</v>
      </c>
      <c r="GN440" s="5" t="s">
        <v>256</v>
      </c>
      <c r="GO440" s="5" t="s">
        <v>256</v>
      </c>
      <c r="GP440" s="5" t="s">
        <v>256</v>
      </c>
      <c r="GQ440" s="5" t="s">
        <v>256</v>
      </c>
      <c r="GR440" s="5" t="s">
        <v>256</v>
      </c>
      <c r="GS440" s="5" t="s">
        <v>257</v>
      </c>
      <c r="GT440" s="5" t="s">
        <v>256</v>
      </c>
      <c r="GU440" s="5" t="s">
        <v>808</v>
      </c>
      <c r="GV440" s="5" t="str">
        <f>TEXT("6290098804551324805","0")</f>
        <v>6290098804551320000</v>
      </c>
    </row>
    <row r="441" spans="1:204" ht="15.75" customHeight="1" x14ac:dyDescent="0.15">
      <c r="A441" s="1">
        <f t="shared" si="1326"/>
        <v>441</v>
      </c>
      <c r="B441" s="4">
        <v>45860.508194444446</v>
      </c>
      <c r="C441" s="5" t="s">
        <v>204</v>
      </c>
      <c r="D441" s="5" t="s">
        <v>206</v>
      </c>
      <c r="F441" s="5" t="s">
        <v>204</v>
      </c>
      <c r="G441" s="5" t="s">
        <v>204</v>
      </c>
      <c r="H441" s="5" t="s">
        <v>206</v>
      </c>
      <c r="L441" s="5" t="s">
        <v>236</v>
      </c>
      <c r="P441" s="5" t="s">
        <v>237</v>
      </c>
      <c r="T441" s="5" t="s">
        <v>209</v>
      </c>
      <c r="X441" s="5" t="s">
        <v>208</v>
      </c>
      <c r="AE441" s="5" t="s">
        <v>237</v>
      </c>
      <c r="AH441" s="5" t="s">
        <v>210</v>
      </c>
      <c r="AI441" s="5">
        <v>2022</v>
      </c>
      <c r="AJ441" s="5" t="s">
        <v>238</v>
      </c>
      <c r="AK441" s="5" t="str">
        <f t="shared" si="1327"/>
        <v>Trabajadora por cuenta propia</v>
      </c>
      <c r="AM441" s="5" t="s">
        <v>309</v>
      </c>
      <c r="AP441" s="5" t="s">
        <v>297</v>
      </c>
      <c r="AR441" s="5" t="s">
        <v>294</v>
      </c>
      <c r="AS441" s="5" t="s">
        <v>261</v>
      </c>
      <c r="AT441" s="5" t="s">
        <v>261</v>
      </c>
      <c r="AU441" s="5" t="s">
        <v>241</v>
      </c>
      <c r="AV441" s="5" t="s">
        <v>277</v>
      </c>
      <c r="AW441" s="5" t="s">
        <v>206</v>
      </c>
      <c r="BF441" s="5" t="s">
        <v>204</v>
      </c>
      <c r="BG441" s="5" t="s">
        <v>242</v>
      </c>
      <c r="BH441" s="5" t="s">
        <v>215</v>
      </c>
      <c r="BI441" s="5" t="s">
        <v>278</v>
      </c>
      <c r="BJ441" s="5" t="s">
        <v>242</v>
      </c>
      <c r="BK441" s="5" t="s">
        <v>245</v>
      </c>
      <c r="BL441" s="5" t="s">
        <v>243</v>
      </c>
      <c r="BM441" s="5" t="s">
        <v>243</v>
      </c>
      <c r="BN441" s="5" t="s">
        <v>243</v>
      </c>
      <c r="BO441" s="5" t="s">
        <v>244</v>
      </c>
      <c r="BP441" s="5" t="s">
        <v>245</v>
      </c>
      <c r="BQ441" s="5" t="s">
        <v>245</v>
      </c>
      <c r="BR441" s="5" t="s">
        <v>245</v>
      </c>
      <c r="BS441" s="5" t="s">
        <v>232</v>
      </c>
      <c r="BT441" s="5" t="s">
        <v>247</v>
      </c>
      <c r="BU441" s="5" t="s">
        <v>248</v>
      </c>
      <c r="BV441" s="5" t="s">
        <v>247</v>
      </c>
      <c r="BW441" s="5" t="s">
        <v>247</v>
      </c>
      <c r="BX441" s="5" t="s">
        <v>247</v>
      </c>
      <c r="BY441" s="5" t="s">
        <v>248</v>
      </c>
      <c r="CD441" s="5" t="s">
        <v>206</v>
      </c>
      <c r="CH441" s="5" t="s">
        <v>206</v>
      </c>
      <c r="CI441" s="5" t="s">
        <v>206</v>
      </c>
      <c r="CJ441" s="5">
        <v>0</v>
      </c>
      <c r="CK441" s="5" t="s">
        <v>223</v>
      </c>
      <c r="CU441" s="5" t="s">
        <v>206</v>
      </c>
      <c r="DA441" s="5" t="s">
        <v>229</v>
      </c>
      <c r="DB441" s="5">
        <f t="shared" si="1328"/>
        <v>4</v>
      </c>
      <c r="DC441" s="5" t="s">
        <v>230</v>
      </c>
      <c r="DD441" s="5">
        <f t="shared" si="1329"/>
        <v>2</v>
      </c>
      <c r="DE441" s="5" t="s">
        <v>280</v>
      </c>
      <c r="DF441" s="5">
        <f t="shared" si="1330"/>
        <v>4</v>
      </c>
      <c r="DG441" s="5" t="s">
        <v>250</v>
      </c>
      <c r="DH441" s="5">
        <f t="shared" si="1331"/>
        <v>3</v>
      </c>
      <c r="DI441" s="5" t="s">
        <v>280</v>
      </c>
      <c r="DJ441" s="5">
        <f t="shared" si="1332"/>
        <v>4</v>
      </c>
      <c r="DK441" s="5" t="s">
        <v>250</v>
      </c>
      <c r="DL441" s="5">
        <f t="shared" si="1333"/>
        <v>3</v>
      </c>
      <c r="DM441" s="5" t="s">
        <v>250</v>
      </c>
      <c r="DN441" s="5">
        <f t="shared" si="1334"/>
        <v>3</v>
      </c>
      <c r="DO441" s="5" t="s">
        <v>252</v>
      </c>
      <c r="DP441" s="5">
        <f t="shared" si="1335"/>
        <v>3</v>
      </c>
      <c r="DQ441" s="5" t="s">
        <v>231</v>
      </c>
      <c r="DR441" s="5">
        <f t="shared" si="1336"/>
        <v>2</v>
      </c>
      <c r="DS441" s="5" t="s">
        <v>231</v>
      </c>
      <c r="DT441" s="5">
        <f t="shared" si="1337"/>
        <v>2</v>
      </c>
      <c r="DU441" s="5" t="s">
        <v>281</v>
      </c>
      <c r="DV441" s="5">
        <f t="shared" si="1338"/>
        <v>1</v>
      </c>
      <c r="DW441" s="5" t="s">
        <v>252</v>
      </c>
      <c r="DX441" s="5">
        <f t="shared" si="1339"/>
        <v>3</v>
      </c>
      <c r="DY441" s="5">
        <f t="shared" si="1340"/>
        <v>34</v>
      </c>
      <c r="DZ441" s="5" t="str">
        <f t="shared" si="1341"/>
        <v>Nivel de riesgo alto</v>
      </c>
      <c r="EA441" s="5" t="s">
        <v>247</v>
      </c>
      <c r="EB441" s="5">
        <f t="shared" si="1342"/>
        <v>2</v>
      </c>
      <c r="EC441" s="5" t="s">
        <v>247</v>
      </c>
      <c r="ED441" s="5">
        <f t="shared" si="1343"/>
        <v>2</v>
      </c>
      <c r="EE441" s="5" t="s">
        <v>247</v>
      </c>
      <c r="EF441" s="5">
        <f t="shared" si="1344"/>
        <v>2</v>
      </c>
      <c r="EG441" s="5">
        <f t="shared" si="1345"/>
        <v>6</v>
      </c>
      <c r="EH441" s="5" t="str">
        <f t="shared" si="1346"/>
        <v>Nivel de riesgo alto</v>
      </c>
      <c r="EI441" s="5" t="s">
        <v>253</v>
      </c>
      <c r="EJ441" s="5">
        <f t="shared" si="1347"/>
        <v>0</v>
      </c>
      <c r="EK441" s="5" t="s">
        <v>248</v>
      </c>
      <c r="EL441" s="5">
        <f t="shared" si="1348"/>
        <v>1</v>
      </c>
      <c r="EM441" s="5" t="s">
        <v>254</v>
      </c>
      <c r="EN441" s="5">
        <f t="shared" si="1349"/>
        <v>4</v>
      </c>
      <c r="EO441" s="5">
        <f t="shared" si="1350"/>
        <v>5</v>
      </c>
      <c r="EP441" s="5" t="str">
        <f t="shared" si="1351"/>
        <v>Nivel de riesgo medio</v>
      </c>
      <c r="EQ441" s="5" t="s">
        <v>253</v>
      </c>
      <c r="ER441" s="5">
        <f t="shared" si="1352"/>
        <v>4</v>
      </c>
      <c r="ES441" s="5" t="s">
        <v>253</v>
      </c>
      <c r="ET441" s="5">
        <f t="shared" si="1353"/>
        <v>4</v>
      </c>
      <c r="EU441" s="5" t="s">
        <v>253</v>
      </c>
      <c r="EV441" s="5">
        <f t="shared" si="1354"/>
        <v>4</v>
      </c>
      <c r="EW441" s="5" t="s">
        <v>248</v>
      </c>
      <c r="EX441" s="5">
        <f t="shared" si="1355"/>
        <v>3</v>
      </c>
      <c r="EY441" s="5">
        <f t="shared" si="1356"/>
        <v>15</v>
      </c>
      <c r="EZ441" s="5" t="str">
        <f t="shared" si="1357"/>
        <v>Nivel de riesgo alto</v>
      </c>
      <c r="FA441" s="5" t="s">
        <v>247</v>
      </c>
      <c r="FB441" s="5">
        <f t="shared" si="1358"/>
        <v>2</v>
      </c>
      <c r="FC441" s="5" t="s">
        <v>253</v>
      </c>
      <c r="FD441" s="5">
        <f t="shared" si="1359"/>
        <v>0</v>
      </c>
      <c r="FE441" s="5" t="s">
        <v>253</v>
      </c>
      <c r="FF441" s="5">
        <f t="shared" si="1360"/>
        <v>0</v>
      </c>
      <c r="FG441" s="5">
        <f t="shared" si="1361"/>
        <v>2</v>
      </c>
      <c r="FH441" s="5" t="str">
        <f t="shared" si="1362"/>
        <v>Nivel de riesgo bajo</v>
      </c>
      <c r="FI441" s="5" t="s">
        <v>253</v>
      </c>
      <c r="FJ441" s="5">
        <f t="shared" si="1363"/>
        <v>0</v>
      </c>
      <c r="FK441" s="5" t="s">
        <v>253</v>
      </c>
      <c r="FL441" s="5">
        <f t="shared" si="1364"/>
        <v>0</v>
      </c>
      <c r="FM441" s="5" t="s">
        <v>253</v>
      </c>
      <c r="FN441" s="5">
        <f t="shared" si="1365"/>
        <v>0</v>
      </c>
      <c r="FO441" s="5">
        <f t="shared" si="1366"/>
        <v>0</v>
      </c>
      <c r="FP441" s="5" t="str">
        <f t="shared" si="1367"/>
        <v>Nivel de riesgo bajo</v>
      </c>
      <c r="FQ441" s="5" t="s">
        <v>206</v>
      </c>
      <c r="FR441" s="5">
        <f t="shared" si="1368"/>
        <v>0</v>
      </c>
      <c r="FS441" s="5" t="s">
        <v>206</v>
      </c>
      <c r="FT441" s="5">
        <f t="shared" si="1369"/>
        <v>0</v>
      </c>
      <c r="FU441" s="5" t="s">
        <v>206</v>
      </c>
      <c r="FV441" s="5">
        <f t="shared" si="1370"/>
        <v>0</v>
      </c>
      <c r="FW441" s="5" t="s">
        <v>206</v>
      </c>
      <c r="FX441" s="5">
        <f t="shared" si="1371"/>
        <v>0</v>
      </c>
      <c r="FY441" s="5" t="s">
        <v>206</v>
      </c>
      <c r="FZ441" s="5">
        <f t="shared" si="1372"/>
        <v>0</v>
      </c>
      <c r="GA441" s="5" t="s">
        <v>206</v>
      </c>
      <c r="GB441" s="5">
        <f t="shared" si="1373"/>
        <v>0</v>
      </c>
      <c r="GC441" s="5" t="s">
        <v>206</v>
      </c>
      <c r="GD441" s="5">
        <f t="shared" si="1374"/>
        <v>0</v>
      </c>
      <c r="GE441" s="5">
        <f t="shared" si="1375"/>
        <v>0</v>
      </c>
      <c r="GF441" s="5" t="str">
        <f t="shared" si="1376"/>
        <v>Nivel de riesgo bajo</v>
      </c>
      <c r="GG441" s="5" t="s">
        <v>255</v>
      </c>
      <c r="GH441" s="5" t="s">
        <v>255</v>
      </c>
      <c r="GI441" s="5" t="s">
        <v>255</v>
      </c>
      <c r="GJ441" s="5" t="s">
        <v>255</v>
      </c>
      <c r="GK441" s="5" t="s">
        <v>233</v>
      </c>
      <c r="GL441" s="5" t="s">
        <v>266</v>
      </c>
      <c r="GM441" s="5" t="s">
        <v>233</v>
      </c>
      <c r="GN441" s="5" t="s">
        <v>256</v>
      </c>
      <c r="GO441" s="5" t="s">
        <v>243</v>
      </c>
      <c r="GP441" s="5" t="s">
        <v>257</v>
      </c>
      <c r="GQ441" s="5" t="s">
        <v>256</v>
      </c>
      <c r="GR441" s="5" t="s">
        <v>257</v>
      </c>
      <c r="GS441" s="5" t="s">
        <v>244</v>
      </c>
      <c r="GT441" s="5" t="s">
        <v>243</v>
      </c>
      <c r="GU441" s="5" t="s">
        <v>809</v>
      </c>
      <c r="GV441" s="5" t="str">
        <f>TEXT("6290099089326138706","0")</f>
        <v>6290099089326130000</v>
      </c>
    </row>
    <row r="442" spans="1:204" ht="15.75" customHeight="1" x14ac:dyDescent="0.15">
      <c r="A442" s="1">
        <f t="shared" si="1326"/>
        <v>442</v>
      </c>
      <c r="B442" s="4">
        <v>45860.508622685185</v>
      </c>
      <c r="C442" s="5" t="s">
        <v>204</v>
      </c>
      <c r="D442" s="5" t="s">
        <v>206</v>
      </c>
      <c r="F442" s="5" t="s">
        <v>206</v>
      </c>
      <c r="G442" s="5" t="s">
        <v>204</v>
      </c>
      <c r="H442" s="5" t="s">
        <v>206</v>
      </c>
      <c r="L442" s="5" t="s">
        <v>236</v>
      </c>
      <c r="P442" s="5" t="s">
        <v>237</v>
      </c>
      <c r="T442" s="5" t="s">
        <v>209</v>
      </c>
      <c r="Y442" s="5" t="s">
        <v>209</v>
      </c>
      <c r="AC442" s="5" t="s">
        <v>208</v>
      </c>
      <c r="AH442" s="5" t="s">
        <v>268</v>
      </c>
      <c r="AI442" s="5">
        <v>2017</v>
      </c>
      <c r="AJ442" s="5" t="s">
        <v>330</v>
      </c>
      <c r="AK442" s="5" t="str">
        <f t="shared" si="1327"/>
        <v>Asalariada</v>
      </c>
      <c r="AQ442" s="5" t="s">
        <v>204</v>
      </c>
      <c r="AR442" s="5" t="s">
        <v>301</v>
      </c>
      <c r="AS442" s="5" t="s">
        <v>301</v>
      </c>
      <c r="AT442" s="5" t="s">
        <v>301</v>
      </c>
      <c r="AU442" s="5" t="s">
        <v>301</v>
      </c>
      <c r="AV442" s="5" t="s">
        <v>302</v>
      </c>
      <c r="AW442" s="5" t="s">
        <v>206</v>
      </c>
      <c r="BF442" s="5" t="s">
        <v>204</v>
      </c>
      <c r="BG442" s="5" t="s">
        <v>278</v>
      </c>
      <c r="BH442" s="5" t="s">
        <v>242</v>
      </c>
      <c r="BI442" s="5" t="s">
        <v>278</v>
      </c>
      <c r="BJ442" s="5" t="s">
        <v>278</v>
      </c>
      <c r="BK442" s="5" t="s">
        <v>246</v>
      </c>
      <c r="BL442" s="5" t="s">
        <v>243</v>
      </c>
      <c r="BM442" s="5" t="s">
        <v>244</v>
      </c>
      <c r="BN442" s="5" t="s">
        <v>244</v>
      </c>
      <c r="BO442" s="5" t="s">
        <v>244</v>
      </c>
      <c r="BP442" s="5" t="s">
        <v>243</v>
      </c>
      <c r="BQ442" s="5" t="s">
        <v>245</v>
      </c>
      <c r="BR442" s="5" t="s">
        <v>246</v>
      </c>
      <c r="BS442" s="5" t="s">
        <v>254</v>
      </c>
      <c r="BT442" s="5" t="s">
        <v>232</v>
      </c>
      <c r="BU442" s="5" t="s">
        <v>248</v>
      </c>
      <c r="BV442" s="5" t="s">
        <v>247</v>
      </c>
      <c r="BW442" s="5" t="s">
        <v>248</v>
      </c>
      <c r="BX442" s="5" t="s">
        <v>248</v>
      </c>
      <c r="BY442" s="5" t="s">
        <v>248</v>
      </c>
      <c r="CD442" s="5" t="s">
        <v>206</v>
      </c>
      <c r="CH442" s="5" t="s">
        <v>206</v>
      </c>
      <c r="CI442" s="5" t="s">
        <v>206</v>
      </c>
      <c r="CJ442" s="5">
        <v>0</v>
      </c>
      <c r="CK442" s="5" t="s">
        <v>223</v>
      </c>
      <c r="CU442" s="5" t="s">
        <v>206</v>
      </c>
      <c r="DA442" s="5" t="s">
        <v>229</v>
      </c>
      <c r="DB442" s="5">
        <f t="shared" si="1328"/>
        <v>4</v>
      </c>
      <c r="DC442" s="5" t="s">
        <v>230</v>
      </c>
      <c r="DD442" s="5">
        <f t="shared" si="1329"/>
        <v>2</v>
      </c>
      <c r="DE442" s="5" t="s">
        <v>250</v>
      </c>
      <c r="DF442" s="5">
        <f t="shared" si="1330"/>
        <v>3</v>
      </c>
      <c r="DG442" s="5" t="s">
        <v>250</v>
      </c>
      <c r="DH442" s="5">
        <f t="shared" si="1331"/>
        <v>3</v>
      </c>
      <c r="DI442" s="5" t="s">
        <v>230</v>
      </c>
      <c r="DJ442" s="5">
        <f t="shared" si="1332"/>
        <v>2</v>
      </c>
      <c r="DK442" s="5" t="s">
        <v>230</v>
      </c>
      <c r="DL442" s="5">
        <f t="shared" si="1333"/>
        <v>2</v>
      </c>
      <c r="DM442" s="5" t="s">
        <v>230</v>
      </c>
      <c r="DN442" s="5">
        <f t="shared" si="1334"/>
        <v>2</v>
      </c>
      <c r="DO442" s="5" t="s">
        <v>231</v>
      </c>
      <c r="DP442" s="5">
        <f t="shared" si="1335"/>
        <v>2</v>
      </c>
      <c r="DQ442" s="5" t="s">
        <v>231</v>
      </c>
      <c r="DR442" s="5">
        <f t="shared" si="1336"/>
        <v>2</v>
      </c>
      <c r="DS442" s="5" t="s">
        <v>231</v>
      </c>
      <c r="DT442" s="5">
        <f t="shared" si="1337"/>
        <v>2</v>
      </c>
      <c r="DU442" s="5" t="s">
        <v>231</v>
      </c>
      <c r="DV442" s="5">
        <f t="shared" si="1338"/>
        <v>2</v>
      </c>
      <c r="DW442" s="5" t="s">
        <v>231</v>
      </c>
      <c r="DX442" s="5">
        <f t="shared" si="1339"/>
        <v>2</v>
      </c>
      <c r="DY442" s="5">
        <f t="shared" si="1340"/>
        <v>28</v>
      </c>
      <c r="DZ442" s="5" t="str">
        <f t="shared" si="1341"/>
        <v>Nivel de riesgo alto</v>
      </c>
      <c r="EA442" s="5" t="s">
        <v>248</v>
      </c>
      <c r="EB442" s="5">
        <f t="shared" si="1342"/>
        <v>1</v>
      </c>
      <c r="EC442" s="5" t="s">
        <v>248</v>
      </c>
      <c r="ED442" s="5">
        <f t="shared" si="1343"/>
        <v>1</v>
      </c>
      <c r="EE442" s="5" t="s">
        <v>247</v>
      </c>
      <c r="EF442" s="5">
        <f t="shared" si="1344"/>
        <v>2</v>
      </c>
      <c r="EG442" s="5">
        <f t="shared" si="1345"/>
        <v>4</v>
      </c>
      <c r="EH442" s="5" t="str">
        <f t="shared" si="1346"/>
        <v>Nivel de riesgo medio</v>
      </c>
      <c r="EI442" s="5" t="s">
        <v>248</v>
      </c>
      <c r="EJ442" s="5">
        <f t="shared" si="1347"/>
        <v>1</v>
      </c>
      <c r="EK442" s="5" t="s">
        <v>248</v>
      </c>
      <c r="EL442" s="5">
        <f t="shared" si="1348"/>
        <v>1</v>
      </c>
      <c r="EM442" s="5" t="s">
        <v>247</v>
      </c>
      <c r="EN442" s="5">
        <f t="shared" si="1349"/>
        <v>2</v>
      </c>
      <c r="EO442" s="5">
        <f t="shared" si="1350"/>
        <v>4</v>
      </c>
      <c r="EP442" s="5" t="str">
        <f t="shared" si="1351"/>
        <v>Nivel de riesgo medio</v>
      </c>
      <c r="EQ442" s="5" t="s">
        <v>232</v>
      </c>
      <c r="ER442" s="5">
        <f t="shared" si="1352"/>
        <v>1</v>
      </c>
      <c r="ES442" s="5" t="s">
        <v>232</v>
      </c>
      <c r="ET442" s="5">
        <f t="shared" si="1353"/>
        <v>1</v>
      </c>
      <c r="EU442" s="5" t="s">
        <v>232</v>
      </c>
      <c r="EV442" s="5">
        <f t="shared" si="1354"/>
        <v>1</v>
      </c>
      <c r="EW442" s="5" t="s">
        <v>247</v>
      </c>
      <c r="EX442" s="5">
        <f t="shared" si="1355"/>
        <v>2</v>
      </c>
      <c r="EY442" s="5">
        <f t="shared" si="1356"/>
        <v>5</v>
      </c>
      <c r="EZ442" s="5" t="str">
        <f t="shared" si="1357"/>
        <v>Nivel de riesgo alto</v>
      </c>
      <c r="FA442" s="5" t="s">
        <v>248</v>
      </c>
      <c r="FB442" s="5">
        <f t="shared" si="1358"/>
        <v>1</v>
      </c>
      <c r="FC442" s="5" t="s">
        <v>247</v>
      </c>
      <c r="FD442" s="5">
        <f t="shared" si="1359"/>
        <v>2</v>
      </c>
      <c r="FE442" s="5" t="s">
        <v>248</v>
      </c>
      <c r="FF442" s="5">
        <f t="shared" si="1360"/>
        <v>1</v>
      </c>
      <c r="FG442" s="5">
        <f t="shared" si="1361"/>
        <v>4</v>
      </c>
      <c r="FH442" s="5" t="str">
        <f t="shared" si="1362"/>
        <v>Nivel de riesgo medio</v>
      </c>
      <c r="FI442" s="5" t="s">
        <v>248</v>
      </c>
      <c r="FJ442" s="5">
        <f t="shared" si="1363"/>
        <v>1</v>
      </c>
      <c r="FK442" s="5" t="s">
        <v>248</v>
      </c>
      <c r="FL442" s="5">
        <f t="shared" si="1364"/>
        <v>1</v>
      </c>
      <c r="FM442" s="5" t="s">
        <v>248</v>
      </c>
      <c r="FN442" s="5">
        <f t="shared" si="1365"/>
        <v>1</v>
      </c>
      <c r="FO442" s="5">
        <f t="shared" si="1366"/>
        <v>3</v>
      </c>
      <c r="FP442" s="5" t="str">
        <f t="shared" si="1367"/>
        <v>Nivel de riesgo medio</v>
      </c>
      <c r="FQ442" s="5" t="s">
        <v>206</v>
      </c>
      <c r="FR442" s="5">
        <f t="shared" si="1368"/>
        <v>0</v>
      </c>
      <c r="FS442" s="5" t="s">
        <v>206</v>
      </c>
      <c r="FT442" s="5">
        <f t="shared" si="1369"/>
        <v>0</v>
      </c>
      <c r="FU442" s="5" t="s">
        <v>265</v>
      </c>
      <c r="FV442" s="5">
        <f t="shared" si="1370"/>
        <v>1</v>
      </c>
      <c r="FW442" s="5" t="s">
        <v>265</v>
      </c>
      <c r="FX442" s="5">
        <f t="shared" si="1371"/>
        <v>1</v>
      </c>
      <c r="FY442" s="5" t="s">
        <v>206</v>
      </c>
      <c r="FZ442" s="5">
        <f t="shared" si="1372"/>
        <v>0</v>
      </c>
      <c r="GA442" s="5" t="s">
        <v>206</v>
      </c>
      <c r="GB442" s="5">
        <f t="shared" si="1373"/>
        <v>0</v>
      </c>
      <c r="GC442" s="5" t="s">
        <v>206</v>
      </c>
      <c r="GD442" s="5">
        <f t="shared" si="1374"/>
        <v>0</v>
      </c>
      <c r="GE442" s="5">
        <f t="shared" si="1375"/>
        <v>2</v>
      </c>
      <c r="GF442" s="5" t="str">
        <f t="shared" si="1376"/>
        <v>Nivel de riesgo medio</v>
      </c>
      <c r="GG442" s="5" t="s">
        <v>255</v>
      </c>
      <c r="GH442" s="5" t="s">
        <v>255</v>
      </c>
      <c r="GI442" s="5" t="s">
        <v>255</v>
      </c>
      <c r="GJ442" s="5" t="s">
        <v>255</v>
      </c>
      <c r="GK442" s="5" t="s">
        <v>233</v>
      </c>
      <c r="GL442" s="5" t="s">
        <v>266</v>
      </c>
      <c r="GM442" s="5" t="s">
        <v>273</v>
      </c>
      <c r="GN442" s="5" t="s">
        <v>256</v>
      </c>
      <c r="GO442" s="5" t="s">
        <v>257</v>
      </c>
      <c r="GP442" s="5" t="s">
        <v>257</v>
      </c>
      <c r="GQ442" s="5" t="s">
        <v>257</v>
      </c>
      <c r="GR442" s="5" t="s">
        <v>257</v>
      </c>
      <c r="GS442" s="5" t="s">
        <v>257</v>
      </c>
      <c r="GT442" s="5" t="s">
        <v>257</v>
      </c>
      <c r="GU442" s="5" t="s">
        <v>810</v>
      </c>
      <c r="GV442" s="5" t="str">
        <f>TEXT("6290099458268346401","0")</f>
        <v>6290099458268340000</v>
      </c>
    </row>
    <row r="443" spans="1:204" ht="15.75" customHeight="1" x14ac:dyDescent="0.15">
      <c r="A443" s="1">
        <f t="shared" si="1326"/>
        <v>443</v>
      </c>
      <c r="B443" s="4">
        <v>45860.509780092594</v>
      </c>
      <c r="C443" s="5" t="s">
        <v>204</v>
      </c>
      <c r="D443" s="5" t="s">
        <v>206</v>
      </c>
      <c r="F443" s="5" t="s">
        <v>206</v>
      </c>
      <c r="G443" s="5" t="s">
        <v>206</v>
      </c>
      <c r="H443" s="5" t="s">
        <v>206</v>
      </c>
      <c r="K443" s="5" t="s">
        <v>237</v>
      </c>
      <c r="O443" s="5" t="s">
        <v>209</v>
      </c>
      <c r="S443" s="5" t="s">
        <v>208</v>
      </c>
      <c r="X443" s="5" t="s">
        <v>208</v>
      </c>
      <c r="AG443" s="5" t="s">
        <v>207</v>
      </c>
      <c r="AH443" s="5" t="s">
        <v>268</v>
      </c>
      <c r="AI443" s="5">
        <v>2017</v>
      </c>
      <c r="AJ443" s="5" t="s">
        <v>330</v>
      </c>
      <c r="AK443" s="5" t="str">
        <f t="shared" si="1327"/>
        <v>Asalariada</v>
      </c>
      <c r="AQ443" s="5" t="s">
        <v>204</v>
      </c>
      <c r="AR443" s="5" t="s">
        <v>241</v>
      </c>
      <c r="AS443" s="5" t="s">
        <v>241</v>
      </c>
      <c r="AT443" s="5" t="s">
        <v>241</v>
      </c>
      <c r="AU443" s="5" t="s">
        <v>241</v>
      </c>
      <c r="AV443" s="5" t="s">
        <v>269</v>
      </c>
      <c r="AW443" s="5" t="s">
        <v>204</v>
      </c>
      <c r="AX443" s="5" t="s">
        <v>204</v>
      </c>
      <c r="AY443" s="5" t="s">
        <v>214</v>
      </c>
      <c r="AZ443" s="5" t="s">
        <v>206</v>
      </c>
      <c r="BA443" s="5" t="s">
        <v>263</v>
      </c>
      <c r="BF443" s="5" t="s">
        <v>204</v>
      </c>
      <c r="BG443" s="5" t="s">
        <v>207</v>
      </c>
      <c r="BH443" s="5" t="s">
        <v>264</v>
      </c>
      <c r="BI443" s="5" t="s">
        <v>207</v>
      </c>
      <c r="BJ443" s="5" t="s">
        <v>264</v>
      </c>
      <c r="BK443" s="5" t="s">
        <v>244</v>
      </c>
      <c r="BL443" s="5" t="s">
        <v>244</v>
      </c>
      <c r="BM443" s="5" t="s">
        <v>244</v>
      </c>
      <c r="BN443" s="5" t="s">
        <v>244</v>
      </c>
      <c r="BO443" s="5" t="s">
        <v>244</v>
      </c>
      <c r="BP443" s="5" t="s">
        <v>244</v>
      </c>
      <c r="BQ443" s="5" t="s">
        <v>244</v>
      </c>
      <c r="BR443" s="5" t="s">
        <v>244</v>
      </c>
      <c r="BS443" s="5" t="s">
        <v>247</v>
      </c>
      <c r="BT443" s="5" t="s">
        <v>248</v>
      </c>
      <c r="BU443" s="5" t="s">
        <v>217</v>
      </c>
      <c r="BV443" s="5" t="s">
        <v>217</v>
      </c>
      <c r="BW443" s="5" t="s">
        <v>248</v>
      </c>
      <c r="BX443" s="5" t="s">
        <v>217</v>
      </c>
      <c r="BY443" s="5" t="s">
        <v>217</v>
      </c>
      <c r="BZ443" s="5" t="s">
        <v>244</v>
      </c>
      <c r="CA443" s="5" t="s">
        <v>244</v>
      </c>
      <c r="CB443" s="5" t="s">
        <v>244</v>
      </c>
      <c r="CC443" s="5" t="s">
        <v>244</v>
      </c>
      <c r="CD443" s="5" t="s">
        <v>204</v>
      </c>
      <c r="CE443" s="5" t="s">
        <v>218</v>
      </c>
      <c r="CF443" s="5" t="s">
        <v>279</v>
      </c>
      <c r="CG443" s="5" t="s">
        <v>206</v>
      </c>
      <c r="CH443" s="5" t="s">
        <v>206</v>
      </c>
      <c r="CI443" s="5" t="s">
        <v>249</v>
      </c>
      <c r="CJ443" s="5">
        <v>2</v>
      </c>
      <c r="CK443" s="5" t="s">
        <v>223</v>
      </c>
      <c r="CU443" s="5" t="s">
        <v>206</v>
      </c>
      <c r="DA443" s="5" t="s">
        <v>231</v>
      </c>
      <c r="DB443" s="5">
        <f t="shared" si="1328"/>
        <v>2</v>
      </c>
      <c r="DC443" s="5" t="s">
        <v>230</v>
      </c>
      <c r="DD443" s="5">
        <f t="shared" si="1329"/>
        <v>2</v>
      </c>
      <c r="DE443" s="5" t="s">
        <v>230</v>
      </c>
      <c r="DF443" s="5">
        <f t="shared" si="1330"/>
        <v>2</v>
      </c>
      <c r="DG443" s="5" t="s">
        <v>251</v>
      </c>
      <c r="DH443" s="5">
        <f t="shared" si="1331"/>
        <v>1</v>
      </c>
      <c r="DI443" s="5" t="s">
        <v>251</v>
      </c>
      <c r="DJ443" s="5">
        <f t="shared" si="1332"/>
        <v>1</v>
      </c>
      <c r="DK443" s="5" t="s">
        <v>251</v>
      </c>
      <c r="DL443" s="5">
        <f t="shared" si="1333"/>
        <v>1</v>
      </c>
      <c r="DM443" s="5" t="s">
        <v>251</v>
      </c>
      <c r="DN443" s="5">
        <f t="shared" si="1334"/>
        <v>1</v>
      </c>
      <c r="DO443" s="5" t="s">
        <v>231</v>
      </c>
      <c r="DP443" s="5">
        <f t="shared" si="1335"/>
        <v>2</v>
      </c>
      <c r="DQ443" s="5" t="s">
        <v>231</v>
      </c>
      <c r="DR443" s="5">
        <f t="shared" si="1336"/>
        <v>2</v>
      </c>
      <c r="DS443" s="5" t="s">
        <v>231</v>
      </c>
      <c r="DT443" s="5">
        <f t="shared" si="1337"/>
        <v>2</v>
      </c>
      <c r="DU443" s="5" t="s">
        <v>231</v>
      </c>
      <c r="DV443" s="5">
        <f t="shared" si="1338"/>
        <v>2</v>
      </c>
      <c r="DW443" s="5" t="s">
        <v>231</v>
      </c>
      <c r="DX443" s="5">
        <f t="shared" si="1339"/>
        <v>2</v>
      </c>
      <c r="DY443" s="5">
        <f t="shared" si="1340"/>
        <v>20</v>
      </c>
      <c r="DZ443" s="5" t="str">
        <f t="shared" si="1341"/>
        <v>Nivel de riesgo medio</v>
      </c>
      <c r="EA443" s="5" t="s">
        <v>247</v>
      </c>
      <c r="EB443" s="5">
        <f t="shared" si="1342"/>
        <v>2</v>
      </c>
      <c r="EC443" s="5" t="s">
        <v>247</v>
      </c>
      <c r="ED443" s="5">
        <f t="shared" si="1343"/>
        <v>2</v>
      </c>
      <c r="EE443" s="5" t="s">
        <v>247</v>
      </c>
      <c r="EF443" s="5">
        <f t="shared" si="1344"/>
        <v>2</v>
      </c>
      <c r="EG443" s="5">
        <f t="shared" si="1345"/>
        <v>6</v>
      </c>
      <c r="EH443" s="5" t="str">
        <f t="shared" si="1346"/>
        <v>Nivel de riesgo alto</v>
      </c>
      <c r="EI443" s="5" t="s">
        <v>248</v>
      </c>
      <c r="EJ443" s="5">
        <f t="shared" si="1347"/>
        <v>1</v>
      </c>
      <c r="EK443" s="5" t="s">
        <v>248</v>
      </c>
      <c r="EL443" s="5">
        <f t="shared" si="1348"/>
        <v>1</v>
      </c>
      <c r="EM443" s="5" t="s">
        <v>248</v>
      </c>
      <c r="EN443" s="5">
        <f t="shared" si="1349"/>
        <v>1</v>
      </c>
      <c r="EO443" s="5">
        <f t="shared" si="1350"/>
        <v>3</v>
      </c>
      <c r="EP443" s="5" t="str">
        <f t="shared" si="1351"/>
        <v>Nivel de riesgo medio</v>
      </c>
      <c r="EQ443" s="5" t="s">
        <v>232</v>
      </c>
      <c r="ER443" s="5">
        <f t="shared" si="1352"/>
        <v>1</v>
      </c>
      <c r="ES443" s="5" t="s">
        <v>232</v>
      </c>
      <c r="ET443" s="5">
        <f t="shared" si="1353"/>
        <v>1</v>
      </c>
      <c r="EU443" s="5" t="s">
        <v>232</v>
      </c>
      <c r="EV443" s="5">
        <f t="shared" si="1354"/>
        <v>1</v>
      </c>
      <c r="EW443" s="5" t="s">
        <v>232</v>
      </c>
      <c r="EX443" s="5">
        <f t="shared" si="1355"/>
        <v>1</v>
      </c>
      <c r="EY443" s="5">
        <f t="shared" si="1356"/>
        <v>4</v>
      </c>
      <c r="EZ443" s="5" t="str">
        <f t="shared" si="1357"/>
        <v>Nivel de riesgo medio</v>
      </c>
      <c r="FA443" s="5" t="s">
        <v>248</v>
      </c>
      <c r="FB443" s="5">
        <f t="shared" si="1358"/>
        <v>1</v>
      </c>
      <c r="FC443" s="5" t="s">
        <v>248</v>
      </c>
      <c r="FD443" s="5">
        <f t="shared" si="1359"/>
        <v>1</v>
      </c>
      <c r="FE443" s="5" t="s">
        <v>248</v>
      </c>
      <c r="FF443" s="5">
        <f t="shared" si="1360"/>
        <v>1</v>
      </c>
      <c r="FG443" s="5">
        <f t="shared" si="1361"/>
        <v>3</v>
      </c>
      <c r="FH443" s="5" t="str">
        <f t="shared" si="1362"/>
        <v>Nivel de riesgo medio</v>
      </c>
      <c r="FI443" s="5" t="s">
        <v>248</v>
      </c>
      <c r="FJ443" s="5">
        <f t="shared" si="1363"/>
        <v>1</v>
      </c>
      <c r="FK443" s="5" t="s">
        <v>248</v>
      </c>
      <c r="FL443" s="5">
        <f t="shared" si="1364"/>
        <v>1</v>
      </c>
      <c r="FM443" s="5" t="s">
        <v>248</v>
      </c>
      <c r="FN443" s="5">
        <f t="shared" si="1365"/>
        <v>1</v>
      </c>
      <c r="FO443" s="5">
        <f t="shared" si="1366"/>
        <v>3</v>
      </c>
      <c r="FP443" s="5" t="str">
        <f t="shared" si="1367"/>
        <v>Nivel de riesgo medio</v>
      </c>
      <c r="FQ443" s="5" t="s">
        <v>206</v>
      </c>
      <c r="FR443" s="5">
        <f t="shared" si="1368"/>
        <v>0</v>
      </c>
      <c r="FS443" s="5" t="s">
        <v>206</v>
      </c>
      <c r="FT443" s="5">
        <f t="shared" si="1369"/>
        <v>0</v>
      </c>
      <c r="FU443" s="5" t="s">
        <v>206</v>
      </c>
      <c r="FV443" s="5">
        <f t="shared" si="1370"/>
        <v>0</v>
      </c>
      <c r="FW443" s="5" t="s">
        <v>206</v>
      </c>
      <c r="FX443" s="5">
        <f t="shared" si="1371"/>
        <v>0</v>
      </c>
      <c r="FY443" s="5" t="s">
        <v>206</v>
      </c>
      <c r="FZ443" s="5">
        <f t="shared" si="1372"/>
        <v>0</v>
      </c>
      <c r="GA443" s="5" t="s">
        <v>206</v>
      </c>
      <c r="GB443" s="5">
        <f t="shared" si="1373"/>
        <v>0</v>
      </c>
      <c r="GC443" s="5" t="s">
        <v>206</v>
      </c>
      <c r="GD443" s="5">
        <f t="shared" si="1374"/>
        <v>0</v>
      </c>
      <c r="GE443" s="5">
        <f t="shared" si="1375"/>
        <v>0</v>
      </c>
      <c r="GF443" s="5" t="str">
        <f t="shared" si="1376"/>
        <v>Nivel de riesgo bajo</v>
      </c>
      <c r="GG443" s="5" t="s">
        <v>255</v>
      </c>
      <c r="GH443" s="5" t="s">
        <v>255</v>
      </c>
      <c r="GI443" s="5" t="s">
        <v>255</v>
      </c>
      <c r="GJ443" s="5" t="s">
        <v>255</v>
      </c>
      <c r="GK443" s="5" t="s">
        <v>233</v>
      </c>
      <c r="GL443" s="5" t="s">
        <v>273</v>
      </c>
      <c r="GM443" s="5" t="s">
        <v>273</v>
      </c>
      <c r="GN443" s="5" t="s">
        <v>243</v>
      </c>
      <c r="GO443" s="5" t="s">
        <v>243</v>
      </c>
      <c r="GP443" s="5" t="s">
        <v>243</v>
      </c>
      <c r="GQ443" s="5" t="s">
        <v>243</v>
      </c>
      <c r="GR443" s="5" t="s">
        <v>243</v>
      </c>
      <c r="GS443" s="5" t="s">
        <v>243</v>
      </c>
      <c r="GT443" s="5" t="s">
        <v>243</v>
      </c>
      <c r="GU443" s="5" t="s">
        <v>811</v>
      </c>
      <c r="GV443" s="5" t="str">
        <f>TEXT("6290100458415865931","0")</f>
        <v>6290100458415860000</v>
      </c>
    </row>
    <row r="444" spans="1:204" ht="15.75" hidden="1" customHeight="1" x14ac:dyDescent="0.15">
      <c r="B444" s="4">
        <v>45860.51185185185</v>
      </c>
      <c r="C444" s="5" t="s">
        <v>204</v>
      </c>
      <c r="D444" s="5" t="s">
        <v>206</v>
      </c>
      <c r="F444" s="5" t="s">
        <v>206</v>
      </c>
      <c r="G444" s="5" t="s">
        <v>204</v>
      </c>
      <c r="H444" s="5" t="s">
        <v>206</v>
      </c>
      <c r="L444" s="5" t="s">
        <v>236</v>
      </c>
      <c r="P444" s="5" t="s">
        <v>237</v>
      </c>
      <c r="U444" s="5" t="s">
        <v>237</v>
      </c>
      <c r="X444" s="5" t="s">
        <v>208</v>
      </c>
      <c r="AE444" s="5" t="s">
        <v>237</v>
      </c>
      <c r="AH444" s="5" t="s">
        <v>275</v>
      </c>
      <c r="AI444" s="5">
        <v>2023</v>
      </c>
      <c r="AJ444" s="5" t="s">
        <v>260</v>
      </c>
      <c r="AK444" s="5"/>
      <c r="AR444" s="5" t="s">
        <v>241</v>
      </c>
      <c r="AS444" s="5" t="s">
        <v>241</v>
      </c>
      <c r="AT444" s="5" t="s">
        <v>241</v>
      </c>
      <c r="AU444" s="5" t="s">
        <v>241</v>
      </c>
      <c r="AV444" s="5" t="s">
        <v>213</v>
      </c>
      <c r="AW444" s="5" t="s">
        <v>206</v>
      </c>
      <c r="BF444" s="5" t="s">
        <v>204</v>
      </c>
      <c r="BG444" s="5" t="s">
        <v>271</v>
      </c>
      <c r="BH444" s="5" t="s">
        <v>271</v>
      </c>
      <c r="BI444" s="5" t="s">
        <v>278</v>
      </c>
      <c r="BJ444" s="5" t="s">
        <v>278</v>
      </c>
      <c r="BK444" s="5" t="s">
        <v>246</v>
      </c>
      <c r="BL444" s="5" t="s">
        <v>244</v>
      </c>
      <c r="BM444" s="5" t="s">
        <v>246</v>
      </c>
      <c r="BN444" s="5" t="s">
        <v>246</v>
      </c>
      <c r="BO444" s="5" t="s">
        <v>244</v>
      </c>
      <c r="BP444" s="5" t="s">
        <v>244</v>
      </c>
      <c r="BQ444" s="5" t="s">
        <v>244</v>
      </c>
      <c r="BR444" s="5" t="s">
        <v>246</v>
      </c>
      <c r="BS444" s="5" t="s">
        <v>232</v>
      </c>
      <c r="BT444" s="5" t="s">
        <v>247</v>
      </c>
      <c r="BU444" s="5" t="s">
        <v>248</v>
      </c>
      <c r="BV444" s="5" t="s">
        <v>248</v>
      </c>
      <c r="BW444" s="5" t="s">
        <v>248</v>
      </c>
      <c r="BX444" s="5" t="s">
        <v>247</v>
      </c>
      <c r="BY444" s="5" t="s">
        <v>248</v>
      </c>
      <c r="CD444" s="5" t="s">
        <v>204</v>
      </c>
      <c r="CE444" s="5" t="s">
        <v>218</v>
      </c>
      <c r="CF444" s="5" t="s">
        <v>219</v>
      </c>
      <c r="CG444" s="5" t="s">
        <v>812</v>
      </c>
      <c r="CH444" s="5" t="s">
        <v>530</v>
      </c>
      <c r="CI444" s="5" t="s">
        <v>206</v>
      </c>
      <c r="CJ444" s="5">
        <v>0</v>
      </c>
      <c r="CK444" s="5" t="s">
        <v>223</v>
      </c>
      <c r="CU444" s="5" t="s">
        <v>206</v>
      </c>
      <c r="DA444" s="5" t="s">
        <v>231</v>
      </c>
      <c r="DB444" s="5"/>
      <c r="DC444" s="5" t="s">
        <v>230</v>
      </c>
      <c r="DD444" s="5"/>
      <c r="DE444" s="5" t="s">
        <v>251</v>
      </c>
      <c r="DF444" s="5"/>
      <c r="DG444" s="5" t="s">
        <v>251</v>
      </c>
      <c r="DH444" s="5"/>
      <c r="DI444" s="5" t="s">
        <v>230</v>
      </c>
      <c r="DJ444" s="5"/>
      <c r="DK444" s="5" t="s">
        <v>251</v>
      </c>
      <c r="DL444" s="5"/>
      <c r="DM444" s="5" t="s">
        <v>251</v>
      </c>
      <c r="DN444" s="5"/>
      <c r="DO444" s="5" t="s">
        <v>281</v>
      </c>
      <c r="DP444" s="5"/>
      <c r="DQ444" s="5" t="s">
        <v>281</v>
      </c>
      <c r="DR444" s="5"/>
      <c r="DS444" s="5" t="s">
        <v>231</v>
      </c>
      <c r="DT444" s="5"/>
      <c r="DU444" s="5" t="s">
        <v>281</v>
      </c>
      <c r="DV444" s="5"/>
      <c r="DW444" s="5" t="s">
        <v>281</v>
      </c>
      <c r="DX444" s="5"/>
      <c r="DY444" s="5"/>
      <c r="DZ444" s="5"/>
      <c r="EA444" s="5" t="s">
        <v>248</v>
      </c>
      <c r="EB444" s="5"/>
      <c r="EC444" s="5" t="s">
        <v>248</v>
      </c>
      <c r="ED444" s="5"/>
      <c r="EE444" s="5" t="s">
        <v>248</v>
      </c>
      <c r="EF444" s="5"/>
      <c r="EG444" s="5"/>
      <c r="EH444" s="5"/>
      <c r="EI444" s="5" t="s">
        <v>248</v>
      </c>
      <c r="EJ444" s="5"/>
      <c r="EK444" s="5" t="s">
        <v>248</v>
      </c>
      <c r="EL444" s="5"/>
      <c r="EM444" s="5" t="s">
        <v>248</v>
      </c>
      <c r="EN444" s="5"/>
      <c r="EO444" s="5"/>
      <c r="EP444" s="5"/>
      <c r="EQ444" s="5" t="s">
        <v>248</v>
      </c>
      <c r="ER444" s="5"/>
      <c r="ES444" s="5" t="s">
        <v>247</v>
      </c>
      <c r="ET444" s="5"/>
      <c r="EU444" s="5" t="s">
        <v>232</v>
      </c>
      <c r="EV444" s="5"/>
      <c r="EW444" s="5" t="s">
        <v>232</v>
      </c>
      <c r="EX444" s="5"/>
      <c r="EY444" s="5"/>
      <c r="EZ444" s="5"/>
      <c r="FA444" s="5" t="s">
        <v>248</v>
      </c>
      <c r="FB444" s="5"/>
      <c r="FC444" s="5" t="s">
        <v>248</v>
      </c>
      <c r="FD444" s="5"/>
      <c r="FE444" s="5" t="s">
        <v>248</v>
      </c>
      <c r="FF444" s="5"/>
      <c r="FG444" s="5"/>
      <c r="FH444" s="5"/>
      <c r="FI444" s="5" t="s">
        <v>247</v>
      </c>
      <c r="FJ444" s="5"/>
      <c r="FK444" s="5" t="s">
        <v>248</v>
      </c>
      <c r="FL444" s="5"/>
      <c r="FM444" s="5" t="s">
        <v>248</v>
      </c>
      <c r="FN444" s="5"/>
      <c r="FO444" s="5"/>
      <c r="FP444" s="5"/>
      <c r="FQ444" s="5" t="s">
        <v>206</v>
      </c>
      <c r="FR444" s="5"/>
      <c r="FS444" s="5" t="s">
        <v>206</v>
      </c>
      <c r="FT444" s="5"/>
      <c r="FU444" s="5" t="s">
        <v>206</v>
      </c>
      <c r="FV444" s="5"/>
      <c r="FW444" s="5" t="s">
        <v>206</v>
      </c>
      <c r="FX444" s="5"/>
      <c r="FY444" s="5" t="s">
        <v>206</v>
      </c>
      <c r="FZ444" s="5"/>
      <c r="GA444" s="5" t="s">
        <v>206</v>
      </c>
      <c r="GB444" s="5"/>
      <c r="GC444" s="5" t="s">
        <v>206</v>
      </c>
      <c r="GD444" s="5"/>
      <c r="GE444" s="5"/>
      <c r="GF444" s="5"/>
      <c r="GG444" s="5" t="s">
        <v>273</v>
      </c>
      <c r="GH444" s="5" t="s">
        <v>273</v>
      </c>
      <c r="GI444" s="5" t="s">
        <v>273</v>
      </c>
      <c r="GJ444" s="5" t="s">
        <v>273</v>
      </c>
      <c r="GK444" s="5" t="s">
        <v>273</v>
      </c>
      <c r="GL444" s="5" t="s">
        <v>273</v>
      </c>
      <c r="GM444" s="5" t="s">
        <v>273</v>
      </c>
      <c r="GN444" s="5" t="s">
        <v>243</v>
      </c>
      <c r="GO444" s="5" t="s">
        <v>243</v>
      </c>
      <c r="GP444" s="5" t="s">
        <v>243</v>
      </c>
      <c r="GQ444" s="5" t="s">
        <v>243</v>
      </c>
      <c r="GR444" s="5" t="s">
        <v>243</v>
      </c>
      <c r="GS444" s="5" t="s">
        <v>243</v>
      </c>
      <c r="GT444" s="5" t="s">
        <v>243</v>
      </c>
      <c r="GU444" s="5" t="s">
        <v>360</v>
      </c>
      <c r="GV444" s="5" t="str">
        <f>TEXT("6290102240522963629","0")</f>
        <v>6290102240522960000</v>
      </c>
    </row>
    <row r="445" spans="1:204" ht="15.75" customHeight="1" x14ac:dyDescent="0.15">
      <c r="A445" s="1">
        <f t="shared" ref="A445:A451" si="1377">ROW(A445)</f>
        <v>445</v>
      </c>
      <c r="B445" s="4">
        <v>45860.514155092591</v>
      </c>
      <c r="C445" s="5" t="s">
        <v>204</v>
      </c>
      <c r="D445" s="5" t="s">
        <v>206</v>
      </c>
      <c r="F445" s="5" t="s">
        <v>206</v>
      </c>
      <c r="G445" s="5" t="s">
        <v>206</v>
      </c>
      <c r="H445" s="5" t="s">
        <v>206</v>
      </c>
      <c r="L445" s="5" t="s">
        <v>236</v>
      </c>
      <c r="O445" s="5" t="s">
        <v>209</v>
      </c>
      <c r="W445" s="5" t="s">
        <v>207</v>
      </c>
      <c r="Y445" s="5" t="s">
        <v>209</v>
      </c>
      <c r="AC445" s="5" t="s">
        <v>208</v>
      </c>
      <c r="AH445" s="5" t="s">
        <v>210</v>
      </c>
      <c r="AI445" s="5">
        <v>2012</v>
      </c>
      <c r="AJ445" s="5" t="s">
        <v>238</v>
      </c>
      <c r="AK445" s="5" t="str">
        <f t="shared" ref="AK445:AK451" si="1378">IF(OR(AJ445="Empleada del sector privado",AJ445="Empleada del sector público"),"Asalariada",
IF(AJ445="Trabajadora por cuenta propia","Trabajadora por cuenta propia",""))</f>
        <v>Trabajadora por cuenta propia</v>
      </c>
      <c r="AO445" s="5" t="s">
        <v>390</v>
      </c>
      <c r="AP445" s="5" t="s">
        <v>297</v>
      </c>
      <c r="AR445" s="5" t="s">
        <v>241</v>
      </c>
      <c r="AS445" s="5" t="s">
        <v>241</v>
      </c>
      <c r="AT445" s="5" t="s">
        <v>261</v>
      </c>
      <c r="AU445" s="5" t="s">
        <v>261</v>
      </c>
      <c r="AV445" s="5" t="s">
        <v>277</v>
      </c>
      <c r="AW445" s="5" t="s">
        <v>206</v>
      </c>
      <c r="BF445" s="5" t="s">
        <v>204</v>
      </c>
      <c r="BG445" s="5" t="s">
        <v>207</v>
      </c>
      <c r="BH445" s="5" t="s">
        <v>215</v>
      </c>
      <c r="BI445" s="5" t="s">
        <v>207</v>
      </c>
      <c r="BJ445" s="5" t="s">
        <v>264</v>
      </c>
      <c r="BK445" s="5" t="s">
        <v>245</v>
      </c>
      <c r="BL445" s="5" t="s">
        <v>243</v>
      </c>
      <c r="BM445" s="5" t="s">
        <v>243</v>
      </c>
      <c r="BN445" s="5" t="s">
        <v>245</v>
      </c>
      <c r="BO445" s="5" t="s">
        <v>245</v>
      </c>
      <c r="BP445" s="5" t="s">
        <v>243</v>
      </c>
      <c r="BQ445" s="5" t="s">
        <v>243</v>
      </c>
      <c r="BR445" s="5" t="s">
        <v>245</v>
      </c>
      <c r="BS445" s="5" t="s">
        <v>254</v>
      </c>
      <c r="BT445" s="5" t="s">
        <v>254</v>
      </c>
      <c r="BU445" s="5" t="s">
        <v>247</v>
      </c>
      <c r="BV445" s="5" t="s">
        <v>254</v>
      </c>
      <c r="BW445" s="5" t="s">
        <v>247</v>
      </c>
      <c r="BX445" s="5" t="s">
        <v>248</v>
      </c>
      <c r="BY445" s="5" t="s">
        <v>247</v>
      </c>
      <c r="CD445" s="5" t="s">
        <v>206</v>
      </c>
      <c r="CH445" s="5" t="s">
        <v>206</v>
      </c>
      <c r="CI445" s="5" t="s">
        <v>206</v>
      </c>
      <c r="CJ445" s="5">
        <v>0</v>
      </c>
      <c r="CK445" s="5" t="s">
        <v>223</v>
      </c>
      <c r="CU445" s="5" t="s">
        <v>206</v>
      </c>
      <c r="DA445" s="5" t="s">
        <v>272</v>
      </c>
      <c r="DB445" s="5">
        <f t="shared" ref="DB445:DB451" si="1379">IF(DA445="Mejor que lo habitual",1,
IF(DA445="Igual que lo habitual",2,
IF(DA445="Menos que lo habitual",3,
IF(DA445="Mucho menos que lo habitual",4,""))))</f>
        <v>1</v>
      </c>
      <c r="DC445" s="5" t="s">
        <v>250</v>
      </c>
      <c r="DD445" s="5">
        <f t="shared" ref="DD445:DD451" si="1380">IF(DC445="No, en absoluto",1,
IF(DC445="No más que lo habitual",2,
IF(DC445="Bastante más que lo habitual",3,
IF(DC445="Mucho más que lo habitual",4,""))))</f>
        <v>3</v>
      </c>
      <c r="DE445" s="5" t="s">
        <v>250</v>
      </c>
      <c r="DF445" s="5">
        <f t="shared" ref="DF445:DF451" si="1381">IF(DE445="No, en absoluto",1,
IF(DE445="No más que lo habitual",2,
IF(DE445="Bastante más que lo habitual",3,
IF(DE445="Mucho más que lo habitual",4,""))))</f>
        <v>3</v>
      </c>
      <c r="DG445" s="5" t="s">
        <v>250</v>
      </c>
      <c r="DH445" s="5">
        <f t="shared" ref="DH445:DH451" si="1382">IF(DG445="No, en absoluto",1,
IF(DG445="No más que lo habitual",2,
IF(DG445="Bastante más que lo habitual",3,
IF(DG445="Mucho más que lo habitual",4,""))))</f>
        <v>3</v>
      </c>
      <c r="DI445" s="5" t="s">
        <v>280</v>
      </c>
      <c r="DJ445" s="5">
        <f t="shared" ref="DJ445:DJ451" si="1383">IF(DI445="No, en absoluto",1,
IF(DI445="No más que lo habitual",2,
IF(DI445="Bastante más que lo habitual",3,
IF(DI445="Mucho más que lo habitual",4,""))))</f>
        <v>4</v>
      </c>
      <c r="DK445" s="5" t="s">
        <v>251</v>
      </c>
      <c r="DL445" s="5">
        <f t="shared" ref="DL445:DL451" si="1384">IF(DK445="No, en absoluto",1,
IF(DK445="No más que lo habitual",2,
IF(DK445="Bastante más que lo habitual",3,
IF(DK445="Mucho más que lo habitual",4,""))))</f>
        <v>1</v>
      </c>
      <c r="DM445" s="5" t="s">
        <v>251</v>
      </c>
      <c r="DN445" s="5">
        <f t="shared" ref="DN445:DN451" si="1385">IF(DM445="No, en absoluto",1,
IF(DM445="No más que lo habitual",2,
IF(DM445="Bastante más que lo habitual",3,
IF(DM445="Mucho más que lo habitual",4,""))))</f>
        <v>1</v>
      </c>
      <c r="DO445" s="5" t="s">
        <v>281</v>
      </c>
      <c r="DP445" s="5">
        <f t="shared" ref="DP445:DP451" si="1386">IF(DO445="Más que lo habitual",1,
IF(DO445="Igual que lo habitual",2,
IF(DO445="Menos que lo habitual",3,
IF(DO445="Mucho menos que lo habitual",4,""))))</f>
        <v>1</v>
      </c>
      <c r="DQ445" s="5" t="s">
        <v>281</v>
      </c>
      <c r="DR445" s="5">
        <f t="shared" ref="DR445:DR451" si="1387">IF(DQ445="Más que lo habitual",1,
IF(DQ445="Igual que lo habitual",2,
IF(DQ445="Menos que lo habitual",3,
IF(DQ445="Mucho menos que lo habitual",4,""))))</f>
        <v>1</v>
      </c>
      <c r="DS445" s="5" t="s">
        <v>231</v>
      </c>
      <c r="DT445" s="5">
        <f t="shared" ref="DT445:DT451" si="1388">IF(DS445="Más que lo habitual",1,
IF(DS445="Igual que lo habitual",2,
IF(DS445="Menos que lo habitual",3,
IF(DS445="Mucho menos que lo habitual",4,""))))</f>
        <v>2</v>
      </c>
      <c r="DU445" s="5" t="s">
        <v>231</v>
      </c>
      <c r="DV445" s="5">
        <f t="shared" ref="DV445:DV451" si="1389">IF(DU445="Más que lo habitual",1,
IF(DU445="Igual que lo habitual",2,
IF(DU445="Menos que lo habitual",3,
IF(DU445="Mucho menos que lo habitual",4,""))))</f>
        <v>2</v>
      </c>
      <c r="DW445" s="5" t="s">
        <v>231</v>
      </c>
      <c r="DX445" s="5">
        <f t="shared" ref="DX445:DX451" si="1390">IF(DW445="Más que lo habitual",1,
IF(DW445="Igual que lo habitual",2,
IF(DW445="Menos que lo habitual",3,
IF(DW445="Mucho menos que lo habitual",4,""))))</f>
        <v>2</v>
      </c>
      <c r="DY445" s="5">
        <f t="shared" ref="DY445:DY451" si="1391">SUM(DB445,DD445,DF445,DH445,DJ445,DL445,DN445,DP445,DR445,DT445,DV445,DX445)</f>
        <v>24</v>
      </c>
      <c r="DZ445" s="5" t="str">
        <f t="shared" ref="DZ445:DZ451" si="1392">IF(DY445&lt;=18,"Nivel de riesgo bajo",
IF(DY445&lt;=23,"Nivel de riesgo medio",
"Nivel de riesgo alto"))</f>
        <v>Nivel de riesgo alto</v>
      </c>
      <c r="EA445" s="5" t="s">
        <v>232</v>
      </c>
      <c r="EB445" s="5">
        <f t="shared" ref="EB445:EB451" si="1393">IF(EA445="Nunca/ casi nunca",0,
IF(EA445="Rara vez",1,
IF(EA445="A veces",2,
IF(EA445="A menudo",3,
IF(EA445="Siempre",4,"")))))</f>
        <v>3</v>
      </c>
      <c r="EC445" s="5" t="s">
        <v>247</v>
      </c>
      <c r="ED445" s="5">
        <f t="shared" ref="ED445:ED451" si="1394">IF(EC445="Nunca/ casi nunca",0,
IF(EC445="Rara vez",1,
IF(EC445="A veces",2,
IF(EC445="A menudo",3,
IF(EC445="Siempre",4,"")))))</f>
        <v>2</v>
      </c>
      <c r="EE445" s="5" t="s">
        <v>247</v>
      </c>
      <c r="EF445" s="5">
        <f t="shared" ref="EF445:EF451" si="1395">IF(EE445="Nunca/ casi nunca",0,
IF(EE445="Rara vez",1,
IF(EE445="A veces",2,
IF(EE445="A menudo",3,
IF(EE445="Siempre",4,"")))))</f>
        <v>2</v>
      </c>
      <c r="EG445" s="5">
        <f t="shared" ref="EG445:EG451" si="1396">SUM(EB445,ED445,EF445)</f>
        <v>7</v>
      </c>
      <c r="EH445" s="5" t="str">
        <f t="shared" ref="EH445:EH451" si="1397">IF(EG445&lt;=1,"Nivel de riesgo bajo",
IF(EG445&lt;=4,"Nivel de riesgo medio",
"Nivel de riesgo alto"))</f>
        <v>Nivel de riesgo alto</v>
      </c>
      <c r="EI445" s="5" t="s">
        <v>248</v>
      </c>
      <c r="EJ445" s="5">
        <f t="shared" ref="EJ445:EJ451" si="1398">IF(EI445="Nunca/ casi nunca",0,
IF(EI445="Rara vez",1,
IF(EI445="A veces",2,
IF(EI445="A menudo",3,
IF(EI445="Siempre",4,"")))))</f>
        <v>1</v>
      </c>
      <c r="EK445" s="5" t="s">
        <v>232</v>
      </c>
      <c r="EL445" s="5">
        <f t="shared" ref="EL445:EL451" si="1399">IF(EK445="Nunca/ casi nunca",0,
IF(EK445="Rara vez",1,
IF(EK445="A veces",2,
IF(EK445="A menudo",3,
IF(EK445="Siempre",4,"")))))</f>
        <v>3</v>
      </c>
      <c r="EM445" s="5" t="s">
        <v>254</v>
      </c>
      <c r="EN445" s="5">
        <f t="shared" ref="EN445:EN451" si="1400">IF(EM445="Nunca/ casi nunca",0,
IF(EM445="Rara vez",1,
IF(EM445="A veces",2,
IF(EM445="A menudo",3,
IF(EM445="Siempre",4,"")))))</f>
        <v>4</v>
      </c>
      <c r="EO445" s="5">
        <f t="shared" ref="EO445:EO451" si="1401">SUM(EJ445,EL445,EN445)</f>
        <v>8</v>
      </c>
      <c r="EP445" s="5" t="str">
        <f t="shared" ref="EP445:EP451" si="1402">IF(EO445&lt;=1,"Nivel de riesgo bajo",
IF(EO445&lt;=5,"Nivel de riesgo medio",
"Nivel de riesgo alto"))</f>
        <v>Nivel de riesgo alto</v>
      </c>
      <c r="EQ445" s="5" t="s">
        <v>248</v>
      </c>
      <c r="ER445" s="5">
        <f t="shared" ref="ER445:ER451" si="1403">IF(EQ445="Nunca/ casi nunca",4,
IF(EQ445="Rara vez",3,
IF(EQ445="A veces",2,
IF(EQ445="A menudo",1,
IF(EQ445="Siempre",0,"")))))</f>
        <v>3</v>
      </c>
      <c r="ES445" s="5" t="s">
        <v>248</v>
      </c>
      <c r="ET445" s="5">
        <f t="shared" ref="ET445:ET451" si="1404">IF(ES445="Nunca/ casi nunca",4,
IF(ES445="Rara vez",3,
IF(ES445="A veces",2,
IF(ES445="A menudo",1,
IF(ES445="Siempre",0,"")))))</f>
        <v>3</v>
      </c>
      <c r="EU445" s="5" t="s">
        <v>254</v>
      </c>
      <c r="EV445" s="5">
        <f t="shared" ref="EV445:EV451" si="1405">IF(EU445="Nunca/ casi nunca",4,
IF(EU445="Rara vez",3,
IF(EU445="A veces",2,
IF(EU445="A menudo",1,
IF(EU445="Siempre",0,"")))))</f>
        <v>0</v>
      </c>
      <c r="EW445" s="5" t="s">
        <v>232</v>
      </c>
      <c r="EX445" s="5">
        <f t="shared" ref="EX445:EX451" si="1406">IF(EW445="Nunca/ casi nunca",4,
IF(EW445="Rara vez",3,
IF(EW445="A veces",2,
IF(EW445="A menudo",1,
IF(EW445="Siempre",0,"")))))</f>
        <v>1</v>
      </c>
      <c r="EY445" s="5">
        <f t="shared" ref="EY445:EY451" si="1407">SUM(ER445,ET445,EV445,EX445)</f>
        <v>7</v>
      </c>
      <c r="EZ445" s="5" t="str">
        <f t="shared" ref="EZ445:EZ451" si="1408">IF(EY445&lt;=0,"Nivel de riesgo bajo",
IF(EY445&lt;=4,"Nivel de riesgo medio",
"Nivel de riesgo alto"))</f>
        <v>Nivel de riesgo alto</v>
      </c>
      <c r="FA445" s="5" t="s">
        <v>253</v>
      </c>
      <c r="FB445" s="5">
        <f t="shared" ref="FB445:FB451" si="1409">IF(FA445="Nunca/ casi nunca",0,
IF(FA445="Rara vez",1,
IF(FA445="A veces",2,
IF(FA445="A menudo",3,
IF(FA445="Siempre",4,"")))))</f>
        <v>0</v>
      </c>
      <c r="FC445" s="5" t="s">
        <v>253</v>
      </c>
      <c r="FD445" s="5">
        <f t="shared" ref="FD445:FD451" si="1410">IF(FC445="Nunca/ casi nunca",0,
IF(FC445="Rara vez",1,
IF(FC445="A veces",2,
IF(FC445="A menudo",3,
IF(FC445="Siempre",4,"")))))</f>
        <v>0</v>
      </c>
      <c r="FE445" s="5" t="s">
        <v>253</v>
      </c>
      <c r="FF445" s="5">
        <f t="shared" ref="FF445:FF451" si="1411">IF(FE445="Nunca/ casi nunca",0,
IF(FE445="Rara vez",1,
IF(FE445="A veces",2,
IF(FE445="A menudo",3,
IF(FE445="Siempre",4,"")))))</f>
        <v>0</v>
      </c>
      <c r="FG445" s="5">
        <f t="shared" ref="FG445:FG451" si="1412">SUM(FB445,FD445,FF445)</f>
        <v>0</v>
      </c>
      <c r="FH445" s="5" t="str">
        <f t="shared" ref="FH445:FH451" si="1413">IF(FG445&lt;=2,"Nivel de riesgo bajo",
IF(FG445&lt;=5,"Nivel de riesgo medio",
"Nivel de riesgo alto"))</f>
        <v>Nivel de riesgo bajo</v>
      </c>
      <c r="FI445" s="5" t="s">
        <v>247</v>
      </c>
      <c r="FJ445" s="5">
        <f t="shared" ref="FJ445:FJ451" si="1414">IF(FI445="Nunca/ casi nunca",0,
IF(FI445="Rara vez",1,
IF(FI445="A veces",2,
IF(FI445="A menudo",3,
IF(FI445="Siempre",4,"")))))</f>
        <v>2</v>
      </c>
      <c r="FK445" s="5" t="s">
        <v>247</v>
      </c>
      <c r="FL445" s="5">
        <f t="shared" ref="FL445:FL451" si="1415">IF(FK445="Nunca/ casi nunca",0,
IF(FK445="Rara vez",1,
IF(FK445="A veces",2,
IF(FK445="A menudo",3,
IF(FK445="Siempre",4,"")))))</f>
        <v>2</v>
      </c>
      <c r="FM445" s="5" t="s">
        <v>247</v>
      </c>
      <c r="FN445" s="5">
        <f t="shared" ref="FN445:FN451" si="1416">IF(FM445="Nunca/ casi nunca",0,
IF(FM445="Rara vez",1,
IF(FM445="A veces",2,
IF(FM445="A menudo",3,
IF(FM445="Siempre",4,"")))))</f>
        <v>2</v>
      </c>
      <c r="FO445" s="5">
        <f t="shared" ref="FO445:FO451" si="1417">SUM(FJ445,FL445,FN445)</f>
        <v>6</v>
      </c>
      <c r="FP445" s="5" t="str">
        <f t="shared" ref="FP445:FP451" si="1418">IF(FO445&lt;=2,"Nivel de riesgo bajo",
IF(FO445&lt;=5,"Nivel de riesgo medio",
"Nivel de riesgo alto"))</f>
        <v>Nivel de riesgo alto</v>
      </c>
      <c r="FQ445" s="5" t="s">
        <v>206</v>
      </c>
      <c r="FR445" s="5">
        <f t="shared" ref="FR445:FR451" si="1419">IF(FQ445="No",0,
IF(FQ445="Sí, unas pocas veces",1,
IF(FQ445="Sí, mensualmente",2,
IF(FQ445="Sí, semanalmente",3,
IF(FQ445="Sí, diariamente",4,"")))))</f>
        <v>0</v>
      </c>
      <c r="FS445" s="5" t="s">
        <v>206</v>
      </c>
      <c r="FT445" s="5">
        <f t="shared" ref="FT445:FT451" si="1420">IF(FS445="No",0,
IF(FS445="Sí, unas pocas veces",1,
IF(FS445="Sí, mensualmente",2,
IF(FS445="Sí, semanalmente",3,
IF(FS445="Sí, diariamente",4,"")))))</f>
        <v>0</v>
      </c>
      <c r="FU445" s="5" t="s">
        <v>206</v>
      </c>
      <c r="FV445" s="5">
        <f t="shared" ref="FV445:FV451" si="1421">IF(FU445="No",0,
IF(FU445="Sí, unas pocas veces",1,
IF(FU445="Sí, mensualmente",2,
IF(FU445="Sí, semanalmente",3,
IF(FU445="Sí, diariamente",4,"")))))</f>
        <v>0</v>
      </c>
      <c r="FW445" s="5" t="s">
        <v>325</v>
      </c>
      <c r="FX445" s="5">
        <f t="shared" ref="FX445:FX451" si="1422">IF(FW445="No",0,
IF(FW445="Sí, unas pocas veces",1,
IF(FW445="Sí, mensualmente",2,
IF(FW445="Sí, semanalmente",3,
IF(FW445="Sí, diariamente",4,"")))))</f>
        <v>2</v>
      </c>
      <c r="FY445" s="5" t="s">
        <v>206</v>
      </c>
      <c r="FZ445" s="5">
        <f t="shared" ref="FZ445:FZ451" si="1423">IF(FY445="No",0,
IF(FY445="Sí, unas pocas veces",1,
IF(FY445="Sí, mensualmente",2,
IF(FY445="Sí, semanalmente",3,
IF(FY445="Sí, diariamente",4,"")))))</f>
        <v>0</v>
      </c>
      <c r="GA445" s="5" t="s">
        <v>206</v>
      </c>
      <c r="GB445" s="5">
        <f t="shared" ref="GB445:GB451" si="1424">IF(GA445="No",0,
IF(GA445="Sí, unas pocas veces",1,
IF(GA445="Sí, mensualmente",2,
IF(GA445="Sí, semanalmente",3,
IF(GA445="Sí, diariamente",4,"")))))</f>
        <v>0</v>
      </c>
      <c r="GC445" s="5" t="s">
        <v>206</v>
      </c>
      <c r="GD445" s="5">
        <f t="shared" ref="GD445:GD451" si="1425">IF(GC445="No",0,
IF(GC445="Sí, unas pocas veces",1,
IF(GC445="Sí, mensualmente",2,
IF(GC445="Sí, semanalmente",3,
IF(GC445="Sí, diariamente",4,"")))))</f>
        <v>0</v>
      </c>
      <c r="GE445" s="5">
        <f t="shared" ref="GE445:GE451" si="1426">SUM(FR445,FT445,FV445,FX445,FZ445,GB445,GD445)</f>
        <v>2</v>
      </c>
      <c r="GF445" s="5" t="str">
        <f t="shared" ref="GF445:GF451" si="1427">IF(GE445&lt;=0,"Nivel de riesgo bajo",
IF(GE445&lt;=14,"Nivel de riesgo medio",
"Nivel de riesgo alto"))</f>
        <v>Nivel de riesgo medio</v>
      </c>
      <c r="GG445" s="5" t="s">
        <v>255</v>
      </c>
      <c r="GH445" s="5" t="s">
        <v>273</v>
      </c>
      <c r="GI445" s="5" t="s">
        <v>255</v>
      </c>
      <c r="GJ445" s="5" t="s">
        <v>255</v>
      </c>
      <c r="GK445" s="5" t="s">
        <v>233</v>
      </c>
      <c r="GL445" s="5" t="s">
        <v>233</v>
      </c>
      <c r="GM445" s="5" t="s">
        <v>233</v>
      </c>
      <c r="GN445" s="5" t="s">
        <v>256</v>
      </c>
      <c r="GO445" s="5" t="s">
        <v>243</v>
      </c>
      <c r="GP445" s="5" t="s">
        <v>243</v>
      </c>
      <c r="GQ445" s="5" t="s">
        <v>257</v>
      </c>
      <c r="GR445" s="5" t="s">
        <v>234</v>
      </c>
      <c r="GS445" s="5" t="s">
        <v>234</v>
      </c>
      <c r="GT445" s="5" t="s">
        <v>234</v>
      </c>
      <c r="GU445" s="5" t="s">
        <v>813</v>
      </c>
      <c r="GV445" s="5" t="str">
        <f>TEXT("6290104233316604996","0")</f>
        <v>6290104233316600000</v>
      </c>
    </row>
    <row r="446" spans="1:204" ht="15.75" customHeight="1" x14ac:dyDescent="0.15">
      <c r="A446" s="1">
        <f t="shared" si="1377"/>
        <v>446</v>
      </c>
      <c r="B446" s="4">
        <v>45860.514872685184</v>
      </c>
      <c r="C446" s="5" t="s">
        <v>204</v>
      </c>
      <c r="D446" s="5" t="s">
        <v>204</v>
      </c>
      <c r="E446" s="5" t="s">
        <v>335</v>
      </c>
      <c r="F446" s="5" t="s">
        <v>206</v>
      </c>
      <c r="G446" s="5" t="s">
        <v>206</v>
      </c>
      <c r="H446" s="5" t="s">
        <v>206</v>
      </c>
      <c r="K446" s="5" t="s">
        <v>237</v>
      </c>
      <c r="P446" s="5" t="s">
        <v>237</v>
      </c>
      <c r="T446" s="5" t="s">
        <v>209</v>
      </c>
      <c r="Y446" s="5" t="s">
        <v>209</v>
      </c>
      <c r="AC446" s="5" t="s">
        <v>208</v>
      </c>
      <c r="AH446" s="5" t="s">
        <v>275</v>
      </c>
      <c r="AI446" s="5">
        <v>2008</v>
      </c>
      <c r="AJ446" s="5" t="s">
        <v>238</v>
      </c>
      <c r="AK446" s="5" t="str">
        <f t="shared" si="1378"/>
        <v>Trabajadora por cuenta propia</v>
      </c>
      <c r="AL446" s="5" t="s">
        <v>239</v>
      </c>
      <c r="AP446" s="5" t="s">
        <v>297</v>
      </c>
      <c r="AR446" s="5" t="s">
        <v>241</v>
      </c>
      <c r="AS446" s="5" t="s">
        <v>241</v>
      </c>
      <c r="AT446" s="5" t="s">
        <v>261</v>
      </c>
      <c r="AU446" s="5" t="s">
        <v>261</v>
      </c>
      <c r="AV446" s="5" t="s">
        <v>213</v>
      </c>
      <c r="AW446" s="5" t="s">
        <v>206</v>
      </c>
      <c r="BF446" s="5" t="s">
        <v>204</v>
      </c>
      <c r="BG446" s="5" t="s">
        <v>207</v>
      </c>
      <c r="BH446" s="5" t="s">
        <v>264</v>
      </c>
      <c r="BI446" s="5" t="s">
        <v>207</v>
      </c>
      <c r="BJ446" s="5" t="s">
        <v>264</v>
      </c>
      <c r="BK446" s="5" t="s">
        <v>246</v>
      </c>
      <c r="BL446" s="5" t="s">
        <v>244</v>
      </c>
      <c r="BM446" s="5" t="s">
        <v>243</v>
      </c>
      <c r="BN446" s="5" t="s">
        <v>244</v>
      </c>
      <c r="BO446" s="5" t="s">
        <v>244</v>
      </c>
      <c r="BP446" s="5" t="s">
        <v>246</v>
      </c>
      <c r="BQ446" s="5" t="s">
        <v>244</v>
      </c>
      <c r="BR446" s="5" t="s">
        <v>244</v>
      </c>
      <c r="BS446" s="5" t="s">
        <v>248</v>
      </c>
      <c r="BT446" s="5" t="s">
        <v>248</v>
      </c>
      <c r="BU446" s="5" t="s">
        <v>248</v>
      </c>
      <c r="BV446" s="5" t="s">
        <v>248</v>
      </c>
      <c r="BW446" s="5" t="s">
        <v>248</v>
      </c>
      <c r="BX446" s="5" t="s">
        <v>248</v>
      </c>
      <c r="BY446" s="5" t="s">
        <v>248</v>
      </c>
      <c r="CD446" s="5" t="s">
        <v>204</v>
      </c>
      <c r="CE446" s="5" t="s">
        <v>218</v>
      </c>
      <c r="CF446" s="5" t="s">
        <v>219</v>
      </c>
      <c r="CG446" s="5" t="s">
        <v>206</v>
      </c>
      <c r="CH446" s="5" t="s">
        <v>206</v>
      </c>
      <c r="CI446" s="5" t="s">
        <v>206</v>
      </c>
      <c r="CJ446" s="5">
        <v>0</v>
      </c>
      <c r="CK446" s="5" t="s">
        <v>223</v>
      </c>
      <c r="CU446" s="5" t="s">
        <v>206</v>
      </c>
      <c r="DA446" s="5" t="s">
        <v>272</v>
      </c>
      <c r="DB446" s="5">
        <f t="shared" si="1379"/>
        <v>1</v>
      </c>
      <c r="DC446" s="5" t="s">
        <v>250</v>
      </c>
      <c r="DD446" s="5">
        <f t="shared" si="1380"/>
        <v>3</v>
      </c>
      <c r="DE446" s="5" t="s">
        <v>250</v>
      </c>
      <c r="DF446" s="5">
        <f t="shared" si="1381"/>
        <v>3</v>
      </c>
      <c r="DG446" s="5" t="s">
        <v>250</v>
      </c>
      <c r="DH446" s="5">
        <f t="shared" si="1382"/>
        <v>3</v>
      </c>
      <c r="DI446" s="5" t="s">
        <v>250</v>
      </c>
      <c r="DJ446" s="5">
        <f t="shared" si="1383"/>
        <v>3</v>
      </c>
      <c r="DK446" s="5" t="s">
        <v>250</v>
      </c>
      <c r="DL446" s="5">
        <f t="shared" si="1384"/>
        <v>3</v>
      </c>
      <c r="DM446" s="5" t="s">
        <v>250</v>
      </c>
      <c r="DN446" s="5">
        <f t="shared" si="1385"/>
        <v>3</v>
      </c>
      <c r="DO446" s="5" t="s">
        <v>231</v>
      </c>
      <c r="DP446" s="5">
        <f t="shared" si="1386"/>
        <v>2</v>
      </c>
      <c r="DQ446" s="5" t="s">
        <v>231</v>
      </c>
      <c r="DR446" s="5">
        <f t="shared" si="1387"/>
        <v>2</v>
      </c>
      <c r="DS446" s="5" t="s">
        <v>231</v>
      </c>
      <c r="DT446" s="5">
        <f t="shared" si="1388"/>
        <v>2</v>
      </c>
      <c r="DU446" s="5" t="s">
        <v>231</v>
      </c>
      <c r="DV446" s="5">
        <f t="shared" si="1389"/>
        <v>2</v>
      </c>
      <c r="DW446" s="5" t="s">
        <v>231</v>
      </c>
      <c r="DX446" s="5">
        <f t="shared" si="1390"/>
        <v>2</v>
      </c>
      <c r="DY446" s="5">
        <f t="shared" si="1391"/>
        <v>29</v>
      </c>
      <c r="DZ446" s="5" t="str">
        <f t="shared" si="1392"/>
        <v>Nivel de riesgo alto</v>
      </c>
      <c r="EA446" s="5" t="s">
        <v>232</v>
      </c>
      <c r="EB446" s="5">
        <f t="shared" si="1393"/>
        <v>3</v>
      </c>
      <c r="EC446" s="5" t="s">
        <v>232</v>
      </c>
      <c r="ED446" s="5">
        <f t="shared" si="1394"/>
        <v>3</v>
      </c>
      <c r="EE446" s="5" t="s">
        <v>232</v>
      </c>
      <c r="EF446" s="5">
        <f t="shared" si="1395"/>
        <v>3</v>
      </c>
      <c r="EG446" s="5">
        <f t="shared" si="1396"/>
        <v>9</v>
      </c>
      <c r="EH446" s="5" t="str">
        <f t="shared" si="1397"/>
        <v>Nivel de riesgo alto</v>
      </c>
      <c r="EI446" s="5" t="s">
        <v>232</v>
      </c>
      <c r="EJ446" s="5">
        <f t="shared" si="1398"/>
        <v>3</v>
      </c>
      <c r="EK446" s="5" t="s">
        <v>232</v>
      </c>
      <c r="EL446" s="5">
        <f t="shared" si="1399"/>
        <v>3</v>
      </c>
      <c r="EM446" s="5" t="s">
        <v>232</v>
      </c>
      <c r="EN446" s="5">
        <f t="shared" si="1400"/>
        <v>3</v>
      </c>
      <c r="EO446" s="5">
        <f t="shared" si="1401"/>
        <v>9</v>
      </c>
      <c r="EP446" s="5" t="str">
        <f t="shared" si="1402"/>
        <v>Nivel de riesgo alto</v>
      </c>
      <c r="EQ446" s="5" t="s">
        <v>232</v>
      </c>
      <c r="ER446" s="5">
        <f t="shared" si="1403"/>
        <v>1</v>
      </c>
      <c r="ES446" s="5" t="s">
        <v>232</v>
      </c>
      <c r="ET446" s="5">
        <f t="shared" si="1404"/>
        <v>1</v>
      </c>
      <c r="EU446" s="5" t="s">
        <v>232</v>
      </c>
      <c r="EV446" s="5">
        <f t="shared" si="1405"/>
        <v>1</v>
      </c>
      <c r="EW446" s="5" t="s">
        <v>232</v>
      </c>
      <c r="EX446" s="5">
        <f t="shared" si="1406"/>
        <v>1</v>
      </c>
      <c r="EY446" s="5">
        <f t="shared" si="1407"/>
        <v>4</v>
      </c>
      <c r="EZ446" s="5" t="str">
        <f t="shared" si="1408"/>
        <v>Nivel de riesgo medio</v>
      </c>
      <c r="FA446" s="5" t="s">
        <v>232</v>
      </c>
      <c r="FB446" s="5">
        <f t="shared" si="1409"/>
        <v>3</v>
      </c>
      <c r="FC446" s="5" t="s">
        <v>232</v>
      </c>
      <c r="FD446" s="5">
        <f t="shared" si="1410"/>
        <v>3</v>
      </c>
      <c r="FE446" s="5" t="s">
        <v>232</v>
      </c>
      <c r="FF446" s="5">
        <f t="shared" si="1411"/>
        <v>3</v>
      </c>
      <c r="FG446" s="5">
        <f t="shared" si="1412"/>
        <v>9</v>
      </c>
      <c r="FH446" s="5" t="str">
        <f t="shared" si="1413"/>
        <v>Nivel de riesgo alto</v>
      </c>
      <c r="FI446" s="5" t="s">
        <v>247</v>
      </c>
      <c r="FJ446" s="5">
        <f t="shared" si="1414"/>
        <v>2</v>
      </c>
      <c r="FK446" s="5" t="s">
        <v>247</v>
      </c>
      <c r="FL446" s="5">
        <f t="shared" si="1415"/>
        <v>2</v>
      </c>
      <c r="FM446" s="5" t="s">
        <v>247</v>
      </c>
      <c r="FN446" s="5">
        <f t="shared" si="1416"/>
        <v>2</v>
      </c>
      <c r="FO446" s="5">
        <f t="shared" si="1417"/>
        <v>6</v>
      </c>
      <c r="FP446" s="5" t="str">
        <f t="shared" si="1418"/>
        <v>Nivel de riesgo alto</v>
      </c>
      <c r="FQ446" s="5" t="s">
        <v>325</v>
      </c>
      <c r="FR446" s="5">
        <f t="shared" si="1419"/>
        <v>2</v>
      </c>
      <c r="FS446" s="5" t="s">
        <v>325</v>
      </c>
      <c r="FT446" s="5">
        <f t="shared" si="1420"/>
        <v>2</v>
      </c>
      <c r="FU446" s="5" t="s">
        <v>325</v>
      </c>
      <c r="FV446" s="5">
        <f t="shared" si="1421"/>
        <v>2</v>
      </c>
      <c r="FW446" s="5" t="s">
        <v>325</v>
      </c>
      <c r="FX446" s="5">
        <f t="shared" si="1422"/>
        <v>2</v>
      </c>
      <c r="FY446" s="5" t="s">
        <v>325</v>
      </c>
      <c r="FZ446" s="5">
        <f t="shared" si="1423"/>
        <v>2</v>
      </c>
      <c r="GA446" s="5" t="s">
        <v>325</v>
      </c>
      <c r="GB446" s="5">
        <f t="shared" si="1424"/>
        <v>2</v>
      </c>
      <c r="GC446" s="5" t="s">
        <v>325</v>
      </c>
      <c r="GD446" s="5">
        <f t="shared" si="1425"/>
        <v>2</v>
      </c>
      <c r="GE446" s="5">
        <f t="shared" si="1426"/>
        <v>14</v>
      </c>
      <c r="GF446" s="5" t="str">
        <f t="shared" si="1427"/>
        <v>Nivel de riesgo medio</v>
      </c>
      <c r="GG446" s="5" t="s">
        <v>273</v>
      </c>
      <c r="GH446" s="5" t="s">
        <v>273</v>
      </c>
      <c r="GI446" s="5" t="s">
        <v>273</v>
      </c>
      <c r="GJ446" s="5" t="s">
        <v>273</v>
      </c>
      <c r="GK446" s="5" t="s">
        <v>273</v>
      </c>
      <c r="GL446" s="5" t="s">
        <v>273</v>
      </c>
      <c r="GM446" s="5" t="s">
        <v>273</v>
      </c>
      <c r="GN446" s="5" t="s">
        <v>244</v>
      </c>
      <c r="GO446" s="5" t="s">
        <v>244</v>
      </c>
      <c r="GP446" s="5" t="s">
        <v>244</v>
      </c>
      <c r="GQ446" s="5" t="s">
        <v>257</v>
      </c>
      <c r="GR446" s="5" t="s">
        <v>257</v>
      </c>
      <c r="GS446" s="5" t="s">
        <v>257</v>
      </c>
      <c r="GT446" s="5" t="s">
        <v>257</v>
      </c>
      <c r="GU446" s="5" t="s">
        <v>814</v>
      </c>
      <c r="GV446" s="5" t="str">
        <f>TEXT("6290104851564387962","0")</f>
        <v>6290104851564380000</v>
      </c>
    </row>
    <row r="447" spans="1:204" ht="15.75" customHeight="1" x14ac:dyDescent="0.15">
      <c r="A447" s="1">
        <f t="shared" si="1377"/>
        <v>447</v>
      </c>
      <c r="B447" s="4">
        <v>45860.52138888889</v>
      </c>
      <c r="C447" s="5" t="s">
        <v>204</v>
      </c>
      <c r="D447" s="5" t="s">
        <v>206</v>
      </c>
      <c r="F447" s="5" t="s">
        <v>206</v>
      </c>
      <c r="G447" s="5" t="s">
        <v>204</v>
      </c>
      <c r="H447" s="5" t="s">
        <v>206</v>
      </c>
      <c r="K447" s="5" t="s">
        <v>237</v>
      </c>
      <c r="O447" s="5" t="s">
        <v>209</v>
      </c>
      <c r="T447" s="5" t="s">
        <v>209</v>
      </c>
      <c r="X447" s="5" t="s">
        <v>208</v>
      </c>
      <c r="AE447" s="5" t="s">
        <v>237</v>
      </c>
      <c r="AH447" s="5" t="s">
        <v>210</v>
      </c>
      <c r="AI447" s="5">
        <v>2017</v>
      </c>
      <c r="AJ447" s="5" t="s">
        <v>330</v>
      </c>
      <c r="AK447" s="5" t="str">
        <f t="shared" si="1378"/>
        <v>Asalariada</v>
      </c>
      <c r="AQ447" s="5" t="s">
        <v>204</v>
      </c>
      <c r="AR447" s="5" t="s">
        <v>241</v>
      </c>
      <c r="AS447" s="5" t="s">
        <v>241</v>
      </c>
      <c r="AT447" s="5" t="s">
        <v>261</v>
      </c>
      <c r="AU447" s="5" t="s">
        <v>261</v>
      </c>
      <c r="AV447" s="5" t="s">
        <v>269</v>
      </c>
      <c r="AW447" s="5" t="s">
        <v>204</v>
      </c>
      <c r="AX447" s="5" t="s">
        <v>204</v>
      </c>
      <c r="AY447" s="5" t="s">
        <v>339</v>
      </c>
      <c r="AZ447" s="5" t="s">
        <v>204</v>
      </c>
      <c r="BA447" s="5" t="s">
        <v>263</v>
      </c>
      <c r="BF447" s="5" t="s">
        <v>204</v>
      </c>
      <c r="BG447" s="5" t="s">
        <v>242</v>
      </c>
      <c r="BH447" s="5" t="s">
        <v>215</v>
      </c>
      <c r="BI447" s="5" t="s">
        <v>278</v>
      </c>
      <c r="BJ447" s="5" t="s">
        <v>242</v>
      </c>
      <c r="BK447" s="5" t="s">
        <v>244</v>
      </c>
      <c r="BL447" s="5" t="s">
        <v>244</v>
      </c>
      <c r="BM447" s="5" t="s">
        <v>244</v>
      </c>
      <c r="BN447" s="5" t="s">
        <v>244</v>
      </c>
      <c r="BO447" s="5" t="s">
        <v>244</v>
      </c>
      <c r="BP447" s="5" t="s">
        <v>244</v>
      </c>
      <c r="BQ447" s="5" t="s">
        <v>244</v>
      </c>
      <c r="BR447" s="5" t="s">
        <v>244</v>
      </c>
      <c r="BS447" s="5" t="s">
        <v>217</v>
      </c>
      <c r="BT447" s="5" t="s">
        <v>217</v>
      </c>
      <c r="BU447" s="5" t="s">
        <v>247</v>
      </c>
      <c r="BV447" s="5" t="s">
        <v>217</v>
      </c>
      <c r="BW447" s="5" t="s">
        <v>247</v>
      </c>
      <c r="BX447" s="5" t="s">
        <v>217</v>
      </c>
      <c r="BY447" s="5" t="s">
        <v>217</v>
      </c>
      <c r="BZ447" s="5" t="s">
        <v>216</v>
      </c>
      <c r="CA447" s="5" t="s">
        <v>216</v>
      </c>
      <c r="CB447" s="5" t="s">
        <v>216</v>
      </c>
      <c r="CC447" s="5" t="s">
        <v>216</v>
      </c>
      <c r="CD447" s="5" t="s">
        <v>204</v>
      </c>
      <c r="CE447" s="5" t="s">
        <v>286</v>
      </c>
      <c r="CF447" s="5" t="s">
        <v>219</v>
      </c>
      <c r="CG447" s="5" t="s">
        <v>206</v>
      </c>
      <c r="CH447" s="5" t="s">
        <v>206</v>
      </c>
      <c r="CI447" s="5" t="s">
        <v>249</v>
      </c>
      <c r="CJ447" s="5">
        <v>1</v>
      </c>
      <c r="CK447" s="5" t="s">
        <v>223</v>
      </c>
      <c r="CU447" s="5" t="s">
        <v>206</v>
      </c>
      <c r="DA447" s="5" t="s">
        <v>252</v>
      </c>
      <c r="DB447" s="5">
        <f t="shared" si="1379"/>
        <v>3</v>
      </c>
      <c r="DC447" s="5" t="s">
        <v>230</v>
      </c>
      <c r="DD447" s="5">
        <f t="shared" si="1380"/>
        <v>2</v>
      </c>
      <c r="DE447" s="5" t="s">
        <v>250</v>
      </c>
      <c r="DF447" s="5">
        <f t="shared" si="1381"/>
        <v>3</v>
      </c>
      <c r="DG447" s="5" t="s">
        <v>230</v>
      </c>
      <c r="DH447" s="5">
        <f t="shared" si="1382"/>
        <v>2</v>
      </c>
      <c r="DI447" s="5" t="s">
        <v>250</v>
      </c>
      <c r="DJ447" s="5">
        <f t="shared" si="1383"/>
        <v>3</v>
      </c>
      <c r="DK447" s="5" t="s">
        <v>251</v>
      </c>
      <c r="DL447" s="5">
        <f t="shared" si="1384"/>
        <v>1</v>
      </c>
      <c r="DM447" s="5" t="s">
        <v>251</v>
      </c>
      <c r="DN447" s="5">
        <f t="shared" si="1385"/>
        <v>1</v>
      </c>
      <c r="DO447" s="5" t="s">
        <v>231</v>
      </c>
      <c r="DP447" s="5">
        <f t="shared" si="1386"/>
        <v>2</v>
      </c>
      <c r="DQ447" s="5" t="s">
        <v>231</v>
      </c>
      <c r="DR447" s="5">
        <f t="shared" si="1387"/>
        <v>2</v>
      </c>
      <c r="DS447" s="5" t="s">
        <v>231</v>
      </c>
      <c r="DT447" s="5">
        <f t="shared" si="1388"/>
        <v>2</v>
      </c>
      <c r="DU447" s="5" t="s">
        <v>231</v>
      </c>
      <c r="DV447" s="5">
        <f t="shared" si="1389"/>
        <v>2</v>
      </c>
      <c r="DW447" s="5" t="s">
        <v>231</v>
      </c>
      <c r="DX447" s="5">
        <f t="shared" si="1390"/>
        <v>2</v>
      </c>
      <c r="DY447" s="5">
        <f t="shared" si="1391"/>
        <v>25</v>
      </c>
      <c r="DZ447" s="5" t="str">
        <f t="shared" si="1392"/>
        <v>Nivel de riesgo alto</v>
      </c>
      <c r="EA447" s="5" t="s">
        <v>253</v>
      </c>
      <c r="EB447" s="5">
        <f t="shared" si="1393"/>
        <v>0</v>
      </c>
      <c r="EC447" s="5" t="s">
        <v>253</v>
      </c>
      <c r="ED447" s="5">
        <f t="shared" si="1394"/>
        <v>0</v>
      </c>
      <c r="EE447" s="5" t="s">
        <v>248</v>
      </c>
      <c r="EF447" s="5">
        <f t="shared" si="1395"/>
        <v>1</v>
      </c>
      <c r="EG447" s="5">
        <f t="shared" si="1396"/>
        <v>1</v>
      </c>
      <c r="EH447" s="5" t="str">
        <f t="shared" si="1397"/>
        <v>Nivel de riesgo bajo</v>
      </c>
      <c r="EI447" s="5" t="s">
        <v>253</v>
      </c>
      <c r="EJ447" s="5">
        <f t="shared" si="1398"/>
        <v>0</v>
      </c>
      <c r="EK447" s="5" t="s">
        <v>254</v>
      </c>
      <c r="EL447" s="5">
        <f t="shared" si="1399"/>
        <v>4</v>
      </c>
      <c r="EM447" s="5" t="s">
        <v>232</v>
      </c>
      <c r="EN447" s="5">
        <f t="shared" si="1400"/>
        <v>3</v>
      </c>
      <c r="EO447" s="5">
        <f t="shared" si="1401"/>
        <v>7</v>
      </c>
      <c r="EP447" s="5" t="str">
        <f t="shared" si="1402"/>
        <v>Nivel de riesgo alto</v>
      </c>
      <c r="EQ447" s="5" t="s">
        <v>254</v>
      </c>
      <c r="ER447" s="5">
        <f t="shared" si="1403"/>
        <v>0</v>
      </c>
      <c r="ES447" s="5" t="s">
        <v>232</v>
      </c>
      <c r="ET447" s="5">
        <f t="shared" si="1404"/>
        <v>1</v>
      </c>
      <c r="EU447" s="5" t="s">
        <v>254</v>
      </c>
      <c r="EV447" s="5">
        <f t="shared" si="1405"/>
        <v>0</v>
      </c>
      <c r="EW447" s="5" t="s">
        <v>254</v>
      </c>
      <c r="EX447" s="5">
        <f t="shared" si="1406"/>
        <v>0</v>
      </c>
      <c r="EY447" s="5">
        <f t="shared" si="1407"/>
        <v>1</v>
      </c>
      <c r="EZ447" s="5" t="str">
        <f t="shared" si="1408"/>
        <v>Nivel de riesgo medio</v>
      </c>
      <c r="FA447" s="5" t="s">
        <v>253</v>
      </c>
      <c r="FB447" s="5">
        <f t="shared" si="1409"/>
        <v>0</v>
      </c>
      <c r="FC447" s="5" t="s">
        <v>253</v>
      </c>
      <c r="FD447" s="5">
        <f t="shared" si="1410"/>
        <v>0</v>
      </c>
      <c r="FE447" s="5" t="s">
        <v>253</v>
      </c>
      <c r="FF447" s="5">
        <f t="shared" si="1411"/>
        <v>0</v>
      </c>
      <c r="FG447" s="5">
        <f t="shared" si="1412"/>
        <v>0</v>
      </c>
      <c r="FH447" s="5" t="str">
        <f t="shared" si="1413"/>
        <v>Nivel de riesgo bajo</v>
      </c>
      <c r="FI447" s="5" t="s">
        <v>248</v>
      </c>
      <c r="FJ447" s="5">
        <f t="shared" si="1414"/>
        <v>1</v>
      </c>
      <c r="FK447" s="5" t="s">
        <v>248</v>
      </c>
      <c r="FL447" s="5">
        <f t="shared" si="1415"/>
        <v>1</v>
      </c>
      <c r="FM447" s="5" t="s">
        <v>248</v>
      </c>
      <c r="FN447" s="5">
        <f t="shared" si="1416"/>
        <v>1</v>
      </c>
      <c r="FO447" s="5">
        <f t="shared" si="1417"/>
        <v>3</v>
      </c>
      <c r="FP447" s="5" t="str">
        <f t="shared" si="1418"/>
        <v>Nivel de riesgo medio</v>
      </c>
      <c r="FQ447" s="5" t="s">
        <v>206</v>
      </c>
      <c r="FR447" s="5">
        <f t="shared" si="1419"/>
        <v>0</v>
      </c>
      <c r="FS447" s="5" t="s">
        <v>206</v>
      </c>
      <c r="FT447" s="5">
        <f t="shared" si="1420"/>
        <v>0</v>
      </c>
      <c r="FU447" s="5" t="s">
        <v>206</v>
      </c>
      <c r="FV447" s="5">
        <f t="shared" si="1421"/>
        <v>0</v>
      </c>
      <c r="FW447" s="5" t="s">
        <v>206</v>
      </c>
      <c r="FX447" s="5">
        <f t="shared" si="1422"/>
        <v>0</v>
      </c>
      <c r="FY447" s="5" t="s">
        <v>206</v>
      </c>
      <c r="FZ447" s="5">
        <f t="shared" si="1423"/>
        <v>0</v>
      </c>
      <c r="GA447" s="5" t="s">
        <v>206</v>
      </c>
      <c r="GB447" s="5">
        <f t="shared" si="1424"/>
        <v>0</v>
      </c>
      <c r="GC447" s="5" t="s">
        <v>206</v>
      </c>
      <c r="GD447" s="5">
        <f t="shared" si="1425"/>
        <v>0</v>
      </c>
      <c r="GE447" s="5">
        <f t="shared" si="1426"/>
        <v>0</v>
      </c>
      <c r="GF447" s="5" t="str">
        <f t="shared" si="1427"/>
        <v>Nivel de riesgo bajo</v>
      </c>
      <c r="GG447" s="5" t="s">
        <v>255</v>
      </c>
      <c r="GH447" s="5" t="s">
        <v>298</v>
      </c>
      <c r="GI447" s="5" t="s">
        <v>298</v>
      </c>
      <c r="GJ447" s="5" t="s">
        <v>255</v>
      </c>
      <c r="GK447" s="5" t="s">
        <v>233</v>
      </c>
      <c r="GL447" s="5" t="s">
        <v>298</v>
      </c>
      <c r="GM447" s="5" t="s">
        <v>298</v>
      </c>
      <c r="GN447" s="5" t="s">
        <v>257</v>
      </c>
      <c r="GO447" s="5" t="s">
        <v>244</v>
      </c>
      <c r="GP447" s="5" t="s">
        <v>244</v>
      </c>
      <c r="GQ447" s="5" t="s">
        <v>257</v>
      </c>
      <c r="GR447" s="5" t="s">
        <v>257</v>
      </c>
      <c r="GS447" s="5" t="s">
        <v>257</v>
      </c>
      <c r="GT447" s="5" t="s">
        <v>257</v>
      </c>
      <c r="GU447" s="5" t="s">
        <v>815</v>
      </c>
      <c r="GV447" s="5" t="str">
        <f>TEXT("6290110489166964173","0")</f>
        <v>6290110489166960000</v>
      </c>
    </row>
    <row r="448" spans="1:204" ht="15.75" customHeight="1" x14ac:dyDescent="0.15">
      <c r="A448" s="1">
        <f t="shared" si="1377"/>
        <v>448</v>
      </c>
      <c r="B448" s="4">
        <v>45860.544664351852</v>
      </c>
      <c r="C448" s="5" t="s">
        <v>204</v>
      </c>
      <c r="D448" s="5" t="s">
        <v>204</v>
      </c>
      <c r="E448" s="5" t="s">
        <v>335</v>
      </c>
      <c r="F448" s="5" t="s">
        <v>206</v>
      </c>
      <c r="G448" s="5" t="s">
        <v>206</v>
      </c>
      <c r="H448" s="5" t="s">
        <v>206</v>
      </c>
      <c r="K448" s="5" t="s">
        <v>237</v>
      </c>
      <c r="O448" s="5" t="s">
        <v>209</v>
      </c>
      <c r="T448" s="5" t="s">
        <v>209</v>
      </c>
      <c r="Z448" s="5" t="s">
        <v>237</v>
      </c>
      <c r="AF448" s="5" t="s">
        <v>236</v>
      </c>
      <c r="AH448" s="5" t="s">
        <v>816</v>
      </c>
      <c r="AI448" s="5">
        <v>2022</v>
      </c>
      <c r="AJ448" s="5" t="s">
        <v>330</v>
      </c>
      <c r="AK448" s="5" t="str">
        <f t="shared" si="1378"/>
        <v>Asalariada</v>
      </c>
      <c r="AQ448" s="5" t="s">
        <v>204</v>
      </c>
      <c r="AR448" s="5" t="s">
        <v>241</v>
      </c>
      <c r="AS448" s="5" t="s">
        <v>241</v>
      </c>
      <c r="AT448" s="5" t="s">
        <v>241</v>
      </c>
      <c r="AU448" s="5" t="s">
        <v>241</v>
      </c>
      <c r="AV448" s="5" t="s">
        <v>269</v>
      </c>
      <c r="AW448" s="5" t="s">
        <v>204</v>
      </c>
      <c r="AX448" s="5" t="s">
        <v>206</v>
      </c>
      <c r="BF448" s="5" t="s">
        <v>204</v>
      </c>
      <c r="BG448" s="5" t="s">
        <v>278</v>
      </c>
      <c r="BH448" s="5" t="s">
        <v>278</v>
      </c>
      <c r="BI448" s="5" t="s">
        <v>278</v>
      </c>
      <c r="BJ448" s="5" t="s">
        <v>278</v>
      </c>
      <c r="BK448" s="5" t="s">
        <v>216</v>
      </c>
      <c r="BL448" s="5" t="s">
        <v>216</v>
      </c>
      <c r="BM448" s="5" t="s">
        <v>216</v>
      </c>
      <c r="BN448" s="5" t="s">
        <v>216</v>
      </c>
      <c r="BO448" s="5" t="s">
        <v>216</v>
      </c>
      <c r="BP448" s="5" t="s">
        <v>216</v>
      </c>
      <c r="BQ448" s="5" t="s">
        <v>216</v>
      </c>
      <c r="BR448" s="5" t="s">
        <v>216</v>
      </c>
      <c r="BS448" s="5" t="s">
        <v>217</v>
      </c>
      <c r="BT448" s="5" t="s">
        <v>217</v>
      </c>
      <c r="BU448" s="5" t="s">
        <v>217</v>
      </c>
      <c r="BV448" s="5" t="s">
        <v>217</v>
      </c>
      <c r="BW448" s="5" t="s">
        <v>217</v>
      </c>
      <c r="BX448" s="5" t="s">
        <v>217</v>
      </c>
      <c r="BY448" s="5" t="s">
        <v>217</v>
      </c>
      <c r="BZ448" s="5" t="s">
        <v>216</v>
      </c>
      <c r="CA448" s="5" t="s">
        <v>216</v>
      </c>
      <c r="CB448" s="5" t="s">
        <v>216</v>
      </c>
      <c r="CC448" s="5" t="s">
        <v>216</v>
      </c>
      <c r="CD448" s="5" t="s">
        <v>206</v>
      </c>
      <c r="CH448" s="5" t="s">
        <v>206</v>
      </c>
      <c r="CI448" s="5" t="s">
        <v>206</v>
      </c>
      <c r="CJ448" s="5">
        <v>2</v>
      </c>
      <c r="CK448" s="5" t="s">
        <v>223</v>
      </c>
      <c r="CU448" s="5" t="s">
        <v>206</v>
      </c>
      <c r="DA448" s="5" t="s">
        <v>272</v>
      </c>
      <c r="DB448" s="5">
        <f t="shared" si="1379"/>
        <v>1</v>
      </c>
      <c r="DC448" s="5" t="s">
        <v>251</v>
      </c>
      <c r="DD448" s="5">
        <f t="shared" si="1380"/>
        <v>1</v>
      </c>
      <c r="DE448" s="5" t="s">
        <v>251</v>
      </c>
      <c r="DF448" s="5">
        <f t="shared" si="1381"/>
        <v>1</v>
      </c>
      <c r="DG448" s="5" t="s">
        <v>251</v>
      </c>
      <c r="DH448" s="5">
        <f t="shared" si="1382"/>
        <v>1</v>
      </c>
      <c r="DI448" s="5" t="s">
        <v>251</v>
      </c>
      <c r="DJ448" s="5">
        <f t="shared" si="1383"/>
        <v>1</v>
      </c>
      <c r="DK448" s="5" t="s">
        <v>251</v>
      </c>
      <c r="DL448" s="5">
        <f t="shared" si="1384"/>
        <v>1</v>
      </c>
      <c r="DM448" s="5" t="s">
        <v>251</v>
      </c>
      <c r="DN448" s="5">
        <f t="shared" si="1385"/>
        <v>1</v>
      </c>
      <c r="DO448" s="5" t="s">
        <v>281</v>
      </c>
      <c r="DP448" s="5">
        <f t="shared" si="1386"/>
        <v>1</v>
      </c>
      <c r="DQ448" s="5" t="s">
        <v>281</v>
      </c>
      <c r="DR448" s="5">
        <f t="shared" si="1387"/>
        <v>1</v>
      </c>
      <c r="DS448" s="5" t="s">
        <v>281</v>
      </c>
      <c r="DT448" s="5">
        <f t="shared" si="1388"/>
        <v>1</v>
      </c>
      <c r="DU448" s="5" t="s">
        <v>281</v>
      </c>
      <c r="DV448" s="5">
        <f t="shared" si="1389"/>
        <v>1</v>
      </c>
      <c r="DW448" s="5" t="s">
        <v>281</v>
      </c>
      <c r="DX448" s="5">
        <f t="shared" si="1390"/>
        <v>1</v>
      </c>
      <c r="DY448" s="5">
        <f t="shared" si="1391"/>
        <v>12</v>
      </c>
      <c r="DZ448" s="5" t="str">
        <f t="shared" si="1392"/>
        <v>Nivel de riesgo bajo</v>
      </c>
      <c r="EA448" s="5" t="s">
        <v>253</v>
      </c>
      <c r="EB448" s="5">
        <f t="shared" si="1393"/>
        <v>0</v>
      </c>
      <c r="EC448" s="5" t="s">
        <v>253</v>
      </c>
      <c r="ED448" s="5">
        <f t="shared" si="1394"/>
        <v>0</v>
      </c>
      <c r="EE448" s="5" t="s">
        <v>253</v>
      </c>
      <c r="EF448" s="5">
        <f t="shared" si="1395"/>
        <v>0</v>
      </c>
      <c r="EG448" s="5">
        <f t="shared" si="1396"/>
        <v>0</v>
      </c>
      <c r="EH448" s="5" t="str">
        <f t="shared" si="1397"/>
        <v>Nivel de riesgo bajo</v>
      </c>
      <c r="EI448" s="5" t="s">
        <v>253</v>
      </c>
      <c r="EJ448" s="5">
        <f t="shared" si="1398"/>
        <v>0</v>
      </c>
      <c r="EK448" s="5" t="s">
        <v>253</v>
      </c>
      <c r="EL448" s="5">
        <f t="shared" si="1399"/>
        <v>0</v>
      </c>
      <c r="EM448" s="5" t="s">
        <v>253</v>
      </c>
      <c r="EN448" s="5">
        <f t="shared" si="1400"/>
        <v>0</v>
      </c>
      <c r="EO448" s="5">
        <f t="shared" si="1401"/>
        <v>0</v>
      </c>
      <c r="EP448" s="5" t="str">
        <f t="shared" si="1402"/>
        <v>Nivel de riesgo bajo</v>
      </c>
      <c r="EQ448" s="5" t="s">
        <v>253</v>
      </c>
      <c r="ER448" s="5">
        <f t="shared" si="1403"/>
        <v>4</v>
      </c>
      <c r="ES448" s="5" t="s">
        <v>253</v>
      </c>
      <c r="ET448" s="5">
        <f t="shared" si="1404"/>
        <v>4</v>
      </c>
      <c r="EU448" s="5" t="s">
        <v>253</v>
      </c>
      <c r="EV448" s="5">
        <f t="shared" si="1405"/>
        <v>4</v>
      </c>
      <c r="EW448" s="5" t="s">
        <v>253</v>
      </c>
      <c r="EX448" s="5">
        <f t="shared" si="1406"/>
        <v>4</v>
      </c>
      <c r="EY448" s="5">
        <f t="shared" si="1407"/>
        <v>16</v>
      </c>
      <c r="EZ448" s="5" t="str">
        <f t="shared" si="1408"/>
        <v>Nivel de riesgo alto</v>
      </c>
      <c r="FA448" s="5" t="s">
        <v>253</v>
      </c>
      <c r="FB448" s="5">
        <f t="shared" si="1409"/>
        <v>0</v>
      </c>
      <c r="FC448" s="5" t="s">
        <v>253</v>
      </c>
      <c r="FD448" s="5">
        <f t="shared" si="1410"/>
        <v>0</v>
      </c>
      <c r="FE448" s="5" t="s">
        <v>253</v>
      </c>
      <c r="FF448" s="5">
        <f t="shared" si="1411"/>
        <v>0</v>
      </c>
      <c r="FG448" s="5">
        <f t="shared" si="1412"/>
        <v>0</v>
      </c>
      <c r="FH448" s="5" t="str">
        <f t="shared" si="1413"/>
        <v>Nivel de riesgo bajo</v>
      </c>
      <c r="FI448" s="5" t="s">
        <v>253</v>
      </c>
      <c r="FJ448" s="5">
        <f t="shared" si="1414"/>
        <v>0</v>
      </c>
      <c r="FK448" s="5" t="s">
        <v>253</v>
      </c>
      <c r="FL448" s="5">
        <f t="shared" si="1415"/>
        <v>0</v>
      </c>
      <c r="FM448" s="5" t="s">
        <v>253</v>
      </c>
      <c r="FN448" s="5">
        <f t="shared" si="1416"/>
        <v>0</v>
      </c>
      <c r="FO448" s="5">
        <f t="shared" si="1417"/>
        <v>0</v>
      </c>
      <c r="FP448" s="5" t="str">
        <f t="shared" si="1418"/>
        <v>Nivel de riesgo bajo</v>
      </c>
      <c r="FQ448" s="5" t="s">
        <v>206</v>
      </c>
      <c r="FR448" s="5">
        <f t="shared" si="1419"/>
        <v>0</v>
      </c>
      <c r="FS448" s="5" t="s">
        <v>206</v>
      </c>
      <c r="FT448" s="5">
        <f t="shared" si="1420"/>
        <v>0</v>
      </c>
      <c r="FU448" s="5" t="s">
        <v>206</v>
      </c>
      <c r="FV448" s="5">
        <f t="shared" si="1421"/>
        <v>0</v>
      </c>
      <c r="FW448" s="5" t="s">
        <v>206</v>
      </c>
      <c r="FX448" s="5">
        <f t="shared" si="1422"/>
        <v>0</v>
      </c>
      <c r="FY448" s="5" t="s">
        <v>206</v>
      </c>
      <c r="FZ448" s="5">
        <f t="shared" si="1423"/>
        <v>0</v>
      </c>
      <c r="GA448" s="5" t="s">
        <v>206</v>
      </c>
      <c r="GB448" s="5">
        <f t="shared" si="1424"/>
        <v>0</v>
      </c>
      <c r="GC448" s="5" t="s">
        <v>206</v>
      </c>
      <c r="GD448" s="5">
        <f t="shared" si="1425"/>
        <v>0</v>
      </c>
      <c r="GE448" s="5">
        <f t="shared" si="1426"/>
        <v>0</v>
      </c>
      <c r="GF448" s="5" t="str">
        <f t="shared" si="1427"/>
        <v>Nivel de riesgo bajo</v>
      </c>
      <c r="GG448" s="5" t="s">
        <v>233</v>
      </c>
      <c r="GH448" s="5" t="s">
        <v>233</v>
      </c>
      <c r="GI448" s="5" t="s">
        <v>233</v>
      </c>
      <c r="GJ448" s="5" t="s">
        <v>233</v>
      </c>
      <c r="GK448" s="5" t="s">
        <v>233</v>
      </c>
      <c r="GL448" s="5" t="s">
        <v>233</v>
      </c>
      <c r="GM448" s="5" t="s">
        <v>233</v>
      </c>
      <c r="GN448" s="5" t="s">
        <v>234</v>
      </c>
      <c r="GO448" s="5" t="s">
        <v>234</v>
      </c>
      <c r="GP448" s="5" t="s">
        <v>234</v>
      </c>
      <c r="GQ448" s="5" t="s">
        <v>234</v>
      </c>
      <c r="GR448" s="5" t="s">
        <v>234</v>
      </c>
      <c r="GS448" s="5" t="s">
        <v>234</v>
      </c>
      <c r="GT448" s="5" t="s">
        <v>234</v>
      </c>
      <c r="GU448" s="5" t="s">
        <v>817</v>
      </c>
      <c r="GV448" s="5" t="str">
        <f>TEXT("6290130597227850838","0")</f>
        <v>6290130597227850000</v>
      </c>
    </row>
    <row r="449" spans="1:204" ht="15.75" customHeight="1" x14ac:dyDescent="0.15">
      <c r="A449" s="1">
        <f t="shared" si="1377"/>
        <v>449</v>
      </c>
      <c r="B449" s="4">
        <v>45860.551180555558</v>
      </c>
      <c r="C449" s="5" t="s">
        <v>204</v>
      </c>
      <c r="D449" s="5" t="s">
        <v>206</v>
      </c>
      <c r="F449" s="5" t="s">
        <v>204</v>
      </c>
      <c r="G449" s="5" t="s">
        <v>206</v>
      </c>
      <c r="H449" s="5" t="s">
        <v>206</v>
      </c>
      <c r="K449" s="5" t="s">
        <v>237</v>
      </c>
      <c r="O449" s="5" t="s">
        <v>209</v>
      </c>
      <c r="T449" s="5" t="s">
        <v>209</v>
      </c>
      <c r="Y449" s="5" t="s">
        <v>209</v>
      </c>
      <c r="AF449" s="5" t="s">
        <v>236</v>
      </c>
      <c r="AH449" s="5" t="s">
        <v>275</v>
      </c>
      <c r="AI449" s="5">
        <v>2019</v>
      </c>
      <c r="AJ449" s="5" t="s">
        <v>238</v>
      </c>
      <c r="AK449" s="5" t="str">
        <f t="shared" si="1378"/>
        <v>Trabajadora por cuenta propia</v>
      </c>
      <c r="AM449" s="5" t="s">
        <v>309</v>
      </c>
      <c r="AP449" s="5" t="s">
        <v>297</v>
      </c>
      <c r="AR449" s="5" t="s">
        <v>241</v>
      </c>
      <c r="AS449" s="5" t="s">
        <v>241</v>
      </c>
      <c r="AT449" s="5" t="s">
        <v>261</v>
      </c>
      <c r="AU449" s="5" t="s">
        <v>294</v>
      </c>
      <c r="AV449" s="5" t="s">
        <v>277</v>
      </c>
      <c r="AW449" s="5" t="s">
        <v>206</v>
      </c>
      <c r="BF449" s="5" t="s">
        <v>204</v>
      </c>
      <c r="BG449" s="5" t="s">
        <v>264</v>
      </c>
      <c r="BH449" s="5" t="s">
        <v>215</v>
      </c>
      <c r="BI449" s="5" t="s">
        <v>264</v>
      </c>
      <c r="BJ449" s="5" t="s">
        <v>215</v>
      </c>
      <c r="BK449" s="5" t="s">
        <v>243</v>
      </c>
      <c r="BL449" s="5" t="s">
        <v>243</v>
      </c>
      <c r="BM449" s="5" t="s">
        <v>245</v>
      </c>
      <c r="BN449" s="5" t="s">
        <v>245</v>
      </c>
      <c r="BO449" s="5" t="s">
        <v>245</v>
      </c>
      <c r="BP449" s="5" t="s">
        <v>245</v>
      </c>
      <c r="BQ449" s="5" t="s">
        <v>243</v>
      </c>
      <c r="BR449" s="5" t="s">
        <v>245</v>
      </c>
      <c r="BS449" s="5" t="s">
        <v>232</v>
      </c>
      <c r="BT449" s="5" t="s">
        <v>232</v>
      </c>
      <c r="BU449" s="5" t="s">
        <v>248</v>
      </c>
      <c r="BV449" s="5" t="s">
        <v>247</v>
      </c>
      <c r="BW449" s="5" t="s">
        <v>248</v>
      </c>
      <c r="BX449" s="5" t="s">
        <v>248</v>
      </c>
      <c r="BY449" s="5" t="s">
        <v>232</v>
      </c>
      <c r="CD449" s="5" t="s">
        <v>206</v>
      </c>
      <c r="CH449" s="5" t="s">
        <v>206</v>
      </c>
      <c r="CI449" s="5" t="s">
        <v>291</v>
      </c>
      <c r="CJ449" s="5">
        <v>3</v>
      </c>
      <c r="CK449" s="5" t="s">
        <v>223</v>
      </c>
      <c r="CU449" s="5" t="s">
        <v>206</v>
      </c>
      <c r="DA449" s="5" t="s">
        <v>252</v>
      </c>
      <c r="DB449" s="5">
        <f t="shared" si="1379"/>
        <v>3</v>
      </c>
      <c r="DC449" s="5" t="s">
        <v>250</v>
      </c>
      <c r="DD449" s="5">
        <f t="shared" si="1380"/>
        <v>3</v>
      </c>
      <c r="DE449" s="5" t="s">
        <v>250</v>
      </c>
      <c r="DF449" s="5">
        <f t="shared" si="1381"/>
        <v>3</v>
      </c>
      <c r="DG449" s="5" t="s">
        <v>250</v>
      </c>
      <c r="DH449" s="5">
        <f t="shared" si="1382"/>
        <v>3</v>
      </c>
      <c r="DI449" s="5" t="s">
        <v>280</v>
      </c>
      <c r="DJ449" s="5">
        <f t="shared" si="1383"/>
        <v>4</v>
      </c>
      <c r="DK449" s="5" t="s">
        <v>230</v>
      </c>
      <c r="DL449" s="5">
        <f t="shared" si="1384"/>
        <v>2</v>
      </c>
      <c r="DM449" s="5" t="s">
        <v>230</v>
      </c>
      <c r="DN449" s="5">
        <f t="shared" si="1385"/>
        <v>2</v>
      </c>
      <c r="DO449" s="5" t="s">
        <v>231</v>
      </c>
      <c r="DP449" s="5">
        <f t="shared" si="1386"/>
        <v>2</v>
      </c>
      <c r="DQ449" s="5" t="s">
        <v>252</v>
      </c>
      <c r="DR449" s="5">
        <f t="shared" si="1387"/>
        <v>3</v>
      </c>
      <c r="DS449" s="5" t="s">
        <v>252</v>
      </c>
      <c r="DT449" s="5">
        <f t="shared" si="1388"/>
        <v>3</v>
      </c>
      <c r="DU449" s="5" t="s">
        <v>229</v>
      </c>
      <c r="DV449" s="5">
        <f t="shared" si="1389"/>
        <v>4</v>
      </c>
      <c r="DW449" s="5" t="s">
        <v>252</v>
      </c>
      <c r="DX449" s="5">
        <f t="shared" si="1390"/>
        <v>3</v>
      </c>
      <c r="DY449" s="5">
        <f t="shared" si="1391"/>
        <v>35</v>
      </c>
      <c r="DZ449" s="5" t="str">
        <f t="shared" si="1392"/>
        <v>Nivel de riesgo alto</v>
      </c>
      <c r="EA449" s="5" t="s">
        <v>247</v>
      </c>
      <c r="EB449" s="5">
        <f t="shared" si="1393"/>
        <v>2</v>
      </c>
      <c r="EC449" s="5" t="s">
        <v>248</v>
      </c>
      <c r="ED449" s="5">
        <f t="shared" si="1394"/>
        <v>1</v>
      </c>
      <c r="EE449" s="5" t="s">
        <v>253</v>
      </c>
      <c r="EF449" s="5">
        <f t="shared" si="1395"/>
        <v>0</v>
      </c>
      <c r="EG449" s="5">
        <f t="shared" si="1396"/>
        <v>3</v>
      </c>
      <c r="EH449" s="5" t="str">
        <f t="shared" si="1397"/>
        <v>Nivel de riesgo medio</v>
      </c>
      <c r="EI449" s="5" t="s">
        <v>253</v>
      </c>
      <c r="EJ449" s="5">
        <f t="shared" si="1398"/>
        <v>0</v>
      </c>
      <c r="EK449" s="5" t="s">
        <v>253</v>
      </c>
      <c r="EL449" s="5">
        <f t="shared" si="1399"/>
        <v>0</v>
      </c>
      <c r="EM449" s="5" t="s">
        <v>232</v>
      </c>
      <c r="EN449" s="5">
        <f t="shared" si="1400"/>
        <v>3</v>
      </c>
      <c r="EO449" s="5">
        <f t="shared" si="1401"/>
        <v>3</v>
      </c>
      <c r="EP449" s="5" t="str">
        <f t="shared" si="1402"/>
        <v>Nivel de riesgo medio</v>
      </c>
      <c r="EQ449" s="5" t="s">
        <v>253</v>
      </c>
      <c r="ER449" s="5">
        <f t="shared" si="1403"/>
        <v>4</v>
      </c>
      <c r="ES449" s="5" t="s">
        <v>253</v>
      </c>
      <c r="ET449" s="5">
        <f t="shared" si="1404"/>
        <v>4</v>
      </c>
      <c r="EU449" s="5" t="s">
        <v>248</v>
      </c>
      <c r="EV449" s="5">
        <f t="shared" si="1405"/>
        <v>3</v>
      </c>
      <c r="EW449" s="5" t="s">
        <v>247</v>
      </c>
      <c r="EX449" s="5">
        <f t="shared" si="1406"/>
        <v>2</v>
      </c>
      <c r="EY449" s="5">
        <f t="shared" si="1407"/>
        <v>13</v>
      </c>
      <c r="EZ449" s="5" t="str">
        <f t="shared" si="1408"/>
        <v>Nivel de riesgo alto</v>
      </c>
      <c r="FA449" s="5" t="s">
        <v>232</v>
      </c>
      <c r="FB449" s="5">
        <f t="shared" si="1409"/>
        <v>3</v>
      </c>
      <c r="FC449" s="5" t="s">
        <v>248</v>
      </c>
      <c r="FD449" s="5">
        <f t="shared" si="1410"/>
        <v>1</v>
      </c>
      <c r="FE449" s="5" t="s">
        <v>253</v>
      </c>
      <c r="FF449" s="5">
        <f t="shared" si="1411"/>
        <v>0</v>
      </c>
      <c r="FG449" s="5">
        <f t="shared" si="1412"/>
        <v>4</v>
      </c>
      <c r="FH449" s="5" t="str">
        <f t="shared" si="1413"/>
        <v>Nivel de riesgo medio</v>
      </c>
      <c r="FI449" s="5" t="s">
        <v>253</v>
      </c>
      <c r="FJ449" s="5">
        <f t="shared" si="1414"/>
        <v>0</v>
      </c>
      <c r="FK449" s="5" t="s">
        <v>253</v>
      </c>
      <c r="FL449" s="5">
        <f t="shared" si="1415"/>
        <v>0</v>
      </c>
      <c r="FM449" s="5" t="s">
        <v>248</v>
      </c>
      <c r="FN449" s="5">
        <f t="shared" si="1416"/>
        <v>1</v>
      </c>
      <c r="FO449" s="5">
        <f t="shared" si="1417"/>
        <v>1</v>
      </c>
      <c r="FP449" s="5" t="str">
        <f t="shared" si="1418"/>
        <v>Nivel de riesgo bajo</v>
      </c>
      <c r="FQ449" s="5" t="s">
        <v>206</v>
      </c>
      <c r="FR449" s="5">
        <f t="shared" si="1419"/>
        <v>0</v>
      </c>
      <c r="FS449" s="5" t="s">
        <v>206</v>
      </c>
      <c r="FT449" s="5">
        <f t="shared" si="1420"/>
        <v>0</v>
      </c>
      <c r="FU449" s="5" t="s">
        <v>206</v>
      </c>
      <c r="FV449" s="5">
        <f t="shared" si="1421"/>
        <v>0</v>
      </c>
      <c r="FW449" s="5" t="s">
        <v>206</v>
      </c>
      <c r="FX449" s="5">
        <f t="shared" si="1422"/>
        <v>0</v>
      </c>
      <c r="FY449" s="5" t="s">
        <v>206</v>
      </c>
      <c r="FZ449" s="5">
        <f t="shared" si="1423"/>
        <v>0</v>
      </c>
      <c r="GA449" s="5" t="s">
        <v>206</v>
      </c>
      <c r="GB449" s="5">
        <f t="shared" si="1424"/>
        <v>0</v>
      </c>
      <c r="GC449" s="5" t="s">
        <v>206</v>
      </c>
      <c r="GD449" s="5">
        <f t="shared" si="1425"/>
        <v>0</v>
      </c>
      <c r="GE449" s="5">
        <f t="shared" si="1426"/>
        <v>0</v>
      </c>
      <c r="GF449" s="5" t="str">
        <f t="shared" si="1427"/>
        <v>Nivel de riesgo bajo</v>
      </c>
      <c r="GG449" s="5" t="s">
        <v>255</v>
      </c>
      <c r="GH449" s="5" t="s">
        <v>255</v>
      </c>
      <c r="GI449" s="5" t="s">
        <v>255</v>
      </c>
      <c r="GJ449" s="5" t="s">
        <v>255</v>
      </c>
      <c r="GK449" s="5" t="s">
        <v>233</v>
      </c>
      <c r="GL449" s="5" t="s">
        <v>266</v>
      </c>
      <c r="GM449" s="5" t="s">
        <v>273</v>
      </c>
      <c r="GN449" s="5" t="s">
        <v>256</v>
      </c>
      <c r="GO449" s="5" t="s">
        <v>256</v>
      </c>
      <c r="GP449" s="5" t="s">
        <v>256</v>
      </c>
      <c r="GQ449" s="5" t="s">
        <v>256</v>
      </c>
      <c r="GR449" s="5" t="s">
        <v>243</v>
      </c>
      <c r="GS449" s="5" t="s">
        <v>243</v>
      </c>
      <c r="GT449" s="5" t="s">
        <v>243</v>
      </c>
      <c r="GU449" s="5" t="s">
        <v>818</v>
      </c>
      <c r="GV449" s="5" t="str">
        <f>TEXT("6290136225614859235","0")</f>
        <v>6290136225614850000</v>
      </c>
    </row>
    <row r="450" spans="1:204" ht="15.75" customHeight="1" x14ac:dyDescent="0.15">
      <c r="A450" s="1">
        <f t="shared" si="1377"/>
        <v>450</v>
      </c>
      <c r="B450" s="4">
        <v>45860.553124999999</v>
      </c>
      <c r="C450" s="5" t="s">
        <v>204</v>
      </c>
      <c r="D450" s="5" t="s">
        <v>206</v>
      </c>
      <c r="F450" s="5" t="s">
        <v>206</v>
      </c>
      <c r="G450" s="5" t="s">
        <v>206</v>
      </c>
      <c r="H450" s="5" t="s">
        <v>206</v>
      </c>
      <c r="K450" s="5" t="s">
        <v>237</v>
      </c>
      <c r="O450" s="5" t="s">
        <v>209</v>
      </c>
      <c r="U450" s="5" t="s">
        <v>237</v>
      </c>
      <c r="V450" s="5" t="s">
        <v>236</v>
      </c>
      <c r="X450" s="5" t="s">
        <v>208</v>
      </c>
      <c r="AC450" s="5" t="s">
        <v>208</v>
      </c>
      <c r="AH450" s="5" t="s">
        <v>210</v>
      </c>
      <c r="AI450" s="5">
        <v>2010</v>
      </c>
      <c r="AJ450" s="5" t="s">
        <v>330</v>
      </c>
      <c r="AK450" s="5" t="str">
        <f t="shared" si="1378"/>
        <v>Asalariada</v>
      </c>
      <c r="AQ450" s="5" t="s">
        <v>204</v>
      </c>
      <c r="AR450" s="5" t="s">
        <v>241</v>
      </c>
      <c r="AS450" s="5" t="s">
        <v>241</v>
      </c>
      <c r="AT450" s="5" t="s">
        <v>241</v>
      </c>
      <c r="AU450" s="5" t="s">
        <v>261</v>
      </c>
      <c r="AV450" s="5" t="s">
        <v>269</v>
      </c>
      <c r="AW450" s="5" t="s">
        <v>204</v>
      </c>
      <c r="AX450" s="5" t="s">
        <v>204</v>
      </c>
      <c r="AY450" s="5" t="s">
        <v>270</v>
      </c>
      <c r="AZ450" s="5" t="s">
        <v>204</v>
      </c>
      <c r="BA450" s="5" t="s">
        <v>263</v>
      </c>
      <c r="BF450" s="5" t="s">
        <v>204</v>
      </c>
      <c r="BG450" s="5" t="s">
        <v>271</v>
      </c>
      <c r="BH450" s="5" t="s">
        <v>215</v>
      </c>
      <c r="BI450" s="5" t="s">
        <v>278</v>
      </c>
      <c r="BJ450" s="5" t="s">
        <v>271</v>
      </c>
      <c r="BK450" s="5" t="s">
        <v>244</v>
      </c>
      <c r="BL450" s="5" t="s">
        <v>244</v>
      </c>
      <c r="BM450" s="5" t="s">
        <v>244</v>
      </c>
      <c r="BN450" s="5" t="s">
        <v>244</v>
      </c>
      <c r="BO450" s="5" t="s">
        <v>244</v>
      </c>
      <c r="BP450" s="5" t="s">
        <v>244</v>
      </c>
      <c r="BQ450" s="5" t="s">
        <v>216</v>
      </c>
      <c r="BR450" s="5" t="s">
        <v>216</v>
      </c>
      <c r="BS450" s="5" t="s">
        <v>247</v>
      </c>
      <c r="BT450" s="5" t="s">
        <v>247</v>
      </c>
      <c r="BU450" s="5" t="s">
        <v>247</v>
      </c>
      <c r="BV450" s="5" t="s">
        <v>247</v>
      </c>
      <c r="BW450" s="5" t="s">
        <v>247</v>
      </c>
      <c r="BX450" s="5" t="s">
        <v>247</v>
      </c>
      <c r="BY450" s="5" t="s">
        <v>247</v>
      </c>
      <c r="BZ450" s="5" t="s">
        <v>246</v>
      </c>
      <c r="CA450" s="5" t="s">
        <v>246</v>
      </c>
      <c r="CB450" s="5" t="s">
        <v>246</v>
      </c>
      <c r="CC450" s="5" t="s">
        <v>246</v>
      </c>
      <c r="CD450" s="5" t="s">
        <v>204</v>
      </c>
      <c r="CE450" s="5" t="s">
        <v>286</v>
      </c>
      <c r="CF450" s="5" t="s">
        <v>279</v>
      </c>
      <c r="CG450" s="5" t="s">
        <v>206</v>
      </c>
      <c r="CH450" s="5" t="s">
        <v>310</v>
      </c>
      <c r="CI450" s="5" t="s">
        <v>307</v>
      </c>
      <c r="CJ450" s="5">
        <v>2</v>
      </c>
      <c r="CK450" s="5" t="s">
        <v>223</v>
      </c>
      <c r="CU450" s="5" t="s">
        <v>206</v>
      </c>
      <c r="DA450" s="5" t="s">
        <v>231</v>
      </c>
      <c r="DB450" s="5">
        <f t="shared" si="1379"/>
        <v>2</v>
      </c>
      <c r="DC450" s="5" t="s">
        <v>230</v>
      </c>
      <c r="DD450" s="5">
        <f t="shared" si="1380"/>
        <v>2</v>
      </c>
      <c r="DE450" s="5" t="s">
        <v>230</v>
      </c>
      <c r="DF450" s="5">
        <f t="shared" si="1381"/>
        <v>2</v>
      </c>
      <c r="DG450" s="5" t="s">
        <v>230</v>
      </c>
      <c r="DH450" s="5">
        <f t="shared" si="1382"/>
        <v>2</v>
      </c>
      <c r="DI450" s="5" t="s">
        <v>230</v>
      </c>
      <c r="DJ450" s="5">
        <f t="shared" si="1383"/>
        <v>2</v>
      </c>
      <c r="DK450" s="5" t="s">
        <v>230</v>
      </c>
      <c r="DL450" s="5">
        <f t="shared" si="1384"/>
        <v>2</v>
      </c>
      <c r="DM450" s="5" t="s">
        <v>230</v>
      </c>
      <c r="DN450" s="5">
        <f t="shared" si="1385"/>
        <v>2</v>
      </c>
      <c r="DO450" s="5" t="s">
        <v>231</v>
      </c>
      <c r="DP450" s="5">
        <f t="shared" si="1386"/>
        <v>2</v>
      </c>
      <c r="DQ450" s="5" t="s">
        <v>231</v>
      </c>
      <c r="DR450" s="5">
        <f t="shared" si="1387"/>
        <v>2</v>
      </c>
      <c r="DS450" s="5" t="s">
        <v>231</v>
      </c>
      <c r="DT450" s="5">
        <f t="shared" si="1388"/>
        <v>2</v>
      </c>
      <c r="DU450" s="5" t="s">
        <v>231</v>
      </c>
      <c r="DV450" s="5">
        <f t="shared" si="1389"/>
        <v>2</v>
      </c>
      <c r="DW450" s="5" t="s">
        <v>231</v>
      </c>
      <c r="DX450" s="5">
        <f t="shared" si="1390"/>
        <v>2</v>
      </c>
      <c r="DY450" s="5">
        <f t="shared" si="1391"/>
        <v>24</v>
      </c>
      <c r="DZ450" s="5" t="str">
        <f t="shared" si="1392"/>
        <v>Nivel de riesgo alto</v>
      </c>
      <c r="EA450" s="5" t="s">
        <v>248</v>
      </c>
      <c r="EB450" s="5">
        <f t="shared" si="1393"/>
        <v>1</v>
      </c>
      <c r="EC450" s="5" t="s">
        <v>248</v>
      </c>
      <c r="ED450" s="5">
        <f t="shared" si="1394"/>
        <v>1</v>
      </c>
      <c r="EE450" s="5" t="s">
        <v>248</v>
      </c>
      <c r="EF450" s="5">
        <f t="shared" si="1395"/>
        <v>1</v>
      </c>
      <c r="EG450" s="5">
        <f t="shared" si="1396"/>
        <v>3</v>
      </c>
      <c r="EH450" s="5" t="str">
        <f t="shared" si="1397"/>
        <v>Nivel de riesgo medio</v>
      </c>
      <c r="EI450" s="5" t="s">
        <v>248</v>
      </c>
      <c r="EJ450" s="5">
        <f t="shared" si="1398"/>
        <v>1</v>
      </c>
      <c r="EK450" s="5" t="s">
        <v>248</v>
      </c>
      <c r="EL450" s="5">
        <f t="shared" si="1399"/>
        <v>1</v>
      </c>
      <c r="EM450" s="5" t="s">
        <v>248</v>
      </c>
      <c r="EN450" s="5">
        <f t="shared" si="1400"/>
        <v>1</v>
      </c>
      <c r="EO450" s="5">
        <f t="shared" si="1401"/>
        <v>3</v>
      </c>
      <c r="EP450" s="5" t="str">
        <f t="shared" si="1402"/>
        <v>Nivel de riesgo medio</v>
      </c>
      <c r="EQ450" s="5" t="s">
        <v>248</v>
      </c>
      <c r="ER450" s="5">
        <f t="shared" si="1403"/>
        <v>3</v>
      </c>
      <c r="ES450" s="5" t="s">
        <v>248</v>
      </c>
      <c r="ET450" s="5">
        <f t="shared" si="1404"/>
        <v>3</v>
      </c>
      <c r="EU450" s="5" t="s">
        <v>248</v>
      </c>
      <c r="EV450" s="5">
        <f t="shared" si="1405"/>
        <v>3</v>
      </c>
      <c r="EW450" s="5" t="s">
        <v>248</v>
      </c>
      <c r="EX450" s="5">
        <f t="shared" si="1406"/>
        <v>3</v>
      </c>
      <c r="EY450" s="5">
        <f t="shared" si="1407"/>
        <v>12</v>
      </c>
      <c r="EZ450" s="5" t="str">
        <f t="shared" si="1408"/>
        <v>Nivel de riesgo alto</v>
      </c>
      <c r="FA450" s="5" t="s">
        <v>248</v>
      </c>
      <c r="FB450" s="5">
        <f t="shared" si="1409"/>
        <v>1</v>
      </c>
      <c r="FC450" s="5" t="s">
        <v>248</v>
      </c>
      <c r="FD450" s="5">
        <f t="shared" si="1410"/>
        <v>1</v>
      </c>
      <c r="FE450" s="5" t="s">
        <v>248</v>
      </c>
      <c r="FF450" s="5">
        <f t="shared" si="1411"/>
        <v>1</v>
      </c>
      <c r="FG450" s="5">
        <f t="shared" si="1412"/>
        <v>3</v>
      </c>
      <c r="FH450" s="5" t="str">
        <f t="shared" si="1413"/>
        <v>Nivel de riesgo medio</v>
      </c>
      <c r="FI450" s="5" t="s">
        <v>248</v>
      </c>
      <c r="FJ450" s="5">
        <f t="shared" si="1414"/>
        <v>1</v>
      </c>
      <c r="FK450" s="5" t="s">
        <v>248</v>
      </c>
      <c r="FL450" s="5">
        <f t="shared" si="1415"/>
        <v>1</v>
      </c>
      <c r="FM450" s="5" t="s">
        <v>248</v>
      </c>
      <c r="FN450" s="5">
        <f t="shared" si="1416"/>
        <v>1</v>
      </c>
      <c r="FO450" s="5">
        <f t="shared" si="1417"/>
        <v>3</v>
      </c>
      <c r="FP450" s="5" t="str">
        <f t="shared" si="1418"/>
        <v>Nivel de riesgo medio</v>
      </c>
      <c r="FQ450" s="5" t="s">
        <v>206</v>
      </c>
      <c r="FR450" s="5">
        <f t="shared" si="1419"/>
        <v>0</v>
      </c>
      <c r="FS450" s="5" t="s">
        <v>206</v>
      </c>
      <c r="FT450" s="5">
        <f t="shared" si="1420"/>
        <v>0</v>
      </c>
      <c r="FU450" s="5" t="s">
        <v>206</v>
      </c>
      <c r="FV450" s="5">
        <f t="shared" si="1421"/>
        <v>0</v>
      </c>
      <c r="FW450" s="5" t="s">
        <v>206</v>
      </c>
      <c r="FX450" s="5">
        <f t="shared" si="1422"/>
        <v>0</v>
      </c>
      <c r="FY450" s="5" t="s">
        <v>206</v>
      </c>
      <c r="FZ450" s="5">
        <f t="shared" si="1423"/>
        <v>0</v>
      </c>
      <c r="GA450" s="5" t="s">
        <v>206</v>
      </c>
      <c r="GB450" s="5">
        <f t="shared" si="1424"/>
        <v>0</v>
      </c>
      <c r="GC450" s="5" t="s">
        <v>206</v>
      </c>
      <c r="GD450" s="5">
        <f t="shared" si="1425"/>
        <v>0</v>
      </c>
      <c r="GE450" s="5">
        <f t="shared" si="1426"/>
        <v>0</v>
      </c>
      <c r="GF450" s="5" t="str">
        <f t="shared" si="1427"/>
        <v>Nivel de riesgo bajo</v>
      </c>
      <c r="GG450" s="5" t="s">
        <v>255</v>
      </c>
      <c r="GH450" s="5" t="s">
        <v>255</v>
      </c>
      <c r="GI450" s="5" t="s">
        <v>255</v>
      </c>
      <c r="GJ450" s="5" t="s">
        <v>255</v>
      </c>
      <c r="GK450" s="5" t="s">
        <v>233</v>
      </c>
      <c r="GL450" s="5" t="s">
        <v>233</v>
      </c>
      <c r="GM450" s="5" t="s">
        <v>255</v>
      </c>
      <c r="GN450" s="5" t="s">
        <v>256</v>
      </c>
      <c r="GO450" s="5" t="s">
        <v>256</v>
      </c>
      <c r="GP450" s="5" t="s">
        <v>256</v>
      </c>
      <c r="GQ450" s="5" t="s">
        <v>244</v>
      </c>
      <c r="GR450" s="5" t="s">
        <v>244</v>
      </c>
      <c r="GS450" s="5" t="s">
        <v>244</v>
      </c>
      <c r="GT450" s="5" t="s">
        <v>256</v>
      </c>
      <c r="GU450" s="5" t="s">
        <v>819</v>
      </c>
      <c r="GV450" s="5" t="str">
        <f>TEXT("6290137901679156780","0")</f>
        <v>6290137901679150000</v>
      </c>
    </row>
    <row r="451" spans="1:204" ht="15.75" customHeight="1" x14ac:dyDescent="0.15">
      <c r="A451" s="1">
        <f t="shared" si="1377"/>
        <v>451</v>
      </c>
      <c r="B451" s="4">
        <v>45860.553182870368</v>
      </c>
      <c r="C451" s="5" t="s">
        <v>204</v>
      </c>
      <c r="D451" s="5" t="s">
        <v>206</v>
      </c>
      <c r="F451" s="5" t="s">
        <v>206</v>
      </c>
      <c r="G451" s="5" t="s">
        <v>206</v>
      </c>
      <c r="H451" s="5" t="s">
        <v>206</v>
      </c>
      <c r="K451" s="5" t="s">
        <v>237</v>
      </c>
      <c r="O451" s="5" t="s">
        <v>209</v>
      </c>
      <c r="T451" s="5" t="s">
        <v>209</v>
      </c>
      <c r="X451" s="5" t="s">
        <v>208</v>
      </c>
      <c r="AG451" s="5" t="s">
        <v>207</v>
      </c>
      <c r="AH451" s="5" t="s">
        <v>275</v>
      </c>
      <c r="AI451" s="5">
        <v>2016</v>
      </c>
      <c r="AJ451" s="5" t="s">
        <v>238</v>
      </c>
      <c r="AK451" s="5" t="str">
        <f t="shared" si="1378"/>
        <v>Trabajadora por cuenta propia</v>
      </c>
      <c r="AO451" s="5" t="s">
        <v>323</v>
      </c>
      <c r="AP451" s="5" t="s">
        <v>240</v>
      </c>
      <c r="AR451" s="5" t="s">
        <v>301</v>
      </c>
      <c r="AS451" s="5" t="s">
        <v>301</v>
      </c>
      <c r="AT451" s="5" t="s">
        <v>301</v>
      </c>
      <c r="AU451" s="5" t="s">
        <v>301</v>
      </c>
      <c r="AV451" s="5" t="s">
        <v>277</v>
      </c>
      <c r="AW451" s="5" t="s">
        <v>204</v>
      </c>
      <c r="AX451" s="5" t="s">
        <v>204</v>
      </c>
      <c r="AY451" s="5" t="s">
        <v>214</v>
      </c>
      <c r="AZ451" s="5" t="s">
        <v>206</v>
      </c>
      <c r="BA451" s="5" t="s">
        <v>263</v>
      </c>
      <c r="BF451" s="5" t="s">
        <v>204</v>
      </c>
      <c r="BG451" s="5" t="s">
        <v>207</v>
      </c>
      <c r="BH451" s="5" t="s">
        <v>264</v>
      </c>
      <c r="BI451" s="5" t="s">
        <v>207</v>
      </c>
      <c r="BJ451" s="5" t="s">
        <v>264</v>
      </c>
      <c r="BK451" s="5" t="s">
        <v>216</v>
      </c>
      <c r="BL451" s="5" t="s">
        <v>216</v>
      </c>
      <c r="BM451" s="5" t="s">
        <v>216</v>
      </c>
      <c r="BN451" s="5" t="s">
        <v>216</v>
      </c>
      <c r="BO451" s="5" t="s">
        <v>246</v>
      </c>
      <c r="BP451" s="5" t="s">
        <v>246</v>
      </c>
      <c r="BQ451" s="5" t="s">
        <v>244</v>
      </c>
      <c r="BR451" s="5" t="s">
        <v>245</v>
      </c>
      <c r="BS451" s="5" t="s">
        <v>248</v>
      </c>
      <c r="BT451" s="5" t="s">
        <v>248</v>
      </c>
      <c r="BU451" s="5" t="s">
        <v>247</v>
      </c>
      <c r="BV451" s="5" t="s">
        <v>248</v>
      </c>
      <c r="BW451" s="5" t="s">
        <v>247</v>
      </c>
      <c r="BX451" s="5" t="s">
        <v>217</v>
      </c>
      <c r="BY451" s="5" t="s">
        <v>217</v>
      </c>
      <c r="BZ451" s="5" t="s">
        <v>216</v>
      </c>
      <c r="CA451" s="5" t="s">
        <v>244</v>
      </c>
      <c r="CB451" s="5" t="s">
        <v>216</v>
      </c>
      <c r="CC451" s="5" t="s">
        <v>216</v>
      </c>
      <c r="CD451" s="5" t="s">
        <v>206</v>
      </c>
      <c r="CH451" s="5" t="s">
        <v>206</v>
      </c>
      <c r="CI451" s="5" t="s">
        <v>206</v>
      </c>
      <c r="CJ451" s="5">
        <v>0</v>
      </c>
      <c r="CK451" s="5" t="s">
        <v>223</v>
      </c>
      <c r="CU451" s="5" t="s">
        <v>206</v>
      </c>
      <c r="DA451" s="5" t="s">
        <v>231</v>
      </c>
      <c r="DB451" s="5">
        <f t="shared" si="1379"/>
        <v>2</v>
      </c>
      <c r="DC451" s="5" t="s">
        <v>251</v>
      </c>
      <c r="DD451" s="5">
        <f t="shared" si="1380"/>
        <v>1</v>
      </c>
      <c r="DE451" s="5" t="s">
        <v>251</v>
      </c>
      <c r="DF451" s="5">
        <f t="shared" si="1381"/>
        <v>1</v>
      </c>
      <c r="DG451" s="5" t="s">
        <v>251</v>
      </c>
      <c r="DH451" s="5">
        <f t="shared" si="1382"/>
        <v>1</v>
      </c>
      <c r="DI451" s="5" t="s">
        <v>251</v>
      </c>
      <c r="DJ451" s="5">
        <f t="shared" si="1383"/>
        <v>1</v>
      </c>
      <c r="DK451" s="5" t="s">
        <v>251</v>
      </c>
      <c r="DL451" s="5">
        <f t="shared" si="1384"/>
        <v>1</v>
      </c>
      <c r="DM451" s="5" t="s">
        <v>251</v>
      </c>
      <c r="DN451" s="5">
        <f t="shared" si="1385"/>
        <v>1</v>
      </c>
      <c r="DO451" s="5" t="s">
        <v>231</v>
      </c>
      <c r="DP451" s="5">
        <f t="shared" si="1386"/>
        <v>2</v>
      </c>
      <c r="DQ451" s="5" t="s">
        <v>231</v>
      </c>
      <c r="DR451" s="5">
        <f t="shared" si="1387"/>
        <v>2</v>
      </c>
      <c r="DS451" s="5" t="s">
        <v>231</v>
      </c>
      <c r="DT451" s="5">
        <f t="shared" si="1388"/>
        <v>2</v>
      </c>
      <c r="DU451" s="5" t="s">
        <v>231</v>
      </c>
      <c r="DV451" s="5">
        <f t="shared" si="1389"/>
        <v>2</v>
      </c>
      <c r="DW451" s="5" t="s">
        <v>231</v>
      </c>
      <c r="DX451" s="5">
        <f t="shared" si="1390"/>
        <v>2</v>
      </c>
      <c r="DY451" s="5">
        <f t="shared" si="1391"/>
        <v>18</v>
      </c>
      <c r="DZ451" s="5" t="str">
        <f t="shared" si="1392"/>
        <v>Nivel de riesgo bajo</v>
      </c>
      <c r="EA451" s="5" t="s">
        <v>253</v>
      </c>
      <c r="EB451" s="5">
        <f t="shared" si="1393"/>
        <v>0</v>
      </c>
      <c r="EC451" s="5" t="s">
        <v>253</v>
      </c>
      <c r="ED451" s="5">
        <f t="shared" si="1394"/>
        <v>0</v>
      </c>
      <c r="EE451" s="5" t="s">
        <v>253</v>
      </c>
      <c r="EF451" s="5">
        <f t="shared" si="1395"/>
        <v>0</v>
      </c>
      <c r="EG451" s="5">
        <f t="shared" si="1396"/>
        <v>0</v>
      </c>
      <c r="EH451" s="5" t="str">
        <f t="shared" si="1397"/>
        <v>Nivel de riesgo bajo</v>
      </c>
      <c r="EI451" s="5" t="s">
        <v>247</v>
      </c>
      <c r="EJ451" s="5">
        <f t="shared" si="1398"/>
        <v>2</v>
      </c>
      <c r="EK451" s="5" t="s">
        <v>247</v>
      </c>
      <c r="EL451" s="5">
        <f t="shared" si="1399"/>
        <v>2</v>
      </c>
      <c r="EM451" s="5" t="s">
        <v>254</v>
      </c>
      <c r="EN451" s="5">
        <f t="shared" si="1400"/>
        <v>4</v>
      </c>
      <c r="EO451" s="5">
        <f t="shared" si="1401"/>
        <v>8</v>
      </c>
      <c r="EP451" s="5" t="str">
        <f t="shared" si="1402"/>
        <v>Nivel de riesgo alto</v>
      </c>
      <c r="EQ451" s="5" t="s">
        <v>248</v>
      </c>
      <c r="ER451" s="5">
        <f t="shared" si="1403"/>
        <v>3</v>
      </c>
      <c r="ES451" s="5" t="s">
        <v>248</v>
      </c>
      <c r="ET451" s="5">
        <f t="shared" si="1404"/>
        <v>3</v>
      </c>
      <c r="EU451" s="5" t="s">
        <v>254</v>
      </c>
      <c r="EV451" s="5">
        <f t="shared" si="1405"/>
        <v>0</v>
      </c>
      <c r="EW451" s="5" t="s">
        <v>254</v>
      </c>
      <c r="EX451" s="5">
        <f t="shared" si="1406"/>
        <v>0</v>
      </c>
      <c r="EY451" s="5">
        <f t="shared" si="1407"/>
        <v>6</v>
      </c>
      <c r="EZ451" s="5" t="str">
        <f t="shared" si="1408"/>
        <v>Nivel de riesgo alto</v>
      </c>
      <c r="FA451" s="5" t="s">
        <v>253</v>
      </c>
      <c r="FB451" s="5">
        <f t="shared" si="1409"/>
        <v>0</v>
      </c>
      <c r="FC451" s="5" t="s">
        <v>248</v>
      </c>
      <c r="FD451" s="5">
        <f t="shared" si="1410"/>
        <v>1</v>
      </c>
      <c r="FE451" s="5" t="s">
        <v>253</v>
      </c>
      <c r="FF451" s="5">
        <f t="shared" si="1411"/>
        <v>0</v>
      </c>
      <c r="FG451" s="5">
        <f t="shared" si="1412"/>
        <v>1</v>
      </c>
      <c r="FH451" s="5" t="str">
        <f t="shared" si="1413"/>
        <v>Nivel de riesgo bajo</v>
      </c>
      <c r="FI451" s="5" t="s">
        <v>253</v>
      </c>
      <c r="FJ451" s="5">
        <f t="shared" si="1414"/>
        <v>0</v>
      </c>
      <c r="FK451" s="5" t="s">
        <v>254</v>
      </c>
      <c r="FL451" s="5">
        <f t="shared" si="1415"/>
        <v>4</v>
      </c>
      <c r="FM451" s="5" t="s">
        <v>254</v>
      </c>
      <c r="FN451" s="5">
        <f t="shared" si="1416"/>
        <v>4</v>
      </c>
      <c r="FO451" s="5">
        <f t="shared" si="1417"/>
        <v>8</v>
      </c>
      <c r="FP451" s="5" t="str">
        <f t="shared" si="1418"/>
        <v>Nivel de riesgo alto</v>
      </c>
      <c r="FQ451" s="5" t="s">
        <v>206</v>
      </c>
      <c r="FR451" s="5">
        <f t="shared" si="1419"/>
        <v>0</v>
      </c>
      <c r="FS451" s="5" t="s">
        <v>206</v>
      </c>
      <c r="FT451" s="5">
        <f t="shared" si="1420"/>
        <v>0</v>
      </c>
      <c r="FU451" s="5" t="s">
        <v>206</v>
      </c>
      <c r="FV451" s="5">
        <f t="shared" si="1421"/>
        <v>0</v>
      </c>
      <c r="FW451" s="5" t="s">
        <v>206</v>
      </c>
      <c r="FX451" s="5">
        <f t="shared" si="1422"/>
        <v>0</v>
      </c>
      <c r="FY451" s="5" t="s">
        <v>206</v>
      </c>
      <c r="FZ451" s="5">
        <f t="shared" si="1423"/>
        <v>0</v>
      </c>
      <c r="GA451" s="5" t="s">
        <v>206</v>
      </c>
      <c r="GB451" s="5">
        <f t="shared" si="1424"/>
        <v>0</v>
      </c>
      <c r="GC451" s="5" t="s">
        <v>206</v>
      </c>
      <c r="GD451" s="5">
        <f t="shared" si="1425"/>
        <v>0</v>
      </c>
      <c r="GE451" s="5">
        <f t="shared" si="1426"/>
        <v>0</v>
      </c>
      <c r="GF451" s="5" t="str">
        <f t="shared" si="1427"/>
        <v>Nivel de riesgo bajo</v>
      </c>
      <c r="GG451" s="5" t="s">
        <v>255</v>
      </c>
      <c r="GH451" s="5" t="s">
        <v>298</v>
      </c>
      <c r="GI451" s="5" t="s">
        <v>266</v>
      </c>
      <c r="GJ451" s="5" t="s">
        <v>273</v>
      </c>
      <c r="GK451" s="5" t="s">
        <v>233</v>
      </c>
      <c r="GL451" s="5" t="s">
        <v>298</v>
      </c>
      <c r="GM451" s="5" t="s">
        <v>298</v>
      </c>
      <c r="GN451" s="5" t="s">
        <v>256</v>
      </c>
      <c r="GO451" s="5" t="s">
        <v>256</v>
      </c>
      <c r="GP451" s="5" t="s">
        <v>256</v>
      </c>
      <c r="GQ451" s="5" t="s">
        <v>256</v>
      </c>
      <c r="GR451" s="5" t="s">
        <v>256</v>
      </c>
      <c r="GS451" s="5" t="s">
        <v>256</v>
      </c>
      <c r="GT451" s="5" t="s">
        <v>256</v>
      </c>
      <c r="GU451" s="5" t="s">
        <v>820</v>
      </c>
      <c r="GV451" s="5" t="str">
        <f>TEXT("6290137954715866428","0")</f>
        <v>6290137954715860000</v>
      </c>
    </row>
    <row r="452" spans="1:204" ht="15.75" hidden="1" customHeight="1" x14ac:dyDescent="0.15">
      <c r="B452" s="4">
        <v>45860.553333333337</v>
      </c>
      <c r="C452" s="5" t="s">
        <v>206</v>
      </c>
      <c r="GV452" s="5" t="str">
        <f>TEXT("6290138084329886724","0")</f>
        <v>6290138084329880000</v>
      </c>
    </row>
    <row r="453" spans="1:204" ht="15.75" customHeight="1" x14ac:dyDescent="0.15">
      <c r="A453" s="1">
        <f>ROW(A453)</f>
        <v>453</v>
      </c>
      <c r="B453" s="4">
        <v>45860.554780092592</v>
      </c>
      <c r="C453" s="5" t="s">
        <v>204</v>
      </c>
      <c r="D453" s="5" t="s">
        <v>206</v>
      </c>
      <c r="F453" s="5" t="s">
        <v>206</v>
      </c>
      <c r="G453" s="5" t="s">
        <v>206</v>
      </c>
      <c r="H453" s="5" t="s">
        <v>206</v>
      </c>
      <c r="L453" s="5" t="s">
        <v>236</v>
      </c>
      <c r="P453" s="5" t="s">
        <v>237</v>
      </c>
      <c r="V453" s="5" t="s">
        <v>236</v>
      </c>
      <c r="Z453" s="5" t="s">
        <v>237</v>
      </c>
      <c r="AG453" s="5" t="s">
        <v>207</v>
      </c>
      <c r="AH453" s="5" t="s">
        <v>275</v>
      </c>
      <c r="AI453" s="5">
        <v>2022</v>
      </c>
      <c r="AJ453" s="5" t="s">
        <v>238</v>
      </c>
      <c r="AK453" s="5" t="str">
        <f>IF(OR(AJ453="Empleada del sector privado",AJ453="Empleada del sector público"),"Asalariada",
IF(AJ453="Trabajadora por cuenta propia","Trabajadora por cuenta propia",""))</f>
        <v>Trabajadora por cuenta propia</v>
      </c>
      <c r="AL453" s="5" t="s">
        <v>239</v>
      </c>
      <c r="AP453" s="5" t="s">
        <v>297</v>
      </c>
      <c r="AR453" s="5" t="s">
        <v>261</v>
      </c>
      <c r="AS453" s="5" t="s">
        <v>241</v>
      </c>
      <c r="AT453" s="5" t="s">
        <v>261</v>
      </c>
      <c r="AU453" s="5" t="s">
        <v>261</v>
      </c>
      <c r="AV453" s="5" t="s">
        <v>285</v>
      </c>
      <c r="AW453" s="5" t="s">
        <v>204</v>
      </c>
      <c r="AX453" s="5" t="s">
        <v>204</v>
      </c>
      <c r="AY453" s="5" t="s">
        <v>214</v>
      </c>
      <c r="AZ453" s="5" t="s">
        <v>204</v>
      </c>
      <c r="BA453" s="5" t="s">
        <v>295</v>
      </c>
      <c r="BB453" s="5" t="s">
        <v>206</v>
      </c>
      <c r="BC453" s="5" t="s">
        <v>206</v>
      </c>
      <c r="BD453" s="5" t="s">
        <v>206</v>
      </c>
      <c r="BE453" s="5" t="s">
        <v>206</v>
      </c>
      <c r="BF453" s="5" t="s">
        <v>204</v>
      </c>
      <c r="BG453" s="5" t="s">
        <v>207</v>
      </c>
      <c r="BH453" s="5" t="s">
        <v>215</v>
      </c>
      <c r="BI453" s="5" t="s">
        <v>207</v>
      </c>
      <c r="BJ453" s="5" t="s">
        <v>271</v>
      </c>
      <c r="BK453" s="5" t="s">
        <v>246</v>
      </c>
      <c r="BL453" s="5" t="s">
        <v>244</v>
      </c>
      <c r="BM453" s="5" t="s">
        <v>244</v>
      </c>
      <c r="BN453" s="5" t="s">
        <v>246</v>
      </c>
      <c r="BO453" s="5" t="s">
        <v>246</v>
      </c>
      <c r="BP453" s="5" t="s">
        <v>246</v>
      </c>
      <c r="BQ453" s="5" t="s">
        <v>244</v>
      </c>
      <c r="BR453" s="5" t="s">
        <v>244</v>
      </c>
      <c r="BS453" s="5" t="s">
        <v>247</v>
      </c>
      <c r="BT453" s="5" t="s">
        <v>247</v>
      </c>
      <c r="BU453" s="5" t="s">
        <v>232</v>
      </c>
      <c r="BV453" s="5" t="s">
        <v>247</v>
      </c>
      <c r="BW453" s="5" t="s">
        <v>247</v>
      </c>
      <c r="BX453" s="5" t="s">
        <v>247</v>
      </c>
      <c r="BY453" s="5" t="s">
        <v>247</v>
      </c>
      <c r="BZ453" s="5" t="s">
        <v>246</v>
      </c>
      <c r="CA453" s="5" t="s">
        <v>246</v>
      </c>
      <c r="CB453" s="5" t="s">
        <v>244</v>
      </c>
      <c r="CC453" s="5" t="s">
        <v>246</v>
      </c>
      <c r="CD453" s="5" t="s">
        <v>206</v>
      </c>
      <c r="CH453" s="5" t="s">
        <v>331</v>
      </c>
      <c r="CI453" s="5" t="s">
        <v>249</v>
      </c>
      <c r="CJ453" s="5">
        <v>2</v>
      </c>
      <c r="CK453" s="5" t="s">
        <v>223</v>
      </c>
      <c r="CU453" s="5" t="s">
        <v>206</v>
      </c>
      <c r="DA453" s="5" t="s">
        <v>231</v>
      </c>
      <c r="DB453" s="5">
        <f>IF(DA453="Mejor que lo habitual",1,
IF(DA453="Igual que lo habitual",2,
IF(DA453="Menos que lo habitual",3,
IF(DA453="Mucho menos que lo habitual",4,""))))</f>
        <v>2</v>
      </c>
      <c r="DC453" s="5" t="s">
        <v>230</v>
      </c>
      <c r="DD453" s="5">
        <f>IF(DC453="No, en absoluto",1,
IF(DC453="No más que lo habitual",2,
IF(DC453="Bastante más que lo habitual",3,
IF(DC453="Mucho más que lo habitual",4,""))))</f>
        <v>2</v>
      </c>
      <c r="DE453" s="5" t="s">
        <v>250</v>
      </c>
      <c r="DF453" s="5">
        <f>IF(DE453="No, en absoluto",1,
IF(DE453="No más que lo habitual",2,
IF(DE453="Bastante más que lo habitual",3,
IF(DE453="Mucho más que lo habitual",4,""))))</f>
        <v>3</v>
      </c>
      <c r="DG453" s="5" t="s">
        <v>250</v>
      </c>
      <c r="DH453" s="5">
        <f>IF(DG453="No, en absoluto",1,
IF(DG453="No más que lo habitual",2,
IF(DG453="Bastante más que lo habitual",3,
IF(DG453="Mucho más que lo habitual",4,""))))</f>
        <v>3</v>
      </c>
      <c r="DI453" s="5" t="s">
        <v>250</v>
      </c>
      <c r="DJ453" s="5">
        <f>IF(DI453="No, en absoluto",1,
IF(DI453="No más que lo habitual",2,
IF(DI453="Bastante más que lo habitual",3,
IF(DI453="Mucho más que lo habitual",4,""))))</f>
        <v>3</v>
      </c>
      <c r="DK453" s="5" t="s">
        <v>230</v>
      </c>
      <c r="DL453" s="5">
        <f>IF(DK453="No, en absoluto",1,
IF(DK453="No más que lo habitual",2,
IF(DK453="Bastante más que lo habitual",3,
IF(DK453="Mucho más que lo habitual",4,""))))</f>
        <v>2</v>
      </c>
      <c r="DM453" s="5" t="s">
        <v>251</v>
      </c>
      <c r="DN453" s="5">
        <f>IF(DM453="No, en absoluto",1,
IF(DM453="No más que lo habitual",2,
IF(DM453="Bastante más que lo habitual",3,
IF(DM453="Mucho más que lo habitual",4,""))))</f>
        <v>1</v>
      </c>
      <c r="DO453" s="5" t="s">
        <v>231</v>
      </c>
      <c r="DP453" s="5">
        <f>IF(DO453="Más que lo habitual",1,
IF(DO453="Igual que lo habitual",2,
IF(DO453="Menos que lo habitual",3,
IF(DO453="Mucho menos que lo habitual",4,""))))</f>
        <v>2</v>
      </c>
      <c r="DQ453" s="5" t="s">
        <v>231</v>
      </c>
      <c r="DR453" s="5">
        <f>IF(DQ453="Más que lo habitual",1,
IF(DQ453="Igual que lo habitual",2,
IF(DQ453="Menos que lo habitual",3,
IF(DQ453="Mucho menos que lo habitual",4,""))))</f>
        <v>2</v>
      </c>
      <c r="DS453" s="5" t="s">
        <v>231</v>
      </c>
      <c r="DT453" s="5">
        <f>IF(DS453="Más que lo habitual",1,
IF(DS453="Igual que lo habitual",2,
IF(DS453="Menos que lo habitual",3,
IF(DS453="Mucho menos que lo habitual",4,""))))</f>
        <v>2</v>
      </c>
      <c r="DU453" s="5" t="s">
        <v>231</v>
      </c>
      <c r="DV453" s="5">
        <f>IF(DU453="Más que lo habitual",1,
IF(DU453="Igual que lo habitual",2,
IF(DU453="Menos que lo habitual",3,
IF(DU453="Mucho menos que lo habitual",4,""))))</f>
        <v>2</v>
      </c>
      <c r="DW453" s="5" t="s">
        <v>231</v>
      </c>
      <c r="DX453" s="5">
        <f>IF(DW453="Más que lo habitual",1,
IF(DW453="Igual que lo habitual",2,
IF(DW453="Menos que lo habitual",3,
IF(DW453="Mucho menos que lo habitual",4,""))))</f>
        <v>2</v>
      </c>
      <c r="DY453" s="5">
        <f>SUM(DB453,DD453,DF453,DH453,DJ453,DL453,DN453,DP453,DR453,DT453,DV453,DX453)</f>
        <v>26</v>
      </c>
      <c r="DZ453" s="5" t="str">
        <f>IF(DY453&lt;=18,"Nivel de riesgo bajo",
IF(DY453&lt;=23,"Nivel de riesgo medio",
"Nivel de riesgo alto"))</f>
        <v>Nivel de riesgo alto</v>
      </c>
      <c r="EA453" s="5" t="s">
        <v>248</v>
      </c>
      <c r="EB453" s="5">
        <f>IF(EA453="Nunca/ casi nunca",0,
IF(EA453="Rara vez",1,
IF(EA453="A veces",2,
IF(EA453="A menudo",3,
IF(EA453="Siempre",4,"")))))</f>
        <v>1</v>
      </c>
      <c r="EC453" s="5" t="s">
        <v>248</v>
      </c>
      <c r="ED453" s="5">
        <f>IF(EC453="Nunca/ casi nunca",0,
IF(EC453="Rara vez",1,
IF(EC453="A veces",2,
IF(EC453="A menudo",3,
IF(EC453="Siempre",4,"")))))</f>
        <v>1</v>
      </c>
      <c r="EE453" s="5" t="s">
        <v>247</v>
      </c>
      <c r="EF453" s="5">
        <f>IF(EE453="Nunca/ casi nunca",0,
IF(EE453="Rara vez",1,
IF(EE453="A veces",2,
IF(EE453="A menudo",3,
IF(EE453="Siempre",4,"")))))</f>
        <v>2</v>
      </c>
      <c r="EG453" s="5">
        <f>SUM(EB453,ED453,EF453)</f>
        <v>4</v>
      </c>
      <c r="EH453" s="5" t="str">
        <f>IF(EG453&lt;=1,"Nivel de riesgo bajo",
IF(EG453&lt;=4,"Nivel de riesgo medio",
"Nivel de riesgo alto"))</f>
        <v>Nivel de riesgo medio</v>
      </c>
      <c r="EI453" s="5" t="s">
        <v>253</v>
      </c>
      <c r="EJ453" s="5">
        <f>IF(EI453="Nunca/ casi nunca",0,
IF(EI453="Rara vez",1,
IF(EI453="A veces",2,
IF(EI453="A menudo",3,
IF(EI453="Siempre",4,"")))))</f>
        <v>0</v>
      </c>
      <c r="EK453" s="5" t="s">
        <v>253</v>
      </c>
      <c r="EL453" s="5">
        <f>IF(EK453="Nunca/ casi nunca",0,
IF(EK453="Rara vez",1,
IF(EK453="A veces",2,
IF(EK453="A menudo",3,
IF(EK453="Siempre",4,"")))))</f>
        <v>0</v>
      </c>
      <c r="EM453" s="5" t="s">
        <v>253</v>
      </c>
      <c r="EN453" s="5">
        <f>IF(EM453="Nunca/ casi nunca",0,
IF(EM453="Rara vez",1,
IF(EM453="A veces",2,
IF(EM453="A menudo",3,
IF(EM453="Siempre",4,"")))))</f>
        <v>0</v>
      </c>
      <c r="EO453" s="5">
        <f>SUM(EJ453,EL453,EN453)</f>
        <v>0</v>
      </c>
      <c r="EP453" s="5" t="str">
        <f>IF(EO453&lt;=1,"Nivel de riesgo bajo",
IF(EO453&lt;=5,"Nivel de riesgo medio",
"Nivel de riesgo alto"))</f>
        <v>Nivel de riesgo bajo</v>
      </c>
      <c r="EQ453" s="5" t="s">
        <v>253</v>
      </c>
      <c r="ER453" s="5">
        <f>IF(EQ453="Nunca/ casi nunca",4,
IF(EQ453="Rara vez",3,
IF(EQ453="A veces",2,
IF(EQ453="A menudo",1,
IF(EQ453="Siempre",0,"")))))</f>
        <v>4</v>
      </c>
      <c r="ES453" s="5" t="s">
        <v>247</v>
      </c>
      <c r="ET453" s="5">
        <f>IF(ES453="Nunca/ casi nunca",4,
IF(ES453="Rara vez",3,
IF(ES453="A veces",2,
IF(ES453="A menudo",1,
IF(ES453="Siempre",0,"")))))</f>
        <v>2</v>
      </c>
      <c r="EU453" s="5" t="s">
        <v>254</v>
      </c>
      <c r="EV453" s="5">
        <f>IF(EU453="Nunca/ casi nunca",4,
IF(EU453="Rara vez",3,
IF(EU453="A veces",2,
IF(EU453="A menudo",1,
IF(EU453="Siempre",0,"")))))</f>
        <v>0</v>
      </c>
      <c r="EW453" s="5" t="s">
        <v>247</v>
      </c>
      <c r="EX453" s="5">
        <f>IF(EW453="Nunca/ casi nunca",4,
IF(EW453="Rara vez",3,
IF(EW453="A veces",2,
IF(EW453="A menudo",1,
IF(EW453="Siempre",0,"")))))</f>
        <v>2</v>
      </c>
      <c r="EY453" s="5">
        <f>SUM(ER453,ET453,EV453,EX453)</f>
        <v>8</v>
      </c>
      <c r="EZ453" s="5" t="str">
        <f>IF(EY453&lt;=0,"Nivel de riesgo bajo",
IF(EY453&lt;=4,"Nivel de riesgo medio",
"Nivel de riesgo alto"))</f>
        <v>Nivel de riesgo alto</v>
      </c>
      <c r="FA453" s="5" t="s">
        <v>253</v>
      </c>
      <c r="FB453" s="5">
        <f>IF(FA453="Nunca/ casi nunca",0,
IF(FA453="Rara vez",1,
IF(FA453="A veces",2,
IF(FA453="A menudo",3,
IF(FA453="Siempre",4,"")))))</f>
        <v>0</v>
      </c>
      <c r="FC453" s="5" t="s">
        <v>253</v>
      </c>
      <c r="FD453" s="5">
        <f>IF(FC453="Nunca/ casi nunca",0,
IF(FC453="Rara vez",1,
IF(FC453="A veces",2,
IF(FC453="A menudo",3,
IF(FC453="Siempre",4,"")))))</f>
        <v>0</v>
      </c>
      <c r="FE453" s="5" t="s">
        <v>253</v>
      </c>
      <c r="FF453" s="5">
        <f>IF(FE453="Nunca/ casi nunca",0,
IF(FE453="Rara vez",1,
IF(FE453="A veces",2,
IF(FE453="A menudo",3,
IF(FE453="Siempre",4,"")))))</f>
        <v>0</v>
      </c>
      <c r="FG453" s="5">
        <f>SUM(FB453,FD453,FF453)</f>
        <v>0</v>
      </c>
      <c r="FH453" s="5" t="str">
        <f>IF(FG453&lt;=2,"Nivel de riesgo bajo",
IF(FG453&lt;=5,"Nivel de riesgo medio",
"Nivel de riesgo alto"))</f>
        <v>Nivel de riesgo bajo</v>
      </c>
      <c r="FI453" s="5" t="s">
        <v>248</v>
      </c>
      <c r="FJ453" s="5">
        <f>IF(FI453="Nunca/ casi nunca",0,
IF(FI453="Rara vez",1,
IF(FI453="A veces",2,
IF(FI453="A menudo",3,
IF(FI453="Siempre",4,"")))))</f>
        <v>1</v>
      </c>
      <c r="FK453" s="5" t="s">
        <v>253</v>
      </c>
      <c r="FL453" s="5">
        <f>IF(FK453="Nunca/ casi nunca",0,
IF(FK453="Rara vez",1,
IF(FK453="A veces",2,
IF(FK453="A menudo",3,
IF(FK453="Siempre",4,"")))))</f>
        <v>0</v>
      </c>
      <c r="FM453" s="5" t="s">
        <v>253</v>
      </c>
      <c r="FN453" s="5">
        <f>IF(FM453="Nunca/ casi nunca",0,
IF(FM453="Rara vez",1,
IF(FM453="A veces",2,
IF(FM453="A menudo",3,
IF(FM453="Siempre",4,"")))))</f>
        <v>0</v>
      </c>
      <c r="FO453" s="5">
        <f>SUM(FJ453,FL453,FN453)</f>
        <v>1</v>
      </c>
      <c r="FP453" s="5" t="str">
        <f>IF(FO453&lt;=2,"Nivel de riesgo bajo",
IF(FO453&lt;=5,"Nivel de riesgo medio",
"Nivel de riesgo alto"))</f>
        <v>Nivel de riesgo bajo</v>
      </c>
      <c r="FQ453" s="5" t="s">
        <v>206</v>
      </c>
      <c r="FR453" s="5">
        <f>IF(FQ453="No",0,
IF(FQ453="Sí, unas pocas veces",1,
IF(FQ453="Sí, mensualmente",2,
IF(FQ453="Sí, semanalmente",3,
IF(FQ453="Sí, diariamente",4,"")))))</f>
        <v>0</v>
      </c>
      <c r="FS453" s="5" t="s">
        <v>206</v>
      </c>
      <c r="FT453" s="5">
        <f>IF(FS453="No",0,
IF(FS453="Sí, unas pocas veces",1,
IF(FS453="Sí, mensualmente",2,
IF(FS453="Sí, semanalmente",3,
IF(FS453="Sí, diariamente",4,"")))))</f>
        <v>0</v>
      </c>
      <c r="FU453" s="5" t="s">
        <v>206</v>
      </c>
      <c r="FV453" s="5">
        <f>IF(FU453="No",0,
IF(FU453="Sí, unas pocas veces",1,
IF(FU453="Sí, mensualmente",2,
IF(FU453="Sí, semanalmente",3,
IF(FU453="Sí, diariamente",4,"")))))</f>
        <v>0</v>
      </c>
      <c r="FW453" s="5" t="s">
        <v>206</v>
      </c>
      <c r="FX453" s="5">
        <f>IF(FW453="No",0,
IF(FW453="Sí, unas pocas veces",1,
IF(FW453="Sí, mensualmente",2,
IF(FW453="Sí, semanalmente",3,
IF(FW453="Sí, diariamente",4,"")))))</f>
        <v>0</v>
      </c>
      <c r="FY453" s="5" t="s">
        <v>206</v>
      </c>
      <c r="FZ453" s="5">
        <f>IF(FY453="No",0,
IF(FY453="Sí, unas pocas veces",1,
IF(FY453="Sí, mensualmente",2,
IF(FY453="Sí, semanalmente",3,
IF(FY453="Sí, diariamente",4,"")))))</f>
        <v>0</v>
      </c>
      <c r="GA453" s="5" t="s">
        <v>206</v>
      </c>
      <c r="GB453" s="5">
        <f>IF(GA453="No",0,
IF(GA453="Sí, unas pocas veces",1,
IF(GA453="Sí, mensualmente",2,
IF(GA453="Sí, semanalmente",3,
IF(GA453="Sí, diariamente",4,"")))))</f>
        <v>0</v>
      </c>
      <c r="GC453" s="5" t="s">
        <v>206</v>
      </c>
      <c r="GD453" s="5">
        <f>IF(GC453="No",0,
IF(GC453="Sí, unas pocas veces",1,
IF(GC453="Sí, mensualmente",2,
IF(GC453="Sí, semanalmente",3,
IF(GC453="Sí, diariamente",4,"")))))</f>
        <v>0</v>
      </c>
      <c r="GE453" s="5">
        <f>SUM(FR453,FT453,FV453,FX453,FZ453,GB453,GD453)</f>
        <v>0</v>
      </c>
      <c r="GF453" s="5" t="str">
        <f>IF(GE453&lt;=0,"Nivel de riesgo bajo",
IF(GE453&lt;=14,"Nivel de riesgo medio",
"Nivel de riesgo alto"))</f>
        <v>Nivel de riesgo bajo</v>
      </c>
      <c r="GG453" s="5" t="s">
        <v>273</v>
      </c>
      <c r="GH453" s="5" t="s">
        <v>298</v>
      </c>
      <c r="GI453" s="5" t="s">
        <v>273</v>
      </c>
      <c r="GJ453" s="5" t="s">
        <v>273</v>
      </c>
      <c r="GK453" s="5" t="s">
        <v>233</v>
      </c>
      <c r="GL453" s="5" t="s">
        <v>266</v>
      </c>
      <c r="GM453" s="5" t="s">
        <v>273</v>
      </c>
      <c r="GN453" s="5" t="s">
        <v>256</v>
      </c>
      <c r="GO453" s="5" t="s">
        <v>243</v>
      </c>
      <c r="GP453" s="5" t="s">
        <v>257</v>
      </c>
      <c r="GQ453" s="5" t="s">
        <v>257</v>
      </c>
      <c r="GR453" s="5" t="s">
        <v>243</v>
      </c>
      <c r="GS453" s="5" t="s">
        <v>257</v>
      </c>
      <c r="GT453" s="5" t="s">
        <v>256</v>
      </c>
      <c r="GU453" s="5" t="s">
        <v>821</v>
      </c>
      <c r="GV453" s="5" t="str">
        <f>TEXT("6290139330706425969","0")</f>
        <v>6290139330706420000</v>
      </c>
    </row>
    <row r="454" spans="1:204" ht="15.75" customHeight="1" x14ac:dyDescent="0.15">
      <c r="A454" s="1">
        <f>ROW(A454)</f>
        <v>454</v>
      </c>
      <c r="B454" s="4">
        <v>45860.558217592596</v>
      </c>
      <c r="C454" s="5" t="s">
        <v>204</v>
      </c>
      <c r="D454" s="5" t="s">
        <v>204</v>
      </c>
      <c r="E454" s="5" t="s">
        <v>676</v>
      </c>
      <c r="F454" s="5" t="s">
        <v>206</v>
      </c>
      <c r="G454" s="5" t="s">
        <v>206</v>
      </c>
      <c r="H454" s="5" t="s">
        <v>206</v>
      </c>
      <c r="J454" s="5" t="s">
        <v>209</v>
      </c>
      <c r="O454" s="5" t="s">
        <v>209</v>
      </c>
      <c r="T454" s="5" t="s">
        <v>209</v>
      </c>
      <c r="AA454" s="5" t="s">
        <v>236</v>
      </c>
      <c r="AD454" s="5" t="s">
        <v>209</v>
      </c>
      <c r="AH454" s="5" t="s">
        <v>268</v>
      </c>
      <c r="AI454" s="5">
        <v>2004</v>
      </c>
      <c r="AJ454" s="5" t="s">
        <v>337</v>
      </c>
      <c r="AK454" s="5" t="str">
        <f>IF(OR(AJ454="Empleada del sector privado",AJ454="Empleada del sector público"),"Asalariada",
IF(AJ454="Trabajadora por cuenta propia","Trabajadora por cuenta propia",""))</f>
        <v>Asalariada</v>
      </c>
      <c r="AQ454" s="5" t="s">
        <v>204</v>
      </c>
      <c r="AR454" s="5" t="s">
        <v>301</v>
      </c>
      <c r="AS454" s="5" t="s">
        <v>301</v>
      </c>
      <c r="AT454" s="5" t="s">
        <v>301</v>
      </c>
      <c r="AU454" s="5" t="s">
        <v>301</v>
      </c>
      <c r="AV454" s="5" t="s">
        <v>262</v>
      </c>
      <c r="AW454" s="5" t="s">
        <v>206</v>
      </c>
      <c r="BF454" s="5" t="s">
        <v>206</v>
      </c>
      <c r="CK454" s="5" t="s">
        <v>223</v>
      </c>
      <c r="CU454" s="5" t="s">
        <v>206</v>
      </c>
      <c r="DA454" s="5" t="s">
        <v>272</v>
      </c>
      <c r="DB454" s="5">
        <f>IF(DA454="Mejor que lo habitual",1,
IF(DA454="Igual que lo habitual",2,
IF(DA454="Menos que lo habitual",3,
IF(DA454="Mucho menos que lo habitual",4,""))))</f>
        <v>1</v>
      </c>
      <c r="DC454" s="5" t="s">
        <v>251</v>
      </c>
      <c r="DD454" s="5">
        <f>IF(DC454="No, en absoluto",1,
IF(DC454="No más que lo habitual",2,
IF(DC454="Bastante más que lo habitual",3,
IF(DC454="Mucho más que lo habitual",4,""))))</f>
        <v>1</v>
      </c>
      <c r="DE454" s="5" t="s">
        <v>251</v>
      </c>
      <c r="DF454" s="5">
        <f>IF(DE454="No, en absoluto",1,
IF(DE454="No más que lo habitual",2,
IF(DE454="Bastante más que lo habitual",3,
IF(DE454="Mucho más que lo habitual",4,""))))</f>
        <v>1</v>
      </c>
      <c r="DG454" s="5" t="s">
        <v>251</v>
      </c>
      <c r="DH454" s="5">
        <f>IF(DG454="No, en absoluto",1,
IF(DG454="No más que lo habitual",2,
IF(DG454="Bastante más que lo habitual",3,
IF(DG454="Mucho más que lo habitual",4,""))))</f>
        <v>1</v>
      </c>
      <c r="DI454" s="5" t="s">
        <v>251</v>
      </c>
      <c r="DJ454" s="5">
        <f>IF(DI454="No, en absoluto",1,
IF(DI454="No más que lo habitual",2,
IF(DI454="Bastante más que lo habitual",3,
IF(DI454="Mucho más que lo habitual",4,""))))</f>
        <v>1</v>
      </c>
      <c r="DK454" s="5" t="s">
        <v>251</v>
      </c>
      <c r="DL454" s="5">
        <f>IF(DK454="No, en absoluto",1,
IF(DK454="No más que lo habitual",2,
IF(DK454="Bastante más que lo habitual",3,
IF(DK454="Mucho más que lo habitual",4,""))))</f>
        <v>1</v>
      </c>
      <c r="DM454" s="5" t="s">
        <v>251</v>
      </c>
      <c r="DN454" s="5">
        <f>IF(DM454="No, en absoluto",1,
IF(DM454="No más que lo habitual",2,
IF(DM454="Bastante más que lo habitual",3,
IF(DM454="Mucho más que lo habitual",4,""))))</f>
        <v>1</v>
      </c>
      <c r="DO454" s="5" t="s">
        <v>281</v>
      </c>
      <c r="DP454" s="5">
        <f>IF(DO454="Más que lo habitual",1,
IF(DO454="Igual que lo habitual",2,
IF(DO454="Menos que lo habitual",3,
IF(DO454="Mucho menos que lo habitual",4,""))))</f>
        <v>1</v>
      </c>
      <c r="DQ454" s="5" t="s">
        <v>281</v>
      </c>
      <c r="DR454" s="5">
        <f>IF(DQ454="Más que lo habitual",1,
IF(DQ454="Igual que lo habitual",2,
IF(DQ454="Menos que lo habitual",3,
IF(DQ454="Mucho menos que lo habitual",4,""))))</f>
        <v>1</v>
      </c>
      <c r="DS454" s="5" t="s">
        <v>281</v>
      </c>
      <c r="DT454" s="5">
        <f>IF(DS454="Más que lo habitual",1,
IF(DS454="Igual que lo habitual",2,
IF(DS454="Menos que lo habitual",3,
IF(DS454="Mucho menos que lo habitual",4,""))))</f>
        <v>1</v>
      </c>
      <c r="DU454" s="5" t="s">
        <v>281</v>
      </c>
      <c r="DV454" s="5">
        <f>IF(DU454="Más que lo habitual",1,
IF(DU454="Igual que lo habitual",2,
IF(DU454="Menos que lo habitual",3,
IF(DU454="Mucho menos que lo habitual",4,""))))</f>
        <v>1</v>
      </c>
      <c r="DW454" s="5" t="s">
        <v>281</v>
      </c>
      <c r="DX454" s="5">
        <f>IF(DW454="Más que lo habitual",1,
IF(DW454="Igual que lo habitual",2,
IF(DW454="Menos que lo habitual",3,
IF(DW454="Mucho menos que lo habitual",4,""))))</f>
        <v>1</v>
      </c>
      <c r="DY454" s="5">
        <f>SUM(DB454,DD454,DF454,DH454,DJ454,DL454,DN454,DP454,DR454,DT454,DV454,DX454)</f>
        <v>12</v>
      </c>
      <c r="DZ454" s="5" t="str">
        <f>IF(DY454&lt;=18,"Nivel de riesgo bajo",
IF(DY454&lt;=23,"Nivel de riesgo medio",
"Nivel de riesgo alto"))</f>
        <v>Nivel de riesgo bajo</v>
      </c>
      <c r="EA454" s="5" t="s">
        <v>254</v>
      </c>
      <c r="EB454" s="5">
        <f>IF(EA454="Nunca/ casi nunca",0,
IF(EA454="Rara vez",1,
IF(EA454="A veces",2,
IF(EA454="A menudo",3,
IF(EA454="Siempre",4,"")))))</f>
        <v>4</v>
      </c>
      <c r="EC454" s="5" t="s">
        <v>254</v>
      </c>
      <c r="ED454" s="5">
        <f>IF(EC454="Nunca/ casi nunca",0,
IF(EC454="Rara vez",1,
IF(EC454="A veces",2,
IF(EC454="A menudo",3,
IF(EC454="Siempre",4,"")))))</f>
        <v>4</v>
      </c>
      <c r="EE454" s="5" t="s">
        <v>254</v>
      </c>
      <c r="EF454" s="5">
        <f>IF(EE454="Nunca/ casi nunca",0,
IF(EE454="Rara vez",1,
IF(EE454="A veces",2,
IF(EE454="A menudo",3,
IF(EE454="Siempre",4,"")))))</f>
        <v>4</v>
      </c>
      <c r="EG454" s="5">
        <f>SUM(EB454,ED454,EF454)</f>
        <v>12</v>
      </c>
      <c r="EH454" s="5" t="str">
        <f>IF(EG454&lt;=1,"Nivel de riesgo bajo",
IF(EG454&lt;=4,"Nivel de riesgo medio",
"Nivel de riesgo alto"))</f>
        <v>Nivel de riesgo alto</v>
      </c>
      <c r="EI454" s="5" t="s">
        <v>254</v>
      </c>
      <c r="EJ454" s="5">
        <f>IF(EI454="Nunca/ casi nunca",0,
IF(EI454="Rara vez",1,
IF(EI454="A veces",2,
IF(EI454="A menudo",3,
IF(EI454="Siempre",4,"")))))</f>
        <v>4</v>
      </c>
      <c r="EK454" s="5" t="s">
        <v>254</v>
      </c>
      <c r="EL454" s="5">
        <f>IF(EK454="Nunca/ casi nunca",0,
IF(EK454="Rara vez",1,
IF(EK454="A veces",2,
IF(EK454="A menudo",3,
IF(EK454="Siempre",4,"")))))</f>
        <v>4</v>
      </c>
      <c r="EM454" s="5" t="s">
        <v>254</v>
      </c>
      <c r="EN454" s="5">
        <f>IF(EM454="Nunca/ casi nunca",0,
IF(EM454="Rara vez",1,
IF(EM454="A veces",2,
IF(EM454="A menudo",3,
IF(EM454="Siempre",4,"")))))</f>
        <v>4</v>
      </c>
      <c r="EO454" s="5">
        <f>SUM(EJ454,EL454,EN454)</f>
        <v>12</v>
      </c>
      <c r="EP454" s="5" t="str">
        <f>IF(EO454&lt;=1,"Nivel de riesgo bajo",
IF(EO454&lt;=5,"Nivel de riesgo medio",
"Nivel de riesgo alto"))</f>
        <v>Nivel de riesgo alto</v>
      </c>
      <c r="EQ454" s="5" t="s">
        <v>254</v>
      </c>
      <c r="ER454" s="5">
        <f>IF(EQ454="Nunca/ casi nunca",4,
IF(EQ454="Rara vez",3,
IF(EQ454="A veces",2,
IF(EQ454="A menudo",1,
IF(EQ454="Siempre",0,"")))))</f>
        <v>0</v>
      </c>
      <c r="ES454" s="5" t="s">
        <v>254</v>
      </c>
      <c r="ET454" s="5">
        <f>IF(ES454="Nunca/ casi nunca",4,
IF(ES454="Rara vez",3,
IF(ES454="A veces",2,
IF(ES454="A menudo",1,
IF(ES454="Siempre",0,"")))))</f>
        <v>0</v>
      </c>
      <c r="EU454" s="5" t="s">
        <v>254</v>
      </c>
      <c r="EV454" s="5">
        <f>IF(EU454="Nunca/ casi nunca",4,
IF(EU454="Rara vez",3,
IF(EU454="A veces",2,
IF(EU454="A menudo",1,
IF(EU454="Siempre",0,"")))))</f>
        <v>0</v>
      </c>
      <c r="EW454" s="5" t="s">
        <v>254</v>
      </c>
      <c r="EX454" s="5">
        <f>IF(EW454="Nunca/ casi nunca",4,
IF(EW454="Rara vez",3,
IF(EW454="A veces",2,
IF(EW454="A menudo",1,
IF(EW454="Siempre",0,"")))))</f>
        <v>0</v>
      </c>
      <c r="EY454" s="5">
        <f>SUM(ER454,ET454,EV454,EX454)</f>
        <v>0</v>
      </c>
      <c r="EZ454" s="5" t="str">
        <f>IF(EY454&lt;=0,"Nivel de riesgo bajo",
IF(EY454&lt;=4,"Nivel de riesgo medio",
"Nivel de riesgo alto"))</f>
        <v>Nivel de riesgo bajo</v>
      </c>
      <c r="FA454" s="5" t="s">
        <v>254</v>
      </c>
      <c r="FB454" s="5">
        <f>IF(FA454="Nunca/ casi nunca",0,
IF(FA454="Rara vez",1,
IF(FA454="A veces",2,
IF(FA454="A menudo",3,
IF(FA454="Siempre",4,"")))))</f>
        <v>4</v>
      </c>
      <c r="FC454" s="5" t="s">
        <v>254</v>
      </c>
      <c r="FD454" s="5">
        <f>IF(FC454="Nunca/ casi nunca",0,
IF(FC454="Rara vez",1,
IF(FC454="A veces",2,
IF(FC454="A menudo",3,
IF(FC454="Siempre",4,"")))))</f>
        <v>4</v>
      </c>
      <c r="FE454" s="5" t="s">
        <v>254</v>
      </c>
      <c r="FF454" s="5">
        <f>IF(FE454="Nunca/ casi nunca",0,
IF(FE454="Rara vez",1,
IF(FE454="A veces",2,
IF(FE454="A menudo",3,
IF(FE454="Siempre",4,"")))))</f>
        <v>4</v>
      </c>
      <c r="FG454" s="5">
        <f>SUM(FB454,FD454,FF454)</f>
        <v>12</v>
      </c>
      <c r="FH454" s="5" t="str">
        <f>IF(FG454&lt;=2,"Nivel de riesgo bajo",
IF(FG454&lt;=5,"Nivel de riesgo medio",
"Nivel de riesgo alto"))</f>
        <v>Nivel de riesgo alto</v>
      </c>
      <c r="FI454" s="5" t="s">
        <v>254</v>
      </c>
      <c r="FJ454" s="5">
        <f>IF(FI454="Nunca/ casi nunca",0,
IF(FI454="Rara vez",1,
IF(FI454="A veces",2,
IF(FI454="A menudo",3,
IF(FI454="Siempre",4,"")))))</f>
        <v>4</v>
      </c>
      <c r="FK454" s="5" t="s">
        <v>254</v>
      </c>
      <c r="FL454" s="5">
        <f>IF(FK454="Nunca/ casi nunca",0,
IF(FK454="Rara vez",1,
IF(FK454="A veces",2,
IF(FK454="A menudo",3,
IF(FK454="Siempre",4,"")))))</f>
        <v>4</v>
      </c>
      <c r="FM454" s="5" t="s">
        <v>254</v>
      </c>
      <c r="FN454" s="5">
        <f>IF(FM454="Nunca/ casi nunca",0,
IF(FM454="Rara vez",1,
IF(FM454="A veces",2,
IF(FM454="A menudo",3,
IF(FM454="Siempre",4,"")))))</f>
        <v>4</v>
      </c>
      <c r="FO454" s="5">
        <f>SUM(FJ454,FL454,FN454)</f>
        <v>12</v>
      </c>
      <c r="FP454" s="5" t="str">
        <f>IF(FO454&lt;=2,"Nivel de riesgo bajo",
IF(FO454&lt;=5,"Nivel de riesgo medio",
"Nivel de riesgo alto"))</f>
        <v>Nivel de riesgo alto</v>
      </c>
      <c r="FQ454" s="5" t="s">
        <v>206</v>
      </c>
      <c r="FR454" s="5">
        <f>IF(FQ454="No",0,
IF(FQ454="Sí, unas pocas veces",1,
IF(FQ454="Sí, mensualmente",2,
IF(FQ454="Sí, semanalmente",3,
IF(FQ454="Sí, diariamente",4,"")))))</f>
        <v>0</v>
      </c>
      <c r="FS454" s="5" t="s">
        <v>206</v>
      </c>
      <c r="FT454" s="5">
        <f>IF(FS454="No",0,
IF(FS454="Sí, unas pocas veces",1,
IF(FS454="Sí, mensualmente",2,
IF(FS454="Sí, semanalmente",3,
IF(FS454="Sí, diariamente",4,"")))))</f>
        <v>0</v>
      </c>
      <c r="FU454" s="5" t="s">
        <v>206</v>
      </c>
      <c r="FV454" s="5">
        <f>IF(FU454="No",0,
IF(FU454="Sí, unas pocas veces",1,
IF(FU454="Sí, mensualmente",2,
IF(FU454="Sí, semanalmente",3,
IF(FU454="Sí, diariamente",4,"")))))</f>
        <v>0</v>
      </c>
      <c r="FW454" s="5" t="s">
        <v>206</v>
      </c>
      <c r="FX454" s="5">
        <f>IF(FW454="No",0,
IF(FW454="Sí, unas pocas veces",1,
IF(FW454="Sí, mensualmente",2,
IF(FW454="Sí, semanalmente",3,
IF(FW454="Sí, diariamente",4,"")))))</f>
        <v>0</v>
      </c>
      <c r="FY454" s="5" t="s">
        <v>206</v>
      </c>
      <c r="FZ454" s="5">
        <f>IF(FY454="No",0,
IF(FY454="Sí, unas pocas veces",1,
IF(FY454="Sí, mensualmente",2,
IF(FY454="Sí, semanalmente",3,
IF(FY454="Sí, diariamente",4,"")))))</f>
        <v>0</v>
      </c>
      <c r="GA454" s="5" t="s">
        <v>206</v>
      </c>
      <c r="GB454" s="5">
        <f>IF(GA454="No",0,
IF(GA454="Sí, unas pocas veces",1,
IF(GA454="Sí, mensualmente",2,
IF(GA454="Sí, semanalmente",3,
IF(GA454="Sí, diariamente",4,"")))))</f>
        <v>0</v>
      </c>
      <c r="GC454" s="5" t="s">
        <v>206</v>
      </c>
      <c r="GD454" s="5">
        <f>IF(GC454="No",0,
IF(GC454="Sí, unas pocas veces",1,
IF(GC454="Sí, mensualmente",2,
IF(GC454="Sí, semanalmente",3,
IF(GC454="Sí, diariamente",4,"")))))</f>
        <v>0</v>
      </c>
      <c r="GE454" s="5">
        <f>SUM(FR454,FT454,FV454,FX454,FZ454,GB454,GD454)</f>
        <v>0</v>
      </c>
      <c r="GF454" s="5" t="str">
        <f>IF(GE454&lt;=0,"Nivel de riesgo bajo",
IF(GE454&lt;=14,"Nivel de riesgo medio",
"Nivel de riesgo alto"))</f>
        <v>Nivel de riesgo bajo</v>
      </c>
      <c r="GG454" s="5" t="s">
        <v>255</v>
      </c>
      <c r="GH454" s="5" t="s">
        <v>255</v>
      </c>
      <c r="GI454" s="5" t="s">
        <v>255</v>
      </c>
      <c r="GJ454" s="5" t="s">
        <v>255</v>
      </c>
      <c r="GK454" s="5" t="s">
        <v>255</v>
      </c>
      <c r="GL454" s="5" t="s">
        <v>255</v>
      </c>
      <c r="GM454" s="5" t="s">
        <v>255</v>
      </c>
      <c r="GN454" s="5" t="s">
        <v>234</v>
      </c>
      <c r="GO454" s="5" t="s">
        <v>234</v>
      </c>
      <c r="GP454" s="5" t="s">
        <v>234</v>
      </c>
      <c r="GQ454" s="5" t="s">
        <v>234</v>
      </c>
      <c r="GR454" s="5" t="s">
        <v>234</v>
      </c>
      <c r="GS454" s="5" t="s">
        <v>234</v>
      </c>
      <c r="GT454" s="5" t="s">
        <v>234</v>
      </c>
      <c r="GU454" s="5" t="s">
        <v>822</v>
      </c>
      <c r="GV454" s="5" t="str">
        <f>TEXT("6290142303403019695","0")</f>
        <v>6290142303403010000</v>
      </c>
    </row>
    <row r="455" spans="1:204" ht="15.75" customHeight="1" x14ac:dyDescent="0.15">
      <c r="A455" s="1">
        <f>ROW(A455)</f>
        <v>455</v>
      </c>
      <c r="B455" s="4">
        <v>45860.560648148145</v>
      </c>
      <c r="C455" s="5" t="s">
        <v>204</v>
      </c>
      <c r="D455" s="5" t="s">
        <v>206</v>
      </c>
      <c r="F455" s="5" t="s">
        <v>204</v>
      </c>
      <c r="G455" s="5" t="s">
        <v>204</v>
      </c>
      <c r="H455" s="5" t="s">
        <v>206</v>
      </c>
      <c r="L455" s="5" t="s">
        <v>236</v>
      </c>
      <c r="N455" s="5" t="s">
        <v>208</v>
      </c>
      <c r="T455" s="5" t="s">
        <v>209</v>
      </c>
      <c r="Z455" s="5" t="s">
        <v>237</v>
      </c>
      <c r="AC455" s="5" t="s">
        <v>208</v>
      </c>
      <c r="AH455" s="5" t="s">
        <v>268</v>
      </c>
      <c r="AI455" s="5">
        <v>2022</v>
      </c>
      <c r="AJ455" s="5" t="s">
        <v>238</v>
      </c>
      <c r="AK455" s="5" t="str">
        <f>IF(OR(AJ455="Empleada del sector privado",AJ455="Empleada del sector público"),"Asalariada",
IF(AJ455="Trabajadora por cuenta propia","Trabajadora por cuenta propia",""))</f>
        <v>Trabajadora por cuenta propia</v>
      </c>
      <c r="AL455" s="5" t="s">
        <v>239</v>
      </c>
      <c r="AP455" s="5" t="s">
        <v>240</v>
      </c>
      <c r="AR455" s="5" t="s">
        <v>276</v>
      </c>
      <c r="AS455" s="5" t="s">
        <v>276</v>
      </c>
      <c r="AT455" s="5" t="s">
        <v>276</v>
      </c>
      <c r="AU455" s="5" t="s">
        <v>276</v>
      </c>
      <c r="AV455" s="5" t="s">
        <v>269</v>
      </c>
      <c r="AW455" s="5" t="s">
        <v>204</v>
      </c>
      <c r="AX455" s="5" t="s">
        <v>204</v>
      </c>
      <c r="AY455" s="5" t="s">
        <v>339</v>
      </c>
      <c r="AZ455" s="5" t="s">
        <v>204</v>
      </c>
      <c r="BA455" s="5" t="s">
        <v>263</v>
      </c>
      <c r="BF455" s="5" t="s">
        <v>204</v>
      </c>
      <c r="BG455" s="5" t="s">
        <v>264</v>
      </c>
      <c r="BH455" s="5" t="s">
        <v>264</v>
      </c>
      <c r="BI455" s="5" t="s">
        <v>278</v>
      </c>
      <c r="BJ455" s="5" t="s">
        <v>278</v>
      </c>
      <c r="BK455" s="5" t="s">
        <v>243</v>
      </c>
      <c r="BL455" s="5" t="s">
        <v>243</v>
      </c>
      <c r="BM455" s="5" t="s">
        <v>245</v>
      </c>
      <c r="BN455" s="5" t="s">
        <v>243</v>
      </c>
      <c r="BO455" s="5" t="s">
        <v>243</v>
      </c>
      <c r="BP455" s="5" t="s">
        <v>243</v>
      </c>
      <c r="BQ455" s="5" t="s">
        <v>243</v>
      </c>
      <c r="BR455" s="5" t="s">
        <v>243</v>
      </c>
      <c r="BS455" s="5" t="s">
        <v>232</v>
      </c>
      <c r="BT455" s="5" t="s">
        <v>232</v>
      </c>
      <c r="BU455" s="5" t="s">
        <v>254</v>
      </c>
      <c r="BV455" s="5" t="s">
        <v>247</v>
      </c>
      <c r="BW455" s="5" t="s">
        <v>247</v>
      </c>
      <c r="BX455" s="5" t="s">
        <v>254</v>
      </c>
      <c r="BY455" s="5" t="s">
        <v>254</v>
      </c>
      <c r="BZ455" s="5" t="s">
        <v>243</v>
      </c>
      <c r="CA455" s="5" t="s">
        <v>243</v>
      </c>
      <c r="CB455" s="5" t="s">
        <v>243</v>
      </c>
      <c r="CC455" s="5" t="s">
        <v>243</v>
      </c>
      <c r="CD455" s="5" t="s">
        <v>206</v>
      </c>
      <c r="CH455" s="5" t="s">
        <v>367</v>
      </c>
      <c r="CI455" s="5" t="s">
        <v>307</v>
      </c>
      <c r="CJ455" s="5">
        <v>1</v>
      </c>
      <c r="CK455" s="5" t="s">
        <v>223</v>
      </c>
      <c r="CU455" s="5" t="s">
        <v>206</v>
      </c>
      <c r="DA455" s="5" t="s">
        <v>231</v>
      </c>
      <c r="DB455" s="5">
        <f>IF(DA455="Mejor que lo habitual",1,
IF(DA455="Igual que lo habitual",2,
IF(DA455="Menos que lo habitual",3,
IF(DA455="Mucho menos que lo habitual",4,""))))</f>
        <v>2</v>
      </c>
      <c r="DC455" s="5" t="s">
        <v>230</v>
      </c>
      <c r="DD455" s="5">
        <f>IF(DC455="No, en absoluto",1,
IF(DC455="No más que lo habitual",2,
IF(DC455="Bastante más que lo habitual",3,
IF(DC455="Mucho más que lo habitual",4,""))))</f>
        <v>2</v>
      </c>
      <c r="DE455" s="5" t="s">
        <v>230</v>
      </c>
      <c r="DF455" s="5">
        <f>IF(DE455="No, en absoluto",1,
IF(DE455="No más que lo habitual",2,
IF(DE455="Bastante más que lo habitual",3,
IF(DE455="Mucho más que lo habitual",4,""))))</f>
        <v>2</v>
      </c>
      <c r="DG455" s="5" t="s">
        <v>230</v>
      </c>
      <c r="DH455" s="5">
        <f>IF(DG455="No, en absoluto",1,
IF(DG455="No más que lo habitual",2,
IF(DG455="Bastante más que lo habitual",3,
IF(DG455="Mucho más que lo habitual",4,""))))</f>
        <v>2</v>
      </c>
      <c r="DI455" s="5" t="s">
        <v>230</v>
      </c>
      <c r="DJ455" s="5">
        <f>IF(DI455="No, en absoluto",1,
IF(DI455="No más que lo habitual",2,
IF(DI455="Bastante más que lo habitual",3,
IF(DI455="Mucho más que lo habitual",4,""))))</f>
        <v>2</v>
      </c>
      <c r="DK455" s="5" t="s">
        <v>230</v>
      </c>
      <c r="DL455" s="5">
        <f>IF(DK455="No, en absoluto",1,
IF(DK455="No más que lo habitual",2,
IF(DK455="Bastante más que lo habitual",3,
IF(DK455="Mucho más que lo habitual",4,""))))</f>
        <v>2</v>
      </c>
      <c r="DM455" s="5" t="s">
        <v>230</v>
      </c>
      <c r="DN455" s="5">
        <f>IF(DM455="No, en absoluto",1,
IF(DM455="No más que lo habitual",2,
IF(DM455="Bastante más que lo habitual",3,
IF(DM455="Mucho más que lo habitual",4,""))))</f>
        <v>2</v>
      </c>
      <c r="DO455" s="5" t="s">
        <v>231</v>
      </c>
      <c r="DP455" s="5">
        <f>IF(DO455="Más que lo habitual",1,
IF(DO455="Igual que lo habitual",2,
IF(DO455="Menos que lo habitual",3,
IF(DO455="Mucho menos que lo habitual",4,""))))</f>
        <v>2</v>
      </c>
      <c r="DQ455" s="5" t="s">
        <v>231</v>
      </c>
      <c r="DR455" s="5">
        <f>IF(DQ455="Más que lo habitual",1,
IF(DQ455="Igual que lo habitual",2,
IF(DQ455="Menos que lo habitual",3,
IF(DQ455="Mucho menos que lo habitual",4,""))))</f>
        <v>2</v>
      </c>
      <c r="DS455" s="5" t="s">
        <v>231</v>
      </c>
      <c r="DT455" s="5">
        <f>IF(DS455="Más que lo habitual",1,
IF(DS455="Igual que lo habitual",2,
IF(DS455="Menos que lo habitual",3,
IF(DS455="Mucho menos que lo habitual",4,""))))</f>
        <v>2</v>
      </c>
      <c r="DU455" s="5" t="s">
        <v>231</v>
      </c>
      <c r="DV455" s="5">
        <f>IF(DU455="Más que lo habitual",1,
IF(DU455="Igual que lo habitual",2,
IF(DU455="Menos que lo habitual",3,
IF(DU455="Mucho menos que lo habitual",4,""))))</f>
        <v>2</v>
      </c>
      <c r="DW455" s="5" t="s">
        <v>231</v>
      </c>
      <c r="DX455" s="5">
        <f>IF(DW455="Más que lo habitual",1,
IF(DW455="Igual que lo habitual",2,
IF(DW455="Menos que lo habitual",3,
IF(DW455="Mucho menos que lo habitual",4,""))))</f>
        <v>2</v>
      </c>
      <c r="DY455" s="5">
        <f>SUM(DB455,DD455,DF455,DH455,DJ455,DL455,DN455,DP455,DR455,DT455,DV455,DX455)</f>
        <v>24</v>
      </c>
      <c r="DZ455" s="5" t="str">
        <f>IF(DY455&lt;=18,"Nivel de riesgo bajo",
IF(DY455&lt;=23,"Nivel de riesgo medio",
"Nivel de riesgo alto"))</f>
        <v>Nivel de riesgo alto</v>
      </c>
      <c r="EA455" s="5" t="s">
        <v>232</v>
      </c>
      <c r="EB455" s="5">
        <f>IF(EA455="Nunca/ casi nunca",0,
IF(EA455="Rara vez",1,
IF(EA455="A veces",2,
IF(EA455="A menudo",3,
IF(EA455="Siempre",4,"")))))</f>
        <v>3</v>
      </c>
      <c r="EC455" s="5" t="s">
        <v>232</v>
      </c>
      <c r="ED455" s="5">
        <f>IF(EC455="Nunca/ casi nunca",0,
IF(EC455="Rara vez",1,
IF(EC455="A veces",2,
IF(EC455="A menudo",3,
IF(EC455="Siempre",4,"")))))</f>
        <v>3</v>
      </c>
      <c r="EE455" s="5" t="s">
        <v>232</v>
      </c>
      <c r="EF455" s="5">
        <f>IF(EE455="Nunca/ casi nunca",0,
IF(EE455="Rara vez",1,
IF(EE455="A veces",2,
IF(EE455="A menudo",3,
IF(EE455="Siempre",4,"")))))</f>
        <v>3</v>
      </c>
      <c r="EG455" s="5">
        <f>SUM(EB455,ED455,EF455)</f>
        <v>9</v>
      </c>
      <c r="EH455" s="5" t="str">
        <f>IF(EG455&lt;=1,"Nivel de riesgo bajo",
IF(EG455&lt;=4,"Nivel de riesgo medio",
"Nivel de riesgo alto"))</f>
        <v>Nivel de riesgo alto</v>
      </c>
      <c r="EI455" s="5" t="s">
        <v>232</v>
      </c>
      <c r="EJ455" s="5">
        <f>IF(EI455="Nunca/ casi nunca",0,
IF(EI455="Rara vez",1,
IF(EI455="A veces",2,
IF(EI455="A menudo",3,
IF(EI455="Siempre",4,"")))))</f>
        <v>3</v>
      </c>
      <c r="EK455" s="5" t="s">
        <v>232</v>
      </c>
      <c r="EL455" s="5">
        <f>IF(EK455="Nunca/ casi nunca",0,
IF(EK455="Rara vez",1,
IF(EK455="A veces",2,
IF(EK455="A menudo",3,
IF(EK455="Siempre",4,"")))))</f>
        <v>3</v>
      </c>
      <c r="EM455" s="5" t="s">
        <v>232</v>
      </c>
      <c r="EN455" s="5">
        <f>IF(EM455="Nunca/ casi nunca",0,
IF(EM455="Rara vez",1,
IF(EM455="A veces",2,
IF(EM455="A menudo",3,
IF(EM455="Siempre",4,"")))))</f>
        <v>3</v>
      </c>
      <c r="EO455" s="5">
        <f>SUM(EJ455,EL455,EN455)</f>
        <v>9</v>
      </c>
      <c r="EP455" s="5" t="str">
        <f>IF(EO455&lt;=1,"Nivel de riesgo bajo",
IF(EO455&lt;=5,"Nivel de riesgo medio",
"Nivel de riesgo alto"))</f>
        <v>Nivel de riesgo alto</v>
      </c>
      <c r="EQ455" s="5" t="s">
        <v>232</v>
      </c>
      <c r="ER455" s="5">
        <f>IF(EQ455="Nunca/ casi nunca",4,
IF(EQ455="Rara vez",3,
IF(EQ455="A veces",2,
IF(EQ455="A menudo",1,
IF(EQ455="Siempre",0,"")))))</f>
        <v>1</v>
      </c>
      <c r="ES455" s="5" t="s">
        <v>232</v>
      </c>
      <c r="ET455" s="5">
        <f>IF(ES455="Nunca/ casi nunca",4,
IF(ES455="Rara vez",3,
IF(ES455="A veces",2,
IF(ES455="A menudo",1,
IF(ES455="Siempre",0,"")))))</f>
        <v>1</v>
      </c>
      <c r="EU455" s="5" t="s">
        <v>232</v>
      </c>
      <c r="EV455" s="5">
        <f>IF(EU455="Nunca/ casi nunca",4,
IF(EU455="Rara vez",3,
IF(EU455="A veces",2,
IF(EU455="A menudo",1,
IF(EU455="Siempre",0,"")))))</f>
        <v>1</v>
      </c>
      <c r="EW455" s="5" t="s">
        <v>232</v>
      </c>
      <c r="EX455" s="5">
        <f>IF(EW455="Nunca/ casi nunca",4,
IF(EW455="Rara vez",3,
IF(EW455="A veces",2,
IF(EW455="A menudo",1,
IF(EW455="Siempre",0,"")))))</f>
        <v>1</v>
      </c>
      <c r="EY455" s="5">
        <f>SUM(ER455,ET455,EV455,EX455)</f>
        <v>4</v>
      </c>
      <c r="EZ455" s="5" t="str">
        <f>IF(EY455&lt;=0,"Nivel de riesgo bajo",
IF(EY455&lt;=4,"Nivel de riesgo medio",
"Nivel de riesgo alto"))</f>
        <v>Nivel de riesgo medio</v>
      </c>
      <c r="FA455" s="5" t="s">
        <v>232</v>
      </c>
      <c r="FB455" s="5">
        <f>IF(FA455="Nunca/ casi nunca",0,
IF(FA455="Rara vez",1,
IF(FA455="A veces",2,
IF(FA455="A menudo",3,
IF(FA455="Siempre",4,"")))))</f>
        <v>3</v>
      </c>
      <c r="FC455" s="5" t="s">
        <v>232</v>
      </c>
      <c r="FD455" s="5">
        <f>IF(FC455="Nunca/ casi nunca",0,
IF(FC455="Rara vez",1,
IF(FC455="A veces",2,
IF(FC455="A menudo",3,
IF(FC455="Siempre",4,"")))))</f>
        <v>3</v>
      </c>
      <c r="FE455" s="5" t="s">
        <v>232</v>
      </c>
      <c r="FF455" s="5">
        <f>IF(FE455="Nunca/ casi nunca",0,
IF(FE455="Rara vez",1,
IF(FE455="A veces",2,
IF(FE455="A menudo",3,
IF(FE455="Siempre",4,"")))))</f>
        <v>3</v>
      </c>
      <c r="FG455" s="5">
        <f>SUM(FB455,FD455,FF455)</f>
        <v>9</v>
      </c>
      <c r="FH455" s="5" t="str">
        <f>IF(FG455&lt;=2,"Nivel de riesgo bajo",
IF(FG455&lt;=5,"Nivel de riesgo medio",
"Nivel de riesgo alto"))</f>
        <v>Nivel de riesgo alto</v>
      </c>
      <c r="FI455" s="5" t="s">
        <v>232</v>
      </c>
      <c r="FJ455" s="5">
        <f>IF(FI455="Nunca/ casi nunca",0,
IF(FI455="Rara vez",1,
IF(FI455="A veces",2,
IF(FI455="A menudo",3,
IF(FI455="Siempre",4,"")))))</f>
        <v>3</v>
      </c>
      <c r="FK455" s="5" t="s">
        <v>232</v>
      </c>
      <c r="FL455" s="5">
        <f>IF(FK455="Nunca/ casi nunca",0,
IF(FK455="Rara vez",1,
IF(FK455="A veces",2,
IF(FK455="A menudo",3,
IF(FK455="Siempre",4,"")))))</f>
        <v>3</v>
      </c>
      <c r="FM455" s="5" t="s">
        <v>232</v>
      </c>
      <c r="FN455" s="5">
        <f>IF(FM455="Nunca/ casi nunca",0,
IF(FM455="Rara vez",1,
IF(FM455="A veces",2,
IF(FM455="A menudo",3,
IF(FM455="Siempre",4,"")))))</f>
        <v>3</v>
      </c>
      <c r="FO455" s="5">
        <f>SUM(FJ455,FL455,FN455)</f>
        <v>9</v>
      </c>
      <c r="FP455" s="5" t="str">
        <f>IF(FO455&lt;=2,"Nivel de riesgo bajo",
IF(FO455&lt;=5,"Nivel de riesgo medio",
"Nivel de riesgo alto"))</f>
        <v>Nivel de riesgo alto</v>
      </c>
      <c r="FQ455" s="5" t="s">
        <v>265</v>
      </c>
      <c r="FR455" s="5">
        <f>IF(FQ455="No",0,
IF(FQ455="Sí, unas pocas veces",1,
IF(FQ455="Sí, mensualmente",2,
IF(FQ455="Sí, semanalmente",3,
IF(FQ455="Sí, diariamente",4,"")))))</f>
        <v>1</v>
      </c>
      <c r="FS455" s="5" t="s">
        <v>265</v>
      </c>
      <c r="FT455" s="5">
        <f>IF(FS455="No",0,
IF(FS455="Sí, unas pocas veces",1,
IF(FS455="Sí, mensualmente",2,
IF(FS455="Sí, semanalmente",3,
IF(FS455="Sí, diariamente",4,"")))))</f>
        <v>1</v>
      </c>
      <c r="FU455" s="5" t="s">
        <v>265</v>
      </c>
      <c r="FV455" s="5">
        <f>IF(FU455="No",0,
IF(FU455="Sí, unas pocas veces",1,
IF(FU455="Sí, mensualmente",2,
IF(FU455="Sí, semanalmente",3,
IF(FU455="Sí, diariamente",4,"")))))</f>
        <v>1</v>
      </c>
      <c r="FW455" s="5" t="s">
        <v>265</v>
      </c>
      <c r="FX455" s="5">
        <f>IF(FW455="No",0,
IF(FW455="Sí, unas pocas veces",1,
IF(FW455="Sí, mensualmente",2,
IF(FW455="Sí, semanalmente",3,
IF(FW455="Sí, diariamente",4,"")))))</f>
        <v>1</v>
      </c>
      <c r="FY455" s="5" t="s">
        <v>265</v>
      </c>
      <c r="FZ455" s="5">
        <f>IF(FY455="No",0,
IF(FY455="Sí, unas pocas veces",1,
IF(FY455="Sí, mensualmente",2,
IF(FY455="Sí, semanalmente",3,
IF(FY455="Sí, diariamente",4,"")))))</f>
        <v>1</v>
      </c>
      <c r="GA455" s="5" t="s">
        <v>265</v>
      </c>
      <c r="GB455" s="5">
        <f>IF(GA455="No",0,
IF(GA455="Sí, unas pocas veces",1,
IF(GA455="Sí, mensualmente",2,
IF(GA455="Sí, semanalmente",3,
IF(GA455="Sí, diariamente",4,"")))))</f>
        <v>1</v>
      </c>
      <c r="GC455" s="5" t="s">
        <v>265</v>
      </c>
      <c r="GD455" s="5">
        <f>IF(GC455="No",0,
IF(GC455="Sí, unas pocas veces",1,
IF(GC455="Sí, mensualmente",2,
IF(GC455="Sí, semanalmente",3,
IF(GC455="Sí, diariamente",4,"")))))</f>
        <v>1</v>
      </c>
      <c r="GE455" s="5">
        <f>SUM(FR455,FT455,FV455,FX455,FZ455,GB455,GD455)</f>
        <v>7</v>
      </c>
      <c r="GF455" s="5" t="str">
        <f>IF(GE455&lt;=0,"Nivel de riesgo bajo",
IF(GE455&lt;=14,"Nivel de riesgo medio",
"Nivel de riesgo alto"))</f>
        <v>Nivel de riesgo medio</v>
      </c>
      <c r="GG455" s="5" t="s">
        <v>298</v>
      </c>
      <c r="GH455" s="5" t="s">
        <v>298</v>
      </c>
      <c r="GI455" s="5" t="s">
        <v>298</v>
      </c>
      <c r="GJ455" s="5" t="s">
        <v>298</v>
      </c>
      <c r="GK455" s="5" t="s">
        <v>298</v>
      </c>
      <c r="GL455" s="5" t="s">
        <v>298</v>
      </c>
      <c r="GM455" s="5" t="s">
        <v>298</v>
      </c>
      <c r="GN455" s="5" t="s">
        <v>234</v>
      </c>
      <c r="GO455" s="5" t="s">
        <v>234</v>
      </c>
      <c r="GP455" s="5" t="s">
        <v>234</v>
      </c>
      <c r="GQ455" s="5" t="s">
        <v>234</v>
      </c>
      <c r="GR455" s="5" t="s">
        <v>234</v>
      </c>
      <c r="GS455" s="5" t="s">
        <v>234</v>
      </c>
      <c r="GT455" s="5" t="s">
        <v>234</v>
      </c>
      <c r="GU455" s="5" t="s">
        <v>308</v>
      </c>
      <c r="GV455" s="5" t="str">
        <f>TEXT("6290144403227697336","0")</f>
        <v>6290144403227690000</v>
      </c>
    </row>
    <row r="456" spans="1:204" ht="15.75" customHeight="1" x14ac:dyDescent="0.15">
      <c r="A456" s="1">
        <f>ROW(A456)</f>
        <v>456</v>
      </c>
      <c r="B456" s="4">
        <v>45860.562407407408</v>
      </c>
      <c r="C456" s="5" t="s">
        <v>204</v>
      </c>
      <c r="D456" s="5" t="s">
        <v>206</v>
      </c>
      <c r="F456" s="5" t="s">
        <v>206</v>
      </c>
      <c r="G456" s="5" t="s">
        <v>204</v>
      </c>
      <c r="H456" s="5" t="s">
        <v>206</v>
      </c>
      <c r="L456" s="5" t="s">
        <v>236</v>
      </c>
      <c r="P456" s="5" t="s">
        <v>237</v>
      </c>
      <c r="T456" s="5" t="s">
        <v>209</v>
      </c>
      <c r="Y456" s="5" t="s">
        <v>209</v>
      </c>
      <c r="AE456" s="5" t="s">
        <v>237</v>
      </c>
      <c r="AH456" s="5" t="s">
        <v>259</v>
      </c>
      <c r="AI456" s="5">
        <v>2023</v>
      </c>
      <c r="AJ456" s="5" t="s">
        <v>238</v>
      </c>
      <c r="AK456" s="5" t="str">
        <f>IF(OR(AJ456="Empleada del sector privado",AJ456="Empleada del sector público"),"Asalariada",
IF(AJ456="Trabajadora por cuenta propia","Trabajadora por cuenta propia",""))</f>
        <v>Trabajadora por cuenta propia</v>
      </c>
      <c r="AN456" s="5" t="s">
        <v>288</v>
      </c>
      <c r="AP456" s="5" t="s">
        <v>240</v>
      </c>
      <c r="AR456" s="5" t="s">
        <v>294</v>
      </c>
      <c r="AS456" s="5" t="s">
        <v>261</v>
      </c>
      <c r="AT456" s="5" t="s">
        <v>261</v>
      </c>
      <c r="AU456" s="5" t="s">
        <v>294</v>
      </c>
      <c r="AV456" s="5" t="s">
        <v>285</v>
      </c>
      <c r="AW456" s="5" t="s">
        <v>204</v>
      </c>
      <c r="AX456" s="5" t="s">
        <v>204</v>
      </c>
      <c r="AY456" s="5" t="s">
        <v>339</v>
      </c>
      <c r="AZ456" s="5" t="s">
        <v>204</v>
      </c>
      <c r="BA456" s="5" t="s">
        <v>295</v>
      </c>
      <c r="BB456" s="5" t="s">
        <v>206</v>
      </c>
      <c r="BC456" s="5" t="s">
        <v>206</v>
      </c>
      <c r="BD456" s="5" t="s">
        <v>306</v>
      </c>
      <c r="BE456" s="5" t="s">
        <v>206</v>
      </c>
      <c r="BF456" s="5" t="s">
        <v>204</v>
      </c>
      <c r="BG456" s="5" t="s">
        <v>278</v>
      </c>
      <c r="BH456" s="5" t="s">
        <v>278</v>
      </c>
      <c r="BI456" s="5" t="s">
        <v>278</v>
      </c>
      <c r="BJ456" s="5" t="s">
        <v>278</v>
      </c>
      <c r="BK456" s="5" t="s">
        <v>216</v>
      </c>
      <c r="BL456" s="5" t="s">
        <v>244</v>
      </c>
      <c r="BM456" s="5" t="s">
        <v>246</v>
      </c>
      <c r="BN456" s="5" t="s">
        <v>246</v>
      </c>
      <c r="BO456" s="5" t="s">
        <v>216</v>
      </c>
      <c r="BP456" s="5" t="s">
        <v>244</v>
      </c>
      <c r="BQ456" s="5" t="s">
        <v>216</v>
      </c>
      <c r="BR456" s="5" t="s">
        <v>244</v>
      </c>
      <c r="BS456" s="5" t="s">
        <v>254</v>
      </c>
      <c r="BT456" s="5" t="s">
        <v>248</v>
      </c>
      <c r="BU456" s="5" t="s">
        <v>232</v>
      </c>
      <c r="BV456" s="5" t="s">
        <v>217</v>
      </c>
      <c r="BW456" s="5" t="s">
        <v>248</v>
      </c>
      <c r="BX456" s="5" t="s">
        <v>217</v>
      </c>
      <c r="BY456" s="5" t="s">
        <v>217</v>
      </c>
      <c r="BZ456" s="5" t="s">
        <v>246</v>
      </c>
      <c r="CA456" s="5" t="s">
        <v>244</v>
      </c>
      <c r="CB456" s="5" t="s">
        <v>244</v>
      </c>
      <c r="CC456" s="5" t="s">
        <v>243</v>
      </c>
      <c r="CD456" s="5" t="s">
        <v>206</v>
      </c>
      <c r="CH456" s="5" t="s">
        <v>206</v>
      </c>
      <c r="CI456" s="5" t="s">
        <v>307</v>
      </c>
      <c r="CJ456" s="5">
        <v>6</v>
      </c>
      <c r="CK456" s="5" t="s">
        <v>223</v>
      </c>
      <c r="CU456" s="5" t="s">
        <v>206</v>
      </c>
      <c r="DA456" s="5" t="s">
        <v>272</v>
      </c>
      <c r="DB456" s="5">
        <f>IF(DA456="Mejor que lo habitual",1,
IF(DA456="Igual que lo habitual",2,
IF(DA456="Menos que lo habitual",3,
IF(DA456="Mucho menos que lo habitual",4,""))))</f>
        <v>1</v>
      </c>
      <c r="DC456" s="5" t="s">
        <v>251</v>
      </c>
      <c r="DD456" s="5">
        <f>IF(DC456="No, en absoluto",1,
IF(DC456="No más que lo habitual",2,
IF(DC456="Bastante más que lo habitual",3,
IF(DC456="Mucho más que lo habitual",4,""))))</f>
        <v>1</v>
      </c>
      <c r="DE456" s="5" t="s">
        <v>251</v>
      </c>
      <c r="DF456" s="5">
        <f>IF(DE456="No, en absoluto",1,
IF(DE456="No más que lo habitual",2,
IF(DE456="Bastante más que lo habitual",3,
IF(DE456="Mucho más que lo habitual",4,""))))</f>
        <v>1</v>
      </c>
      <c r="DG456" s="5" t="s">
        <v>251</v>
      </c>
      <c r="DH456" s="5">
        <f>IF(DG456="No, en absoluto",1,
IF(DG456="No más que lo habitual",2,
IF(DG456="Bastante más que lo habitual",3,
IF(DG456="Mucho más que lo habitual",4,""))))</f>
        <v>1</v>
      </c>
      <c r="DI456" s="5" t="s">
        <v>251</v>
      </c>
      <c r="DJ456" s="5">
        <f>IF(DI456="No, en absoluto",1,
IF(DI456="No más que lo habitual",2,
IF(DI456="Bastante más que lo habitual",3,
IF(DI456="Mucho más que lo habitual",4,""))))</f>
        <v>1</v>
      </c>
      <c r="DK456" s="5" t="s">
        <v>251</v>
      </c>
      <c r="DL456" s="5">
        <f>IF(DK456="No, en absoluto",1,
IF(DK456="No más que lo habitual",2,
IF(DK456="Bastante más que lo habitual",3,
IF(DK456="Mucho más que lo habitual",4,""))))</f>
        <v>1</v>
      </c>
      <c r="DM456" s="5" t="s">
        <v>251</v>
      </c>
      <c r="DN456" s="5">
        <f>IF(DM456="No, en absoluto",1,
IF(DM456="No más que lo habitual",2,
IF(DM456="Bastante más que lo habitual",3,
IF(DM456="Mucho más que lo habitual",4,""))))</f>
        <v>1</v>
      </c>
      <c r="DO456" s="5" t="s">
        <v>281</v>
      </c>
      <c r="DP456" s="5">
        <f>IF(DO456="Más que lo habitual",1,
IF(DO456="Igual que lo habitual",2,
IF(DO456="Menos que lo habitual",3,
IF(DO456="Mucho menos que lo habitual",4,""))))</f>
        <v>1</v>
      </c>
      <c r="DQ456" s="5" t="s">
        <v>281</v>
      </c>
      <c r="DR456" s="5">
        <f>IF(DQ456="Más que lo habitual",1,
IF(DQ456="Igual que lo habitual",2,
IF(DQ456="Menos que lo habitual",3,
IF(DQ456="Mucho menos que lo habitual",4,""))))</f>
        <v>1</v>
      </c>
      <c r="DS456" s="5" t="s">
        <v>281</v>
      </c>
      <c r="DT456" s="5">
        <f>IF(DS456="Más que lo habitual",1,
IF(DS456="Igual que lo habitual",2,
IF(DS456="Menos que lo habitual",3,
IF(DS456="Mucho menos que lo habitual",4,""))))</f>
        <v>1</v>
      </c>
      <c r="DU456" s="5" t="s">
        <v>281</v>
      </c>
      <c r="DV456" s="5">
        <f>IF(DU456="Más que lo habitual",1,
IF(DU456="Igual que lo habitual",2,
IF(DU456="Menos que lo habitual",3,
IF(DU456="Mucho menos que lo habitual",4,""))))</f>
        <v>1</v>
      </c>
      <c r="DW456" s="5" t="s">
        <v>281</v>
      </c>
      <c r="DX456" s="5">
        <f>IF(DW456="Más que lo habitual",1,
IF(DW456="Igual que lo habitual",2,
IF(DW456="Menos que lo habitual",3,
IF(DW456="Mucho menos que lo habitual",4,""))))</f>
        <v>1</v>
      </c>
      <c r="DY456" s="5">
        <f>SUM(DB456,DD456,DF456,DH456,DJ456,DL456,DN456,DP456,DR456,DT456,DV456,DX456)</f>
        <v>12</v>
      </c>
      <c r="DZ456" s="5" t="str">
        <f>IF(DY456&lt;=18,"Nivel de riesgo bajo",
IF(DY456&lt;=23,"Nivel de riesgo medio",
"Nivel de riesgo alto"))</f>
        <v>Nivel de riesgo bajo</v>
      </c>
      <c r="EA456" s="5" t="s">
        <v>248</v>
      </c>
      <c r="EB456" s="5">
        <f>IF(EA456="Nunca/ casi nunca",0,
IF(EA456="Rara vez",1,
IF(EA456="A veces",2,
IF(EA456="A menudo",3,
IF(EA456="Siempre",4,"")))))</f>
        <v>1</v>
      </c>
      <c r="EC456" s="5" t="s">
        <v>247</v>
      </c>
      <c r="ED456" s="5">
        <f>IF(EC456="Nunca/ casi nunca",0,
IF(EC456="Rara vez",1,
IF(EC456="A veces",2,
IF(EC456="A menudo",3,
IF(EC456="Siempre",4,"")))))</f>
        <v>2</v>
      </c>
      <c r="EE456" s="5" t="s">
        <v>248</v>
      </c>
      <c r="EF456" s="5">
        <f>IF(EE456="Nunca/ casi nunca",0,
IF(EE456="Rara vez",1,
IF(EE456="A veces",2,
IF(EE456="A menudo",3,
IF(EE456="Siempre",4,"")))))</f>
        <v>1</v>
      </c>
      <c r="EG456" s="5">
        <f>SUM(EB456,ED456,EF456)</f>
        <v>4</v>
      </c>
      <c r="EH456" s="5" t="str">
        <f>IF(EG456&lt;=1,"Nivel de riesgo bajo",
IF(EG456&lt;=4,"Nivel de riesgo medio",
"Nivel de riesgo alto"))</f>
        <v>Nivel de riesgo medio</v>
      </c>
      <c r="EI456" s="5" t="s">
        <v>248</v>
      </c>
      <c r="EJ456" s="5">
        <f>IF(EI456="Nunca/ casi nunca",0,
IF(EI456="Rara vez",1,
IF(EI456="A veces",2,
IF(EI456="A menudo",3,
IF(EI456="Siempre",4,"")))))</f>
        <v>1</v>
      </c>
      <c r="EK456" s="5" t="s">
        <v>248</v>
      </c>
      <c r="EL456" s="5">
        <f>IF(EK456="Nunca/ casi nunca",0,
IF(EK456="Rara vez",1,
IF(EK456="A veces",2,
IF(EK456="A menudo",3,
IF(EK456="Siempre",4,"")))))</f>
        <v>1</v>
      </c>
      <c r="EM456" s="5" t="s">
        <v>248</v>
      </c>
      <c r="EN456" s="5">
        <f>IF(EM456="Nunca/ casi nunca",0,
IF(EM456="Rara vez",1,
IF(EM456="A veces",2,
IF(EM456="A menudo",3,
IF(EM456="Siempre",4,"")))))</f>
        <v>1</v>
      </c>
      <c r="EO456" s="5">
        <f>SUM(EJ456,EL456,EN456)</f>
        <v>3</v>
      </c>
      <c r="EP456" s="5" t="str">
        <f>IF(EO456&lt;=1,"Nivel de riesgo bajo",
IF(EO456&lt;=5,"Nivel de riesgo medio",
"Nivel de riesgo alto"))</f>
        <v>Nivel de riesgo medio</v>
      </c>
      <c r="EQ456" s="5" t="s">
        <v>253</v>
      </c>
      <c r="ER456" s="5">
        <f>IF(EQ456="Nunca/ casi nunca",4,
IF(EQ456="Rara vez",3,
IF(EQ456="A veces",2,
IF(EQ456="A menudo",1,
IF(EQ456="Siempre",0,"")))))</f>
        <v>4</v>
      </c>
      <c r="ES456" s="5" t="s">
        <v>253</v>
      </c>
      <c r="ET456" s="5">
        <f>IF(ES456="Nunca/ casi nunca",4,
IF(ES456="Rara vez",3,
IF(ES456="A veces",2,
IF(ES456="A menudo",1,
IF(ES456="Siempre",0,"")))))</f>
        <v>4</v>
      </c>
      <c r="EU456" s="5" t="s">
        <v>248</v>
      </c>
      <c r="EV456" s="5">
        <f>IF(EU456="Nunca/ casi nunca",4,
IF(EU456="Rara vez",3,
IF(EU456="A veces",2,
IF(EU456="A menudo",1,
IF(EU456="Siempre",0,"")))))</f>
        <v>3</v>
      </c>
      <c r="EW456" s="5" t="s">
        <v>253</v>
      </c>
      <c r="EX456" s="5">
        <f>IF(EW456="Nunca/ casi nunca",4,
IF(EW456="Rara vez",3,
IF(EW456="A veces",2,
IF(EW456="A menudo",1,
IF(EW456="Siempre",0,"")))))</f>
        <v>4</v>
      </c>
      <c r="EY456" s="5">
        <f>SUM(ER456,ET456,EV456,EX456)</f>
        <v>15</v>
      </c>
      <c r="EZ456" s="5" t="str">
        <f>IF(EY456&lt;=0,"Nivel de riesgo bajo",
IF(EY456&lt;=4,"Nivel de riesgo medio",
"Nivel de riesgo alto"))</f>
        <v>Nivel de riesgo alto</v>
      </c>
      <c r="FA456" s="5" t="s">
        <v>247</v>
      </c>
      <c r="FB456" s="5">
        <f>IF(FA456="Nunca/ casi nunca",0,
IF(FA456="Rara vez",1,
IF(FA456="A veces",2,
IF(FA456="A menudo",3,
IF(FA456="Siempre",4,"")))))</f>
        <v>2</v>
      </c>
      <c r="FC456" s="5" t="s">
        <v>248</v>
      </c>
      <c r="FD456" s="5">
        <f>IF(FC456="Nunca/ casi nunca",0,
IF(FC456="Rara vez",1,
IF(FC456="A veces",2,
IF(FC456="A menudo",3,
IF(FC456="Siempre",4,"")))))</f>
        <v>1</v>
      </c>
      <c r="FE456" s="5" t="s">
        <v>248</v>
      </c>
      <c r="FF456" s="5">
        <f>IF(FE456="Nunca/ casi nunca",0,
IF(FE456="Rara vez",1,
IF(FE456="A veces",2,
IF(FE456="A menudo",3,
IF(FE456="Siempre",4,"")))))</f>
        <v>1</v>
      </c>
      <c r="FG456" s="5">
        <f>SUM(FB456,FD456,FF456)</f>
        <v>4</v>
      </c>
      <c r="FH456" s="5" t="str">
        <f>IF(FG456&lt;=2,"Nivel de riesgo bajo",
IF(FG456&lt;=5,"Nivel de riesgo medio",
"Nivel de riesgo alto"))</f>
        <v>Nivel de riesgo medio</v>
      </c>
      <c r="FI456" s="5" t="s">
        <v>248</v>
      </c>
      <c r="FJ456" s="5">
        <f>IF(FI456="Nunca/ casi nunca",0,
IF(FI456="Rara vez",1,
IF(FI456="A veces",2,
IF(FI456="A menudo",3,
IF(FI456="Siempre",4,"")))))</f>
        <v>1</v>
      </c>
      <c r="FK456" s="5" t="s">
        <v>248</v>
      </c>
      <c r="FL456" s="5">
        <f>IF(FK456="Nunca/ casi nunca",0,
IF(FK456="Rara vez",1,
IF(FK456="A veces",2,
IF(FK456="A menudo",3,
IF(FK456="Siempre",4,"")))))</f>
        <v>1</v>
      </c>
      <c r="FM456" s="5" t="s">
        <v>248</v>
      </c>
      <c r="FN456" s="5">
        <f>IF(FM456="Nunca/ casi nunca",0,
IF(FM456="Rara vez",1,
IF(FM456="A veces",2,
IF(FM456="A menudo",3,
IF(FM456="Siempre",4,"")))))</f>
        <v>1</v>
      </c>
      <c r="FO456" s="5">
        <f>SUM(FJ456,FL456,FN456)</f>
        <v>3</v>
      </c>
      <c r="FP456" s="5" t="str">
        <f>IF(FO456&lt;=2,"Nivel de riesgo bajo",
IF(FO456&lt;=5,"Nivel de riesgo medio",
"Nivel de riesgo alto"))</f>
        <v>Nivel de riesgo medio</v>
      </c>
      <c r="FQ456" s="5" t="s">
        <v>206</v>
      </c>
      <c r="FR456" s="5">
        <f>IF(FQ456="No",0,
IF(FQ456="Sí, unas pocas veces",1,
IF(FQ456="Sí, mensualmente",2,
IF(FQ456="Sí, semanalmente",3,
IF(FQ456="Sí, diariamente",4,"")))))</f>
        <v>0</v>
      </c>
      <c r="FS456" s="5" t="s">
        <v>206</v>
      </c>
      <c r="FT456" s="5">
        <f>IF(FS456="No",0,
IF(FS456="Sí, unas pocas veces",1,
IF(FS456="Sí, mensualmente",2,
IF(FS456="Sí, semanalmente",3,
IF(FS456="Sí, diariamente",4,"")))))</f>
        <v>0</v>
      </c>
      <c r="FU456" s="5" t="s">
        <v>206</v>
      </c>
      <c r="FV456" s="5">
        <f>IF(FU456="No",0,
IF(FU456="Sí, unas pocas veces",1,
IF(FU456="Sí, mensualmente",2,
IF(FU456="Sí, semanalmente",3,
IF(FU456="Sí, diariamente",4,"")))))</f>
        <v>0</v>
      </c>
      <c r="FW456" s="5" t="s">
        <v>206</v>
      </c>
      <c r="FX456" s="5">
        <f>IF(FW456="No",0,
IF(FW456="Sí, unas pocas veces",1,
IF(FW456="Sí, mensualmente",2,
IF(FW456="Sí, semanalmente",3,
IF(FW456="Sí, diariamente",4,"")))))</f>
        <v>0</v>
      </c>
      <c r="FY456" s="5" t="s">
        <v>206</v>
      </c>
      <c r="FZ456" s="5">
        <f>IF(FY456="No",0,
IF(FY456="Sí, unas pocas veces",1,
IF(FY456="Sí, mensualmente",2,
IF(FY456="Sí, semanalmente",3,
IF(FY456="Sí, diariamente",4,"")))))</f>
        <v>0</v>
      </c>
      <c r="GA456" s="5" t="s">
        <v>206</v>
      </c>
      <c r="GB456" s="5">
        <f>IF(GA456="No",0,
IF(GA456="Sí, unas pocas veces",1,
IF(GA456="Sí, mensualmente",2,
IF(GA456="Sí, semanalmente",3,
IF(GA456="Sí, diariamente",4,"")))))</f>
        <v>0</v>
      </c>
      <c r="GC456" s="5" t="s">
        <v>206</v>
      </c>
      <c r="GD456" s="5">
        <f>IF(GC456="No",0,
IF(GC456="Sí, unas pocas veces",1,
IF(GC456="Sí, mensualmente",2,
IF(GC456="Sí, semanalmente",3,
IF(GC456="Sí, diariamente",4,"")))))</f>
        <v>0</v>
      </c>
      <c r="GE456" s="5">
        <f>SUM(FR456,FT456,FV456,FX456,FZ456,GB456,GD456)</f>
        <v>0</v>
      </c>
      <c r="GF456" s="5" t="str">
        <f>IF(GE456&lt;=0,"Nivel de riesgo bajo",
IF(GE456&lt;=14,"Nivel de riesgo medio",
"Nivel de riesgo alto"))</f>
        <v>Nivel de riesgo bajo</v>
      </c>
      <c r="GG456" s="5" t="s">
        <v>255</v>
      </c>
      <c r="GH456" s="5" t="s">
        <v>255</v>
      </c>
      <c r="GI456" s="5" t="s">
        <v>255</v>
      </c>
      <c r="GJ456" s="5" t="s">
        <v>255</v>
      </c>
      <c r="GK456" s="5" t="s">
        <v>233</v>
      </c>
      <c r="GL456" s="5" t="s">
        <v>255</v>
      </c>
      <c r="GM456" s="5" t="s">
        <v>255</v>
      </c>
      <c r="GN456" s="5" t="s">
        <v>256</v>
      </c>
      <c r="GO456" s="5" t="s">
        <v>256</v>
      </c>
      <c r="GP456" s="5" t="s">
        <v>256</v>
      </c>
      <c r="GQ456" s="5" t="s">
        <v>256</v>
      </c>
      <c r="GR456" s="5" t="s">
        <v>256</v>
      </c>
      <c r="GS456" s="5" t="s">
        <v>256</v>
      </c>
      <c r="GT456" s="5" t="s">
        <v>256</v>
      </c>
      <c r="GU456" s="5" t="s">
        <v>823</v>
      </c>
      <c r="GV456" s="5" t="str">
        <f>TEXT("6290145926004187715","0")</f>
        <v>6290145926004180000</v>
      </c>
    </row>
    <row r="457" spans="1:204" ht="15.75" customHeight="1" x14ac:dyDescent="0.15">
      <c r="A457" s="1">
        <f>ROW(A457)</f>
        <v>457</v>
      </c>
      <c r="B457" s="4">
        <v>45860.567395833335</v>
      </c>
      <c r="C457" s="5" t="s">
        <v>204</v>
      </c>
      <c r="D457" s="5" t="s">
        <v>206</v>
      </c>
      <c r="F457" s="5" t="s">
        <v>206</v>
      </c>
      <c r="G457" s="5" t="s">
        <v>206</v>
      </c>
      <c r="H457" s="5" t="s">
        <v>206</v>
      </c>
      <c r="L457" s="5" t="s">
        <v>236</v>
      </c>
      <c r="Q457" s="5" t="s">
        <v>236</v>
      </c>
      <c r="T457" s="5" t="s">
        <v>209</v>
      </c>
      <c r="Y457" s="5" t="s">
        <v>209</v>
      </c>
      <c r="AD457" s="5" t="s">
        <v>209</v>
      </c>
      <c r="AH457" s="5" t="s">
        <v>275</v>
      </c>
      <c r="AI457" s="5">
        <v>2019</v>
      </c>
      <c r="AJ457" s="5" t="s">
        <v>238</v>
      </c>
      <c r="AK457" s="5" t="str">
        <f>IF(OR(AJ457="Empleada del sector privado",AJ457="Empleada del sector público"),"Asalariada",
IF(AJ457="Trabajadora por cuenta propia","Trabajadora por cuenta propia",""))</f>
        <v>Trabajadora por cuenta propia</v>
      </c>
      <c r="AN457" s="5" t="s">
        <v>288</v>
      </c>
      <c r="AP457" s="5" t="s">
        <v>284</v>
      </c>
      <c r="AR457" s="5" t="s">
        <v>241</v>
      </c>
      <c r="AS457" s="5" t="s">
        <v>241</v>
      </c>
      <c r="AT457" s="5" t="s">
        <v>261</v>
      </c>
      <c r="AU457" s="5" t="s">
        <v>261</v>
      </c>
      <c r="AV457" s="5" t="s">
        <v>213</v>
      </c>
      <c r="AW457" s="5" t="s">
        <v>204</v>
      </c>
      <c r="AX457" s="5" t="s">
        <v>204</v>
      </c>
      <c r="AY457" s="5" t="s">
        <v>270</v>
      </c>
      <c r="AZ457" s="5" t="s">
        <v>204</v>
      </c>
      <c r="BA457" s="5" t="s">
        <v>263</v>
      </c>
      <c r="BF457" s="5" t="s">
        <v>204</v>
      </c>
      <c r="BG457" s="5" t="s">
        <v>271</v>
      </c>
      <c r="BH457" s="5" t="s">
        <v>215</v>
      </c>
      <c r="BI457" s="5" t="s">
        <v>215</v>
      </c>
      <c r="BJ457" s="5" t="s">
        <v>215</v>
      </c>
      <c r="BK457" s="5" t="s">
        <v>243</v>
      </c>
      <c r="BL457" s="5" t="s">
        <v>243</v>
      </c>
      <c r="BM457" s="5" t="s">
        <v>243</v>
      </c>
      <c r="BN457" s="5" t="s">
        <v>243</v>
      </c>
      <c r="BO457" s="5" t="s">
        <v>216</v>
      </c>
      <c r="BP457" s="5" t="s">
        <v>246</v>
      </c>
      <c r="BQ457" s="5" t="s">
        <v>246</v>
      </c>
      <c r="BR457" s="5" t="s">
        <v>243</v>
      </c>
      <c r="BS457" s="5" t="s">
        <v>232</v>
      </c>
      <c r="BT457" s="5" t="s">
        <v>247</v>
      </c>
      <c r="BU457" s="5" t="s">
        <v>247</v>
      </c>
      <c r="BV457" s="5" t="s">
        <v>232</v>
      </c>
      <c r="BW457" s="5" t="s">
        <v>232</v>
      </c>
      <c r="BX457" s="5" t="s">
        <v>232</v>
      </c>
      <c r="BY457" s="5" t="s">
        <v>232</v>
      </c>
      <c r="BZ457" s="5" t="s">
        <v>246</v>
      </c>
      <c r="CA457" s="5" t="s">
        <v>244</v>
      </c>
      <c r="CB457" s="5" t="s">
        <v>244</v>
      </c>
      <c r="CC457" s="5" t="s">
        <v>244</v>
      </c>
      <c r="CD457" s="5" t="s">
        <v>206</v>
      </c>
      <c r="CH457" s="5" t="s">
        <v>206</v>
      </c>
      <c r="CI457" s="5" t="s">
        <v>206</v>
      </c>
      <c r="CJ457" s="5">
        <v>1</v>
      </c>
      <c r="CM457" s="5" t="s">
        <v>358</v>
      </c>
      <c r="CU457" s="5" t="s">
        <v>204</v>
      </c>
      <c r="CV457" s="5" t="s">
        <v>350</v>
      </c>
      <c r="CW457" s="5" t="s">
        <v>351</v>
      </c>
      <c r="CX457" s="5" t="s">
        <v>352</v>
      </c>
      <c r="CY457" s="5" t="s">
        <v>353</v>
      </c>
      <c r="CZ457" s="5" t="s">
        <v>206</v>
      </c>
      <c r="DA457" s="5" t="s">
        <v>252</v>
      </c>
      <c r="DB457" s="5">
        <f>IF(DA457="Mejor que lo habitual",1,
IF(DA457="Igual que lo habitual",2,
IF(DA457="Menos que lo habitual",3,
IF(DA457="Mucho menos que lo habitual",4,""))))</f>
        <v>3</v>
      </c>
      <c r="DC457" s="5" t="s">
        <v>250</v>
      </c>
      <c r="DD457" s="5">
        <f>IF(DC457="No, en absoluto",1,
IF(DC457="No más que lo habitual",2,
IF(DC457="Bastante más que lo habitual",3,
IF(DC457="Mucho más que lo habitual",4,""))))</f>
        <v>3</v>
      </c>
      <c r="DE457" s="5" t="s">
        <v>250</v>
      </c>
      <c r="DF457" s="5">
        <f>IF(DE457="No, en absoluto",1,
IF(DE457="No más que lo habitual",2,
IF(DE457="Bastante más que lo habitual",3,
IF(DE457="Mucho más que lo habitual",4,""))))</f>
        <v>3</v>
      </c>
      <c r="DG457" s="5" t="s">
        <v>230</v>
      </c>
      <c r="DH457" s="5">
        <f>IF(DG457="No, en absoluto",1,
IF(DG457="No más que lo habitual",2,
IF(DG457="Bastante más que lo habitual",3,
IF(DG457="Mucho más que lo habitual",4,""))))</f>
        <v>2</v>
      </c>
      <c r="DI457" s="5" t="s">
        <v>280</v>
      </c>
      <c r="DJ457" s="5">
        <f>IF(DI457="No, en absoluto",1,
IF(DI457="No más que lo habitual",2,
IF(DI457="Bastante más que lo habitual",3,
IF(DI457="Mucho más que lo habitual",4,""))))</f>
        <v>4</v>
      </c>
      <c r="DK457" s="5" t="s">
        <v>250</v>
      </c>
      <c r="DL457" s="5">
        <f>IF(DK457="No, en absoluto",1,
IF(DK457="No más que lo habitual",2,
IF(DK457="Bastante más que lo habitual",3,
IF(DK457="Mucho más que lo habitual",4,""))))</f>
        <v>3</v>
      </c>
      <c r="DM457" s="5" t="s">
        <v>251</v>
      </c>
      <c r="DN457" s="5">
        <f>IF(DM457="No, en absoluto",1,
IF(DM457="No más que lo habitual",2,
IF(DM457="Bastante más que lo habitual",3,
IF(DM457="Mucho más que lo habitual",4,""))))</f>
        <v>1</v>
      </c>
      <c r="DO457" s="5" t="s">
        <v>281</v>
      </c>
      <c r="DP457" s="5">
        <f>IF(DO457="Más que lo habitual",1,
IF(DO457="Igual que lo habitual",2,
IF(DO457="Menos que lo habitual",3,
IF(DO457="Mucho menos que lo habitual",4,""))))</f>
        <v>1</v>
      </c>
      <c r="DQ457" s="5" t="s">
        <v>281</v>
      </c>
      <c r="DR457" s="5">
        <f>IF(DQ457="Más que lo habitual",1,
IF(DQ457="Igual que lo habitual",2,
IF(DQ457="Menos que lo habitual",3,
IF(DQ457="Mucho menos que lo habitual",4,""))))</f>
        <v>1</v>
      </c>
      <c r="DS457" s="5" t="s">
        <v>252</v>
      </c>
      <c r="DT457" s="5">
        <f>IF(DS457="Más que lo habitual",1,
IF(DS457="Igual que lo habitual",2,
IF(DS457="Menos que lo habitual",3,
IF(DS457="Mucho menos que lo habitual",4,""))))</f>
        <v>3</v>
      </c>
      <c r="DU457" s="5" t="s">
        <v>231</v>
      </c>
      <c r="DV457" s="5">
        <f>IF(DU457="Más que lo habitual",1,
IF(DU457="Igual que lo habitual",2,
IF(DU457="Menos que lo habitual",3,
IF(DU457="Mucho menos que lo habitual",4,""))))</f>
        <v>2</v>
      </c>
      <c r="DW457" s="5" t="s">
        <v>252</v>
      </c>
      <c r="DX457" s="5">
        <f>IF(DW457="Más que lo habitual",1,
IF(DW457="Igual que lo habitual",2,
IF(DW457="Menos que lo habitual",3,
IF(DW457="Mucho menos que lo habitual",4,""))))</f>
        <v>3</v>
      </c>
      <c r="DY457" s="5">
        <f>SUM(DB457,DD457,DF457,DH457,DJ457,DL457,DN457,DP457,DR457,DT457,DV457,DX457)</f>
        <v>29</v>
      </c>
      <c r="DZ457" s="5" t="str">
        <f>IF(DY457&lt;=18,"Nivel de riesgo bajo",
IF(DY457&lt;=23,"Nivel de riesgo medio",
"Nivel de riesgo alto"))</f>
        <v>Nivel de riesgo alto</v>
      </c>
      <c r="EA457" s="5" t="s">
        <v>253</v>
      </c>
      <c r="EB457" s="5">
        <f>IF(EA457="Nunca/ casi nunca",0,
IF(EA457="Rara vez",1,
IF(EA457="A veces",2,
IF(EA457="A menudo",3,
IF(EA457="Siempre",4,"")))))</f>
        <v>0</v>
      </c>
      <c r="EC457" s="5" t="s">
        <v>253</v>
      </c>
      <c r="ED457" s="5">
        <f>IF(EC457="Nunca/ casi nunca",0,
IF(EC457="Rara vez",1,
IF(EC457="A veces",2,
IF(EC457="A menudo",3,
IF(EC457="Siempre",4,"")))))</f>
        <v>0</v>
      </c>
      <c r="EE457" s="5" t="s">
        <v>253</v>
      </c>
      <c r="EF457" s="5">
        <f>IF(EE457="Nunca/ casi nunca",0,
IF(EE457="Rara vez",1,
IF(EE457="A veces",2,
IF(EE457="A menudo",3,
IF(EE457="Siempre",4,"")))))</f>
        <v>0</v>
      </c>
      <c r="EG457" s="5">
        <f>SUM(EB457,ED457,EF457)</f>
        <v>0</v>
      </c>
      <c r="EH457" s="5" t="str">
        <f>IF(EG457&lt;=1,"Nivel de riesgo bajo",
IF(EG457&lt;=4,"Nivel de riesgo medio",
"Nivel de riesgo alto"))</f>
        <v>Nivel de riesgo bajo</v>
      </c>
      <c r="EI457" s="5" t="s">
        <v>248</v>
      </c>
      <c r="EJ457" s="5">
        <f>IF(EI457="Nunca/ casi nunca",0,
IF(EI457="Rara vez",1,
IF(EI457="A veces",2,
IF(EI457="A menudo",3,
IF(EI457="Siempre",4,"")))))</f>
        <v>1</v>
      </c>
      <c r="EK457" s="5" t="s">
        <v>248</v>
      </c>
      <c r="EL457" s="5">
        <f>IF(EK457="Nunca/ casi nunca",0,
IF(EK457="Rara vez",1,
IF(EK457="A veces",2,
IF(EK457="A menudo",3,
IF(EK457="Siempre",4,"")))))</f>
        <v>1</v>
      </c>
      <c r="EM457" s="5" t="s">
        <v>247</v>
      </c>
      <c r="EN457" s="5">
        <f>IF(EM457="Nunca/ casi nunca",0,
IF(EM457="Rara vez",1,
IF(EM457="A veces",2,
IF(EM457="A menudo",3,
IF(EM457="Siempre",4,"")))))</f>
        <v>2</v>
      </c>
      <c r="EO457" s="5">
        <f>SUM(EJ457,EL457,EN457)</f>
        <v>4</v>
      </c>
      <c r="EP457" s="5" t="str">
        <f>IF(EO457&lt;=1,"Nivel de riesgo bajo",
IF(EO457&lt;=5,"Nivel de riesgo medio",
"Nivel de riesgo alto"))</f>
        <v>Nivel de riesgo medio</v>
      </c>
      <c r="EQ457" s="5" t="s">
        <v>253</v>
      </c>
      <c r="ER457" s="5">
        <f>IF(EQ457="Nunca/ casi nunca",4,
IF(EQ457="Rara vez",3,
IF(EQ457="A veces",2,
IF(EQ457="A menudo",1,
IF(EQ457="Siempre",0,"")))))</f>
        <v>4</v>
      </c>
      <c r="ES457" s="5" t="s">
        <v>253</v>
      </c>
      <c r="ET457" s="5">
        <f>IF(ES457="Nunca/ casi nunca",4,
IF(ES457="Rara vez",3,
IF(ES457="A veces",2,
IF(ES457="A menudo",1,
IF(ES457="Siempre",0,"")))))</f>
        <v>4</v>
      </c>
      <c r="EU457" s="5" t="s">
        <v>253</v>
      </c>
      <c r="EV457" s="5">
        <f>IF(EU457="Nunca/ casi nunca",4,
IF(EU457="Rara vez",3,
IF(EU457="A veces",2,
IF(EU457="A menudo",1,
IF(EU457="Siempre",0,"")))))</f>
        <v>4</v>
      </c>
      <c r="EW457" s="5" t="s">
        <v>254</v>
      </c>
      <c r="EX457" s="5">
        <f>IF(EW457="Nunca/ casi nunca",4,
IF(EW457="Rara vez",3,
IF(EW457="A veces",2,
IF(EW457="A menudo",1,
IF(EW457="Siempre",0,"")))))</f>
        <v>0</v>
      </c>
      <c r="EY457" s="5">
        <f>SUM(ER457,ET457,EV457,EX457)</f>
        <v>12</v>
      </c>
      <c r="EZ457" s="5" t="str">
        <f>IF(EY457&lt;=0,"Nivel de riesgo bajo",
IF(EY457&lt;=4,"Nivel de riesgo medio",
"Nivel de riesgo alto"))</f>
        <v>Nivel de riesgo alto</v>
      </c>
      <c r="FA457" s="5" t="s">
        <v>247</v>
      </c>
      <c r="FB457" s="5">
        <f>IF(FA457="Nunca/ casi nunca",0,
IF(FA457="Rara vez",1,
IF(FA457="A veces",2,
IF(FA457="A menudo",3,
IF(FA457="Siempre",4,"")))))</f>
        <v>2</v>
      </c>
      <c r="FC457" s="5" t="s">
        <v>253</v>
      </c>
      <c r="FD457" s="5">
        <f>IF(FC457="Nunca/ casi nunca",0,
IF(FC457="Rara vez",1,
IF(FC457="A veces",2,
IF(FC457="A menudo",3,
IF(FC457="Siempre",4,"")))))</f>
        <v>0</v>
      </c>
      <c r="FE457" s="5" t="s">
        <v>253</v>
      </c>
      <c r="FF457" s="5">
        <f>IF(FE457="Nunca/ casi nunca",0,
IF(FE457="Rara vez",1,
IF(FE457="A veces",2,
IF(FE457="A menudo",3,
IF(FE457="Siempre",4,"")))))</f>
        <v>0</v>
      </c>
      <c r="FG457" s="5">
        <f>SUM(FB457,FD457,FF457)</f>
        <v>2</v>
      </c>
      <c r="FH457" s="5" t="str">
        <f>IF(FG457&lt;=2,"Nivel de riesgo bajo",
IF(FG457&lt;=5,"Nivel de riesgo medio",
"Nivel de riesgo alto"))</f>
        <v>Nivel de riesgo bajo</v>
      </c>
      <c r="FI457" s="5" t="s">
        <v>248</v>
      </c>
      <c r="FJ457" s="5">
        <f>IF(FI457="Nunca/ casi nunca",0,
IF(FI457="Rara vez",1,
IF(FI457="A veces",2,
IF(FI457="A menudo",3,
IF(FI457="Siempre",4,"")))))</f>
        <v>1</v>
      </c>
      <c r="FK457" s="5" t="s">
        <v>248</v>
      </c>
      <c r="FL457" s="5">
        <f>IF(FK457="Nunca/ casi nunca",0,
IF(FK457="Rara vez",1,
IF(FK457="A veces",2,
IF(FK457="A menudo",3,
IF(FK457="Siempre",4,"")))))</f>
        <v>1</v>
      </c>
      <c r="FM457" s="5" t="s">
        <v>248</v>
      </c>
      <c r="FN457" s="5">
        <f>IF(FM457="Nunca/ casi nunca",0,
IF(FM457="Rara vez",1,
IF(FM457="A veces",2,
IF(FM457="A menudo",3,
IF(FM457="Siempre",4,"")))))</f>
        <v>1</v>
      </c>
      <c r="FO457" s="5">
        <f>SUM(FJ457,FL457,FN457)</f>
        <v>3</v>
      </c>
      <c r="FP457" s="5" t="str">
        <f>IF(FO457&lt;=2,"Nivel de riesgo bajo",
IF(FO457&lt;=5,"Nivel de riesgo medio",
"Nivel de riesgo alto"))</f>
        <v>Nivel de riesgo medio</v>
      </c>
      <c r="FQ457" s="5" t="s">
        <v>206</v>
      </c>
      <c r="FR457" s="5">
        <f>IF(FQ457="No",0,
IF(FQ457="Sí, unas pocas veces",1,
IF(FQ457="Sí, mensualmente",2,
IF(FQ457="Sí, semanalmente",3,
IF(FQ457="Sí, diariamente",4,"")))))</f>
        <v>0</v>
      </c>
      <c r="FS457" s="5" t="s">
        <v>206</v>
      </c>
      <c r="FT457" s="5">
        <f>IF(FS457="No",0,
IF(FS457="Sí, unas pocas veces",1,
IF(FS457="Sí, mensualmente",2,
IF(FS457="Sí, semanalmente",3,
IF(FS457="Sí, diariamente",4,"")))))</f>
        <v>0</v>
      </c>
      <c r="FU457" s="5" t="s">
        <v>206</v>
      </c>
      <c r="FV457" s="5">
        <f>IF(FU457="No",0,
IF(FU457="Sí, unas pocas veces",1,
IF(FU457="Sí, mensualmente",2,
IF(FU457="Sí, semanalmente",3,
IF(FU457="Sí, diariamente",4,"")))))</f>
        <v>0</v>
      </c>
      <c r="FW457" s="5" t="s">
        <v>206</v>
      </c>
      <c r="FX457" s="5">
        <f>IF(FW457="No",0,
IF(FW457="Sí, unas pocas veces",1,
IF(FW457="Sí, mensualmente",2,
IF(FW457="Sí, semanalmente",3,
IF(FW457="Sí, diariamente",4,"")))))</f>
        <v>0</v>
      </c>
      <c r="FY457" s="5" t="s">
        <v>206</v>
      </c>
      <c r="FZ457" s="5">
        <f>IF(FY457="No",0,
IF(FY457="Sí, unas pocas veces",1,
IF(FY457="Sí, mensualmente",2,
IF(FY457="Sí, semanalmente",3,
IF(FY457="Sí, diariamente",4,"")))))</f>
        <v>0</v>
      </c>
      <c r="GA457" s="5" t="s">
        <v>206</v>
      </c>
      <c r="GB457" s="5">
        <f>IF(GA457="No",0,
IF(GA457="Sí, unas pocas veces",1,
IF(GA457="Sí, mensualmente",2,
IF(GA457="Sí, semanalmente",3,
IF(GA457="Sí, diariamente",4,"")))))</f>
        <v>0</v>
      </c>
      <c r="GC457" s="5" t="s">
        <v>206</v>
      </c>
      <c r="GD457" s="5">
        <f>IF(GC457="No",0,
IF(GC457="Sí, unas pocas veces",1,
IF(GC457="Sí, mensualmente",2,
IF(GC457="Sí, semanalmente",3,
IF(GC457="Sí, diariamente",4,"")))))</f>
        <v>0</v>
      </c>
      <c r="GE457" s="5">
        <f>SUM(FR457,FT457,FV457,FX457,FZ457,GB457,GD457)</f>
        <v>0</v>
      </c>
      <c r="GF457" s="5" t="str">
        <f>IF(GE457&lt;=0,"Nivel de riesgo bajo",
IF(GE457&lt;=14,"Nivel de riesgo medio",
"Nivel de riesgo alto"))</f>
        <v>Nivel de riesgo bajo</v>
      </c>
      <c r="GG457" s="5" t="s">
        <v>255</v>
      </c>
      <c r="GH457" s="5" t="s">
        <v>255</v>
      </c>
      <c r="GI457" s="5" t="s">
        <v>255</v>
      </c>
      <c r="GJ457" s="5" t="s">
        <v>233</v>
      </c>
      <c r="GK457" s="5" t="s">
        <v>233</v>
      </c>
      <c r="GL457" s="5" t="s">
        <v>255</v>
      </c>
      <c r="GM457" s="5" t="s">
        <v>233</v>
      </c>
      <c r="GN457" s="5" t="s">
        <v>243</v>
      </c>
      <c r="GO457" s="5" t="s">
        <v>244</v>
      </c>
      <c r="GP457" s="5" t="s">
        <v>244</v>
      </c>
      <c r="GQ457" s="5" t="s">
        <v>257</v>
      </c>
      <c r="GR457" s="5" t="s">
        <v>257</v>
      </c>
      <c r="GS457" s="5" t="s">
        <v>234</v>
      </c>
      <c r="GT457" s="5" t="s">
        <v>243</v>
      </c>
      <c r="GU457" s="5" t="s">
        <v>824</v>
      </c>
      <c r="GV457" s="5" t="str">
        <f>TEXT("6290150235928441527","0")</f>
        <v>6290150235928440000</v>
      </c>
    </row>
    <row r="458" spans="1:204" ht="15.75" hidden="1" customHeight="1" x14ac:dyDescent="0.15">
      <c r="B458" s="4">
        <v>45860.571608796294</v>
      </c>
      <c r="C458" s="5" t="s">
        <v>204</v>
      </c>
      <c r="D458" s="5" t="s">
        <v>206</v>
      </c>
      <c r="F458" s="5" t="s">
        <v>206</v>
      </c>
      <c r="G458" s="5" t="s">
        <v>204</v>
      </c>
      <c r="H458" s="5" t="s">
        <v>206</v>
      </c>
      <c r="K458" s="5" t="s">
        <v>237</v>
      </c>
      <c r="Q458" s="5" t="s">
        <v>236</v>
      </c>
      <c r="T458" s="5" t="s">
        <v>209</v>
      </c>
      <c r="X458" s="5" t="s">
        <v>208</v>
      </c>
      <c r="AD458" s="5" t="s">
        <v>209</v>
      </c>
      <c r="AH458" s="5" t="s">
        <v>210</v>
      </c>
      <c r="AI458" s="5">
        <v>2022</v>
      </c>
      <c r="AJ458" s="5" t="s">
        <v>304</v>
      </c>
      <c r="AK458" s="5"/>
      <c r="AR458" s="5" t="s">
        <v>241</v>
      </c>
      <c r="AS458" s="5" t="s">
        <v>241</v>
      </c>
      <c r="AT458" s="5" t="s">
        <v>241</v>
      </c>
      <c r="AU458" s="5" t="s">
        <v>241</v>
      </c>
      <c r="AV458" s="5" t="s">
        <v>213</v>
      </c>
      <c r="AW458" s="5" t="s">
        <v>206</v>
      </c>
      <c r="BF458" s="5" t="s">
        <v>204</v>
      </c>
      <c r="BG458" s="5" t="s">
        <v>271</v>
      </c>
      <c r="BH458" s="5" t="s">
        <v>242</v>
      </c>
      <c r="BI458" s="5" t="s">
        <v>278</v>
      </c>
      <c r="BJ458" s="5" t="s">
        <v>271</v>
      </c>
      <c r="BK458" s="5" t="s">
        <v>243</v>
      </c>
      <c r="BL458" s="5" t="s">
        <v>244</v>
      </c>
      <c r="BM458" s="5" t="s">
        <v>246</v>
      </c>
      <c r="BN458" s="5" t="s">
        <v>244</v>
      </c>
      <c r="BO458" s="5" t="s">
        <v>244</v>
      </c>
      <c r="BP458" s="5" t="s">
        <v>244</v>
      </c>
      <c r="BQ458" s="5" t="s">
        <v>246</v>
      </c>
      <c r="BR458" s="5" t="s">
        <v>244</v>
      </c>
      <c r="BS458" s="5" t="s">
        <v>248</v>
      </c>
      <c r="BT458" s="5" t="s">
        <v>248</v>
      </c>
      <c r="BU458" s="5" t="s">
        <v>217</v>
      </c>
      <c r="BV458" s="5" t="s">
        <v>217</v>
      </c>
      <c r="BW458" s="5" t="s">
        <v>217</v>
      </c>
      <c r="BX458" s="5" t="s">
        <v>248</v>
      </c>
      <c r="BY458" s="5" t="s">
        <v>248</v>
      </c>
      <c r="CD458" s="5" t="s">
        <v>206</v>
      </c>
      <c r="CH458" s="5" t="s">
        <v>206</v>
      </c>
      <c r="CI458" s="5" t="s">
        <v>206</v>
      </c>
      <c r="CJ458" s="5">
        <v>1</v>
      </c>
      <c r="CK458" s="5" t="s">
        <v>223</v>
      </c>
      <c r="CU458" s="5" t="s">
        <v>206</v>
      </c>
      <c r="DA458" s="5" t="s">
        <v>272</v>
      </c>
      <c r="DB458" s="5"/>
      <c r="DC458" s="5" t="s">
        <v>251</v>
      </c>
      <c r="DD458" s="5"/>
      <c r="DE458" s="5" t="s">
        <v>251</v>
      </c>
      <c r="DF458" s="5"/>
      <c r="DG458" s="5" t="s">
        <v>251</v>
      </c>
      <c r="DH458" s="5"/>
      <c r="DI458" s="5" t="s">
        <v>251</v>
      </c>
      <c r="DJ458" s="5"/>
      <c r="DK458" s="5" t="s">
        <v>251</v>
      </c>
      <c r="DL458" s="5"/>
      <c r="DM458" s="5" t="s">
        <v>251</v>
      </c>
      <c r="DN458" s="5"/>
      <c r="DO458" s="5" t="s">
        <v>231</v>
      </c>
      <c r="DP458" s="5"/>
      <c r="DQ458" s="5" t="s">
        <v>281</v>
      </c>
      <c r="DR458" s="5"/>
      <c r="DS458" s="5" t="s">
        <v>231</v>
      </c>
      <c r="DT458" s="5"/>
      <c r="DU458" s="5" t="s">
        <v>281</v>
      </c>
      <c r="DV458" s="5"/>
      <c r="DW458" s="5" t="s">
        <v>281</v>
      </c>
      <c r="DX458" s="5"/>
      <c r="DY458" s="5"/>
      <c r="DZ458" s="5"/>
      <c r="EA458" s="5" t="s">
        <v>253</v>
      </c>
      <c r="EB458" s="5"/>
      <c r="EC458" s="5" t="s">
        <v>253</v>
      </c>
      <c r="ED458" s="5"/>
      <c r="EE458" s="5" t="s">
        <v>253</v>
      </c>
      <c r="EF458" s="5"/>
      <c r="EG458" s="5"/>
      <c r="EH458" s="5"/>
      <c r="EI458" s="5" t="s">
        <v>253</v>
      </c>
      <c r="EJ458" s="5"/>
      <c r="EK458" s="5" t="s">
        <v>248</v>
      </c>
      <c r="EL458" s="5"/>
      <c r="EM458" s="5" t="s">
        <v>253</v>
      </c>
      <c r="EN458" s="5"/>
      <c r="EO458" s="5"/>
      <c r="EP458" s="5"/>
      <c r="EQ458" s="5" t="s">
        <v>253</v>
      </c>
      <c r="ER458" s="5"/>
      <c r="ES458" s="5" t="s">
        <v>253</v>
      </c>
      <c r="ET458" s="5"/>
      <c r="EU458" s="5" t="s">
        <v>232</v>
      </c>
      <c r="EV458" s="5"/>
      <c r="EW458" s="5" t="s">
        <v>247</v>
      </c>
      <c r="EX458" s="5"/>
      <c r="EY458" s="5"/>
      <c r="EZ458" s="5"/>
      <c r="FA458" s="5" t="s">
        <v>253</v>
      </c>
      <c r="FB458" s="5"/>
      <c r="FC458" s="5" t="s">
        <v>253</v>
      </c>
      <c r="FD458" s="5"/>
      <c r="FE458" s="5" t="s">
        <v>253</v>
      </c>
      <c r="FF458" s="5"/>
      <c r="FG458" s="5"/>
      <c r="FH458" s="5"/>
      <c r="FI458" s="5" t="s">
        <v>253</v>
      </c>
      <c r="FJ458" s="5"/>
      <c r="FK458" s="5" t="s">
        <v>253</v>
      </c>
      <c r="FL458" s="5"/>
      <c r="FM458" s="5" t="s">
        <v>253</v>
      </c>
      <c r="FN458" s="5"/>
      <c r="FO458" s="5"/>
      <c r="FP458" s="5"/>
      <c r="FQ458" s="5" t="s">
        <v>206</v>
      </c>
      <c r="FR458" s="5"/>
      <c r="FS458" s="5" t="s">
        <v>206</v>
      </c>
      <c r="FT458" s="5"/>
      <c r="FU458" s="5" t="s">
        <v>206</v>
      </c>
      <c r="FV458" s="5"/>
      <c r="FW458" s="5" t="s">
        <v>206</v>
      </c>
      <c r="FX458" s="5"/>
      <c r="FY458" s="5" t="s">
        <v>206</v>
      </c>
      <c r="FZ458" s="5"/>
      <c r="GA458" s="5" t="s">
        <v>206</v>
      </c>
      <c r="GB458" s="5"/>
      <c r="GC458" s="5" t="s">
        <v>206</v>
      </c>
      <c r="GD458" s="5"/>
      <c r="GE458" s="5"/>
      <c r="GF458" s="5"/>
      <c r="GG458" s="5" t="s">
        <v>255</v>
      </c>
      <c r="GH458" s="5" t="s">
        <v>273</v>
      </c>
      <c r="GI458" s="5" t="s">
        <v>273</v>
      </c>
      <c r="GJ458" s="5" t="s">
        <v>233</v>
      </c>
      <c r="GK458" s="5" t="s">
        <v>233</v>
      </c>
      <c r="GL458" s="5" t="s">
        <v>266</v>
      </c>
      <c r="GM458" s="5" t="s">
        <v>255</v>
      </c>
      <c r="GN458" s="5" t="s">
        <v>243</v>
      </c>
      <c r="GO458" s="5" t="s">
        <v>243</v>
      </c>
      <c r="GP458" s="5" t="s">
        <v>257</v>
      </c>
      <c r="GQ458" s="5" t="s">
        <v>257</v>
      </c>
      <c r="GR458" s="5" t="s">
        <v>243</v>
      </c>
      <c r="GS458" s="5" t="s">
        <v>257</v>
      </c>
      <c r="GT458" s="5" t="s">
        <v>243</v>
      </c>
      <c r="GU458" s="5" t="s">
        <v>825</v>
      </c>
      <c r="GV458" s="5" t="str">
        <f>TEXT("6290153871613153382","0")</f>
        <v>6290153871613150000</v>
      </c>
    </row>
    <row r="459" spans="1:204" ht="15.75" customHeight="1" x14ac:dyDescent="0.15">
      <c r="A459" s="1">
        <f t="shared" ref="A459:A465" si="1428">ROW(A459)</f>
        <v>459</v>
      </c>
      <c r="B459" s="4">
        <v>45860.578946759262</v>
      </c>
      <c r="C459" s="5" t="s">
        <v>204</v>
      </c>
      <c r="D459" s="5" t="s">
        <v>206</v>
      </c>
      <c r="F459" s="5" t="s">
        <v>206</v>
      </c>
      <c r="G459" s="5" t="s">
        <v>204</v>
      </c>
      <c r="H459" s="5" t="s">
        <v>206</v>
      </c>
      <c r="K459" s="5" t="s">
        <v>237</v>
      </c>
      <c r="O459" s="5" t="s">
        <v>209</v>
      </c>
      <c r="S459" s="5" t="s">
        <v>208</v>
      </c>
      <c r="Y459" s="5" t="s">
        <v>209</v>
      </c>
      <c r="AD459" s="5" t="s">
        <v>209</v>
      </c>
      <c r="AH459" s="5" t="s">
        <v>268</v>
      </c>
      <c r="AI459" s="5">
        <v>2024</v>
      </c>
      <c r="AJ459" s="5" t="s">
        <v>330</v>
      </c>
      <c r="AK459" s="5" t="str">
        <f t="shared" ref="AK459:AK465" si="1429">IF(OR(AJ459="Empleada del sector privado",AJ459="Empleada del sector público"),"Asalariada",
IF(AJ459="Trabajadora por cuenta propia","Trabajadora por cuenta propia",""))</f>
        <v>Asalariada</v>
      </c>
      <c r="AQ459" s="5" t="s">
        <v>206</v>
      </c>
      <c r="AR459" s="5" t="s">
        <v>241</v>
      </c>
      <c r="AS459" s="5" t="s">
        <v>261</v>
      </c>
      <c r="AT459" s="5" t="s">
        <v>241</v>
      </c>
      <c r="AU459" s="5" t="s">
        <v>261</v>
      </c>
      <c r="AV459" s="5" t="s">
        <v>269</v>
      </c>
      <c r="AW459" s="5" t="s">
        <v>204</v>
      </c>
      <c r="AX459" s="5" t="s">
        <v>204</v>
      </c>
      <c r="AY459" s="5" t="s">
        <v>270</v>
      </c>
      <c r="AZ459" s="5" t="s">
        <v>204</v>
      </c>
      <c r="BA459" s="5" t="s">
        <v>263</v>
      </c>
      <c r="BF459" s="5" t="s">
        <v>204</v>
      </c>
      <c r="BG459" s="5" t="s">
        <v>242</v>
      </c>
      <c r="BH459" s="5" t="s">
        <v>215</v>
      </c>
      <c r="BI459" s="5" t="s">
        <v>278</v>
      </c>
      <c r="BJ459" s="5" t="s">
        <v>271</v>
      </c>
      <c r="BK459" s="5" t="s">
        <v>246</v>
      </c>
      <c r="BL459" s="5" t="s">
        <v>246</v>
      </c>
      <c r="BM459" s="5" t="s">
        <v>243</v>
      </c>
      <c r="BN459" s="5" t="s">
        <v>243</v>
      </c>
      <c r="BO459" s="5" t="s">
        <v>246</v>
      </c>
      <c r="BP459" s="5" t="s">
        <v>244</v>
      </c>
      <c r="BQ459" s="5" t="s">
        <v>246</v>
      </c>
      <c r="BR459" s="5" t="s">
        <v>216</v>
      </c>
      <c r="BS459" s="5" t="s">
        <v>247</v>
      </c>
      <c r="BT459" s="5" t="s">
        <v>247</v>
      </c>
      <c r="BU459" s="5" t="s">
        <v>247</v>
      </c>
      <c r="BV459" s="5" t="s">
        <v>248</v>
      </c>
      <c r="BW459" s="5" t="s">
        <v>248</v>
      </c>
      <c r="BX459" s="5" t="s">
        <v>217</v>
      </c>
      <c r="BY459" s="5" t="s">
        <v>217</v>
      </c>
      <c r="BZ459" s="5" t="s">
        <v>216</v>
      </c>
      <c r="CA459" s="5" t="s">
        <v>216</v>
      </c>
      <c r="CB459" s="5" t="s">
        <v>216</v>
      </c>
      <c r="CC459" s="5" t="s">
        <v>216</v>
      </c>
      <c r="CD459" s="5" t="s">
        <v>206</v>
      </c>
      <c r="CH459" s="5" t="s">
        <v>206</v>
      </c>
      <c r="CI459" s="5" t="s">
        <v>206</v>
      </c>
      <c r="CJ459" s="5">
        <v>0</v>
      </c>
      <c r="CK459" s="5" t="s">
        <v>223</v>
      </c>
      <c r="CU459" s="5" t="s">
        <v>206</v>
      </c>
      <c r="DA459" s="5" t="s">
        <v>231</v>
      </c>
      <c r="DB459" s="5">
        <f t="shared" ref="DB459:DB465" si="1430">IF(DA459="Mejor que lo habitual",1,
IF(DA459="Igual que lo habitual",2,
IF(DA459="Menos que lo habitual",3,
IF(DA459="Mucho menos que lo habitual",4,""))))</f>
        <v>2</v>
      </c>
      <c r="DC459" s="5" t="s">
        <v>230</v>
      </c>
      <c r="DD459" s="5">
        <f t="shared" ref="DD459:DD465" si="1431">IF(DC459="No, en absoluto",1,
IF(DC459="No más que lo habitual",2,
IF(DC459="Bastante más que lo habitual",3,
IF(DC459="Mucho más que lo habitual",4,""))))</f>
        <v>2</v>
      </c>
      <c r="DE459" s="5" t="s">
        <v>230</v>
      </c>
      <c r="DF459" s="5">
        <f t="shared" ref="DF459:DF465" si="1432">IF(DE459="No, en absoluto",1,
IF(DE459="No más que lo habitual",2,
IF(DE459="Bastante más que lo habitual",3,
IF(DE459="Mucho más que lo habitual",4,""))))</f>
        <v>2</v>
      </c>
      <c r="DG459" s="5" t="s">
        <v>230</v>
      </c>
      <c r="DH459" s="5">
        <f t="shared" ref="DH459:DH465" si="1433">IF(DG459="No, en absoluto",1,
IF(DG459="No más que lo habitual",2,
IF(DG459="Bastante más que lo habitual",3,
IF(DG459="Mucho más que lo habitual",4,""))))</f>
        <v>2</v>
      </c>
      <c r="DI459" s="5" t="s">
        <v>251</v>
      </c>
      <c r="DJ459" s="5">
        <f t="shared" ref="DJ459:DJ465" si="1434">IF(DI459="No, en absoluto",1,
IF(DI459="No más que lo habitual",2,
IF(DI459="Bastante más que lo habitual",3,
IF(DI459="Mucho más que lo habitual",4,""))))</f>
        <v>1</v>
      </c>
      <c r="DK459" s="5" t="s">
        <v>251</v>
      </c>
      <c r="DL459" s="5">
        <f t="shared" ref="DL459:DL465" si="1435">IF(DK459="No, en absoluto",1,
IF(DK459="No más que lo habitual",2,
IF(DK459="Bastante más que lo habitual",3,
IF(DK459="Mucho más que lo habitual",4,""))))</f>
        <v>1</v>
      </c>
      <c r="DM459" s="5" t="s">
        <v>251</v>
      </c>
      <c r="DN459" s="5">
        <f t="shared" ref="DN459:DN465" si="1436">IF(DM459="No, en absoluto",1,
IF(DM459="No más que lo habitual",2,
IF(DM459="Bastante más que lo habitual",3,
IF(DM459="Mucho más que lo habitual",4,""))))</f>
        <v>1</v>
      </c>
      <c r="DO459" s="5" t="s">
        <v>281</v>
      </c>
      <c r="DP459" s="5">
        <f t="shared" ref="DP459:DP465" si="1437">IF(DO459="Más que lo habitual",1,
IF(DO459="Igual que lo habitual",2,
IF(DO459="Menos que lo habitual",3,
IF(DO459="Mucho menos que lo habitual",4,""))))</f>
        <v>1</v>
      </c>
      <c r="DQ459" s="5" t="s">
        <v>281</v>
      </c>
      <c r="DR459" s="5">
        <f t="shared" ref="DR459:DR465" si="1438">IF(DQ459="Más que lo habitual",1,
IF(DQ459="Igual que lo habitual",2,
IF(DQ459="Menos que lo habitual",3,
IF(DQ459="Mucho menos que lo habitual",4,""))))</f>
        <v>1</v>
      </c>
      <c r="DS459" s="5" t="s">
        <v>281</v>
      </c>
      <c r="DT459" s="5">
        <f t="shared" ref="DT459:DT465" si="1439">IF(DS459="Más que lo habitual",1,
IF(DS459="Igual que lo habitual",2,
IF(DS459="Menos que lo habitual",3,
IF(DS459="Mucho menos que lo habitual",4,""))))</f>
        <v>1</v>
      </c>
      <c r="DU459" s="5" t="s">
        <v>281</v>
      </c>
      <c r="DV459" s="5">
        <f t="shared" ref="DV459:DV465" si="1440">IF(DU459="Más que lo habitual",1,
IF(DU459="Igual que lo habitual",2,
IF(DU459="Menos que lo habitual",3,
IF(DU459="Mucho menos que lo habitual",4,""))))</f>
        <v>1</v>
      </c>
      <c r="DW459" s="5" t="s">
        <v>281</v>
      </c>
      <c r="DX459" s="5">
        <f t="shared" ref="DX459:DX465" si="1441">IF(DW459="Más que lo habitual",1,
IF(DW459="Igual que lo habitual",2,
IF(DW459="Menos que lo habitual",3,
IF(DW459="Mucho menos que lo habitual",4,""))))</f>
        <v>1</v>
      </c>
      <c r="DY459" s="5">
        <f t="shared" ref="DY459:DY465" si="1442">SUM(DB459,DD459,DF459,DH459,DJ459,DL459,DN459,DP459,DR459,DT459,DV459,DX459)</f>
        <v>16</v>
      </c>
      <c r="DZ459" s="5" t="str">
        <f t="shared" ref="DZ459:DZ465" si="1443">IF(DY459&lt;=18,"Nivel de riesgo bajo",
IF(DY459&lt;=23,"Nivel de riesgo medio",
"Nivel de riesgo alto"))</f>
        <v>Nivel de riesgo bajo</v>
      </c>
      <c r="EA459" s="5" t="s">
        <v>248</v>
      </c>
      <c r="EB459" s="5">
        <f t="shared" ref="EB459:EB465" si="1444">IF(EA459="Nunca/ casi nunca",0,
IF(EA459="Rara vez",1,
IF(EA459="A veces",2,
IF(EA459="A menudo",3,
IF(EA459="Siempre",4,"")))))</f>
        <v>1</v>
      </c>
      <c r="EC459" s="5" t="s">
        <v>253</v>
      </c>
      <c r="ED459" s="5">
        <f t="shared" ref="ED459:ED465" si="1445">IF(EC459="Nunca/ casi nunca",0,
IF(EC459="Rara vez",1,
IF(EC459="A veces",2,
IF(EC459="A menudo",3,
IF(EC459="Siempre",4,"")))))</f>
        <v>0</v>
      </c>
      <c r="EE459" s="5" t="s">
        <v>253</v>
      </c>
      <c r="EF459" s="5">
        <f t="shared" ref="EF459:EF465" si="1446">IF(EE459="Nunca/ casi nunca",0,
IF(EE459="Rara vez",1,
IF(EE459="A veces",2,
IF(EE459="A menudo",3,
IF(EE459="Siempre",4,"")))))</f>
        <v>0</v>
      </c>
      <c r="EG459" s="5">
        <f t="shared" ref="EG459:EG465" si="1447">SUM(EB459,ED459,EF459)</f>
        <v>1</v>
      </c>
      <c r="EH459" s="5" t="str">
        <f t="shared" ref="EH459:EH465" si="1448">IF(EG459&lt;=1,"Nivel de riesgo bajo",
IF(EG459&lt;=4,"Nivel de riesgo medio",
"Nivel de riesgo alto"))</f>
        <v>Nivel de riesgo bajo</v>
      </c>
      <c r="EI459" s="5" t="s">
        <v>253</v>
      </c>
      <c r="EJ459" s="5">
        <f t="shared" ref="EJ459:EJ465" si="1449">IF(EI459="Nunca/ casi nunca",0,
IF(EI459="Rara vez",1,
IF(EI459="A veces",2,
IF(EI459="A menudo",3,
IF(EI459="Siempre",4,"")))))</f>
        <v>0</v>
      </c>
      <c r="EK459" s="5" t="s">
        <v>253</v>
      </c>
      <c r="EL459" s="5">
        <f t="shared" ref="EL459:EL465" si="1450">IF(EK459="Nunca/ casi nunca",0,
IF(EK459="Rara vez",1,
IF(EK459="A veces",2,
IF(EK459="A menudo",3,
IF(EK459="Siempre",4,"")))))</f>
        <v>0</v>
      </c>
      <c r="EM459" s="5" t="s">
        <v>253</v>
      </c>
      <c r="EN459" s="5">
        <f t="shared" ref="EN459:EN465" si="1451">IF(EM459="Nunca/ casi nunca",0,
IF(EM459="Rara vez",1,
IF(EM459="A veces",2,
IF(EM459="A menudo",3,
IF(EM459="Siempre",4,"")))))</f>
        <v>0</v>
      </c>
      <c r="EO459" s="5">
        <f t="shared" ref="EO459:EO465" si="1452">SUM(EJ459,EL459,EN459)</f>
        <v>0</v>
      </c>
      <c r="EP459" s="5" t="str">
        <f t="shared" ref="EP459:EP465" si="1453">IF(EO459&lt;=1,"Nivel de riesgo bajo",
IF(EO459&lt;=5,"Nivel de riesgo medio",
"Nivel de riesgo alto"))</f>
        <v>Nivel de riesgo bajo</v>
      </c>
      <c r="EQ459" s="5" t="s">
        <v>254</v>
      </c>
      <c r="ER459" s="5">
        <f t="shared" ref="ER459:ER465" si="1454">IF(EQ459="Nunca/ casi nunca",4,
IF(EQ459="Rara vez",3,
IF(EQ459="A veces",2,
IF(EQ459="A menudo",1,
IF(EQ459="Siempre",0,"")))))</f>
        <v>0</v>
      </c>
      <c r="ES459" s="5" t="s">
        <v>254</v>
      </c>
      <c r="ET459" s="5">
        <f t="shared" ref="ET459:ET465" si="1455">IF(ES459="Nunca/ casi nunca",4,
IF(ES459="Rara vez",3,
IF(ES459="A veces",2,
IF(ES459="A menudo",1,
IF(ES459="Siempre",0,"")))))</f>
        <v>0</v>
      </c>
      <c r="EU459" s="5" t="s">
        <v>254</v>
      </c>
      <c r="EV459" s="5">
        <f t="shared" ref="EV459:EV465" si="1456">IF(EU459="Nunca/ casi nunca",4,
IF(EU459="Rara vez",3,
IF(EU459="A veces",2,
IF(EU459="A menudo",1,
IF(EU459="Siempre",0,"")))))</f>
        <v>0</v>
      </c>
      <c r="EW459" s="5" t="s">
        <v>254</v>
      </c>
      <c r="EX459" s="5">
        <f t="shared" ref="EX459:EX465" si="1457">IF(EW459="Nunca/ casi nunca",4,
IF(EW459="Rara vez",3,
IF(EW459="A veces",2,
IF(EW459="A menudo",1,
IF(EW459="Siempre",0,"")))))</f>
        <v>0</v>
      </c>
      <c r="EY459" s="5">
        <f t="shared" ref="EY459:EY465" si="1458">SUM(ER459,ET459,EV459,EX459)</f>
        <v>0</v>
      </c>
      <c r="EZ459" s="5" t="str">
        <f t="shared" ref="EZ459:EZ465" si="1459">IF(EY459&lt;=0,"Nivel de riesgo bajo",
IF(EY459&lt;=4,"Nivel de riesgo medio",
"Nivel de riesgo alto"))</f>
        <v>Nivel de riesgo bajo</v>
      </c>
      <c r="FA459" s="5" t="s">
        <v>253</v>
      </c>
      <c r="FB459" s="5">
        <f t="shared" ref="FB459:FB465" si="1460">IF(FA459="Nunca/ casi nunca",0,
IF(FA459="Rara vez",1,
IF(FA459="A veces",2,
IF(FA459="A menudo",3,
IF(FA459="Siempre",4,"")))))</f>
        <v>0</v>
      </c>
      <c r="FC459" s="5" t="s">
        <v>253</v>
      </c>
      <c r="FD459" s="5">
        <f t="shared" ref="FD459:FD465" si="1461">IF(FC459="Nunca/ casi nunca",0,
IF(FC459="Rara vez",1,
IF(FC459="A veces",2,
IF(FC459="A menudo",3,
IF(FC459="Siempre",4,"")))))</f>
        <v>0</v>
      </c>
      <c r="FE459" s="5" t="s">
        <v>253</v>
      </c>
      <c r="FF459" s="5">
        <f t="shared" ref="FF459:FF465" si="1462">IF(FE459="Nunca/ casi nunca",0,
IF(FE459="Rara vez",1,
IF(FE459="A veces",2,
IF(FE459="A menudo",3,
IF(FE459="Siempre",4,"")))))</f>
        <v>0</v>
      </c>
      <c r="FG459" s="5">
        <f t="shared" ref="FG459:FG465" si="1463">SUM(FB459,FD459,FF459)</f>
        <v>0</v>
      </c>
      <c r="FH459" s="5" t="str">
        <f t="shared" ref="FH459:FH465" si="1464">IF(FG459&lt;=2,"Nivel de riesgo bajo",
IF(FG459&lt;=5,"Nivel de riesgo medio",
"Nivel de riesgo alto"))</f>
        <v>Nivel de riesgo bajo</v>
      </c>
      <c r="FI459" s="5" t="s">
        <v>253</v>
      </c>
      <c r="FJ459" s="5">
        <f t="shared" ref="FJ459:FJ465" si="1465">IF(FI459="Nunca/ casi nunca",0,
IF(FI459="Rara vez",1,
IF(FI459="A veces",2,
IF(FI459="A menudo",3,
IF(FI459="Siempre",4,"")))))</f>
        <v>0</v>
      </c>
      <c r="FK459" s="5" t="s">
        <v>253</v>
      </c>
      <c r="FL459" s="5">
        <f t="shared" ref="FL459:FL465" si="1466">IF(FK459="Nunca/ casi nunca",0,
IF(FK459="Rara vez",1,
IF(FK459="A veces",2,
IF(FK459="A menudo",3,
IF(FK459="Siempre",4,"")))))</f>
        <v>0</v>
      </c>
      <c r="FM459" s="5" t="s">
        <v>253</v>
      </c>
      <c r="FN459" s="5">
        <f t="shared" ref="FN459:FN465" si="1467">IF(FM459="Nunca/ casi nunca",0,
IF(FM459="Rara vez",1,
IF(FM459="A veces",2,
IF(FM459="A menudo",3,
IF(FM459="Siempre",4,"")))))</f>
        <v>0</v>
      </c>
      <c r="FO459" s="5">
        <f t="shared" ref="FO459:FO465" si="1468">SUM(FJ459,FL459,FN459)</f>
        <v>0</v>
      </c>
      <c r="FP459" s="5" t="str">
        <f t="shared" ref="FP459:FP465" si="1469">IF(FO459&lt;=2,"Nivel de riesgo bajo",
IF(FO459&lt;=5,"Nivel de riesgo medio",
"Nivel de riesgo alto"))</f>
        <v>Nivel de riesgo bajo</v>
      </c>
      <c r="FQ459" s="5" t="s">
        <v>206</v>
      </c>
      <c r="FR459" s="5">
        <f t="shared" ref="FR459:FR465" si="1470">IF(FQ459="No",0,
IF(FQ459="Sí, unas pocas veces",1,
IF(FQ459="Sí, mensualmente",2,
IF(FQ459="Sí, semanalmente",3,
IF(FQ459="Sí, diariamente",4,"")))))</f>
        <v>0</v>
      </c>
      <c r="FS459" s="5" t="s">
        <v>206</v>
      </c>
      <c r="FT459" s="5">
        <f t="shared" ref="FT459:FT465" si="1471">IF(FS459="No",0,
IF(FS459="Sí, unas pocas veces",1,
IF(FS459="Sí, mensualmente",2,
IF(FS459="Sí, semanalmente",3,
IF(FS459="Sí, diariamente",4,"")))))</f>
        <v>0</v>
      </c>
      <c r="FU459" s="5" t="s">
        <v>206</v>
      </c>
      <c r="FV459" s="5">
        <f t="shared" ref="FV459:FV465" si="1472">IF(FU459="No",0,
IF(FU459="Sí, unas pocas veces",1,
IF(FU459="Sí, mensualmente",2,
IF(FU459="Sí, semanalmente",3,
IF(FU459="Sí, diariamente",4,"")))))</f>
        <v>0</v>
      </c>
      <c r="FW459" s="5" t="s">
        <v>206</v>
      </c>
      <c r="FX459" s="5">
        <f t="shared" ref="FX459:FX465" si="1473">IF(FW459="No",0,
IF(FW459="Sí, unas pocas veces",1,
IF(FW459="Sí, mensualmente",2,
IF(FW459="Sí, semanalmente",3,
IF(FW459="Sí, diariamente",4,"")))))</f>
        <v>0</v>
      </c>
      <c r="FY459" s="5" t="s">
        <v>206</v>
      </c>
      <c r="FZ459" s="5">
        <f t="shared" ref="FZ459:FZ465" si="1474">IF(FY459="No",0,
IF(FY459="Sí, unas pocas veces",1,
IF(FY459="Sí, mensualmente",2,
IF(FY459="Sí, semanalmente",3,
IF(FY459="Sí, diariamente",4,"")))))</f>
        <v>0</v>
      </c>
      <c r="GA459" s="5" t="s">
        <v>206</v>
      </c>
      <c r="GB459" s="5">
        <f t="shared" ref="GB459:GB465" si="1475">IF(GA459="No",0,
IF(GA459="Sí, unas pocas veces",1,
IF(GA459="Sí, mensualmente",2,
IF(GA459="Sí, semanalmente",3,
IF(GA459="Sí, diariamente",4,"")))))</f>
        <v>0</v>
      </c>
      <c r="GC459" s="5" t="s">
        <v>206</v>
      </c>
      <c r="GD459" s="5">
        <f t="shared" ref="GD459:GD465" si="1476">IF(GC459="No",0,
IF(GC459="Sí, unas pocas veces",1,
IF(GC459="Sí, mensualmente",2,
IF(GC459="Sí, semanalmente",3,
IF(GC459="Sí, diariamente",4,"")))))</f>
        <v>0</v>
      </c>
      <c r="GE459" s="5">
        <f t="shared" ref="GE459:GE465" si="1477">SUM(FR459,FT459,FV459,FX459,FZ459,GB459,GD459)</f>
        <v>0</v>
      </c>
      <c r="GF459" s="5" t="str">
        <f t="shared" ref="GF459:GF465" si="1478">IF(GE459&lt;=0,"Nivel de riesgo bajo",
IF(GE459&lt;=14,"Nivel de riesgo medio",
"Nivel de riesgo alto"))</f>
        <v>Nivel de riesgo bajo</v>
      </c>
      <c r="GG459" s="5" t="s">
        <v>255</v>
      </c>
      <c r="GH459" s="5" t="s">
        <v>273</v>
      </c>
      <c r="GI459" s="5" t="s">
        <v>255</v>
      </c>
      <c r="GJ459" s="5" t="s">
        <v>273</v>
      </c>
      <c r="GK459" s="5" t="s">
        <v>233</v>
      </c>
      <c r="GL459" s="5" t="s">
        <v>233</v>
      </c>
      <c r="GM459" s="5" t="s">
        <v>233</v>
      </c>
      <c r="GN459" s="5" t="s">
        <v>256</v>
      </c>
      <c r="GO459" s="5" t="s">
        <v>256</v>
      </c>
      <c r="GP459" s="5" t="s">
        <v>256</v>
      </c>
      <c r="GQ459" s="5" t="s">
        <v>256</v>
      </c>
      <c r="GR459" s="5" t="s">
        <v>256</v>
      </c>
      <c r="GS459" s="5" t="s">
        <v>256</v>
      </c>
      <c r="GT459" s="5" t="s">
        <v>256</v>
      </c>
      <c r="GU459" s="5" t="s">
        <v>826</v>
      </c>
      <c r="GV459" s="5" t="str">
        <f>TEXT("6290160213947493627","0")</f>
        <v>6290160213947490000</v>
      </c>
    </row>
    <row r="460" spans="1:204" ht="15.75" customHeight="1" x14ac:dyDescent="0.15">
      <c r="A460" s="1">
        <f t="shared" si="1428"/>
        <v>460</v>
      </c>
      <c r="B460" s="4">
        <v>45860.579016203701</v>
      </c>
      <c r="C460" s="5" t="s">
        <v>204</v>
      </c>
      <c r="D460" s="5" t="s">
        <v>206</v>
      </c>
      <c r="F460" s="5" t="s">
        <v>206</v>
      </c>
      <c r="G460" s="5" t="s">
        <v>206</v>
      </c>
      <c r="H460" s="5" t="s">
        <v>206</v>
      </c>
      <c r="L460" s="5" t="s">
        <v>236</v>
      </c>
      <c r="O460" s="5" t="s">
        <v>209</v>
      </c>
      <c r="S460" s="5" t="s">
        <v>208</v>
      </c>
      <c r="AB460" s="5" t="s">
        <v>207</v>
      </c>
      <c r="AD460" s="5" t="s">
        <v>209</v>
      </c>
      <c r="AH460" s="5" t="s">
        <v>210</v>
      </c>
      <c r="AI460" s="5">
        <v>2021</v>
      </c>
      <c r="AJ460" s="5" t="s">
        <v>238</v>
      </c>
      <c r="AK460" s="5" t="str">
        <f t="shared" si="1429"/>
        <v>Trabajadora por cuenta propia</v>
      </c>
      <c r="AL460" s="5" t="s">
        <v>239</v>
      </c>
      <c r="AP460" s="5" t="s">
        <v>284</v>
      </c>
      <c r="AR460" s="5" t="s">
        <v>241</v>
      </c>
      <c r="AS460" s="5" t="s">
        <v>241</v>
      </c>
      <c r="AT460" s="5" t="s">
        <v>241</v>
      </c>
      <c r="AU460" s="5" t="s">
        <v>241</v>
      </c>
      <c r="AV460" s="5" t="s">
        <v>269</v>
      </c>
      <c r="AW460" s="5" t="s">
        <v>204</v>
      </c>
      <c r="AX460" s="5" t="s">
        <v>204</v>
      </c>
      <c r="AY460" s="5" t="s">
        <v>214</v>
      </c>
      <c r="AZ460" s="5" t="s">
        <v>204</v>
      </c>
      <c r="BA460" s="5" t="s">
        <v>263</v>
      </c>
      <c r="BF460" s="5" t="s">
        <v>204</v>
      </c>
      <c r="BG460" s="5" t="s">
        <v>215</v>
      </c>
      <c r="BH460" s="5" t="s">
        <v>264</v>
      </c>
      <c r="BI460" s="5" t="s">
        <v>271</v>
      </c>
      <c r="BJ460" s="5" t="s">
        <v>242</v>
      </c>
      <c r="BK460" s="5" t="s">
        <v>245</v>
      </c>
      <c r="BL460" s="5" t="s">
        <v>243</v>
      </c>
      <c r="BM460" s="5" t="s">
        <v>245</v>
      </c>
      <c r="BN460" s="5" t="s">
        <v>245</v>
      </c>
      <c r="BO460" s="5" t="s">
        <v>245</v>
      </c>
      <c r="BP460" s="5" t="s">
        <v>245</v>
      </c>
      <c r="BQ460" s="5" t="s">
        <v>245</v>
      </c>
      <c r="BR460" s="5" t="s">
        <v>245</v>
      </c>
      <c r="BS460" s="5" t="s">
        <v>254</v>
      </c>
      <c r="BT460" s="5" t="s">
        <v>247</v>
      </c>
      <c r="BU460" s="5" t="s">
        <v>247</v>
      </c>
      <c r="BV460" s="5" t="s">
        <v>217</v>
      </c>
      <c r="BW460" s="5" t="s">
        <v>254</v>
      </c>
      <c r="BX460" s="5" t="s">
        <v>247</v>
      </c>
      <c r="BY460" s="5" t="s">
        <v>248</v>
      </c>
      <c r="BZ460" s="5" t="s">
        <v>243</v>
      </c>
      <c r="CA460" s="5" t="s">
        <v>243</v>
      </c>
      <c r="CB460" s="5" t="s">
        <v>245</v>
      </c>
      <c r="CC460" s="5" t="s">
        <v>245</v>
      </c>
      <c r="CD460" s="5" t="s">
        <v>206</v>
      </c>
      <c r="CH460" s="5" t="s">
        <v>206</v>
      </c>
      <c r="CI460" s="5" t="s">
        <v>307</v>
      </c>
      <c r="CJ460" s="5">
        <v>3</v>
      </c>
      <c r="CM460" s="5" t="s">
        <v>358</v>
      </c>
      <c r="CU460" s="5" t="s">
        <v>204</v>
      </c>
      <c r="CV460" s="5" t="s">
        <v>350</v>
      </c>
      <c r="CW460" s="5" t="s">
        <v>351</v>
      </c>
      <c r="CX460" s="5" t="s">
        <v>752</v>
      </c>
      <c r="CY460" s="5" t="s">
        <v>353</v>
      </c>
      <c r="CZ460" s="5" t="s">
        <v>228</v>
      </c>
      <c r="DA460" s="5" t="s">
        <v>272</v>
      </c>
      <c r="DB460" s="5">
        <f t="shared" si="1430"/>
        <v>1</v>
      </c>
      <c r="DC460" s="5" t="s">
        <v>250</v>
      </c>
      <c r="DD460" s="5">
        <f t="shared" si="1431"/>
        <v>3</v>
      </c>
      <c r="DE460" s="5" t="s">
        <v>230</v>
      </c>
      <c r="DF460" s="5">
        <f t="shared" si="1432"/>
        <v>2</v>
      </c>
      <c r="DG460" s="5" t="s">
        <v>251</v>
      </c>
      <c r="DH460" s="5">
        <f t="shared" si="1433"/>
        <v>1</v>
      </c>
      <c r="DI460" s="5" t="s">
        <v>230</v>
      </c>
      <c r="DJ460" s="5">
        <f t="shared" si="1434"/>
        <v>2</v>
      </c>
      <c r="DK460" s="5" t="s">
        <v>251</v>
      </c>
      <c r="DL460" s="5">
        <f t="shared" si="1435"/>
        <v>1</v>
      </c>
      <c r="DM460" s="5" t="s">
        <v>251</v>
      </c>
      <c r="DN460" s="5">
        <f t="shared" si="1436"/>
        <v>1</v>
      </c>
      <c r="DO460" s="5" t="s">
        <v>281</v>
      </c>
      <c r="DP460" s="5">
        <f t="shared" si="1437"/>
        <v>1</v>
      </c>
      <c r="DQ460" s="5" t="s">
        <v>281</v>
      </c>
      <c r="DR460" s="5">
        <f t="shared" si="1438"/>
        <v>1</v>
      </c>
      <c r="DS460" s="5" t="s">
        <v>281</v>
      </c>
      <c r="DT460" s="5">
        <f t="shared" si="1439"/>
        <v>1</v>
      </c>
      <c r="DU460" s="5" t="s">
        <v>281</v>
      </c>
      <c r="DV460" s="5">
        <f t="shared" si="1440"/>
        <v>1</v>
      </c>
      <c r="DW460" s="5" t="s">
        <v>281</v>
      </c>
      <c r="DX460" s="5">
        <f t="shared" si="1441"/>
        <v>1</v>
      </c>
      <c r="DY460" s="5">
        <f t="shared" si="1442"/>
        <v>16</v>
      </c>
      <c r="DZ460" s="5" t="str">
        <f t="shared" si="1443"/>
        <v>Nivel de riesgo bajo</v>
      </c>
      <c r="EA460" s="5" t="s">
        <v>248</v>
      </c>
      <c r="EB460" s="5">
        <f t="shared" si="1444"/>
        <v>1</v>
      </c>
      <c r="EC460" s="5" t="s">
        <v>248</v>
      </c>
      <c r="ED460" s="5">
        <f t="shared" si="1445"/>
        <v>1</v>
      </c>
      <c r="EE460" s="5" t="s">
        <v>253</v>
      </c>
      <c r="EF460" s="5">
        <f t="shared" si="1446"/>
        <v>0</v>
      </c>
      <c r="EG460" s="5">
        <f t="shared" si="1447"/>
        <v>2</v>
      </c>
      <c r="EH460" s="5" t="str">
        <f t="shared" si="1448"/>
        <v>Nivel de riesgo medio</v>
      </c>
      <c r="EI460" s="5" t="s">
        <v>253</v>
      </c>
      <c r="EJ460" s="5">
        <f t="shared" si="1449"/>
        <v>0</v>
      </c>
      <c r="EK460" s="5" t="s">
        <v>247</v>
      </c>
      <c r="EL460" s="5">
        <f t="shared" si="1450"/>
        <v>2</v>
      </c>
      <c r="EM460" s="5" t="s">
        <v>248</v>
      </c>
      <c r="EN460" s="5">
        <f t="shared" si="1451"/>
        <v>1</v>
      </c>
      <c r="EO460" s="5">
        <f t="shared" si="1452"/>
        <v>3</v>
      </c>
      <c r="EP460" s="5" t="str">
        <f t="shared" si="1453"/>
        <v>Nivel de riesgo medio</v>
      </c>
      <c r="EQ460" s="5" t="s">
        <v>253</v>
      </c>
      <c r="ER460" s="5">
        <f t="shared" si="1454"/>
        <v>4</v>
      </c>
      <c r="ES460" s="5" t="s">
        <v>253</v>
      </c>
      <c r="ET460" s="5">
        <f t="shared" si="1455"/>
        <v>4</v>
      </c>
      <c r="EU460" s="5" t="s">
        <v>254</v>
      </c>
      <c r="EV460" s="5">
        <f t="shared" si="1456"/>
        <v>0</v>
      </c>
      <c r="EW460" s="5" t="s">
        <v>254</v>
      </c>
      <c r="EX460" s="5">
        <f t="shared" si="1457"/>
        <v>0</v>
      </c>
      <c r="EY460" s="5">
        <f t="shared" si="1458"/>
        <v>8</v>
      </c>
      <c r="EZ460" s="5" t="str">
        <f t="shared" si="1459"/>
        <v>Nivel de riesgo alto</v>
      </c>
      <c r="FA460" s="5" t="s">
        <v>254</v>
      </c>
      <c r="FB460" s="5">
        <f t="shared" si="1460"/>
        <v>4</v>
      </c>
      <c r="FC460" s="5" t="s">
        <v>247</v>
      </c>
      <c r="FD460" s="5">
        <f t="shared" si="1461"/>
        <v>2</v>
      </c>
      <c r="FE460" s="5" t="s">
        <v>253</v>
      </c>
      <c r="FF460" s="5">
        <f t="shared" si="1462"/>
        <v>0</v>
      </c>
      <c r="FG460" s="5">
        <f t="shared" si="1463"/>
        <v>6</v>
      </c>
      <c r="FH460" s="5" t="str">
        <f t="shared" si="1464"/>
        <v>Nivel de riesgo alto</v>
      </c>
      <c r="FI460" s="5" t="s">
        <v>253</v>
      </c>
      <c r="FJ460" s="5">
        <f t="shared" si="1465"/>
        <v>0</v>
      </c>
      <c r="FK460" s="5" t="s">
        <v>253</v>
      </c>
      <c r="FL460" s="5">
        <f t="shared" si="1466"/>
        <v>0</v>
      </c>
      <c r="FM460" s="5" t="s">
        <v>253</v>
      </c>
      <c r="FN460" s="5">
        <f t="shared" si="1467"/>
        <v>0</v>
      </c>
      <c r="FO460" s="5">
        <f t="shared" si="1468"/>
        <v>0</v>
      </c>
      <c r="FP460" s="5" t="str">
        <f t="shared" si="1469"/>
        <v>Nivel de riesgo bajo</v>
      </c>
      <c r="FQ460" s="5" t="s">
        <v>206</v>
      </c>
      <c r="FR460" s="5">
        <f t="shared" si="1470"/>
        <v>0</v>
      </c>
      <c r="FS460" s="5" t="s">
        <v>206</v>
      </c>
      <c r="FT460" s="5">
        <f t="shared" si="1471"/>
        <v>0</v>
      </c>
      <c r="FU460" s="5" t="s">
        <v>206</v>
      </c>
      <c r="FV460" s="5">
        <f t="shared" si="1472"/>
        <v>0</v>
      </c>
      <c r="FW460" s="5" t="s">
        <v>206</v>
      </c>
      <c r="FX460" s="5">
        <f t="shared" si="1473"/>
        <v>0</v>
      </c>
      <c r="FY460" s="5" t="s">
        <v>206</v>
      </c>
      <c r="FZ460" s="5">
        <f t="shared" si="1474"/>
        <v>0</v>
      </c>
      <c r="GA460" s="5" t="s">
        <v>206</v>
      </c>
      <c r="GB460" s="5">
        <f t="shared" si="1475"/>
        <v>0</v>
      </c>
      <c r="GC460" s="5" t="s">
        <v>206</v>
      </c>
      <c r="GD460" s="5">
        <f t="shared" si="1476"/>
        <v>0</v>
      </c>
      <c r="GE460" s="5">
        <f t="shared" si="1477"/>
        <v>0</v>
      </c>
      <c r="GF460" s="5" t="str">
        <f t="shared" si="1478"/>
        <v>Nivel de riesgo bajo</v>
      </c>
      <c r="GG460" s="5" t="s">
        <v>273</v>
      </c>
      <c r="GH460" s="5" t="s">
        <v>273</v>
      </c>
      <c r="GI460" s="5" t="s">
        <v>273</v>
      </c>
      <c r="GJ460" s="5" t="s">
        <v>298</v>
      </c>
      <c r="GK460" s="5" t="s">
        <v>233</v>
      </c>
      <c r="GL460" s="5" t="s">
        <v>233</v>
      </c>
      <c r="GM460" s="5" t="s">
        <v>266</v>
      </c>
      <c r="GN460" s="5" t="s">
        <v>256</v>
      </c>
      <c r="GO460" s="5" t="s">
        <v>256</v>
      </c>
      <c r="GP460" s="5" t="s">
        <v>256</v>
      </c>
      <c r="GQ460" s="5" t="s">
        <v>256</v>
      </c>
      <c r="GR460" s="5" t="s">
        <v>256</v>
      </c>
      <c r="GS460" s="5" t="s">
        <v>256</v>
      </c>
      <c r="GT460" s="5" t="s">
        <v>256</v>
      </c>
      <c r="GU460" s="5" t="s">
        <v>827</v>
      </c>
      <c r="GV460" s="5" t="str">
        <f>TEXT("6290160274533783105","0")</f>
        <v>6290160274533780000</v>
      </c>
    </row>
    <row r="461" spans="1:204" ht="15.75" customHeight="1" x14ac:dyDescent="0.15">
      <c r="A461" s="1">
        <f t="shared" si="1428"/>
        <v>461</v>
      </c>
      <c r="B461" s="4">
        <v>45860.581030092595</v>
      </c>
      <c r="C461" s="5" t="s">
        <v>204</v>
      </c>
      <c r="D461" s="5" t="s">
        <v>206</v>
      </c>
      <c r="F461" s="5" t="s">
        <v>206</v>
      </c>
      <c r="G461" s="5" t="s">
        <v>206</v>
      </c>
      <c r="H461" s="5" t="s">
        <v>206</v>
      </c>
      <c r="K461" s="5" t="s">
        <v>237</v>
      </c>
      <c r="N461" s="5" t="s">
        <v>208</v>
      </c>
      <c r="S461" s="5" t="s">
        <v>208</v>
      </c>
      <c r="Y461" s="5" t="s">
        <v>209</v>
      </c>
      <c r="AC461" s="5" t="s">
        <v>208</v>
      </c>
      <c r="AH461" s="5" t="s">
        <v>268</v>
      </c>
      <c r="AI461" s="5">
        <v>2023</v>
      </c>
      <c r="AJ461" s="5" t="s">
        <v>337</v>
      </c>
      <c r="AK461" s="5" t="str">
        <f t="shared" si="1429"/>
        <v>Asalariada</v>
      </c>
      <c r="AQ461" s="5" t="s">
        <v>204</v>
      </c>
      <c r="AR461" s="5" t="s">
        <v>241</v>
      </c>
      <c r="AS461" s="5" t="s">
        <v>241</v>
      </c>
      <c r="AT461" s="5" t="s">
        <v>241</v>
      </c>
      <c r="AU461" s="5" t="s">
        <v>241</v>
      </c>
      <c r="AV461" s="5" t="s">
        <v>277</v>
      </c>
      <c r="AW461" s="5" t="s">
        <v>204</v>
      </c>
      <c r="AX461" s="5" t="s">
        <v>206</v>
      </c>
      <c r="BF461" s="5" t="s">
        <v>204</v>
      </c>
      <c r="BG461" s="5" t="s">
        <v>207</v>
      </c>
      <c r="BH461" s="5" t="s">
        <v>207</v>
      </c>
      <c r="BI461" s="5" t="s">
        <v>207</v>
      </c>
      <c r="BJ461" s="5" t="s">
        <v>215</v>
      </c>
      <c r="BK461" s="5" t="s">
        <v>216</v>
      </c>
      <c r="BL461" s="5" t="s">
        <v>216</v>
      </c>
      <c r="BM461" s="5" t="s">
        <v>244</v>
      </c>
      <c r="BN461" s="5" t="s">
        <v>216</v>
      </c>
      <c r="BO461" s="5" t="s">
        <v>244</v>
      </c>
      <c r="BP461" s="5" t="s">
        <v>246</v>
      </c>
      <c r="BQ461" s="5" t="s">
        <v>244</v>
      </c>
      <c r="BR461" s="5" t="s">
        <v>244</v>
      </c>
      <c r="BS461" s="5" t="s">
        <v>248</v>
      </c>
      <c r="BT461" s="5" t="s">
        <v>217</v>
      </c>
      <c r="BU461" s="5" t="s">
        <v>248</v>
      </c>
      <c r="BV461" s="5" t="s">
        <v>217</v>
      </c>
      <c r="BW461" s="5" t="s">
        <v>217</v>
      </c>
      <c r="BX461" s="5" t="s">
        <v>217</v>
      </c>
      <c r="BY461" s="5" t="s">
        <v>217</v>
      </c>
      <c r="BZ461" s="5" t="s">
        <v>216</v>
      </c>
      <c r="CA461" s="5" t="s">
        <v>216</v>
      </c>
      <c r="CB461" s="5" t="s">
        <v>216</v>
      </c>
      <c r="CC461" s="5" t="s">
        <v>244</v>
      </c>
      <c r="CD461" s="5" t="s">
        <v>206</v>
      </c>
      <c r="CH461" s="5" t="s">
        <v>206</v>
      </c>
      <c r="CI461" s="5" t="s">
        <v>206</v>
      </c>
      <c r="CJ461" s="5">
        <v>2</v>
      </c>
      <c r="CK461" s="5" t="s">
        <v>223</v>
      </c>
      <c r="CU461" s="5" t="s">
        <v>206</v>
      </c>
      <c r="DA461" s="5" t="s">
        <v>272</v>
      </c>
      <c r="DB461" s="5">
        <f t="shared" si="1430"/>
        <v>1</v>
      </c>
      <c r="DC461" s="5" t="s">
        <v>251</v>
      </c>
      <c r="DD461" s="5">
        <f t="shared" si="1431"/>
        <v>1</v>
      </c>
      <c r="DE461" s="5" t="s">
        <v>251</v>
      </c>
      <c r="DF461" s="5">
        <f t="shared" si="1432"/>
        <v>1</v>
      </c>
      <c r="DG461" s="5" t="s">
        <v>251</v>
      </c>
      <c r="DH461" s="5">
        <f t="shared" si="1433"/>
        <v>1</v>
      </c>
      <c r="DI461" s="5" t="s">
        <v>251</v>
      </c>
      <c r="DJ461" s="5">
        <f t="shared" si="1434"/>
        <v>1</v>
      </c>
      <c r="DK461" s="5" t="s">
        <v>251</v>
      </c>
      <c r="DL461" s="5">
        <f t="shared" si="1435"/>
        <v>1</v>
      </c>
      <c r="DM461" s="5" t="s">
        <v>251</v>
      </c>
      <c r="DN461" s="5">
        <f t="shared" si="1436"/>
        <v>1</v>
      </c>
      <c r="DO461" s="5" t="s">
        <v>281</v>
      </c>
      <c r="DP461" s="5">
        <f t="shared" si="1437"/>
        <v>1</v>
      </c>
      <c r="DQ461" s="5" t="s">
        <v>281</v>
      </c>
      <c r="DR461" s="5">
        <f t="shared" si="1438"/>
        <v>1</v>
      </c>
      <c r="DS461" s="5" t="s">
        <v>281</v>
      </c>
      <c r="DT461" s="5">
        <f t="shared" si="1439"/>
        <v>1</v>
      </c>
      <c r="DU461" s="5" t="s">
        <v>281</v>
      </c>
      <c r="DV461" s="5">
        <f t="shared" si="1440"/>
        <v>1</v>
      </c>
      <c r="DW461" s="5" t="s">
        <v>281</v>
      </c>
      <c r="DX461" s="5">
        <f t="shared" si="1441"/>
        <v>1</v>
      </c>
      <c r="DY461" s="5">
        <f t="shared" si="1442"/>
        <v>12</v>
      </c>
      <c r="DZ461" s="5" t="str">
        <f t="shared" si="1443"/>
        <v>Nivel de riesgo bajo</v>
      </c>
      <c r="EA461" s="5" t="s">
        <v>254</v>
      </c>
      <c r="EB461" s="5">
        <f t="shared" si="1444"/>
        <v>4</v>
      </c>
      <c r="EC461" s="5" t="s">
        <v>254</v>
      </c>
      <c r="ED461" s="5">
        <f t="shared" si="1445"/>
        <v>4</v>
      </c>
      <c r="EE461" s="5" t="s">
        <v>254</v>
      </c>
      <c r="EF461" s="5">
        <f t="shared" si="1446"/>
        <v>4</v>
      </c>
      <c r="EG461" s="5">
        <f t="shared" si="1447"/>
        <v>12</v>
      </c>
      <c r="EH461" s="5" t="str">
        <f t="shared" si="1448"/>
        <v>Nivel de riesgo alto</v>
      </c>
      <c r="EI461" s="5" t="s">
        <v>254</v>
      </c>
      <c r="EJ461" s="5">
        <f t="shared" si="1449"/>
        <v>4</v>
      </c>
      <c r="EK461" s="5" t="s">
        <v>254</v>
      </c>
      <c r="EL461" s="5">
        <f t="shared" si="1450"/>
        <v>4</v>
      </c>
      <c r="EM461" s="5" t="s">
        <v>254</v>
      </c>
      <c r="EN461" s="5">
        <f t="shared" si="1451"/>
        <v>4</v>
      </c>
      <c r="EO461" s="5">
        <f t="shared" si="1452"/>
        <v>12</v>
      </c>
      <c r="EP461" s="5" t="str">
        <f t="shared" si="1453"/>
        <v>Nivel de riesgo alto</v>
      </c>
      <c r="EQ461" s="5" t="s">
        <v>254</v>
      </c>
      <c r="ER461" s="5">
        <f t="shared" si="1454"/>
        <v>0</v>
      </c>
      <c r="ES461" s="5" t="s">
        <v>254</v>
      </c>
      <c r="ET461" s="5">
        <f t="shared" si="1455"/>
        <v>0</v>
      </c>
      <c r="EU461" s="5" t="s">
        <v>254</v>
      </c>
      <c r="EV461" s="5">
        <f t="shared" si="1456"/>
        <v>0</v>
      </c>
      <c r="EW461" s="5" t="s">
        <v>254</v>
      </c>
      <c r="EX461" s="5">
        <f t="shared" si="1457"/>
        <v>0</v>
      </c>
      <c r="EY461" s="5">
        <f t="shared" si="1458"/>
        <v>0</v>
      </c>
      <c r="EZ461" s="5" t="str">
        <f t="shared" si="1459"/>
        <v>Nivel de riesgo bajo</v>
      </c>
      <c r="FA461" s="5" t="s">
        <v>254</v>
      </c>
      <c r="FB461" s="5">
        <f t="shared" si="1460"/>
        <v>4</v>
      </c>
      <c r="FC461" s="5" t="s">
        <v>254</v>
      </c>
      <c r="FD461" s="5">
        <f t="shared" si="1461"/>
        <v>4</v>
      </c>
      <c r="FE461" s="5" t="s">
        <v>254</v>
      </c>
      <c r="FF461" s="5">
        <f t="shared" si="1462"/>
        <v>4</v>
      </c>
      <c r="FG461" s="5">
        <f t="shared" si="1463"/>
        <v>12</v>
      </c>
      <c r="FH461" s="5" t="str">
        <f t="shared" si="1464"/>
        <v>Nivel de riesgo alto</v>
      </c>
      <c r="FI461" s="5" t="s">
        <v>254</v>
      </c>
      <c r="FJ461" s="5">
        <f t="shared" si="1465"/>
        <v>4</v>
      </c>
      <c r="FK461" s="5" t="s">
        <v>254</v>
      </c>
      <c r="FL461" s="5">
        <f t="shared" si="1466"/>
        <v>4</v>
      </c>
      <c r="FM461" s="5" t="s">
        <v>254</v>
      </c>
      <c r="FN461" s="5">
        <f t="shared" si="1467"/>
        <v>4</v>
      </c>
      <c r="FO461" s="5">
        <f t="shared" si="1468"/>
        <v>12</v>
      </c>
      <c r="FP461" s="5" t="str">
        <f t="shared" si="1469"/>
        <v>Nivel de riesgo alto</v>
      </c>
      <c r="FQ461" s="5" t="s">
        <v>206</v>
      </c>
      <c r="FR461" s="5">
        <f t="shared" si="1470"/>
        <v>0</v>
      </c>
      <c r="FS461" s="5" t="s">
        <v>206</v>
      </c>
      <c r="FT461" s="5">
        <f t="shared" si="1471"/>
        <v>0</v>
      </c>
      <c r="FU461" s="5" t="s">
        <v>206</v>
      </c>
      <c r="FV461" s="5">
        <f t="shared" si="1472"/>
        <v>0</v>
      </c>
      <c r="FW461" s="5" t="s">
        <v>206</v>
      </c>
      <c r="FX461" s="5">
        <f t="shared" si="1473"/>
        <v>0</v>
      </c>
      <c r="FY461" s="5" t="s">
        <v>206</v>
      </c>
      <c r="FZ461" s="5">
        <f t="shared" si="1474"/>
        <v>0</v>
      </c>
      <c r="GA461" s="5" t="s">
        <v>206</v>
      </c>
      <c r="GB461" s="5">
        <f t="shared" si="1475"/>
        <v>0</v>
      </c>
      <c r="GC461" s="5" t="s">
        <v>206</v>
      </c>
      <c r="GD461" s="5">
        <f t="shared" si="1476"/>
        <v>0</v>
      </c>
      <c r="GE461" s="5">
        <f t="shared" si="1477"/>
        <v>0</v>
      </c>
      <c r="GF461" s="5" t="str">
        <f t="shared" si="1478"/>
        <v>Nivel de riesgo bajo</v>
      </c>
      <c r="GG461" s="5" t="s">
        <v>273</v>
      </c>
      <c r="GH461" s="5" t="s">
        <v>273</v>
      </c>
      <c r="GI461" s="5" t="s">
        <v>273</v>
      </c>
      <c r="GJ461" s="5" t="s">
        <v>233</v>
      </c>
      <c r="GK461" s="5" t="s">
        <v>233</v>
      </c>
      <c r="GL461" s="5" t="s">
        <v>233</v>
      </c>
      <c r="GM461" s="5" t="s">
        <v>266</v>
      </c>
      <c r="GN461" s="5" t="s">
        <v>243</v>
      </c>
      <c r="GO461" s="5" t="s">
        <v>243</v>
      </c>
      <c r="GP461" s="5" t="s">
        <v>243</v>
      </c>
      <c r="GQ461" s="5" t="s">
        <v>243</v>
      </c>
      <c r="GR461" s="5" t="s">
        <v>243</v>
      </c>
      <c r="GS461" s="5" t="s">
        <v>243</v>
      </c>
      <c r="GT461" s="5" t="s">
        <v>243</v>
      </c>
      <c r="GU461" s="5" t="s">
        <v>828</v>
      </c>
      <c r="GV461" s="5" t="str">
        <f>TEXT("6290162018918717664","0")</f>
        <v>6290162018918710000</v>
      </c>
    </row>
    <row r="462" spans="1:204" ht="15.75" customHeight="1" x14ac:dyDescent="0.15">
      <c r="A462" s="1">
        <f t="shared" si="1428"/>
        <v>462</v>
      </c>
      <c r="B462" s="4">
        <v>45860.581736111111</v>
      </c>
      <c r="C462" s="5" t="s">
        <v>204</v>
      </c>
      <c r="D462" s="5" t="s">
        <v>206</v>
      </c>
      <c r="F462" s="5" t="s">
        <v>204</v>
      </c>
      <c r="G462" s="5" t="s">
        <v>206</v>
      </c>
      <c r="H462" s="5" t="s">
        <v>206</v>
      </c>
      <c r="L462" s="5" t="s">
        <v>236</v>
      </c>
      <c r="O462" s="5" t="s">
        <v>209</v>
      </c>
      <c r="T462" s="5" t="s">
        <v>209</v>
      </c>
      <c r="Y462" s="5" t="s">
        <v>209</v>
      </c>
      <c r="AG462" s="5" t="s">
        <v>207</v>
      </c>
      <c r="AH462" s="5" t="s">
        <v>268</v>
      </c>
      <c r="AI462" s="5">
        <v>2023</v>
      </c>
      <c r="AJ462" s="5" t="s">
        <v>238</v>
      </c>
      <c r="AK462" s="5" t="str">
        <f t="shared" si="1429"/>
        <v>Trabajadora por cuenta propia</v>
      </c>
      <c r="AM462" s="5" t="s">
        <v>309</v>
      </c>
      <c r="AP462" s="5" t="s">
        <v>321</v>
      </c>
      <c r="AR462" s="5" t="s">
        <v>261</v>
      </c>
      <c r="AS462" s="5" t="s">
        <v>301</v>
      </c>
      <c r="AT462" s="5" t="s">
        <v>261</v>
      </c>
      <c r="AU462" s="5" t="s">
        <v>261</v>
      </c>
      <c r="AV462" s="5" t="s">
        <v>213</v>
      </c>
      <c r="AW462" s="5" t="s">
        <v>206</v>
      </c>
      <c r="BF462" s="5" t="s">
        <v>204</v>
      </c>
      <c r="BG462" s="5" t="s">
        <v>278</v>
      </c>
      <c r="BH462" s="5" t="s">
        <v>278</v>
      </c>
      <c r="BI462" s="5" t="s">
        <v>278</v>
      </c>
      <c r="BJ462" s="5" t="s">
        <v>278</v>
      </c>
      <c r="BK462" s="5" t="s">
        <v>245</v>
      </c>
      <c r="BL462" s="5" t="s">
        <v>245</v>
      </c>
      <c r="BM462" s="5" t="s">
        <v>245</v>
      </c>
      <c r="BN462" s="5" t="s">
        <v>245</v>
      </c>
      <c r="BO462" s="5" t="s">
        <v>243</v>
      </c>
      <c r="BP462" s="5" t="s">
        <v>245</v>
      </c>
      <c r="BQ462" s="5" t="s">
        <v>243</v>
      </c>
      <c r="BR462" s="5" t="s">
        <v>243</v>
      </c>
      <c r="BS462" s="5" t="s">
        <v>247</v>
      </c>
      <c r="BT462" s="5" t="s">
        <v>254</v>
      </c>
      <c r="BU462" s="5" t="s">
        <v>247</v>
      </c>
      <c r="BV462" s="5" t="s">
        <v>254</v>
      </c>
      <c r="BW462" s="5" t="s">
        <v>247</v>
      </c>
      <c r="BX462" s="5" t="s">
        <v>247</v>
      </c>
      <c r="BY462" s="5" t="s">
        <v>247</v>
      </c>
      <c r="CD462" s="5" t="s">
        <v>206</v>
      </c>
      <c r="CH462" s="5" t="s">
        <v>331</v>
      </c>
      <c r="CI462" s="5" t="s">
        <v>291</v>
      </c>
      <c r="CJ462" s="5">
        <v>1</v>
      </c>
      <c r="CK462" s="5" t="s">
        <v>223</v>
      </c>
      <c r="CU462" s="5" t="s">
        <v>206</v>
      </c>
      <c r="DA462" s="5" t="s">
        <v>252</v>
      </c>
      <c r="DB462" s="5">
        <f t="shared" si="1430"/>
        <v>3</v>
      </c>
      <c r="DC462" s="5" t="s">
        <v>230</v>
      </c>
      <c r="DD462" s="5">
        <f t="shared" si="1431"/>
        <v>2</v>
      </c>
      <c r="DE462" s="5" t="s">
        <v>280</v>
      </c>
      <c r="DF462" s="5">
        <f t="shared" si="1432"/>
        <v>4</v>
      </c>
      <c r="DG462" s="5" t="s">
        <v>280</v>
      </c>
      <c r="DH462" s="5">
        <f t="shared" si="1433"/>
        <v>4</v>
      </c>
      <c r="DI462" s="5" t="s">
        <v>280</v>
      </c>
      <c r="DJ462" s="5">
        <f t="shared" si="1434"/>
        <v>4</v>
      </c>
      <c r="DK462" s="5" t="s">
        <v>280</v>
      </c>
      <c r="DL462" s="5">
        <f t="shared" si="1435"/>
        <v>4</v>
      </c>
      <c r="DM462" s="5" t="s">
        <v>280</v>
      </c>
      <c r="DN462" s="5">
        <f t="shared" si="1436"/>
        <v>4</v>
      </c>
      <c r="DO462" s="5" t="s">
        <v>231</v>
      </c>
      <c r="DP462" s="5">
        <f t="shared" si="1437"/>
        <v>2</v>
      </c>
      <c r="DQ462" s="5" t="s">
        <v>231</v>
      </c>
      <c r="DR462" s="5">
        <f t="shared" si="1438"/>
        <v>2</v>
      </c>
      <c r="DS462" s="5" t="s">
        <v>231</v>
      </c>
      <c r="DT462" s="5">
        <f t="shared" si="1439"/>
        <v>2</v>
      </c>
      <c r="DU462" s="5" t="s">
        <v>231</v>
      </c>
      <c r="DV462" s="5">
        <f t="shared" si="1440"/>
        <v>2</v>
      </c>
      <c r="DW462" s="5" t="s">
        <v>231</v>
      </c>
      <c r="DX462" s="5">
        <f t="shared" si="1441"/>
        <v>2</v>
      </c>
      <c r="DY462" s="5">
        <f t="shared" si="1442"/>
        <v>35</v>
      </c>
      <c r="DZ462" s="5" t="str">
        <f t="shared" si="1443"/>
        <v>Nivel de riesgo alto</v>
      </c>
      <c r="EA462" s="5" t="s">
        <v>247</v>
      </c>
      <c r="EB462" s="5">
        <f t="shared" si="1444"/>
        <v>2</v>
      </c>
      <c r="EC462" s="5" t="s">
        <v>247</v>
      </c>
      <c r="ED462" s="5">
        <f t="shared" si="1445"/>
        <v>2</v>
      </c>
      <c r="EE462" s="5" t="s">
        <v>247</v>
      </c>
      <c r="EF462" s="5">
        <f t="shared" si="1446"/>
        <v>2</v>
      </c>
      <c r="EG462" s="5">
        <f t="shared" si="1447"/>
        <v>6</v>
      </c>
      <c r="EH462" s="5" t="str">
        <f t="shared" si="1448"/>
        <v>Nivel de riesgo alto</v>
      </c>
      <c r="EI462" s="5" t="s">
        <v>247</v>
      </c>
      <c r="EJ462" s="5">
        <f t="shared" si="1449"/>
        <v>2</v>
      </c>
      <c r="EK462" s="5" t="s">
        <v>247</v>
      </c>
      <c r="EL462" s="5">
        <f t="shared" si="1450"/>
        <v>2</v>
      </c>
      <c r="EM462" s="5" t="s">
        <v>247</v>
      </c>
      <c r="EN462" s="5">
        <f t="shared" si="1451"/>
        <v>2</v>
      </c>
      <c r="EO462" s="5">
        <f t="shared" si="1452"/>
        <v>6</v>
      </c>
      <c r="EP462" s="5" t="str">
        <f t="shared" si="1453"/>
        <v>Nivel de riesgo alto</v>
      </c>
      <c r="EQ462" s="5" t="s">
        <v>247</v>
      </c>
      <c r="ER462" s="5">
        <f t="shared" si="1454"/>
        <v>2</v>
      </c>
      <c r="ES462" s="5" t="s">
        <v>247</v>
      </c>
      <c r="ET462" s="5">
        <f t="shared" si="1455"/>
        <v>2</v>
      </c>
      <c r="EU462" s="5" t="s">
        <v>247</v>
      </c>
      <c r="EV462" s="5">
        <f t="shared" si="1456"/>
        <v>2</v>
      </c>
      <c r="EW462" s="5" t="s">
        <v>247</v>
      </c>
      <c r="EX462" s="5">
        <f t="shared" si="1457"/>
        <v>2</v>
      </c>
      <c r="EY462" s="5">
        <f t="shared" si="1458"/>
        <v>8</v>
      </c>
      <c r="EZ462" s="5" t="str">
        <f t="shared" si="1459"/>
        <v>Nivel de riesgo alto</v>
      </c>
      <c r="FA462" s="5" t="s">
        <v>247</v>
      </c>
      <c r="FB462" s="5">
        <f t="shared" si="1460"/>
        <v>2</v>
      </c>
      <c r="FC462" s="5" t="s">
        <v>247</v>
      </c>
      <c r="FD462" s="5">
        <f t="shared" si="1461"/>
        <v>2</v>
      </c>
      <c r="FE462" s="5" t="s">
        <v>247</v>
      </c>
      <c r="FF462" s="5">
        <f t="shared" si="1462"/>
        <v>2</v>
      </c>
      <c r="FG462" s="5">
        <f t="shared" si="1463"/>
        <v>6</v>
      </c>
      <c r="FH462" s="5" t="str">
        <f t="shared" si="1464"/>
        <v>Nivel de riesgo alto</v>
      </c>
      <c r="FI462" s="5" t="s">
        <v>247</v>
      </c>
      <c r="FJ462" s="5">
        <f t="shared" si="1465"/>
        <v>2</v>
      </c>
      <c r="FK462" s="5" t="s">
        <v>247</v>
      </c>
      <c r="FL462" s="5">
        <f t="shared" si="1466"/>
        <v>2</v>
      </c>
      <c r="FM462" s="5" t="s">
        <v>247</v>
      </c>
      <c r="FN462" s="5">
        <f t="shared" si="1467"/>
        <v>2</v>
      </c>
      <c r="FO462" s="5">
        <f t="shared" si="1468"/>
        <v>6</v>
      </c>
      <c r="FP462" s="5" t="str">
        <f t="shared" si="1469"/>
        <v>Nivel de riesgo alto</v>
      </c>
      <c r="FQ462" s="5" t="s">
        <v>206</v>
      </c>
      <c r="FR462" s="5">
        <f t="shared" si="1470"/>
        <v>0</v>
      </c>
      <c r="FS462" s="5" t="s">
        <v>265</v>
      </c>
      <c r="FT462" s="5">
        <f t="shared" si="1471"/>
        <v>1</v>
      </c>
      <c r="FU462" s="5" t="s">
        <v>206</v>
      </c>
      <c r="FV462" s="5">
        <f t="shared" si="1472"/>
        <v>0</v>
      </c>
      <c r="FW462" s="5" t="s">
        <v>206</v>
      </c>
      <c r="FX462" s="5">
        <f t="shared" si="1473"/>
        <v>0</v>
      </c>
      <c r="FY462" s="5" t="s">
        <v>206</v>
      </c>
      <c r="FZ462" s="5">
        <f t="shared" si="1474"/>
        <v>0</v>
      </c>
      <c r="GA462" s="5" t="s">
        <v>206</v>
      </c>
      <c r="GB462" s="5">
        <f t="shared" si="1475"/>
        <v>0</v>
      </c>
      <c r="GC462" s="5" t="s">
        <v>206</v>
      </c>
      <c r="GD462" s="5">
        <f t="shared" si="1476"/>
        <v>0</v>
      </c>
      <c r="GE462" s="5">
        <f t="shared" si="1477"/>
        <v>1</v>
      </c>
      <c r="GF462" s="5" t="str">
        <f t="shared" si="1478"/>
        <v>Nivel de riesgo medio</v>
      </c>
      <c r="GG462" s="5" t="s">
        <v>233</v>
      </c>
      <c r="GH462" s="5" t="s">
        <v>233</v>
      </c>
      <c r="GI462" s="5" t="s">
        <v>233</v>
      </c>
      <c r="GJ462" s="5" t="s">
        <v>233</v>
      </c>
      <c r="GK462" s="5" t="s">
        <v>233</v>
      </c>
      <c r="GL462" s="5" t="s">
        <v>233</v>
      </c>
      <c r="GM462" s="5" t="s">
        <v>233</v>
      </c>
      <c r="GN462" s="5" t="s">
        <v>257</v>
      </c>
      <c r="GO462" s="5" t="s">
        <v>257</v>
      </c>
      <c r="GP462" s="5" t="s">
        <v>257</v>
      </c>
      <c r="GQ462" s="5" t="s">
        <v>257</v>
      </c>
      <c r="GR462" s="5" t="s">
        <v>257</v>
      </c>
      <c r="GS462" s="5" t="s">
        <v>257</v>
      </c>
      <c r="GT462" s="5" t="s">
        <v>257</v>
      </c>
      <c r="GU462" s="5" t="s">
        <v>829</v>
      </c>
      <c r="GV462" s="5" t="str">
        <f>TEXT("6290162620625511107","0")</f>
        <v>6290162620625510000</v>
      </c>
    </row>
    <row r="463" spans="1:204" ht="15.75" customHeight="1" x14ac:dyDescent="0.15">
      <c r="A463" s="1">
        <f t="shared" si="1428"/>
        <v>463</v>
      </c>
      <c r="B463" s="4">
        <v>45860.585162037038</v>
      </c>
      <c r="C463" s="5" t="s">
        <v>204</v>
      </c>
      <c r="D463" s="5" t="s">
        <v>206</v>
      </c>
      <c r="F463" s="5" t="s">
        <v>206</v>
      </c>
      <c r="G463" s="5" t="s">
        <v>204</v>
      </c>
      <c r="H463" s="5" t="s">
        <v>206</v>
      </c>
      <c r="J463" s="5" t="s">
        <v>209</v>
      </c>
      <c r="O463" s="5" t="s">
        <v>209</v>
      </c>
      <c r="S463" s="5" t="s">
        <v>208</v>
      </c>
      <c r="X463" s="5" t="s">
        <v>208</v>
      </c>
      <c r="AC463" s="5" t="s">
        <v>208</v>
      </c>
      <c r="AH463" s="5" t="s">
        <v>210</v>
      </c>
      <c r="AI463" s="5">
        <v>2020</v>
      </c>
      <c r="AJ463" s="5" t="s">
        <v>238</v>
      </c>
      <c r="AK463" s="5" t="str">
        <f t="shared" si="1429"/>
        <v>Trabajadora por cuenta propia</v>
      </c>
      <c r="AM463" s="5" t="s">
        <v>309</v>
      </c>
      <c r="AP463" s="5" t="s">
        <v>297</v>
      </c>
      <c r="AR463" s="5" t="s">
        <v>241</v>
      </c>
      <c r="AS463" s="5" t="s">
        <v>261</v>
      </c>
      <c r="AT463" s="5" t="s">
        <v>261</v>
      </c>
      <c r="AU463" s="5" t="s">
        <v>261</v>
      </c>
      <c r="AV463" s="5" t="s">
        <v>269</v>
      </c>
      <c r="AW463" s="5" t="s">
        <v>204</v>
      </c>
      <c r="AX463" s="5" t="s">
        <v>204</v>
      </c>
      <c r="AY463" s="5" t="s">
        <v>270</v>
      </c>
      <c r="AZ463" s="5" t="s">
        <v>204</v>
      </c>
      <c r="BA463" s="5" t="s">
        <v>348</v>
      </c>
      <c r="BF463" s="5" t="s">
        <v>204</v>
      </c>
      <c r="BG463" s="5" t="s">
        <v>271</v>
      </c>
      <c r="BH463" s="5" t="s">
        <v>271</v>
      </c>
      <c r="BI463" s="5" t="s">
        <v>271</v>
      </c>
      <c r="BJ463" s="5" t="s">
        <v>271</v>
      </c>
      <c r="BK463" s="5" t="s">
        <v>243</v>
      </c>
      <c r="BL463" s="5" t="s">
        <v>243</v>
      </c>
      <c r="BM463" s="5" t="s">
        <v>243</v>
      </c>
      <c r="BN463" s="5" t="s">
        <v>246</v>
      </c>
      <c r="BO463" s="5" t="s">
        <v>245</v>
      </c>
      <c r="BP463" s="5" t="s">
        <v>243</v>
      </c>
      <c r="BQ463" s="5" t="s">
        <v>245</v>
      </c>
      <c r="BR463" s="5" t="s">
        <v>245</v>
      </c>
      <c r="BS463" s="5" t="s">
        <v>232</v>
      </c>
      <c r="BT463" s="5" t="s">
        <v>232</v>
      </c>
      <c r="BU463" s="5" t="s">
        <v>232</v>
      </c>
      <c r="BV463" s="5" t="s">
        <v>247</v>
      </c>
      <c r="BW463" s="5" t="s">
        <v>247</v>
      </c>
      <c r="BX463" s="5" t="s">
        <v>232</v>
      </c>
      <c r="BY463" s="5" t="s">
        <v>247</v>
      </c>
      <c r="BZ463" s="5" t="s">
        <v>246</v>
      </c>
      <c r="CA463" s="5" t="s">
        <v>246</v>
      </c>
      <c r="CB463" s="5" t="s">
        <v>244</v>
      </c>
      <c r="CC463" s="5" t="s">
        <v>246</v>
      </c>
      <c r="CD463" s="5" t="s">
        <v>204</v>
      </c>
      <c r="CE463" s="5" t="s">
        <v>218</v>
      </c>
      <c r="CF463" s="5" t="s">
        <v>219</v>
      </c>
      <c r="CG463" s="5" t="s">
        <v>206</v>
      </c>
      <c r="CH463" s="5" t="s">
        <v>206</v>
      </c>
      <c r="CI463" s="5" t="s">
        <v>206</v>
      </c>
      <c r="CJ463" s="5">
        <v>4</v>
      </c>
      <c r="CK463" s="5" t="s">
        <v>223</v>
      </c>
      <c r="CU463" s="5" t="s">
        <v>206</v>
      </c>
      <c r="DA463" s="5" t="s">
        <v>229</v>
      </c>
      <c r="DB463" s="5">
        <f t="shared" si="1430"/>
        <v>4</v>
      </c>
      <c r="DC463" s="5" t="s">
        <v>250</v>
      </c>
      <c r="DD463" s="5">
        <f t="shared" si="1431"/>
        <v>3</v>
      </c>
      <c r="DE463" s="5" t="s">
        <v>280</v>
      </c>
      <c r="DF463" s="5">
        <f t="shared" si="1432"/>
        <v>4</v>
      </c>
      <c r="DG463" s="5" t="s">
        <v>250</v>
      </c>
      <c r="DH463" s="5">
        <f t="shared" si="1433"/>
        <v>3</v>
      </c>
      <c r="DI463" s="5" t="s">
        <v>250</v>
      </c>
      <c r="DJ463" s="5">
        <f t="shared" si="1434"/>
        <v>3</v>
      </c>
      <c r="DK463" s="5" t="s">
        <v>250</v>
      </c>
      <c r="DL463" s="5">
        <f t="shared" si="1435"/>
        <v>3</v>
      </c>
      <c r="DM463" s="5" t="s">
        <v>251</v>
      </c>
      <c r="DN463" s="5">
        <f t="shared" si="1436"/>
        <v>1</v>
      </c>
      <c r="DO463" s="5" t="s">
        <v>231</v>
      </c>
      <c r="DP463" s="5">
        <f t="shared" si="1437"/>
        <v>2</v>
      </c>
      <c r="DQ463" s="5" t="s">
        <v>281</v>
      </c>
      <c r="DR463" s="5">
        <f t="shared" si="1438"/>
        <v>1</v>
      </c>
      <c r="DS463" s="5" t="s">
        <v>252</v>
      </c>
      <c r="DT463" s="5">
        <f t="shared" si="1439"/>
        <v>3</v>
      </c>
      <c r="DU463" s="5" t="s">
        <v>231</v>
      </c>
      <c r="DV463" s="5">
        <f t="shared" si="1440"/>
        <v>2</v>
      </c>
      <c r="DW463" s="5" t="s">
        <v>281</v>
      </c>
      <c r="DX463" s="5">
        <f t="shared" si="1441"/>
        <v>1</v>
      </c>
      <c r="DY463" s="5">
        <f t="shared" si="1442"/>
        <v>30</v>
      </c>
      <c r="DZ463" s="5" t="str">
        <f t="shared" si="1443"/>
        <v>Nivel de riesgo alto</v>
      </c>
      <c r="EA463" s="5" t="s">
        <v>232</v>
      </c>
      <c r="EB463" s="5">
        <f t="shared" si="1444"/>
        <v>3</v>
      </c>
      <c r="EC463" s="5" t="s">
        <v>247</v>
      </c>
      <c r="ED463" s="5">
        <f t="shared" si="1445"/>
        <v>2</v>
      </c>
      <c r="EE463" s="5" t="s">
        <v>247</v>
      </c>
      <c r="EF463" s="5">
        <f t="shared" si="1446"/>
        <v>2</v>
      </c>
      <c r="EG463" s="5">
        <f t="shared" si="1447"/>
        <v>7</v>
      </c>
      <c r="EH463" s="5" t="str">
        <f t="shared" si="1448"/>
        <v>Nivel de riesgo alto</v>
      </c>
      <c r="EI463" s="5" t="s">
        <v>247</v>
      </c>
      <c r="EJ463" s="5">
        <f t="shared" si="1449"/>
        <v>2</v>
      </c>
      <c r="EK463" s="5" t="s">
        <v>248</v>
      </c>
      <c r="EL463" s="5">
        <f t="shared" si="1450"/>
        <v>1</v>
      </c>
      <c r="EM463" s="5" t="s">
        <v>232</v>
      </c>
      <c r="EN463" s="5">
        <f t="shared" si="1451"/>
        <v>3</v>
      </c>
      <c r="EO463" s="5">
        <f t="shared" si="1452"/>
        <v>6</v>
      </c>
      <c r="EP463" s="5" t="str">
        <f t="shared" si="1453"/>
        <v>Nivel de riesgo alto</v>
      </c>
      <c r="EQ463" s="5" t="s">
        <v>248</v>
      </c>
      <c r="ER463" s="5">
        <f t="shared" si="1454"/>
        <v>3</v>
      </c>
      <c r="ES463" s="5" t="s">
        <v>248</v>
      </c>
      <c r="ET463" s="5">
        <f t="shared" si="1455"/>
        <v>3</v>
      </c>
      <c r="EU463" s="5" t="s">
        <v>247</v>
      </c>
      <c r="EV463" s="5">
        <f t="shared" si="1456"/>
        <v>2</v>
      </c>
      <c r="EW463" s="5" t="s">
        <v>247</v>
      </c>
      <c r="EX463" s="5">
        <f t="shared" si="1457"/>
        <v>2</v>
      </c>
      <c r="EY463" s="5">
        <f t="shared" si="1458"/>
        <v>10</v>
      </c>
      <c r="EZ463" s="5" t="str">
        <f t="shared" si="1459"/>
        <v>Nivel de riesgo alto</v>
      </c>
      <c r="FA463" s="5" t="s">
        <v>248</v>
      </c>
      <c r="FB463" s="5">
        <f t="shared" si="1460"/>
        <v>1</v>
      </c>
      <c r="FC463" s="5" t="s">
        <v>232</v>
      </c>
      <c r="FD463" s="5">
        <f t="shared" si="1461"/>
        <v>3</v>
      </c>
      <c r="FE463" s="5" t="s">
        <v>232</v>
      </c>
      <c r="FF463" s="5">
        <f t="shared" si="1462"/>
        <v>3</v>
      </c>
      <c r="FG463" s="5">
        <f t="shared" si="1463"/>
        <v>7</v>
      </c>
      <c r="FH463" s="5" t="str">
        <f t="shared" si="1464"/>
        <v>Nivel de riesgo alto</v>
      </c>
      <c r="FI463" s="5" t="s">
        <v>247</v>
      </c>
      <c r="FJ463" s="5">
        <f t="shared" si="1465"/>
        <v>2</v>
      </c>
      <c r="FK463" s="5" t="s">
        <v>248</v>
      </c>
      <c r="FL463" s="5">
        <f t="shared" si="1466"/>
        <v>1</v>
      </c>
      <c r="FM463" s="5" t="s">
        <v>247</v>
      </c>
      <c r="FN463" s="5">
        <f t="shared" si="1467"/>
        <v>2</v>
      </c>
      <c r="FO463" s="5">
        <f t="shared" si="1468"/>
        <v>5</v>
      </c>
      <c r="FP463" s="5" t="str">
        <f t="shared" si="1469"/>
        <v>Nivel de riesgo medio</v>
      </c>
      <c r="FQ463" s="5" t="s">
        <v>206</v>
      </c>
      <c r="FR463" s="5">
        <f t="shared" si="1470"/>
        <v>0</v>
      </c>
      <c r="FS463" s="5" t="s">
        <v>206</v>
      </c>
      <c r="FT463" s="5">
        <f t="shared" si="1471"/>
        <v>0</v>
      </c>
      <c r="FU463" s="5" t="s">
        <v>206</v>
      </c>
      <c r="FV463" s="5">
        <f t="shared" si="1472"/>
        <v>0</v>
      </c>
      <c r="FW463" s="5" t="s">
        <v>206</v>
      </c>
      <c r="FX463" s="5">
        <f t="shared" si="1473"/>
        <v>0</v>
      </c>
      <c r="FY463" s="5" t="s">
        <v>206</v>
      </c>
      <c r="FZ463" s="5">
        <f t="shared" si="1474"/>
        <v>0</v>
      </c>
      <c r="GA463" s="5" t="s">
        <v>206</v>
      </c>
      <c r="GB463" s="5">
        <f t="shared" si="1475"/>
        <v>0</v>
      </c>
      <c r="GC463" s="5" t="s">
        <v>206</v>
      </c>
      <c r="GD463" s="5">
        <f t="shared" si="1476"/>
        <v>0</v>
      </c>
      <c r="GE463" s="5">
        <f t="shared" si="1477"/>
        <v>0</v>
      </c>
      <c r="GF463" s="5" t="str">
        <f t="shared" si="1478"/>
        <v>Nivel de riesgo bajo</v>
      </c>
      <c r="GG463" s="5" t="s">
        <v>255</v>
      </c>
      <c r="GH463" s="5" t="s">
        <v>255</v>
      </c>
      <c r="GI463" s="5" t="s">
        <v>273</v>
      </c>
      <c r="GJ463" s="5" t="s">
        <v>233</v>
      </c>
      <c r="GK463" s="5" t="s">
        <v>233</v>
      </c>
      <c r="GL463" s="5" t="s">
        <v>255</v>
      </c>
      <c r="GM463" s="5" t="s">
        <v>266</v>
      </c>
      <c r="GN463" s="5" t="s">
        <v>234</v>
      </c>
      <c r="GO463" s="5" t="s">
        <v>234</v>
      </c>
      <c r="GP463" s="5" t="s">
        <v>234</v>
      </c>
      <c r="GQ463" s="5" t="s">
        <v>244</v>
      </c>
      <c r="GR463" s="5" t="s">
        <v>234</v>
      </c>
      <c r="GS463" s="5" t="s">
        <v>234</v>
      </c>
      <c r="GT463" s="5" t="s">
        <v>234</v>
      </c>
      <c r="GU463" s="5" t="s">
        <v>830</v>
      </c>
      <c r="GV463" s="5" t="str">
        <f>TEXT("6290165586223508315","0")</f>
        <v>6290165586223500000</v>
      </c>
    </row>
    <row r="464" spans="1:204" ht="15.75" customHeight="1" x14ac:dyDescent="0.15">
      <c r="A464" s="1">
        <f t="shared" si="1428"/>
        <v>464</v>
      </c>
      <c r="B464" s="4">
        <v>45860.585706018515</v>
      </c>
      <c r="C464" s="5" t="s">
        <v>204</v>
      </c>
      <c r="D464" s="5" t="s">
        <v>206</v>
      </c>
      <c r="F464" s="5" t="s">
        <v>206</v>
      </c>
      <c r="G464" s="5" t="s">
        <v>206</v>
      </c>
      <c r="H464" s="5" t="s">
        <v>204</v>
      </c>
      <c r="K464" s="5" t="s">
        <v>237</v>
      </c>
      <c r="P464" s="5" t="s">
        <v>237</v>
      </c>
      <c r="U464" s="5" t="s">
        <v>237</v>
      </c>
      <c r="Y464" s="5" t="s">
        <v>209</v>
      </c>
      <c r="AF464" s="5" t="s">
        <v>236</v>
      </c>
      <c r="AH464" s="5" t="s">
        <v>275</v>
      </c>
      <c r="AI464" s="5">
        <v>1995</v>
      </c>
      <c r="AJ464" s="5" t="s">
        <v>330</v>
      </c>
      <c r="AK464" s="5" t="str">
        <f t="shared" si="1429"/>
        <v>Asalariada</v>
      </c>
      <c r="AQ464" s="5" t="s">
        <v>204</v>
      </c>
      <c r="AR464" s="5" t="s">
        <v>261</v>
      </c>
      <c r="AS464" s="5" t="s">
        <v>294</v>
      </c>
      <c r="AT464" s="5" t="s">
        <v>294</v>
      </c>
      <c r="AU464" s="5" t="s">
        <v>276</v>
      </c>
      <c r="AV464" s="5" t="s">
        <v>269</v>
      </c>
      <c r="AW464" s="5" t="s">
        <v>204</v>
      </c>
      <c r="AX464" s="5" t="s">
        <v>204</v>
      </c>
      <c r="AY464" s="5" t="s">
        <v>270</v>
      </c>
      <c r="AZ464" s="5" t="s">
        <v>204</v>
      </c>
      <c r="BA464" s="5" t="s">
        <v>263</v>
      </c>
      <c r="BF464" s="5" t="s">
        <v>204</v>
      </c>
      <c r="BG464" s="5" t="s">
        <v>215</v>
      </c>
      <c r="BH464" s="5" t="s">
        <v>264</v>
      </c>
      <c r="BI464" s="5" t="s">
        <v>242</v>
      </c>
      <c r="BJ464" s="5" t="s">
        <v>242</v>
      </c>
      <c r="BK464" s="5" t="s">
        <v>246</v>
      </c>
      <c r="BL464" s="5" t="s">
        <v>244</v>
      </c>
      <c r="BM464" s="5" t="s">
        <v>246</v>
      </c>
      <c r="BN464" s="5" t="s">
        <v>244</v>
      </c>
      <c r="BO464" s="5" t="s">
        <v>244</v>
      </c>
      <c r="BP464" s="5" t="s">
        <v>244</v>
      </c>
      <c r="BQ464" s="5" t="s">
        <v>216</v>
      </c>
      <c r="BR464" s="5" t="s">
        <v>246</v>
      </c>
      <c r="BS464" s="5" t="s">
        <v>217</v>
      </c>
      <c r="BT464" s="5" t="s">
        <v>248</v>
      </c>
      <c r="BU464" s="5" t="s">
        <v>254</v>
      </c>
      <c r="BV464" s="5" t="s">
        <v>254</v>
      </c>
      <c r="BW464" s="5" t="s">
        <v>254</v>
      </c>
      <c r="BX464" s="5" t="s">
        <v>247</v>
      </c>
      <c r="BY464" s="5" t="s">
        <v>232</v>
      </c>
      <c r="BZ464" s="5" t="s">
        <v>246</v>
      </c>
      <c r="CA464" s="5" t="s">
        <v>246</v>
      </c>
      <c r="CB464" s="5" t="s">
        <v>246</v>
      </c>
      <c r="CC464" s="5" t="s">
        <v>246</v>
      </c>
      <c r="CD464" s="5" t="s">
        <v>206</v>
      </c>
      <c r="CH464" s="5" t="s">
        <v>206</v>
      </c>
      <c r="CI464" s="5" t="s">
        <v>206</v>
      </c>
      <c r="CJ464" s="5">
        <v>2</v>
      </c>
      <c r="CK464" s="5" t="s">
        <v>223</v>
      </c>
      <c r="CU464" s="5" t="s">
        <v>206</v>
      </c>
      <c r="DA464" s="5" t="s">
        <v>252</v>
      </c>
      <c r="DB464" s="5">
        <f t="shared" si="1430"/>
        <v>3</v>
      </c>
      <c r="DC464" s="5" t="s">
        <v>250</v>
      </c>
      <c r="DD464" s="5">
        <f t="shared" si="1431"/>
        <v>3</v>
      </c>
      <c r="DE464" s="5" t="s">
        <v>250</v>
      </c>
      <c r="DF464" s="5">
        <f t="shared" si="1432"/>
        <v>3</v>
      </c>
      <c r="DG464" s="5" t="s">
        <v>250</v>
      </c>
      <c r="DH464" s="5">
        <f t="shared" si="1433"/>
        <v>3</v>
      </c>
      <c r="DI464" s="5" t="s">
        <v>280</v>
      </c>
      <c r="DJ464" s="5">
        <f t="shared" si="1434"/>
        <v>4</v>
      </c>
      <c r="DK464" s="5" t="s">
        <v>250</v>
      </c>
      <c r="DL464" s="5">
        <f t="shared" si="1435"/>
        <v>3</v>
      </c>
      <c r="DM464" s="5" t="s">
        <v>280</v>
      </c>
      <c r="DN464" s="5">
        <f t="shared" si="1436"/>
        <v>4</v>
      </c>
      <c r="DO464" s="5" t="s">
        <v>252</v>
      </c>
      <c r="DP464" s="5">
        <f t="shared" si="1437"/>
        <v>3</v>
      </c>
      <c r="DQ464" s="5" t="s">
        <v>231</v>
      </c>
      <c r="DR464" s="5">
        <f t="shared" si="1438"/>
        <v>2</v>
      </c>
      <c r="DS464" s="5" t="s">
        <v>231</v>
      </c>
      <c r="DT464" s="5">
        <f t="shared" si="1439"/>
        <v>2</v>
      </c>
      <c r="DU464" s="5" t="s">
        <v>231</v>
      </c>
      <c r="DV464" s="5">
        <f t="shared" si="1440"/>
        <v>2</v>
      </c>
      <c r="DW464" s="5" t="s">
        <v>231</v>
      </c>
      <c r="DX464" s="5">
        <f t="shared" si="1441"/>
        <v>2</v>
      </c>
      <c r="DY464" s="5">
        <f t="shared" si="1442"/>
        <v>34</v>
      </c>
      <c r="DZ464" s="5" t="str">
        <f t="shared" si="1443"/>
        <v>Nivel de riesgo alto</v>
      </c>
      <c r="EA464" s="5" t="s">
        <v>247</v>
      </c>
      <c r="EB464" s="5">
        <f t="shared" si="1444"/>
        <v>2</v>
      </c>
      <c r="EC464" s="5" t="s">
        <v>247</v>
      </c>
      <c r="ED464" s="5">
        <f t="shared" si="1445"/>
        <v>2</v>
      </c>
      <c r="EE464" s="5" t="s">
        <v>248</v>
      </c>
      <c r="EF464" s="5">
        <f t="shared" si="1446"/>
        <v>1</v>
      </c>
      <c r="EG464" s="5">
        <f t="shared" si="1447"/>
        <v>5</v>
      </c>
      <c r="EH464" s="5" t="str">
        <f t="shared" si="1448"/>
        <v>Nivel de riesgo alto</v>
      </c>
      <c r="EI464" s="5" t="s">
        <v>254</v>
      </c>
      <c r="EJ464" s="5">
        <f t="shared" si="1449"/>
        <v>4</v>
      </c>
      <c r="EK464" s="5" t="s">
        <v>232</v>
      </c>
      <c r="EL464" s="5">
        <f t="shared" si="1450"/>
        <v>3</v>
      </c>
      <c r="EM464" s="5" t="s">
        <v>254</v>
      </c>
      <c r="EN464" s="5">
        <f t="shared" si="1451"/>
        <v>4</v>
      </c>
      <c r="EO464" s="5">
        <f t="shared" si="1452"/>
        <v>11</v>
      </c>
      <c r="EP464" s="5" t="str">
        <f t="shared" si="1453"/>
        <v>Nivel de riesgo alto</v>
      </c>
      <c r="EQ464" s="5" t="s">
        <v>253</v>
      </c>
      <c r="ER464" s="5">
        <f t="shared" si="1454"/>
        <v>4</v>
      </c>
      <c r="ES464" s="5" t="s">
        <v>248</v>
      </c>
      <c r="ET464" s="5">
        <f t="shared" si="1455"/>
        <v>3</v>
      </c>
      <c r="EU464" s="5" t="s">
        <v>253</v>
      </c>
      <c r="EV464" s="5">
        <f t="shared" si="1456"/>
        <v>4</v>
      </c>
      <c r="EW464" s="5" t="s">
        <v>253</v>
      </c>
      <c r="EX464" s="5">
        <f t="shared" si="1457"/>
        <v>4</v>
      </c>
      <c r="EY464" s="5">
        <f t="shared" si="1458"/>
        <v>15</v>
      </c>
      <c r="EZ464" s="5" t="str">
        <f t="shared" si="1459"/>
        <v>Nivel de riesgo alto</v>
      </c>
      <c r="FA464" s="5" t="s">
        <v>247</v>
      </c>
      <c r="FB464" s="5">
        <f t="shared" si="1460"/>
        <v>2</v>
      </c>
      <c r="FC464" s="5" t="s">
        <v>247</v>
      </c>
      <c r="FD464" s="5">
        <f t="shared" si="1461"/>
        <v>2</v>
      </c>
      <c r="FE464" s="5" t="s">
        <v>247</v>
      </c>
      <c r="FF464" s="5">
        <f t="shared" si="1462"/>
        <v>2</v>
      </c>
      <c r="FG464" s="5">
        <f t="shared" si="1463"/>
        <v>6</v>
      </c>
      <c r="FH464" s="5" t="str">
        <f t="shared" si="1464"/>
        <v>Nivel de riesgo alto</v>
      </c>
      <c r="FI464" s="5" t="s">
        <v>254</v>
      </c>
      <c r="FJ464" s="5">
        <f t="shared" si="1465"/>
        <v>4</v>
      </c>
      <c r="FK464" s="5" t="s">
        <v>254</v>
      </c>
      <c r="FL464" s="5">
        <f t="shared" si="1466"/>
        <v>4</v>
      </c>
      <c r="FM464" s="5" t="s">
        <v>232</v>
      </c>
      <c r="FN464" s="5">
        <f t="shared" si="1467"/>
        <v>3</v>
      </c>
      <c r="FO464" s="5">
        <f t="shared" si="1468"/>
        <v>11</v>
      </c>
      <c r="FP464" s="5" t="str">
        <f t="shared" si="1469"/>
        <v>Nivel de riesgo alto</v>
      </c>
      <c r="FQ464" s="5" t="s">
        <v>325</v>
      </c>
      <c r="FR464" s="5">
        <f t="shared" si="1470"/>
        <v>2</v>
      </c>
      <c r="FS464" s="5" t="s">
        <v>265</v>
      </c>
      <c r="FT464" s="5">
        <f t="shared" si="1471"/>
        <v>1</v>
      </c>
      <c r="FU464" s="5" t="s">
        <v>361</v>
      </c>
      <c r="FV464" s="5">
        <f t="shared" si="1472"/>
        <v>3</v>
      </c>
      <c r="FW464" s="5" t="s">
        <v>206</v>
      </c>
      <c r="FX464" s="5">
        <f t="shared" si="1473"/>
        <v>0</v>
      </c>
      <c r="FY464" s="5" t="s">
        <v>206</v>
      </c>
      <c r="FZ464" s="5">
        <f t="shared" si="1474"/>
        <v>0</v>
      </c>
      <c r="GA464" s="5" t="s">
        <v>361</v>
      </c>
      <c r="GB464" s="5">
        <f t="shared" si="1475"/>
        <v>3</v>
      </c>
      <c r="GC464" s="5" t="s">
        <v>325</v>
      </c>
      <c r="GD464" s="5">
        <f t="shared" si="1476"/>
        <v>2</v>
      </c>
      <c r="GE464" s="5">
        <f t="shared" si="1477"/>
        <v>11</v>
      </c>
      <c r="GF464" s="5" t="str">
        <f t="shared" si="1478"/>
        <v>Nivel de riesgo medio</v>
      </c>
      <c r="GG464" s="5" t="s">
        <v>255</v>
      </c>
      <c r="GH464" s="5" t="s">
        <v>273</v>
      </c>
      <c r="GI464" s="5" t="s">
        <v>255</v>
      </c>
      <c r="GJ464" s="5" t="s">
        <v>255</v>
      </c>
      <c r="GK464" s="5" t="s">
        <v>233</v>
      </c>
      <c r="GL464" s="5" t="s">
        <v>273</v>
      </c>
      <c r="GM464" s="5" t="s">
        <v>298</v>
      </c>
      <c r="GN464" s="5" t="s">
        <v>243</v>
      </c>
      <c r="GO464" s="5" t="s">
        <v>243</v>
      </c>
      <c r="GP464" s="5" t="s">
        <v>244</v>
      </c>
      <c r="GQ464" s="5" t="s">
        <v>244</v>
      </c>
      <c r="GR464" s="5" t="s">
        <v>244</v>
      </c>
      <c r="GS464" s="5" t="s">
        <v>234</v>
      </c>
      <c r="GT464" s="5" t="s">
        <v>256</v>
      </c>
      <c r="GU464" s="5" t="s">
        <v>831</v>
      </c>
      <c r="GV464" s="5" t="str">
        <f>TEXT("6290166051255882801","0")</f>
        <v>6290166051255880000</v>
      </c>
    </row>
    <row r="465" spans="1:204" ht="15.75" customHeight="1" x14ac:dyDescent="0.15">
      <c r="A465" s="1">
        <f t="shared" si="1428"/>
        <v>465</v>
      </c>
      <c r="B465" s="4">
        <v>45860.586840277778</v>
      </c>
      <c r="C465" s="5" t="s">
        <v>204</v>
      </c>
      <c r="D465" s="5" t="s">
        <v>206</v>
      </c>
      <c r="F465" s="5" t="s">
        <v>206</v>
      </c>
      <c r="G465" s="5" t="s">
        <v>204</v>
      </c>
      <c r="H465" s="5" t="s">
        <v>206</v>
      </c>
      <c r="J465" s="5" t="s">
        <v>209</v>
      </c>
      <c r="N465" s="5" t="s">
        <v>208</v>
      </c>
      <c r="S465" s="5" t="s">
        <v>208</v>
      </c>
      <c r="X465" s="5" t="s">
        <v>208</v>
      </c>
      <c r="AC465" s="5" t="s">
        <v>208</v>
      </c>
      <c r="AH465" s="5" t="s">
        <v>210</v>
      </c>
      <c r="AI465" s="5">
        <v>2025</v>
      </c>
      <c r="AJ465" s="5" t="s">
        <v>337</v>
      </c>
      <c r="AK465" s="5" t="str">
        <f t="shared" si="1429"/>
        <v>Asalariada</v>
      </c>
      <c r="AQ465" s="5" t="s">
        <v>204</v>
      </c>
      <c r="AR465" s="5" t="s">
        <v>241</v>
      </c>
      <c r="AS465" s="5" t="s">
        <v>241</v>
      </c>
      <c r="AT465" s="5" t="s">
        <v>241</v>
      </c>
      <c r="AU465" s="5" t="s">
        <v>241</v>
      </c>
      <c r="AV465" s="5" t="s">
        <v>269</v>
      </c>
      <c r="AW465" s="5" t="s">
        <v>204</v>
      </c>
      <c r="AX465" s="5" t="s">
        <v>206</v>
      </c>
      <c r="BF465" s="5" t="s">
        <v>204</v>
      </c>
      <c r="BG465" s="5" t="s">
        <v>242</v>
      </c>
      <c r="BH465" s="5" t="s">
        <v>215</v>
      </c>
      <c r="BI465" s="5" t="s">
        <v>271</v>
      </c>
      <c r="BJ465" s="5" t="s">
        <v>242</v>
      </c>
      <c r="BK465" s="5" t="s">
        <v>243</v>
      </c>
      <c r="BL465" s="5" t="s">
        <v>243</v>
      </c>
      <c r="BM465" s="5" t="s">
        <v>243</v>
      </c>
      <c r="BN465" s="5" t="s">
        <v>243</v>
      </c>
      <c r="BO465" s="5" t="s">
        <v>243</v>
      </c>
      <c r="BP465" s="5" t="s">
        <v>243</v>
      </c>
      <c r="BQ465" s="5" t="s">
        <v>243</v>
      </c>
      <c r="BR465" s="5" t="s">
        <v>243</v>
      </c>
      <c r="BS465" s="5" t="s">
        <v>254</v>
      </c>
      <c r="BT465" s="5" t="s">
        <v>254</v>
      </c>
      <c r="BU465" s="5" t="s">
        <v>254</v>
      </c>
      <c r="BV465" s="5" t="s">
        <v>254</v>
      </c>
      <c r="BW465" s="5" t="s">
        <v>254</v>
      </c>
      <c r="BX465" s="5" t="s">
        <v>254</v>
      </c>
      <c r="BY465" s="5" t="s">
        <v>254</v>
      </c>
      <c r="BZ465" s="5" t="s">
        <v>216</v>
      </c>
      <c r="CA465" s="5" t="s">
        <v>216</v>
      </c>
      <c r="CB465" s="5" t="s">
        <v>216</v>
      </c>
      <c r="CC465" s="5" t="s">
        <v>216</v>
      </c>
      <c r="CD465" s="5" t="s">
        <v>206</v>
      </c>
      <c r="CH465" s="5" t="s">
        <v>206</v>
      </c>
      <c r="CI465" s="5" t="s">
        <v>307</v>
      </c>
      <c r="CJ465" s="5">
        <v>2</v>
      </c>
      <c r="CK465" s="5" t="s">
        <v>223</v>
      </c>
      <c r="CU465" s="5" t="s">
        <v>206</v>
      </c>
      <c r="DA465" s="5" t="s">
        <v>231</v>
      </c>
      <c r="DB465" s="5">
        <f t="shared" si="1430"/>
        <v>2</v>
      </c>
      <c r="DC465" s="5" t="s">
        <v>251</v>
      </c>
      <c r="DD465" s="5">
        <f t="shared" si="1431"/>
        <v>1</v>
      </c>
      <c r="DE465" s="5" t="s">
        <v>251</v>
      </c>
      <c r="DF465" s="5">
        <f t="shared" si="1432"/>
        <v>1</v>
      </c>
      <c r="DG465" s="5" t="s">
        <v>251</v>
      </c>
      <c r="DH465" s="5">
        <f t="shared" si="1433"/>
        <v>1</v>
      </c>
      <c r="DI465" s="5" t="s">
        <v>251</v>
      </c>
      <c r="DJ465" s="5">
        <f t="shared" si="1434"/>
        <v>1</v>
      </c>
      <c r="DK465" s="5" t="s">
        <v>251</v>
      </c>
      <c r="DL465" s="5">
        <f t="shared" si="1435"/>
        <v>1</v>
      </c>
      <c r="DM465" s="5" t="s">
        <v>251</v>
      </c>
      <c r="DN465" s="5">
        <f t="shared" si="1436"/>
        <v>1</v>
      </c>
      <c r="DO465" s="5" t="s">
        <v>231</v>
      </c>
      <c r="DP465" s="5">
        <f t="shared" si="1437"/>
        <v>2</v>
      </c>
      <c r="DQ465" s="5" t="s">
        <v>231</v>
      </c>
      <c r="DR465" s="5">
        <f t="shared" si="1438"/>
        <v>2</v>
      </c>
      <c r="DS465" s="5" t="s">
        <v>231</v>
      </c>
      <c r="DT465" s="5">
        <f t="shared" si="1439"/>
        <v>2</v>
      </c>
      <c r="DU465" s="5" t="s">
        <v>231</v>
      </c>
      <c r="DV465" s="5">
        <f t="shared" si="1440"/>
        <v>2</v>
      </c>
      <c r="DW465" s="5" t="s">
        <v>231</v>
      </c>
      <c r="DX465" s="5">
        <f t="shared" si="1441"/>
        <v>2</v>
      </c>
      <c r="DY465" s="5">
        <f t="shared" si="1442"/>
        <v>18</v>
      </c>
      <c r="DZ465" s="5" t="str">
        <f t="shared" si="1443"/>
        <v>Nivel de riesgo bajo</v>
      </c>
      <c r="EA465" s="5" t="s">
        <v>253</v>
      </c>
      <c r="EB465" s="5">
        <f t="shared" si="1444"/>
        <v>0</v>
      </c>
      <c r="EC465" s="5" t="s">
        <v>253</v>
      </c>
      <c r="ED465" s="5">
        <f t="shared" si="1445"/>
        <v>0</v>
      </c>
      <c r="EE465" s="5" t="s">
        <v>253</v>
      </c>
      <c r="EF465" s="5">
        <f t="shared" si="1446"/>
        <v>0</v>
      </c>
      <c r="EG465" s="5">
        <f t="shared" si="1447"/>
        <v>0</v>
      </c>
      <c r="EH465" s="5" t="str">
        <f t="shared" si="1448"/>
        <v>Nivel de riesgo bajo</v>
      </c>
      <c r="EI465" s="5" t="s">
        <v>253</v>
      </c>
      <c r="EJ465" s="5">
        <f t="shared" si="1449"/>
        <v>0</v>
      </c>
      <c r="EK465" s="5" t="s">
        <v>253</v>
      </c>
      <c r="EL465" s="5">
        <f t="shared" si="1450"/>
        <v>0</v>
      </c>
      <c r="EM465" s="5" t="s">
        <v>253</v>
      </c>
      <c r="EN465" s="5">
        <f t="shared" si="1451"/>
        <v>0</v>
      </c>
      <c r="EO465" s="5">
        <f t="shared" si="1452"/>
        <v>0</v>
      </c>
      <c r="EP465" s="5" t="str">
        <f t="shared" si="1453"/>
        <v>Nivel de riesgo bajo</v>
      </c>
      <c r="EQ465" s="5" t="s">
        <v>253</v>
      </c>
      <c r="ER465" s="5">
        <f t="shared" si="1454"/>
        <v>4</v>
      </c>
      <c r="ES465" s="5" t="s">
        <v>253</v>
      </c>
      <c r="ET465" s="5">
        <f t="shared" si="1455"/>
        <v>4</v>
      </c>
      <c r="EU465" s="5" t="s">
        <v>253</v>
      </c>
      <c r="EV465" s="5">
        <f t="shared" si="1456"/>
        <v>4</v>
      </c>
      <c r="EW465" s="5" t="s">
        <v>253</v>
      </c>
      <c r="EX465" s="5">
        <f t="shared" si="1457"/>
        <v>4</v>
      </c>
      <c r="EY465" s="5">
        <f t="shared" si="1458"/>
        <v>16</v>
      </c>
      <c r="EZ465" s="5" t="str">
        <f t="shared" si="1459"/>
        <v>Nivel de riesgo alto</v>
      </c>
      <c r="FA465" s="5" t="s">
        <v>253</v>
      </c>
      <c r="FB465" s="5">
        <f t="shared" si="1460"/>
        <v>0</v>
      </c>
      <c r="FC465" s="5" t="s">
        <v>253</v>
      </c>
      <c r="FD465" s="5">
        <f t="shared" si="1461"/>
        <v>0</v>
      </c>
      <c r="FE465" s="5" t="s">
        <v>253</v>
      </c>
      <c r="FF465" s="5">
        <f t="shared" si="1462"/>
        <v>0</v>
      </c>
      <c r="FG465" s="5">
        <f t="shared" si="1463"/>
        <v>0</v>
      </c>
      <c r="FH465" s="5" t="str">
        <f t="shared" si="1464"/>
        <v>Nivel de riesgo bajo</v>
      </c>
      <c r="FI465" s="5" t="s">
        <v>253</v>
      </c>
      <c r="FJ465" s="5">
        <f t="shared" si="1465"/>
        <v>0</v>
      </c>
      <c r="FK465" s="5" t="s">
        <v>253</v>
      </c>
      <c r="FL465" s="5">
        <f t="shared" si="1466"/>
        <v>0</v>
      </c>
      <c r="FM465" s="5" t="s">
        <v>253</v>
      </c>
      <c r="FN465" s="5">
        <f t="shared" si="1467"/>
        <v>0</v>
      </c>
      <c r="FO465" s="5">
        <f t="shared" si="1468"/>
        <v>0</v>
      </c>
      <c r="FP465" s="5" t="str">
        <f t="shared" si="1469"/>
        <v>Nivel de riesgo bajo</v>
      </c>
      <c r="FQ465" s="5" t="s">
        <v>206</v>
      </c>
      <c r="FR465" s="5">
        <f t="shared" si="1470"/>
        <v>0</v>
      </c>
      <c r="FS465" s="5" t="s">
        <v>206</v>
      </c>
      <c r="FT465" s="5">
        <f t="shared" si="1471"/>
        <v>0</v>
      </c>
      <c r="FU465" s="5" t="s">
        <v>206</v>
      </c>
      <c r="FV465" s="5">
        <f t="shared" si="1472"/>
        <v>0</v>
      </c>
      <c r="FW465" s="5" t="s">
        <v>206</v>
      </c>
      <c r="FX465" s="5">
        <f t="shared" si="1473"/>
        <v>0</v>
      </c>
      <c r="FY465" s="5" t="s">
        <v>206</v>
      </c>
      <c r="FZ465" s="5">
        <f t="shared" si="1474"/>
        <v>0</v>
      </c>
      <c r="GA465" s="5" t="s">
        <v>206</v>
      </c>
      <c r="GB465" s="5">
        <f t="shared" si="1475"/>
        <v>0</v>
      </c>
      <c r="GC465" s="5" t="s">
        <v>206</v>
      </c>
      <c r="GD465" s="5">
        <f t="shared" si="1476"/>
        <v>0</v>
      </c>
      <c r="GE465" s="5">
        <f t="shared" si="1477"/>
        <v>0</v>
      </c>
      <c r="GF465" s="5" t="str">
        <f t="shared" si="1478"/>
        <v>Nivel de riesgo bajo</v>
      </c>
      <c r="GG465" s="5" t="s">
        <v>255</v>
      </c>
      <c r="GH465" s="5" t="s">
        <v>255</v>
      </c>
      <c r="GI465" s="5" t="s">
        <v>255</v>
      </c>
      <c r="GJ465" s="5" t="s">
        <v>255</v>
      </c>
      <c r="GK465" s="5" t="s">
        <v>255</v>
      </c>
      <c r="GL465" s="5" t="s">
        <v>255</v>
      </c>
      <c r="GM465" s="5" t="s">
        <v>255</v>
      </c>
      <c r="GN465" s="5" t="s">
        <v>257</v>
      </c>
      <c r="GO465" s="5" t="s">
        <v>257</v>
      </c>
      <c r="GP465" s="5" t="s">
        <v>257</v>
      </c>
      <c r="GQ465" s="5" t="s">
        <v>257</v>
      </c>
      <c r="GR465" s="5" t="s">
        <v>257</v>
      </c>
      <c r="GS465" s="5" t="s">
        <v>257</v>
      </c>
      <c r="GT465" s="5" t="s">
        <v>257</v>
      </c>
      <c r="GU465" s="5" t="s">
        <v>832</v>
      </c>
      <c r="GV465" s="5" t="str">
        <f>TEXT("6290167035326150870","0")</f>
        <v>6290167035326150000</v>
      </c>
    </row>
    <row r="466" spans="1:204" ht="15.75" hidden="1" customHeight="1" x14ac:dyDescent="0.15">
      <c r="B466" s="4">
        <v>45860.597048611111</v>
      </c>
      <c r="C466" s="5" t="s">
        <v>204</v>
      </c>
      <c r="D466" s="5" t="s">
        <v>206</v>
      </c>
      <c r="F466" s="5" t="s">
        <v>206</v>
      </c>
      <c r="G466" s="5" t="s">
        <v>206</v>
      </c>
      <c r="H466" s="5" t="s">
        <v>206</v>
      </c>
      <c r="J466" s="5" t="s">
        <v>209</v>
      </c>
      <c r="O466" s="5" t="s">
        <v>209</v>
      </c>
      <c r="T466" s="5" t="s">
        <v>209</v>
      </c>
      <c r="X466" s="5" t="s">
        <v>208</v>
      </c>
      <c r="AC466" s="5" t="s">
        <v>208</v>
      </c>
      <c r="AH466" s="5" t="s">
        <v>268</v>
      </c>
      <c r="AI466" s="5">
        <v>2024</v>
      </c>
      <c r="AJ466" s="5" t="s">
        <v>211</v>
      </c>
      <c r="AK466" s="5"/>
      <c r="AQ466" s="5" t="s">
        <v>204</v>
      </c>
      <c r="AR466" s="5" t="s">
        <v>241</v>
      </c>
      <c r="AS466" s="5" t="s">
        <v>241</v>
      </c>
      <c r="AT466" s="5" t="s">
        <v>241</v>
      </c>
      <c r="AU466" s="5" t="s">
        <v>241</v>
      </c>
      <c r="AV466" s="5" t="s">
        <v>213</v>
      </c>
      <c r="AW466" s="5" t="s">
        <v>206</v>
      </c>
      <c r="BF466" s="5" t="s">
        <v>204</v>
      </c>
      <c r="BG466" s="5" t="s">
        <v>207</v>
      </c>
      <c r="BH466" s="5" t="s">
        <v>207</v>
      </c>
      <c r="BI466" s="5" t="s">
        <v>207</v>
      </c>
      <c r="BJ466" s="5" t="s">
        <v>207</v>
      </c>
      <c r="BK466" s="5" t="s">
        <v>246</v>
      </c>
      <c r="BL466" s="5" t="s">
        <v>244</v>
      </c>
      <c r="BM466" s="5" t="s">
        <v>243</v>
      </c>
      <c r="BN466" s="5" t="s">
        <v>246</v>
      </c>
      <c r="BO466" s="5" t="s">
        <v>244</v>
      </c>
      <c r="BP466" s="5" t="s">
        <v>244</v>
      </c>
      <c r="BQ466" s="5" t="s">
        <v>244</v>
      </c>
      <c r="BR466" s="5" t="s">
        <v>244</v>
      </c>
      <c r="BS466" s="5" t="s">
        <v>247</v>
      </c>
      <c r="BT466" s="5" t="s">
        <v>247</v>
      </c>
      <c r="BU466" s="5" t="s">
        <v>232</v>
      </c>
      <c r="BV466" s="5" t="s">
        <v>248</v>
      </c>
      <c r="BW466" s="5" t="s">
        <v>232</v>
      </c>
      <c r="BX466" s="5" t="s">
        <v>247</v>
      </c>
      <c r="BY466" s="5" t="s">
        <v>247</v>
      </c>
      <c r="CD466" s="5" t="s">
        <v>206</v>
      </c>
      <c r="CH466" s="5" t="s">
        <v>206</v>
      </c>
      <c r="CI466" s="5" t="s">
        <v>206</v>
      </c>
      <c r="CJ466" s="5">
        <v>1</v>
      </c>
      <c r="CK466" s="5" t="s">
        <v>223</v>
      </c>
      <c r="CU466" s="5" t="s">
        <v>206</v>
      </c>
      <c r="DA466" s="5" t="s">
        <v>252</v>
      </c>
      <c r="DB466" s="5"/>
      <c r="DC466" s="5" t="s">
        <v>230</v>
      </c>
      <c r="DD466" s="5"/>
      <c r="DE466" s="5" t="s">
        <v>230</v>
      </c>
      <c r="DF466" s="5"/>
      <c r="DG466" s="5" t="s">
        <v>230</v>
      </c>
      <c r="DH466" s="5"/>
      <c r="DI466" s="5" t="s">
        <v>250</v>
      </c>
      <c r="DJ466" s="5"/>
      <c r="DK466" s="5" t="s">
        <v>280</v>
      </c>
      <c r="DL466" s="5"/>
      <c r="DM466" s="5" t="s">
        <v>230</v>
      </c>
      <c r="DN466" s="5"/>
      <c r="DO466" s="5" t="s">
        <v>252</v>
      </c>
      <c r="DP466" s="5"/>
      <c r="DQ466" s="5" t="s">
        <v>231</v>
      </c>
      <c r="DR466" s="5"/>
      <c r="DS466" s="5" t="s">
        <v>252</v>
      </c>
      <c r="DT466" s="5"/>
      <c r="DU466" s="5" t="s">
        <v>231</v>
      </c>
      <c r="DV466" s="5"/>
      <c r="DW466" s="5" t="s">
        <v>252</v>
      </c>
      <c r="DX466" s="5"/>
      <c r="DY466" s="5"/>
      <c r="DZ466" s="5"/>
      <c r="EA466" s="5" t="s">
        <v>253</v>
      </c>
      <c r="EB466" s="5"/>
      <c r="EC466" s="5" t="s">
        <v>248</v>
      </c>
      <c r="ED466" s="5"/>
      <c r="EE466" s="5" t="s">
        <v>248</v>
      </c>
      <c r="EF466" s="5"/>
      <c r="EG466" s="5"/>
      <c r="EH466" s="5"/>
      <c r="EI466" s="5" t="s">
        <v>253</v>
      </c>
      <c r="EJ466" s="5"/>
      <c r="EK466" s="5" t="s">
        <v>248</v>
      </c>
      <c r="EL466" s="5"/>
      <c r="EM466" s="5" t="s">
        <v>232</v>
      </c>
      <c r="EN466" s="5"/>
      <c r="EO466" s="5"/>
      <c r="EP466" s="5"/>
      <c r="EQ466" s="5" t="s">
        <v>253</v>
      </c>
      <c r="ER466" s="5"/>
      <c r="ES466" s="5" t="s">
        <v>248</v>
      </c>
      <c r="ET466" s="5"/>
      <c r="EU466" s="5" t="s">
        <v>253</v>
      </c>
      <c r="EV466" s="5"/>
      <c r="EW466" s="5" t="s">
        <v>253</v>
      </c>
      <c r="EX466" s="5"/>
      <c r="EY466" s="5"/>
      <c r="EZ466" s="5"/>
      <c r="FA466" s="5" t="s">
        <v>248</v>
      </c>
      <c r="FB466" s="5"/>
      <c r="FC466" s="5" t="s">
        <v>248</v>
      </c>
      <c r="FD466" s="5"/>
      <c r="FE466" s="5" t="s">
        <v>248</v>
      </c>
      <c r="FF466" s="5"/>
      <c r="FG466" s="5"/>
      <c r="FH466" s="5"/>
      <c r="FI466" s="5" t="s">
        <v>253</v>
      </c>
      <c r="FJ466" s="5"/>
      <c r="FK466" s="5" t="s">
        <v>253</v>
      </c>
      <c r="FL466" s="5"/>
      <c r="FM466" s="5" t="s">
        <v>248</v>
      </c>
      <c r="FN466" s="5"/>
      <c r="FO466" s="5"/>
      <c r="FP466" s="5"/>
      <c r="FQ466" s="5" t="s">
        <v>206</v>
      </c>
      <c r="FR466" s="5"/>
      <c r="FS466" s="5" t="s">
        <v>206</v>
      </c>
      <c r="FT466" s="5"/>
      <c r="FU466" s="5" t="s">
        <v>206</v>
      </c>
      <c r="FV466" s="5"/>
      <c r="FW466" s="5" t="s">
        <v>206</v>
      </c>
      <c r="FX466" s="5"/>
      <c r="FY466" s="5" t="s">
        <v>206</v>
      </c>
      <c r="FZ466" s="5"/>
      <c r="GA466" s="5" t="s">
        <v>206</v>
      </c>
      <c r="GB466" s="5"/>
      <c r="GC466" s="5" t="s">
        <v>206</v>
      </c>
      <c r="GD466" s="5"/>
      <c r="GE466" s="5"/>
      <c r="GF466" s="5"/>
      <c r="GG466" s="5" t="s">
        <v>255</v>
      </c>
      <c r="GH466" s="5" t="s">
        <v>255</v>
      </c>
      <c r="GI466" s="5" t="s">
        <v>273</v>
      </c>
      <c r="GJ466" s="5" t="s">
        <v>273</v>
      </c>
      <c r="GK466" s="5" t="s">
        <v>233</v>
      </c>
      <c r="GL466" s="5" t="s">
        <v>273</v>
      </c>
      <c r="GM466" s="5" t="s">
        <v>266</v>
      </c>
      <c r="GN466" s="5" t="s">
        <v>243</v>
      </c>
      <c r="GO466" s="5" t="s">
        <v>256</v>
      </c>
      <c r="GP466" s="5" t="s">
        <v>243</v>
      </c>
      <c r="GQ466" s="5" t="s">
        <v>243</v>
      </c>
      <c r="GR466" s="5" t="s">
        <v>234</v>
      </c>
      <c r="GS466" s="5" t="s">
        <v>243</v>
      </c>
      <c r="GT466" s="5" t="s">
        <v>243</v>
      </c>
      <c r="GU466" s="5" t="s">
        <v>833</v>
      </c>
      <c r="GV466" s="5" t="str">
        <f>TEXT("6290175856013381626","0")</f>
        <v>6290175856013380000</v>
      </c>
    </row>
    <row r="467" spans="1:204" ht="15.75" hidden="1" customHeight="1" x14ac:dyDescent="0.15">
      <c r="B467" s="4">
        <v>45860.597175925926</v>
      </c>
      <c r="C467" s="5" t="s">
        <v>204</v>
      </c>
      <c r="D467" s="5" t="s">
        <v>206</v>
      </c>
      <c r="F467" s="5" t="s">
        <v>204</v>
      </c>
      <c r="G467" s="5" t="s">
        <v>206</v>
      </c>
      <c r="H467" s="5" t="s">
        <v>206</v>
      </c>
      <c r="K467" s="5" t="s">
        <v>237</v>
      </c>
      <c r="O467" s="5" t="s">
        <v>209</v>
      </c>
      <c r="S467" s="5" t="s">
        <v>208</v>
      </c>
      <c r="X467" s="5" t="s">
        <v>208</v>
      </c>
      <c r="AC467" s="5" t="s">
        <v>208</v>
      </c>
      <c r="AH467" s="5" t="s">
        <v>268</v>
      </c>
      <c r="AI467" s="5">
        <v>2021</v>
      </c>
      <c r="AJ467" s="5" t="s">
        <v>293</v>
      </c>
      <c r="AK467" s="5"/>
      <c r="AR467" s="5" t="s">
        <v>241</v>
      </c>
      <c r="AS467" s="5" t="s">
        <v>241</v>
      </c>
      <c r="AT467" s="5" t="s">
        <v>241</v>
      </c>
      <c r="AU467" s="5" t="s">
        <v>241</v>
      </c>
      <c r="AV467" s="5" t="s">
        <v>457</v>
      </c>
      <c r="AW467" s="5" t="s">
        <v>206</v>
      </c>
      <c r="BF467" s="5" t="s">
        <v>204</v>
      </c>
      <c r="BG467" s="5" t="s">
        <v>207</v>
      </c>
      <c r="BH467" s="5" t="s">
        <v>264</v>
      </c>
      <c r="BI467" s="5" t="s">
        <v>207</v>
      </c>
      <c r="BJ467" s="5" t="s">
        <v>264</v>
      </c>
      <c r="BK467" s="5" t="s">
        <v>244</v>
      </c>
      <c r="BL467" s="5" t="s">
        <v>244</v>
      </c>
      <c r="BM467" s="5" t="s">
        <v>244</v>
      </c>
      <c r="BN467" s="5" t="s">
        <v>244</v>
      </c>
      <c r="BO467" s="5" t="s">
        <v>244</v>
      </c>
      <c r="BP467" s="5" t="s">
        <v>244</v>
      </c>
      <c r="BQ467" s="5" t="s">
        <v>244</v>
      </c>
      <c r="BR467" s="5" t="s">
        <v>244</v>
      </c>
      <c r="BS467" s="5" t="s">
        <v>217</v>
      </c>
      <c r="BT467" s="5" t="s">
        <v>217</v>
      </c>
      <c r="BU467" s="5" t="s">
        <v>248</v>
      </c>
      <c r="BV467" s="5" t="s">
        <v>248</v>
      </c>
      <c r="BW467" s="5" t="s">
        <v>217</v>
      </c>
      <c r="BX467" s="5" t="s">
        <v>248</v>
      </c>
      <c r="BY467" s="5" t="s">
        <v>217</v>
      </c>
      <c r="CD467" s="5" t="s">
        <v>206</v>
      </c>
      <c r="CH467" s="5" t="s">
        <v>206</v>
      </c>
      <c r="CI467" s="5" t="s">
        <v>307</v>
      </c>
      <c r="CJ467" s="5">
        <v>2</v>
      </c>
      <c r="CK467" s="5" t="s">
        <v>223</v>
      </c>
      <c r="CU467" s="5" t="s">
        <v>206</v>
      </c>
      <c r="DA467" s="5" t="s">
        <v>231</v>
      </c>
      <c r="DB467" s="5"/>
      <c r="DC467" s="5" t="s">
        <v>251</v>
      </c>
      <c r="DD467" s="5"/>
      <c r="DE467" s="5" t="s">
        <v>251</v>
      </c>
      <c r="DF467" s="5"/>
      <c r="DG467" s="5" t="s">
        <v>251</v>
      </c>
      <c r="DH467" s="5"/>
      <c r="DI467" s="5" t="s">
        <v>251</v>
      </c>
      <c r="DJ467" s="5"/>
      <c r="DK467" s="5" t="s">
        <v>251</v>
      </c>
      <c r="DL467" s="5"/>
      <c r="DM467" s="5" t="s">
        <v>251</v>
      </c>
      <c r="DN467" s="5"/>
      <c r="DO467" s="5" t="s">
        <v>231</v>
      </c>
      <c r="DP467" s="5"/>
      <c r="DQ467" s="5" t="s">
        <v>231</v>
      </c>
      <c r="DR467" s="5"/>
      <c r="DS467" s="5" t="s">
        <v>231</v>
      </c>
      <c r="DT467" s="5"/>
      <c r="DU467" s="5" t="s">
        <v>231</v>
      </c>
      <c r="DV467" s="5"/>
      <c r="DW467" s="5" t="s">
        <v>231</v>
      </c>
      <c r="DX467" s="5"/>
      <c r="DY467" s="5"/>
      <c r="DZ467" s="5"/>
      <c r="EA467" s="5" t="s">
        <v>253</v>
      </c>
      <c r="EB467" s="5"/>
      <c r="EC467" s="5" t="s">
        <v>253</v>
      </c>
      <c r="ED467" s="5"/>
      <c r="EE467" s="5" t="s">
        <v>253</v>
      </c>
      <c r="EF467" s="5"/>
      <c r="EG467" s="5"/>
      <c r="EH467" s="5"/>
      <c r="EI467" s="5" t="s">
        <v>253</v>
      </c>
      <c r="EJ467" s="5"/>
      <c r="EK467" s="5" t="s">
        <v>253</v>
      </c>
      <c r="EL467" s="5"/>
      <c r="EM467" s="5" t="s">
        <v>253</v>
      </c>
      <c r="EN467" s="5"/>
      <c r="EO467" s="5"/>
      <c r="EP467" s="5"/>
      <c r="EQ467" s="5" t="s">
        <v>254</v>
      </c>
      <c r="ER467" s="5"/>
      <c r="ES467" s="5" t="s">
        <v>254</v>
      </c>
      <c r="ET467" s="5"/>
      <c r="EU467" s="5" t="s">
        <v>254</v>
      </c>
      <c r="EV467" s="5"/>
      <c r="EW467" s="5" t="s">
        <v>254</v>
      </c>
      <c r="EX467" s="5"/>
      <c r="EY467" s="5"/>
      <c r="EZ467" s="5"/>
      <c r="FA467" s="5" t="s">
        <v>253</v>
      </c>
      <c r="FB467" s="5"/>
      <c r="FC467" s="5" t="s">
        <v>253</v>
      </c>
      <c r="FD467" s="5"/>
      <c r="FE467" s="5" t="s">
        <v>253</v>
      </c>
      <c r="FF467" s="5"/>
      <c r="FG467" s="5"/>
      <c r="FH467" s="5"/>
      <c r="FI467" s="5" t="s">
        <v>253</v>
      </c>
      <c r="FJ467" s="5"/>
      <c r="FK467" s="5" t="s">
        <v>253</v>
      </c>
      <c r="FL467" s="5"/>
      <c r="FM467" s="5" t="s">
        <v>253</v>
      </c>
      <c r="FN467" s="5"/>
      <c r="FO467" s="5"/>
      <c r="FP467" s="5"/>
      <c r="FQ467" s="5" t="s">
        <v>206</v>
      </c>
      <c r="FR467" s="5"/>
      <c r="FS467" s="5" t="s">
        <v>206</v>
      </c>
      <c r="FT467" s="5"/>
      <c r="FU467" s="5" t="s">
        <v>206</v>
      </c>
      <c r="FV467" s="5"/>
      <c r="FW467" s="5" t="s">
        <v>206</v>
      </c>
      <c r="FX467" s="5"/>
      <c r="FY467" s="5" t="s">
        <v>206</v>
      </c>
      <c r="FZ467" s="5"/>
      <c r="GA467" s="5" t="s">
        <v>206</v>
      </c>
      <c r="GB467" s="5"/>
      <c r="GC467" s="5" t="s">
        <v>206</v>
      </c>
      <c r="GD467" s="5"/>
      <c r="GE467" s="5"/>
      <c r="GF467" s="5"/>
      <c r="GG467" s="5" t="s">
        <v>255</v>
      </c>
      <c r="GH467" s="5" t="s">
        <v>255</v>
      </c>
      <c r="GI467" s="5" t="s">
        <v>255</v>
      </c>
      <c r="GJ467" s="5" t="s">
        <v>255</v>
      </c>
      <c r="GK467" s="5" t="s">
        <v>233</v>
      </c>
      <c r="GL467" s="5" t="s">
        <v>233</v>
      </c>
      <c r="GM467" s="5" t="s">
        <v>255</v>
      </c>
      <c r="GN467" s="5" t="s">
        <v>256</v>
      </c>
      <c r="GO467" s="5" t="s">
        <v>256</v>
      </c>
      <c r="GP467" s="5" t="s">
        <v>256</v>
      </c>
      <c r="GQ467" s="5" t="s">
        <v>256</v>
      </c>
      <c r="GR467" s="5" t="s">
        <v>256</v>
      </c>
      <c r="GS467" s="5" t="s">
        <v>256</v>
      </c>
      <c r="GT467" s="5" t="s">
        <v>256</v>
      </c>
      <c r="GU467" s="5" t="s">
        <v>834</v>
      </c>
      <c r="GV467" s="5" t="str">
        <f>TEXT("6290175962323347927","0")</f>
        <v>6290175962323340000</v>
      </c>
    </row>
    <row r="468" spans="1:204" ht="15.75" customHeight="1" x14ac:dyDescent="0.15">
      <c r="A468" s="1">
        <f t="shared" ref="A468:A485" si="1479">ROW(A468)</f>
        <v>468</v>
      </c>
      <c r="B468" s="4">
        <v>45860.597384259258</v>
      </c>
      <c r="C468" s="5" t="s">
        <v>204</v>
      </c>
      <c r="D468" s="5" t="s">
        <v>204</v>
      </c>
      <c r="E468" s="5" t="s">
        <v>335</v>
      </c>
      <c r="F468" s="5" t="s">
        <v>204</v>
      </c>
      <c r="G468" s="5" t="s">
        <v>204</v>
      </c>
      <c r="H468" s="5" t="s">
        <v>206</v>
      </c>
      <c r="L468" s="5" t="s">
        <v>236</v>
      </c>
      <c r="O468" s="5" t="s">
        <v>209</v>
      </c>
      <c r="T468" s="5" t="s">
        <v>209</v>
      </c>
      <c r="AB468" s="5" t="s">
        <v>207</v>
      </c>
      <c r="AD468" s="5" t="s">
        <v>209</v>
      </c>
      <c r="AH468" s="5" t="s">
        <v>357</v>
      </c>
      <c r="AI468" s="5">
        <v>2023</v>
      </c>
      <c r="AJ468" s="5" t="s">
        <v>330</v>
      </c>
      <c r="AK468" s="5" t="str">
        <f t="shared" ref="AK468:AK485" si="1480">IF(OR(AJ468="Empleada del sector privado",AJ468="Empleada del sector público"),"Asalariada",
IF(AJ468="Trabajadora por cuenta propia","Trabajadora por cuenta propia",""))</f>
        <v>Asalariada</v>
      </c>
      <c r="AQ468" s="5" t="s">
        <v>204</v>
      </c>
      <c r="AR468" s="5" t="s">
        <v>241</v>
      </c>
      <c r="AS468" s="5" t="s">
        <v>294</v>
      </c>
      <c r="AT468" s="5" t="s">
        <v>294</v>
      </c>
      <c r="AU468" s="5" t="s">
        <v>261</v>
      </c>
      <c r="AV468" s="5" t="s">
        <v>285</v>
      </c>
      <c r="AW468" s="5" t="s">
        <v>204</v>
      </c>
      <c r="AX468" s="5" t="s">
        <v>204</v>
      </c>
      <c r="AY468" s="5" t="s">
        <v>214</v>
      </c>
      <c r="AZ468" s="5" t="s">
        <v>204</v>
      </c>
      <c r="BA468" s="5" t="s">
        <v>263</v>
      </c>
      <c r="BF468" s="5" t="s">
        <v>206</v>
      </c>
      <c r="CK468" s="5" t="s">
        <v>223</v>
      </c>
      <c r="CU468" s="5" t="s">
        <v>206</v>
      </c>
      <c r="DA468" s="5" t="s">
        <v>272</v>
      </c>
      <c r="DB468" s="5">
        <f t="shared" ref="DB468:DB485" si="1481">IF(DA468="Mejor que lo habitual",1,
IF(DA468="Igual que lo habitual",2,
IF(DA468="Menos que lo habitual",3,
IF(DA468="Mucho menos que lo habitual",4,""))))</f>
        <v>1</v>
      </c>
      <c r="DC468" s="5" t="s">
        <v>251</v>
      </c>
      <c r="DD468" s="5">
        <f t="shared" ref="DD468:DD485" si="1482">IF(DC468="No, en absoluto",1,
IF(DC468="No más que lo habitual",2,
IF(DC468="Bastante más que lo habitual",3,
IF(DC468="Mucho más que lo habitual",4,""))))</f>
        <v>1</v>
      </c>
      <c r="DE468" s="5" t="s">
        <v>251</v>
      </c>
      <c r="DF468" s="5">
        <f t="shared" ref="DF468:DF485" si="1483">IF(DE468="No, en absoluto",1,
IF(DE468="No más que lo habitual",2,
IF(DE468="Bastante más que lo habitual",3,
IF(DE468="Mucho más que lo habitual",4,""))))</f>
        <v>1</v>
      </c>
      <c r="DG468" s="5" t="s">
        <v>230</v>
      </c>
      <c r="DH468" s="5">
        <f t="shared" ref="DH468:DH485" si="1484">IF(DG468="No, en absoluto",1,
IF(DG468="No más que lo habitual",2,
IF(DG468="Bastante más que lo habitual",3,
IF(DG468="Mucho más que lo habitual",4,""))))</f>
        <v>2</v>
      </c>
      <c r="DI468" s="5" t="s">
        <v>251</v>
      </c>
      <c r="DJ468" s="5">
        <f t="shared" ref="DJ468:DJ485" si="1485">IF(DI468="No, en absoluto",1,
IF(DI468="No más que lo habitual",2,
IF(DI468="Bastante más que lo habitual",3,
IF(DI468="Mucho más que lo habitual",4,""))))</f>
        <v>1</v>
      </c>
      <c r="DK468" s="5" t="s">
        <v>251</v>
      </c>
      <c r="DL468" s="5">
        <f t="shared" ref="DL468:DL485" si="1486">IF(DK468="No, en absoluto",1,
IF(DK468="No más que lo habitual",2,
IF(DK468="Bastante más que lo habitual",3,
IF(DK468="Mucho más que lo habitual",4,""))))</f>
        <v>1</v>
      </c>
      <c r="DM468" s="5" t="s">
        <v>251</v>
      </c>
      <c r="DN468" s="5">
        <f t="shared" ref="DN468:DN485" si="1487">IF(DM468="No, en absoluto",1,
IF(DM468="No más que lo habitual",2,
IF(DM468="Bastante más que lo habitual",3,
IF(DM468="Mucho más que lo habitual",4,""))))</f>
        <v>1</v>
      </c>
      <c r="DO468" s="5" t="s">
        <v>281</v>
      </c>
      <c r="DP468" s="5">
        <f t="shared" ref="DP468:DP485" si="1488">IF(DO468="Más que lo habitual",1,
IF(DO468="Igual que lo habitual",2,
IF(DO468="Menos que lo habitual",3,
IF(DO468="Mucho menos que lo habitual",4,""))))</f>
        <v>1</v>
      </c>
      <c r="DQ468" s="5" t="s">
        <v>281</v>
      </c>
      <c r="DR468" s="5">
        <f t="shared" ref="DR468:DR485" si="1489">IF(DQ468="Más que lo habitual",1,
IF(DQ468="Igual que lo habitual",2,
IF(DQ468="Menos que lo habitual",3,
IF(DQ468="Mucho menos que lo habitual",4,""))))</f>
        <v>1</v>
      </c>
      <c r="DS468" s="5" t="s">
        <v>252</v>
      </c>
      <c r="DT468" s="5">
        <f t="shared" ref="DT468:DT485" si="1490">IF(DS468="Más que lo habitual",1,
IF(DS468="Igual que lo habitual",2,
IF(DS468="Menos que lo habitual",3,
IF(DS468="Mucho menos que lo habitual",4,""))))</f>
        <v>3</v>
      </c>
      <c r="DU468" s="5" t="s">
        <v>281</v>
      </c>
      <c r="DV468" s="5">
        <f t="shared" ref="DV468:DV485" si="1491">IF(DU468="Más que lo habitual",1,
IF(DU468="Igual que lo habitual",2,
IF(DU468="Menos que lo habitual",3,
IF(DU468="Mucho menos que lo habitual",4,""))))</f>
        <v>1</v>
      </c>
      <c r="DW468" s="5" t="s">
        <v>281</v>
      </c>
      <c r="DX468" s="5">
        <f t="shared" ref="DX468:DX485" si="1492">IF(DW468="Más que lo habitual",1,
IF(DW468="Igual que lo habitual",2,
IF(DW468="Menos que lo habitual",3,
IF(DW468="Mucho menos que lo habitual",4,""))))</f>
        <v>1</v>
      </c>
      <c r="DY468" s="5">
        <f t="shared" ref="DY468:DY485" si="1493">SUM(DB468,DD468,DF468,DH468,DJ468,DL468,DN468,DP468,DR468,DT468,DV468,DX468)</f>
        <v>15</v>
      </c>
      <c r="DZ468" s="5" t="str">
        <f t="shared" ref="DZ468:DZ485" si="1494">IF(DY468&lt;=18,"Nivel de riesgo bajo",
IF(DY468&lt;=23,"Nivel de riesgo medio",
"Nivel de riesgo alto"))</f>
        <v>Nivel de riesgo bajo</v>
      </c>
      <c r="EA468" s="5" t="s">
        <v>254</v>
      </c>
      <c r="EB468" s="5">
        <f t="shared" ref="EB468:EB485" si="1495">IF(EA468="Nunca/ casi nunca",0,
IF(EA468="Rara vez",1,
IF(EA468="A veces",2,
IF(EA468="A menudo",3,
IF(EA468="Siempre",4,"")))))</f>
        <v>4</v>
      </c>
      <c r="EC468" s="5" t="s">
        <v>254</v>
      </c>
      <c r="ED468" s="5">
        <f t="shared" ref="ED468:ED485" si="1496">IF(EC468="Nunca/ casi nunca",0,
IF(EC468="Rara vez",1,
IF(EC468="A veces",2,
IF(EC468="A menudo",3,
IF(EC468="Siempre",4,"")))))</f>
        <v>4</v>
      </c>
      <c r="EE468" s="5" t="s">
        <v>253</v>
      </c>
      <c r="EF468" s="5">
        <f t="shared" ref="EF468:EF485" si="1497">IF(EE468="Nunca/ casi nunca",0,
IF(EE468="Rara vez",1,
IF(EE468="A veces",2,
IF(EE468="A menudo",3,
IF(EE468="Siempre",4,"")))))</f>
        <v>0</v>
      </c>
      <c r="EG468" s="5">
        <f t="shared" ref="EG468:EG485" si="1498">SUM(EB468,ED468,EF468)</f>
        <v>8</v>
      </c>
      <c r="EH468" s="5" t="str">
        <f t="shared" ref="EH468:EH485" si="1499">IF(EG468&lt;=1,"Nivel de riesgo bajo",
IF(EG468&lt;=4,"Nivel de riesgo medio",
"Nivel de riesgo alto"))</f>
        <v>Nivel de riesgo alto</v>
      </c>
      <c r="EI468" s="5" t="s">
        <v>248</v>
      </c>
      <c r="EJ468" s="5">
        <f t="shared" ref="EJ468:EJ485" si="1500">IF(EI468="Nunca/ casi nunca",0,
IF(EI468="Rara vez",1,
IF(EI468="A veces",2,
IF(EI468="A menudo",3,
IF(EI468="Siempre",4,"")))))</f>
        <v>1</v>
      </c>
      <c r="EK468" s="5" t="s">
        <v>248</v>
      </c>
      <c r="EL468" s="5">
        <f t="shared" ref="EL468:EL485" si="1501">IF(EK468="Nunca/ casi nunca",0,
IF(EK468="Rara vez",1,
IF(EK468="A veces",2,
IF(EK468="A menudo",3,
IF(EK468="Siempre",4,"")))))</f>
        <v>1</v>
      </c>
      <c r="EM468" s="5" t="s">
        <v>253</v>
      </c>
      <c r="EN468" s="5">
        <f t="shared" ref="EN468:EN485" si="1502">IF(EM468="Nunca/ casi nunca",0,
IF(EM468="Rara vez",1,
IF(EM468="A veces",2,
IF(EM468="A menudo",3,
IF(EM468="Siempre",4,"")))))</f>
        <v>0</v>
      </c>
      <c r="EO468" s="5">
        <f t="shared" ref="EO468:EO485" si="1503">SUM(EJ468,EL468,EN468)</f>
        <v>2</v>
      </c>
      <c r="EP468" s="5" t="str">
        <f t="shared" ref="EP468:EP485" si="1504">IF(EO468&lt;=1,"Nivel de riesgo bajo",
IF(EO468&lt;=5,"Nivel de riesgo medio",
"Nivel de riesgo alto"))</f>
        <v>Nivel de riesgo medio</v>
      </c>
      <c r="EQ468" s="5" t="s">
        <v>254</v>
      </c>
      <c r="ER468" s="5">
        <f t="shared" ref="ER468:ER485" si="1505">IF(EQ468="Nunca/ casi nunca",4,
IF(EQ468="Rara vez",3,
IF(EQ468="A veces",2,
IF(EQ468="A menudo",1,
IF(EQ468="Siempre",0,"")))))</f>
        <v>0</v>
      </c>
      <c r="ES468" s="5" t="s">
        <v>253</v>
      </c>
      <c r="ET468" s="5">
        <f t="shared" ref="ET468:ET485" si="1506">IF(ES468="Nunca/ casi nunca",4,
IF(ES468="Rara vez",3,
IF(ES468="A veces",2,
IF(ES468="A menudo",1,
IF(ES468="Siempre",0,"")))))</f>
        <v>4</v>
      </c>
      <c r="EU468" s="5" t="s">
        <v>254</v>
      </c>
      <c r="EV468" s="5">
        <f t="shared" ref="EV468:EV485" si="1507">IF(EU468="Nunca/ casi nunca",4,
IF(EU468="Rara vez",3,
IF(EU468="A veces",2,
IF(EU468="A menudo",1,
IF(EU468="Siempre",0,"")))))</f>
        <v>0</v>
      </c>
      <c r="EW468" s="5" t="s">
        <v>254</v>
      </c>
      <c r="EX468" s="5">
        <f t="shared" ref="EX468:EX485" si="1508">IF(EW468="Nunca/ casi nunca",4,
IF(EW468="Rara vez",3,
IF(EW468="A veces",2,
IF(EW468="A menudo",1,
IF(EW468="Siempre",0,"")))))</f>
        <v>0</v>
      </c>
      <c r="EY468" s="5">
        <f t="shared" ref="EY468:EY485" si="1509">SUM(ER468,ET468,EV468,EX468)</f>
        <v>4</v>
      </c>
      <c r="EZ468" s="5" t="str">
        <f t="shared" ref="EZ468:EZ485" si="1510">IF(EY468&lt;=0,"Nivel de riesgo bajo",
IF(EY468&lt;=4,"Nivel de riesgo medio",
"Nivel de riesgo alto"))</f>
        <v>Nivel de riesgo medio</v>
      </c>
      <c r="FA468" s="5" t="s">
        <v>253</v>
      </c>
      <c r="FB468" s="5">
        <f t="shared" ref="FB468:FB485" si="1511">IF(FA468="Nunca/ casi nunca",0,
IF(FA468="Rara vez",1,
IF(FA468="A veces",2,
IF(FA468="A menudo",3,
IF(FA468="Siempre",4,"")))))</f>
        <v>0</v>
      </c>
      <c r="FC468" s="5" t="s">
        <v>253</v>
      </c>
      <c r="FD468" s="5">
        <f t="shared" ref="FD468:FD485" si="1512">IF(FC468="Nunca/ casi nunca",0,
IF(FC468="Rara vez",1,
IF(FC468="A veces",2,
IF(FC468="A menudo",3,
IF(FC468="Siempre",4,"")))))</f>
        <v>0</v>
      </c>
      <c r="FE468" s="5" t="s">
        <v>253</v>
      </c>
      <c r="FF468" s="5">
        <f t="shared" ref="FF468:FF485" si="1513">IF(FE468="Nunca/ casi nunca",0,
IF(FE468="Rara vez",1,
IF(FE468="A veces",2,
IF(FE468="A menudo",3,
IF(FE468="Siempre",4,"")))))</f>
        <v>0</v>
      </c>
      <c r="FG468" s="5">
        <f t="shared" ref="FG468:FG485" si="1514">SUM(FB468,FD468,FF468)</f>
        <v>0</v>
      </c>
      <c r="FH468" s="5" t="str">
        <f t="shared" ref="FH468:FH485" si="1515">IF(FG468&lt;=2,"Nivel de riesgo bajo",
IF(FG468&lt;=5,"Nivel de riesgo medio",
"Nivel de riesgo alto"))</f>
        <v>Nivel de riesgo bajo</v>
      </c>
      <c r="FI468" s="5" t="s">
        <v>254</v>
      </c>
      <c r="FJ468" s="5">
        <f t="shared" ref="FJ468:FJ485" si="1516">IF(FI468="Nunca/ casi nunca",0,
IF(FI468="Rara vez",1,
IF(FI468="A veces",2,
IF(FI468="A menudo",3,
IF(FI468="Siempre",4,"")))))</f>
        <v>4</v>
      </c>
      <c r="FK468" s="5" t="s">
        <v>247</v>
      </c>
      <c r="FL468" s="5">
        <f t="shared" ref="FL468:FL485" si="1517">IF(FK468="Nunca/ casi nunca",0,
IF(FK468="Rara vez",1,
IF(FK468="A veces",2,
IF(FK468="A menudo",3,
IF(FK468="Siempre",4,"")))))</f>
        <v>2</v>
      </c>
      <c r="FM468" s="5" t="s">
        <v>253</v>
      </c>
      <c r="FN468" s="5">
        <f t="shared" ref="FN468:FN485" si="1518">IF(FM468="Nunca/ casi nunca",0,
IF(FM468="Rara vez",1,
IF(FM468="A veces",2,
IF(FM468="A menudo",3,
IF(FM468="Siempre",4,"")))))</f>
        <v>0</v>
      </c>
      <c r="FO468" s="5">
        <f t="shared" ref="FO468:FO485" si="1519">SUM(FJ468,FL468,FN468)</f>
        <v>6</v>
      </c>
      <c r="FP468" s="5" t="str">
        <f t="shared" ref="FP468:FP485" si="1520">IF(FO468&lt;=2,"Nivel de riesgo bajo",
IF(FO468&lt;=5,"Nivel de riesgo medio",
"Nivel de riesgo alto"))</f>
        <v>Nivel de riesgo alto</v>
      </c>
      <c r="FQ468" s="5" t="s">
        <v>206</v>
      </c>
      <c r="FR468" s="5">
        <f t="shared" ref="FR468:FR485" si="1521">IF(FQ468="No",0,
IF(FQ468="Sí, unas pocas veces",1,
IF(FQ468="Sí, mensualmente",2,
IF(FQ468="Sí, semanalmente",3,
IF(FQ468="Sí, diariamente",4,"")))))</f>
        <v>0</v>
      </c>
      <c r="FS468" s="5" t="s">
        <v>206</v>
      </c>
      <c r="FT468" s="5">
        <f t="shared" ref="FT468:FT485" si="1522">IF(FS468="No",0,
IF(FS468="Sí, unas pocas veces",1,
IF(FS468="Sí, mensualmente",2,
IF(FS468="Sí, semanalmente",3,
IF(FS468="Sí, diariamente",4,"")))))</f>
        <v>0</v>
      </c>
      <c r="FU468" s="5" t="s">
        <v>206</v>
      </c>
      <c r="FV468" s="5">
        <f t="shared" ref="FV468:FV485" si="1523">IF(FU468="No",0,
IF(FU468="Sí, unas pocas veces",1,
IF(FU468="Sí, mensualmente",2,
IF(FU468="Sí, semanalmente",3,
IF(FU468="Sí, diariamente",4,"")))))</f>
        <v>0</v>
      </c>
      <c r="FW468" s="5" t="s">
        <v>206</v>
      </c>
      <c r="FX468" s="5">
        <f t="shared" ref="FX468:FX485" si="1524">IF(FW468="No",0,
IF(FW468="Sí, unas pocas veces",1,
IF(FW468="Sí, mensualmente",2,
IF(FW468="Sí, semanalmente",3,
IF(FW468="Sí, diariamente",4,"")))))</f>
        <v>0</v>
      </c>
      <c r="FY468" s="5" t="s">
        <v>206</v>
      </c>
      <c r="FZ468" s="5">
        <f t="shared" ref="FZ468:FZ485" si="1525">IF(FY468="No",0,
IF(FY468="Sí, unas pocas veces",1,
IF(FY468="Sí, mensualmente",2,
IF(FY468="Sí, semanalmente",3,
IF(FY468="Sí, diariamente",4,"")))))</f>
        <v>0</v>
      </c>
      <c r="GA468" s="5" t="s">
        <v>206</v>
      </c>
      <c r="GB468" s="5">
        <f t="shared" ref="GB468:GB485" si="1526">IF(GA468="No",0,
IF(GA468="Sí, unas pocas veces",1,
IF(GA468="Sí, mensualmente",2,
IF(GA468="Sí, semanalmente",3,
IF(GA468="Sí, diariamente",4,"")))))</f>
        <v>0</v>
      </c>
      <c r="GC468" s="5" t="s">
        <v>206</v>
      </c>
      <c r="GD468" s="5">
        <f t="shared" ref="GD468:GD485" si="1527">IF(GC468="No",0,
IF(GC468="Sí, unas pocas veces",1,
IF(GC468="Sí, mensualmente",2,
IF(GC468="Sí, semanalmente",3,
IF(GC468="Sí, diariamente",4,"")))))</f>
        <v>0</v>
      </c>
      <c r="GE468" s="5">
        <f t="shared" ref="GE468:GE485" si="1528">SUM(FR468,FT468,FV468,FX468,FZ468,GB468,GD468)</f>
        <v>0</v>
      </c>
      <c r="GF468" s="5" t="str">
        <f t="shared" ref="GF468:GF485" si="1529">IF(GE468&lt;=0,"Nivel de riesgo bajo",
IF(GE468&lt;=14,"Nivel de riesgo medio",
"Nivel de riesgo alto"))</f>
        <v>Nivel de riesgo bajo</v>
      </c>
      <c r="GG468" s="5" t="s">
        <v>266</v>
      </c>
      <c r="GH468" s="5" t="s">
        <v>266</v>
      </c>
      <c r="GI468" s="5" t="s">
        <v>266</v>
      </c>
      <c r="GJ468" s="5" t="s">
        <v>233</v>
      </c>
      <c r="GK468" s="5" t="s">
        <v>233</v>
      </c>
      <c r="GL468" s="5" t="s">
        <v>233</v>
      </c>
      <c r="GM468" s="5" t="s">
        <v>233</v>
      </c>
      <c r="GN468" s="5" t="s">
        <v>234</v>
      </c>
      <c r="GO468" s="5" t="s">
        <v>234</v>
      </c>
      <c r="GP468" s="5" t="s">
        <v>234</v>
      </c>
      <c r="GQ468" s="5" t="s">
        <v>234</v>
      </c>
      <c r="GR468" s="5" t="s">
        <v>234</v>
      </c>
      <c r="GS468" s="5" t="s">
        <v>234</v>
      </c>
      <c r="GT468" s="5" t="s">
        <v>243</v>
      </c>
      <c r="GU468" s="5" t="s">
        <v>360</v>
      </c>
      <c r="GV468" s="5" t="str">
        <f>TEXT("6290176144116737037","0")</f>
        <v>6290176144116730000</v>
      </c>
    </row>
    <row r="469" spans="1:204" ht="15.75" customHeight="1" x14ac:dyDescent="0.15">
      <c r="A469" s="1">
        <f t="shared" si="1479"/>
        <v>469</v>
      </c>
      <c r="B469" s="4">
        <v>45860.598124999997</v>
      </c>
      <c r="C469" s="5" t="s">
        <v>204</v>
      </c>
      <c r="D469" s="5" t="s">
        <v>206</v>
      </c>
      <c r="F469" s="5" t="s">
        <v>206</v>
      </c>
      <c r="G469" s="5" t="s">
        <v>204</v>
      </c>
      <c r="H469" s="5" t="s">
        <v>206</v>
      </c>
      <c r="K469" s="5" t="s">
        <v>237</v>
      </c>
      <c r="O469" s="5" t="s">
        <v>209</v>
      </c>
      <c r="S469" s="5" t="s">
        <v>208</v>
      </c>
      <c r="Y469" s="5" t="s">
        <v>209</v>
      </c>
      <c r="AE469" s="5" t="s">
        <v>237</v>
      </c>
      <c r="AH469" s="5" t="s">
        <v>268</v>
      </c>
      <c r="AI469" s="5">
        <v>2023</v>
      </c>
      <c r="AJ469" s="5" t="s">
        <v>238</v>
      </c>
      <c r="AK469" s="5" t="str">
        <f t="shared" si="1480"/>
        <v>Trabajadora por cuenta propia</v>
      </c>
      <c r="AM469" s="5" t="s">
        <v>309</v>
      </c>
      <c r="AP469" s="5" t="s">
        <v>835</v>
      </c>
      <c r="AR469" s="5" t="s">
        <v>241</v>
      </c>
      <c r="AS469" s="5" t="s">
        <v>301</v>
      </c>
      <c r="AT469" s="5" t="s">
        <v>301</v>
      </c>
      <c r="AU469" s="5" t="s">
        <v>301</v>
      </c>
      <c r="AV469" s="5" t="s">
        <v>285</v>
      </c>
      <c r="AW469" s="5" t="s">
        <v>204</v>
      </c>
      <c r="AX469" s="5" t="s">
        <v>204</v>
      </c>
      <c r="AY469" s="5" t="s">
        <v>214</v>
      </c>
      <c r="AZ469" s="5" t="s">
        <v>204</v>
      </c>
      <c r="BA469" s="5" t="s">
        <v>474</v>
      </c>
      <c r="BF469" s="5" t="s">
        <v>204</v>
      </c>
      <c r="BG469" s="5" t="s">
        <v>278</v>
      </c>
      <c r="BH469" s="5" t="s">
        <v>215</v>
      </c>
      <c r="BI469" s="5" t="s">
        <v>278</v>
      </c>
      <c r="BJ469" s="5" t="s">
        <v>215</v>
      </c>
      <c r="BK469" s="5" t="s">
        <v>246</v>
      </c>
      <c r="BL469" s="5" t="s">
        <v>246</v>
      </c>
      <c r="BM469" s="5" t="s">
        <v>243</v>
      </c>
      <c r="BN469" s="5" t="s">
        <v>246</v>
      </c>
      <c r="BO469" s="5" t="s">
        <v>246</v>
      </c>
      <c r="BP469" s="5" t="s">
        <v>216</v>
      </c>
      <c r="BQ469" s="5" t="s">
        <v>246</v>
      </c>
      <c r="BR469" s="5" t="s">
        <v>246</v>
      </c>
      <c r="BS469" s="5" t="s">
        <v>248</v>
      </c>
      <c r="BT469" s="5" t="s">
        <v>254</v>
      </c>
      <c r="BU469" s="5" t="s">
        <v>254</v>
      </c>
      <c r="BV469" s="5" t="s">
        <v>248</v>
      </c>
      <c r="BW469" s="5" t="s">
        <v>247</v>
      </c>
      <c r="BX469" s="5" t="s">
        <v>247</v>
      </c>
      <c r="BY469" s="5" t="s">
        <v>247</v>
      </c>
      <c r="BZ469" s="5" t="s">
        <v>246</v>
      </c>
      <c r="CA469" s="5" t="s">
        <v>246</v>
      </c>
      <c r="CB469" s="5" t="s">
        <v>244</v>
      </c>
      <c r="CC469" s="5" t="s">
        <v>246</v>
      </c>
      <c r="CD469" s="5" t="s">
        <v>204</v>
      </c>
      <c r="CE469" s="5" t="s">
        <v>218</v>
      </c>
      <c r="CF469" s="5" t="s">
        <v>219</v>
      </c>
      <c r="CG469" s="5" t="s">
        <v>206</v>
      </c>
      <c r="CH469" s="5" t="s">
        <v>738</v>
      </c>
      <c r="CI469" s="5" t="s">
        <v>249</v>
      </c>
      <c r="CJ469" s="5">
        <v>2</v>
      </c>
      <c r="CK469" s="5" t="s">
        <v>223</v>
      </c>
      <c r="CU469" s="5" t="s">
        <v>206</v>
      </c>
      <c r="DA469" s="5" t="s">
        <v>231</v>
      </c>
      <c r="DB469" s="5">
        <f t="shared" si="1481"/>
        <v>2</v>
      </c>
      <c r="DC469" s="5" t="s">
        <v>230</v>
      </c>
      <c r="DD469" s="5">
        <f t="shared" si="1482"/>
        <v>2</v>
      </c>
      <c r="DE469" s="5" t="s">
        <v>230</v>
      </c>
      <c r="DF469" s="5">
        <f t="shared" si="1483"/>
        <v>2</v>
      </c>
      <c r="DG469" s="5" t="s">
        <v>230</v>
      </c>
      <c r="DH469" s="5">
        <f t="shared" si="1484"/>
        <v>2</v>
      </c>
      <c r="DI469" s="5" t="s">
        <v>251</v>
      </c>
      <c r="DJ469" s="5">
        <f t="shared" si="1485"/>
        <v>1</v>
      </c>
      <c r="DK469" s="5" t="s">
        <v>251</v>
      </c>
      <c r="DL469" s="5">
        <f t="shared" si="1486"/>
        <v>1</v>
      </c>
      <c r="DM469" s="5" t="s">
        <v>251</v>
      </c>
      <c r="DN469" s="5">
        <f t="shared" si="1487"/>
        <v>1</v>
      </c>
      <c r="DO469" s="5" t="s">
        <v>231</v>
      </c>
      <c r="DP469" s="5">
        <f t="shared" si="1488"/>
        <v>2</v>
      </c>
      <c r="DQ469" s="5" t="s">
        <v>231</v>
      </c>
      <c r="DR469" s="5">
        <f t="shared" si="1489"/>
        <v>2</v>
      </c>
      <c r="DS469" s="5" t="s">
        <v>231</v>
      </c>
      <c r="DT469" s="5">
        <f t="shared" si="1490"/>
        <v>2</v>
      </c>
      <c r="DU469" s="5" t="s">
        <v>231</v>
      </c>
      <c r="DV469" s="5">
        <f t="shared" si="1491"/>
        <v>2</v>
      </c>
      <c r="DW469" s="5" t="s">
        <v>281</v>
      </c>
      <c r="DX469" s="5">
        <f t="shared" si="1492"/>
        <v>1</v>
      </c>
      <c r="DY469" s="5">
        <f t="shared" si="1493"/>
        <v>20</v>
      </c>
      <c r="DZ469" s="5" t="str">
        <f t="shared" si="1494"/>
        <v>Nivel de riesgo medio</v>
      </c>
      <c r="EA469" s="5" t="s">
        <v>248</v>
      </c>
      <c r="EB469" s="5">
        <f t="shared" si="1495"/>
        <v>1</v>
      </c>
      <c r="EC469" s="5" t="s">
        <v>247</v>
      </c>
      <c r="ED469" s="5">
        <f t="shared" si="1496"/>
        <v>2</v>
      </c>
      <c r="EE469" s="5" t="s">
        <v>248</v>
      </c>
      <c r="EF469" s="5">
        <f t="shared" si="1497"/>
        <v>1</v>
      </c>
      <c r="EG469" s="5">
        <f t="shared" si="1498"/>
        <v>4</v>
      </c>
      <c r="EH469" s="5" t="str">
        <f t="shared" si="1499"/>
        <v>Nivel de riesgo medio</v>
      </c>
      <c r="EI469" s="5" t="s">
        <v>253</v>
      </c>
      <c r="EJ469" s="5">
        <f t="shared" si="1500"/>
        <v>0</v>
      </c>
      <c r="EK469" s="5" t="s">
        <v>248</v>
      </c>
      <c r="EL469" s="5">
        <f t="shared" si="1501"/>
        <v>1</v>
      </c>
      <c r="EM469" s="5" t="s">
        <v>248</v>
      </c>
      <c r="EN469" s="5">
        <f t="shared" si="1502"/>
        <v>1</v>
      </c>
      <c r="EO469" s="5">
        <f t="shared" si="1503"/>
        <v>2</v>
      </c>
      <c r="EP469" s="5" t="str">
        <f t="shared" si="1504"/>
        <v>Nivel de riesgo medio</v>
      </c>
      <c r="EQ469" s="5" t="s">
        <v>248</v>
      </c>
      <c r="ER469" s="5">
        <f t="shared" si="1505"/>
        <v>3</v>
      </c>
      <c r="ES469" s="5" t="s">
        <v>254</v>
      </c>
      <c r="ET469" s="5">
        <f t="shared" si="1506"/>
        <v>0</v>
      </c>
      <c r="EU469" s="5" t="s">
        <v>232</v>
      </c>
      <c r="EV469" s="5">
        <f t="shared" si="1507"/>
        <v>1</v>
      </c>
      <c r="EW469" s="5" t="s">
        <v>254</v>
      </c>
      <c r="EX469" s="5">
        <f t="shared" si="1508"/>
        <v>0</v>
      </c>
      <c r="EY469" s="5">
        <f t="shared" si="1509"/>
        <v>4</v>
      </c>
      <c r="EZ469" s="5" t="str">
        <f t="shared" si="1510"/>
        <v>Nivel de riesgo medio</v>
      </c>
      <c r="FA469" s="5" t="s">
        <v>247</v>
      </c>
      <c r="FB469" s="5">
        <f t="shared" si="1511"/>
        <v>2</v>
      </c>
      <c r="FC469" s="5" t="s">
        <v>247</v>
      </c>
      <c r="FD469" s="5">
        <f t="shared" si="1512"/>
        <v>2</v>
      </c>
      <c r="FE469" s="5" t="s">
        <v>248</v>
      </c>
      <c r="FF469" s="5">
        <f t="shared" si="1513"/>
        <v>1</v>
      </c>
      <c r="FG469" s="5">
        <f t="shared" si="1514"/>
        <v>5</v>
      </c>
      <c r="FH469" s="5" t="str">
        <f t="shared" si="1515"/>
        <v>Nivel de riesgo medio</v>
      </c>
      <c r="FI469" s="5" t="s">
        <v>247</v>
      </c>
      <c r="FJ469" s="5">
        <f t="shared" si="1516"/>
        <v>2</v>
      </c>
      <c r="FK469" s="5" t="s">
        <v>247</v>
      </c>
      <c r="FL469" s="5">
        <f t="shared" si="1517"/>
        <v>2</v>
      </c>
      <c r="FM469" s="5" t="s">
        <v>247</v>
      </c>
      <c r="FN469" s="5">
        <f t="shared" si="1518"/>
        <v>2</v>
      </c>
      <c r="FO469" s="5">
        <f t="shared" si="1519"/>
        <v>6</v>
      </c>
      <c r="FP469" s="5" t="str">
        <f t="shared" si="1520"/>
        <v>Nivel de riesgo alto</v>
      </c>
      <c r="FQ469" s="5" t="s">
        <v>206</v>
      </c>
      <c r="FR469" s="5">
        <f t="shared" si="1521"/>
        <v>0</v>
      </c>
      <c r="FS469" s="5" t="s">
        <v>206</v>
      </c>
      <c r="FT469" s="5">
        <f t="shared" si="1522"/>
        <v>0</v>
      </c>
      <c r="FU469" s="5" t="s">
        <v>206</v>
      </c>
      <c r="FV469" s="5">
        <f t="shared" si="1523"/>
        <v>0</v>
      </c>
      <c r="FW469" s="5" t="s">
        <v>206</v>
      </c>
      <c r="FX469" s="5">
        <f t="shared" si="1524"/>
        <v>0</v>
      </c>
      <c r="FY469" s="5" t="s">
        <v>206</v>
      </c>
      <c r="FZ469" s="5">
        <f t="shared" si="1525"/>
        <v>0</v>
      </c>
      <c r="GA469" s="5" t="s">
        <v>206</v>
      </c>
      <c r="GB469" s="5">
        <f t="shared" si="1526"/>
        <v>0</v>
      </c>
      <c r="GC469" s="5" t="s">
        <v>206</v>
      </c>
      <c r="GD469" s="5">
        <f t="shared" si="1527"/>
        <v>0</v>
      </c>
      <c r="GE469" s="5">
        <f t="shared" si="1528"/>
        <v>0</v>
      </c>
      <c r="GF469" s="5" t="str">
        <f t="shared" si="1529"/>
        <v>Nivel de riesgo bajo</v>
      </c>
      <c r="GG469" s="5" t="s">
        <v>255</v>
      </c>
      <c r="GH469" s="5" t="s">
        <v>255</v>
      </c>
      <c r="GI469" s="5" t="s">
        <v>255</v>
      </c>
      <c r="GJ469" s="5" t="s">
        <v>273</v>
      </c>
      <c r="GK469" s="5" t="s">
        <v>233</v>
      </c>
      <c r="GL469" s="5" t="s">
        <v>273</v>
      </c>
      <c r="GM469" s="5" t="s">
        <v>266</v>
      </c>
      <c r="GN469" s="5" t="s">
        <v>256</v>
      </c>
      <c r="GO469" s="5" t="s">
        <v>256</v>
      </c>
      <c r="GP469" s="5" t="s">
        <v>256</v>
      </c>
      <c r="GQ469" s="5" t="s">
        <v>256</v>
      </c>
      <c r="GR469" s="5" t="s">
        <v>256</v>
      </c>
      <c r="GS469" s="5" t="s">
        <v>256</v>
      </c>
      <c r="GT469" s="5" t="s">
        <v>256</v>
      </c>
      <c r="GU469" s="5" t="s">
        <v>836</v>
      </c>
      <c r="GV469" s="5" t="str">
        <f>TEXT("6290176787499349872","0")</f>
        <v>6290176787499340000</v>
      </c>
    </row>
    <row r="470" spans="1:204" ht="15.75" customHeight="1" x14ac:dyDescent="0.15">
      <c r="A470" s="1">
        <f t="shared" si="1479"/>
        <v>470</v>
      </c>
      <c r="B470" s="4">
        <v>45860.599074074074</v>
      </c>
      <c r="C470" s="5" t="s">
        <v>204</v>
      </c>
      <c r="D470" s="5" t="s">
        <v>206</v>
      </c>
      <c r="F470" s="5" t="s">
        <v>206</v>
      </c>
      <c r="G470" s="5" t="s">
        <v>204</v>
      </c>
      <c r="H470" s="5" t="s">
        <v>206</v>
      </c>
      <c r="L470" s="5" t="s">
        <v>236</v>
      </c>
      <c r="N470" s="5" t="s">
        <v>208</v>
      </c>
      <c r="O470" s="5" t="s">
        <v>209</v>
      </c>
      <c r="T470" s="5" t="s">
        <v>209</v>
      </c>
      <c r="X470" s="5" t="s">
        <v>208</v>
      </c>
      <c r="AD470" s="5" t="s">
        <v>209</v>
      </c>
      <c r="AH470" s="5" t="s">
        <v>275</v>
      </c>
      <c r="AI470" s="5">
        <v>2016</v>
      </c>
      <c r="AJ470" s="5" t="s">
        <v>238</v>
      </c>
      <c r="AK470" s="5" t="str">
        <f t="shared" si="1480"/>
        <v>Trabajadora por cuenta propia</v>
      </c>
      <c r="AM470" s="5" t="s">
        <v>309</v>
      </c>
      <c r="AP470" s="5" t="s">
        <v>240</v>
      </c>
      <c r="AR470" s="5" t="s">
        <v>261</v>
      </c>
      <c r="AS470" s="5" t="s">
        <v>294</v>
      </c>
      <c r="AT470" s="5" t="s">
        <v>294</v>
      </c>
      <c r="AU470" s="5" t="s">
        <v>294</v>
      </c>
      <c r="AV470" s="5" t="s">
        <v>285</v>
      </c>
      <c r="AW470" s="5" t="s">
        <v>204</v>
      </c>
      <c r="AX470" s="5" t="s">
        <v>206</v>
      </c>
      <c r="BF470" s="5" t="s">
        <v>204</v>
      </c>
      <c r="BG470" s="5" t="s">
        <v>242</v>
      </c>
      <c r="BH470" s="5" t="s">
        <v>242</v>
      </c>
      <c r="BI470" s="5" t="s">
        <v>242</v>
      </c>
      <c r="BJ470" s="5" t="s">
        <v>242</v>
      </c>
      <c r="BK470" s="5" t="s">
        <v>244</v>
      </c>
      <c r="BL470" s="5" t="s">
        <v>244</v>
      </c>
      <c r="BM470" s="5" t="s">
        <v>244</v>
      </c>
      <c r="BN470" s="5" t="s">
        <v>244</v>
      </c>
      <c r="BO470" s="5" t="s">
        <v>244</v>
      </c>
      <c r="BP470" s="5" t="s">
        <v>244</v>
      </c>
      <c r="BQ470" s="5" t="s">
        <v>244</v>
      </c>
      <c r="BR470" s="5" t="s">
        <v>244</v>
      </c>
      <c r="BS470" s="5" t="s">
        <v>247</v>
      </c>
      <c r="BT470" s="5" t="s">
        <v>247</v>
      </c>
      <c r="BU470" s="5" t="s">
        <v>217</v>
      </c>
      <c r="BV470" s="5" t="s">
        <v>248</v>
      </c>
      <c r="BW470" s="5" t="s">
        <v>248</v>
      </c>
      <c r="BX470" s="5" t="s">
        <v>217</v>
      </c>
      <c r="BY470" s="5" t="s">
        <v>217</v>
      </c>
      <c r="BZ470" s="5" t="s">
        <v>244</v>
      </c>
      <c r="CA470" s="5" t="s">
        <v>244</v>
      </c>
      <c r="CB470" s="5" t="s">
        <v>244</v>
      </c>
      <c r="CC470" s="5" t="s">
        <v>244</v>
      </c>
      <c r="CD470" s="5" t="s">
        <v>206</v>
      </c>
      <c r="CH470" s="5" t="s">
        <v>530</v>
      </c>
      <c r="CI470" s="5" t="s">
        <v>347</v>
      </c>
      <c r="CJ470" s="5">
        <v>6</v>
      </c>
      <c r="CK470" s="5" t="s">
        <v>223</v>
      </c>
      <c r="CU470" s="5" t="s">
        <v>206</v>
      </c>
      <c r="DA470" s="5" t="s">
        <v>272</v>
      </c>
      <c r="DB470" s="5">
        <f t="shared" si="1481"/>
        <v>1</v>
      </c>
      <c r="DC470" s="5" t="s">
        <v>250</v>
      </c>
      <c r="DD470" s="5">
        <f t="shared" si="1482"/>
        <v>3</v>
      </c>
      <c r="DE470" s="5" t="s">
        <v>230</v>
      </c>
      <c r="DF470" s="5">
        <f t="shared" si="1483"/>
        <v>2</v>
      </c>
      <c r="DG470" s="5" t="s">
        <v>230</v>
      </c>
      <c r="DH470" s="5">
        <f t="shared" si="1484"/>
        <v>2</v>
      </c>
      <c r="DI470" s="5" t="s">
        <v>251</v>
      </c>
      <c r="DJ470" s="5">
        <f t="shared" si="1485"/>
        <v>1</v>
      </c>
      <c r="DK470" s="5" t="s">
        <v>230</v>
      </c>
      <c r="DL470" s="5">
        <f t="shared" si="1486"/>
        <v>2</v>
      </c>
      <c r="DM470" s="5" t="s">
        <v>251</v>
      </c>
      <c r="DN470" s="5">
        <f t="shared" si="1487"/>
        <v>1</v>
      </c>
      <c r="DO470" s="5" t="s">
        <v>231</v>
      </c>
      <c r="DP470" s="5">
        <f t="shared" si="1488"/>
        <v>2</v>
      </c>
      <c r="DQ470" s="5" t="s">
        <v>231</v>
      </c>
      <c r="DR470" s="5">
        <f t="shared" si="1489"/>
        <v>2</v>
      </c>
      <c r="DS470" s="5" t="s">
        <v>281</v>
      </c>
      <c r="DT470" s="5">
        <f t="shared" si="1490"/>
        <v>1</v>
      </c>
      <c r="DU470" s="5" t="s">
        <v>231</v>
      </c>
      <c r="DV470" s="5">
        <f t="shared" si="1491"/>
        <v>2</v>
      </c>
      <c r="DW470" s="5" t="s">
        <v>281</v>
      </c>
      <c r="DX470" s="5">
        <f t="shared" si="1492"/>
        <v>1</v>
      </c>
      <c r="DY470" s="5">
        <f t="shared" si="1493"/>
        <v>20</v>
      </c>
      <c r="DZ470" s="5" t="str">
        <f t="shared" si="1494"/>
        <v>Nivel de riesgo medio</v>
      </c>
      <c r="EA470" s="5" t="s">
        <v>248</v>
      </c>
      <c r="EB470" s="5">
        <f t="shared" si="1495"/>
        <v>1</v>
      </c>
      <c r="EC470" s="5" t="s">
        <v>247</v>
      </c>
      <c r="ED470" s="5">
        <f t="shared" si="1496"/>
        <v>2</v>
      </c>
      <c r="EE470" s="5" t="s">
        <v>248</v>
      </c>
      <c r="EF470" s="5">
        <f t="shared" si="1497"/>
        <v>1</v>
      </c>
      <c r="EG470" s="5">
        <f t="shared" si="1498"/>
        <v>4</v>
      </c>
      <c r="EH470" s="5" t="str">
        <f t="shared" si="1499"/>
        <v>Nivel de riesgo medio</v>
      </c>
      <c r="EI470" s="5" t="s">
        <v>253</v>
      </c>
      <c r="EJ470" s="5">
        <f t="shared" si="1500"/>
        <v>0</v>
      </c>
      <c r="EK470" s="5" t="s">
        <v>247</v>
      </c>
      <c r="EL470" s="5">
        <f t="shared" si="1501"/>
        <v>2</v>
      </c>
      <c r="EM470" s="5" t="s">
        <v>248</v>
      </c>
      <c r="EN470" s="5">
        <f t="shared" si="1502"/>
        <v>1</v>
      </c>
      <c r="EO470" s="5">
        <f t="shared" si="1503"/>
        <v>3</v>
      </c>
      <c r="EP470" s="5" t="str">
        <f t="shared" si="1504"/>
        <v>Nivel de riesgo medio</v>
      </c>
      <c r="EQ470" s="5" t="s">
        <v>232</v>
      </c>
      <c r="ER470" s="5">
        <f t="shared" si="1505"/>
        <v>1</v>
      </c>
      <c r="ES470" s="5" t="s">
        <v>247</v>
      </c>
      <c r="ET470" s="5">
        <f t="shared" si="1506"/>
        <v>2</v>
      </c>
      <c r="EU470" s="5" t="s">
        <v>248</v>
      </c>
      <c r="EV470" s="5">
        <f t="shared" si="1507"/>
        <v>3</v>
      </c>
      <c r="EW470" s="5" t="s">
        <v>232</v>
      </c>
      <c r="EX470" s="5">
        <f t="shared" si="1508"/>
        <v>1</v>
      </c>
      <c r="EY470" s="5">
        <f t="shared" si="1509"/>
        <v>7</v>
      </c>
      <c r="EZ470" s="5" t="str">
        <f t="shared" si="1510"/>
        <v>Nivel de riesgo alto</v>
      </c>
      <c r="FA470" s="5" t="s">
        <v>248</v>
      </c>
      <c r="FB470" s="5">
        <f t="shared" si="1511"/>
        <v>1</v>
      </c>
      <c r="FC470" s="5" t="s">
        <v>254</v>
      </c>
      <c r="FD470" s="5">
        <f t="shared" si="1512"/>
        <v>4</v>
      </c>
      <c r="FE470" s="5" t="s">
        <v>232</v>
      </c>
      <c r="FF470" s="5">
        <f t="shared" si="1513"/>
        <v>3</v>
      </c>
      <c r="FG470" s="5">
        <f t="shared" si="1514"/>
        <v>8</v>
      </c>
      <c r="FH470" s="5" t="str">
        <f t="shared" si="1515"/>
        <v>Nivel de riesgo alto</v>
      </c>
      <c r="FI470" s="5" t="s">
        <v>247</v>
      </c>
      <c r="FJ470" s="5">
        <f t="shared" si="1516"/>
        <v>2</v>
      </c>
      <c r="FK470" s="5" t="s">
        <v>232</v>
      </c>
      <c r="FL470" s="5">
        <f t="shared" si="1517"/>
        <v>3</v>
      </c>
      <c r="FM470" s="5" t="s">
        <v>247</v>
      </c>
      <c r="FN470" s="5">
        <f t="shared" si="1518"/>
        <v>2</v>
      </c>
      <c r="FO470" s="5">
        <f t="shared" si="1519"/>
        <v>7</v>
      </c>
      <c r="FP470" s="5" t="str">
        <f t="shared" si="1520"/>
        <v>Nivel de riesgo alto</v>
      </c>
      <c r="FQ470" s="5" t="s">
        <v>206</v>
      </c>
      <c r="FR470" s="5">
        <f t="shared" si="1521"/>
        <v>0</v>
      </c>
      <c r="FS470" s="5" t="s">
        <v>206</v>
      </c>
      <c r="FT470" s="5">
        <f t="shared" si="1522"/>
        <v>0</v>
      </c>
      <c r="FU470" s="5" t="s">
        <v>206</v>
      </c>
      <c r="FV470" s="5">
        <f t="shared" si="1523"/>
        <v>0</v>
      </c>
      <c r="FW470" s="5" t="s">
        <v>206</v>
      </c>
      <c r="FX470" s="5">
        <f t="shared" si="1524"/>
        <v>0</v>
      </c>
      <c r="FY470" s="5" t="s">
        <v>206</v>
      </c>
      <c r="FZ470" s="5">
        <f t="shared" si="1525"/>
        <v>0</v>
      </c>
      <c r="GA470" s="5" t="s">
        <v>206</v>
      </c>
      <c r="GB470" s="5">
        <f t="shared" si="1526"/>
        <v>0</v>
      </c>
      <c r="GC470" s="5" t="s">
        <v>206</v>
      </c>
      <c r="GD470" s="5">
        <f t="shared" si="1527"/>
        <v>0</v>
      </c>
      <c r="GE470" s="5">
        <f t="shared" si="1528"/>
        <v>0</v>
      </c>
      <c r="GF470" s="5" t="str">
        <f t="shared" si="1529"/>
        <v>Nivel de riesgo bajo</v>
      </c>
      <c r="GG470" s="5" t="s">
        <v>255</v>
      </c>
      <c r="GH470" s="5" t="s">
        <v>255</v>
      </c>
      <c r="GI470" s="5" t="s">
        <v>255</v>
      </c>
      <c r="GJ470" s="5" t="s">
        <v>298</v>
      </c>
      <c r="GK470" s="5" t="s">
        <v>233</v>
      </c>
      <c r="GL470" s="5" t="s">
        <v>255</v>
      </c>
      <c r="GM470" s="5" t="s">
        <v>233</v>
      </c>
      <c r="GN470" s="5" t="s">
        <v>243</v>
      </c>
      <c r="GO470" s="5" t="s">
        <v>257</v>
      </c>
      <c r="GP470" s="5" t="s">
        <v>257</v>
      </c>
      <c r="GQ470" s="5" t="s">
        <v>244</v>
      </c>
      <c r="GR470" s="5" t="s">
        <v>244</v>
      </c>
      <c r="GS470" s="5" t="s">
        <v>244</v>
      </c>
      <c r="GT470" s="5" t="s">
        <v>244</v>
      </c>
      <c r="GU470" s="5" t="s">
        <v>303</v>
      </c>
      <c r="GV470" s="5" t="str">
        <f>TEXT("6290177608586722138","0")</f>
        <v>6290177608586720000</v>
      </c>
    </row>
    <row r="471" spans="1:204" ht="15.75" customHeight="1" x14ac:dyDescent="0.15">
      <c r="A471" s="1">
        <f t="shared" si="1479"/>
        <v>471</v>
      </c>
      <c r="B471" s="4">
        <v>45860.602002314816</v>
      </c>
      <c r="C471" s="5" t="s">
        <v>204</v>
      </c>
      <c r="D471" s="5" t="s">
        <v>206</v>
      </c>
      <c r="F471" s="5" t="s">
        <v>206</v>
      </c>
      <c r="G471" s="5" t="s">
        <v>206</v>
      </c>
      <c r="H471" s="5" t="s">
        <v>206</v>
      </c>
      <c r="L471" s="5" t="s">
        <v>236</v>
      </c>
      <c r="P471" s="5" t="s">
        <v>237</v>
      </c>
      <c r="T471" s="5" t="s">
        <v>209</v>
      </c>
      <c r="X471" s="5" t="s">
        <v>208</v>
      </c>
      <c r="AD471" s="5" t="s">
        <v>209</v>
      </c>
      <c r="AH471" s="5" t="s">
        <v>259</v>
      </c>
      <c r="AI471" s="5">
        <v>2020</v>
      </c>
      <c r="AJ471" s="5" t="s">
        <v>330</v>
      </c>
      <c r="AK471" s="5" t="str">
        <f t="shared" si="1480"/>
        <v>Asalariada</v>
      </c>
      <c r="AQ471" s="5" t="s">
        <v>204</v>
      </c>
      <c r="AR471" s="5" t="s">
        <v>241</v>
      </c>
      <c r="AS471" s="5" t="s">
        <v>261</v>
      </c>
      <c r="AT471" s="5" t="s">
        <v>241</v>
      </c>
      <c r="AU471" s="5" t="s">
        <v>241</v>
      </c>
      <c r="AV471" s="5" t="s">
        <v>213</v>
      </c>
      <c r="AW471" s="5" t="s">
        <v>206</v>
      </c>
      <c r="BF471" s="5" t="s">
        <v>204</v>
      </c>
      <c r="BG471" s="5" t="s">
        <v>271</v>
      </c>
      <c r="BH471" s="5" t="s">
        <v>242</v>
      </c>
      <c r="BI471" s="5" t="s">
        <v>207</v>
      </c>
      <c r="BJ471" s="5" t="s">
        <v>207</v>
      </c>
      <c r="BK471" s="5" t="s">
        <v>243</v>
      </c>
      <c r="BL471" s="5" t="s">
        <v>216</v>
      </c>
      <c r="BM471" s="5" t="s">
        <v>245</v>
      </c>
      <c r="BN471" s="5" t="s">
        <v>246</v>
      </c>
      <c r="BO471" s="5" t="s">
        <v>246</v>
      </c>
      <c r="BP471" s="5" t="s">
        <v>246</v>
      </c>
      <c r="BQ471" s="5" t="s">
        <v>243</v>
      </c>
      <c r="BR471" s="5" t="s">
        <v>246</v>
      </c>
      <c r="BS471" s="5" t="s">
        <v>232</v>
      </c>
      <c r="BT471" s="5" t="s">
        <v>247</v>
      </c>
      <c r="BU471" s="5" t="s">
        <v>247</v>
      </c>
      <c r="BV471" s="5" t="s">
        <v>217</v>
      </c>
      <c r="BW471" s="5" t="s">
        <v>248</v>
      </c>
      <c r="BX471" s="5" t="s">
        <v>217</v>
      </c>
      <c r="BY471" s="5" t="s">
        <v>217</v>
      </c>
      <c r="CD471" s="5" t="s">
        <v>206</v>
      </c>
      <c r="CH471" s="5" t="s">
        <v>206</v>
      </c>
      <c r="CI471" s="5" t="s">
        <v>291</v>
      </c>
      <c r="CJ471" s="5">
        <v>1</v>
      </c>
      <c r="CK471" s="5" t="s">
        <v>223</v>
      </c>
      <c r="CU471" s="5" t="s">
        <v>206</v>
      </c>
      <c r="DA471" s="5" t="s">
        <v>252</v>
      </c>
      <c r="DB471" s="5">
        <f t="shared" si="1481"/>
        <v>3</v>
      </c>
      <c r="DC471" s="5" t="s">
        <v>250</v>
      </c>
      <c r="DD471" s="5">
        <f t="shared" si="1482"/>
        <v>3</v>
      </c>
      <c r="DE471" s="5" t="s">
        <v>250</v>
      </c>
      <c r="DF471" s="5">
        <f t="shared" si="1483"/>
        <v>3</v>
      </c>
      <c r="DG471" s="5" t="s">
        <v>250</v>
      </c>
      <c r="DH471" s="5">
        <f t="shared" si="1484"/>
        <v>3</v>
      </c>
      <c r="DI471" s="5" t="s">
        <v>250</v>
      </c>
      <c r="DJ471" s="5">
        <f t="shared" si="1485"/>
        <v>3</v>
      </c>
      <c r="DK471" s="5" t="s">
        <v>250</v>
      </c>
      <c r="DL471" s="5">
        <f t="shared" si="1486"/>
        <v>3</v>
      </c>
      <c r="DM471" s="5" t="s">
        <v>251</v>
      </c>
      <c r="DN471" s="5">
        <f t="shared" si="1487"/>
        <v>1</v>
      </c>
      <c r="DO471" s="5" t="s">
        <v>231</v>
      </c>
      <c r="DP471" s="5">
        <f t="shared" si="1488"/>
        <v>2</v>
      </c>
      <c r="DQ471" s="5" t="s">
        <v>231</v>
      </c>
      <c r="DR471" s="5">
        <f t="shared" si="1489"/>
        <v>2</v>
      </c>
      <c r="DS471" s="5" t="s">
        <v>252</v>
      </c>
      <c r="DT471" s="5">
        <f t="shared" si="1490"/>
        <v>3</v>
      </c>
      <c r="DU471" s="5" t="s">
        <v>231</v>
      </c>
      <c r="DV471" s="5">
        <f t="shared" si="1491"/>
        <v>2</v>
      </c>
      <c r="DW471" s="5" t="s">
        <v>231</v>
      </c>
      <c r="DX471" s="5">
        <f t="shared" si="1492"/>
        <v>2</v>
      </c>
      <c r="DY471" s="5">
        <f t="shared" si="1493"/>
        <v>30</v>
      </c>
      <c r="DZ471" s="5" t="str">
        <f t="shared" si="1494"/>
        <v>Nivel de riesgo alto</v>
      </c>
      <c r="EA471" s="5" t="s">
        <v>253</v>
      </c>
      <c r="EB471" s="5">
        <f t="shared" si="1495"/>
        <v>0</v>
      </c>
      <c r="EC471" s="5" t="s">
        <v>247</v>
      </c>
      <c r="ED471" s="5">
        <f t="shared" si="1496"/>
        <v>2</v>
      </c>
      <c r="EE471" s="5" t="s">
        <v>248</v>
      </c>
      <c r="EF471" s="5">
        <f t="shared" si="1497"/>
        <v>1</v>
      </c>
      <c r="EG471" s="5">
        <f t="shared" si="1498"/>
        <v>3</v>
      </c>
      <c r="EH471" s="5" t="str">
        <f t="shared" si="1499"/>
        <v>Nivel de riesgo medio</v>
      </c>
      <c r="EI471" s="5" t="s">
        <v>253</v>
      </c>
      <c r="EJ471" s="5">
        <f t="shared" si="1500"/>
        <v>0</v>
      </c>
      <c r="EK471" s="5" t="s">
        <v>247</v>
      </c>
      <c r="EL471" s="5">
        <f t="shared" si="1501"/>
        <v>2</v>
      </c>
      <c r="EM471" s="5" t="s">
        <v>247</v>
      </c>
      <c r="EN471" s="5">
        <f t="shared" si="1502"/>
        <v>2</v>
      </c>
      <c r="EO471" s="5">
        <f t="shared" si="1503"/>
        <v>4</v>
      </c>
      <c r="EP471" s="5" t="str">
        <f t="shared" si="1504"/>
        <v>Nivel de riesgo medio</v>
      </c>
      <c r="EQ471" s="5" t="s">
        <v>248</v>
      </c>
      <c r="ER471" s="5">
        <f t="shared" si="1505"/>
        <v>3</v>
      </c>
      <c r="ES471" s="5" t="s">
        <v>248</v>
      </c>
      <c r="ET471" s="5">
        <f t="shared" si="1506"/>
        <v>3</v>
      </c>
      <c r="EU471" s="5" t="s">
        <v>254</v>
      </c>
      <c r="EV471" s="5">
        <f t="shared" si="1507"/>
        <v>0</v>
      </c>
      <c r="EW471" s="5" t="s">
        <v>232</v>
      </c>
      <c r="EX471" s="5">
        <f t="shared" si="1508"/>
        <v>1</v>
      </c>
      <c r="EY471" s="5">
        <f t="shared" si="1509"/>
        <v>7</v>
      </c>
      <c r="EZ471" s="5" t="str">
        <f t="shared" si="1510"/>
        <v>Nivel de riesgo alto</v>
      </c>
      <c r="FA471" s="5" t="s">
        <v>253</v>
      </c>
      <c r="FB471" s="5">
        <f t="shared" si="1511"/>
        <v>0</v>
      </c>
      <c r="FC471" s="5" t="s">
        <v>253</v>
      </c>
      <c r="FD471" s="5">
        <f t="shared" si="1512"/>
        <v>0</v>
      </c>
      <c r="FE471" s="5" t="s">
        <v>253</v>
      </c>
      <c r="FF471" s="5">
        <f t="shared" si="1513"/>
        <v>0</v>
      </c>
      <c r="FG471" s="5">
        <f t="shared" si="1514"/>
        <v>0</v>
      </c>
      <c r="FH471" s="5" t="str">
        <f t="shared" si="1515"/>
        <v>Nivel de riesgo bajo</v>
      </c>
      <c r="FI471" s="5" t="s">
        <v>253</v>
      </c>
      <c r="FJ471" s="5">
        <f t="shared" si="1516"/>
        <v>0</v>
      </c>
      <c r="FK471" s="5" t="s">
        <v>253</v>
      </c>
      <c r="FL471" s="5">
        <f t="shared" si="1517"/>
        <v>0</v>
      </c>
      <c r="FM471" s="5" t="s">
        <v>253</v>
      </c>
      <c r="FN471" s="5">
        <f t="shared" si="1518"/>
        <v>0</v>
      </c>
      <c r="FO471" s="5">
        <f t="shared" si="1519"/>
        <v>0</v>
      </c>
      <c r="FP471" s="5" t="str">
        <f t="shared" si="1520"/>
        <v>Nivel de riesgo bajo</v>
      </c>
      <c r="FQ471" s="5" t="s">
        <v>265</v>
      </c>
      <c r="FR471" s="5">
        <f t="shared" si="1521"/>
        <v>1</v>
      </c>
      <c r="FS471" s="5" t="s">
        <v>206</v>
      </c>
      <c r="FT471" s="5">
        <f t="shared" si="1522"/>
        <v>0</v>
      </c>
      <c r="FU471" s="5" t="s">
        <v>206</v>
      </c>
      <c r="FV471" s="5">
        <f t="shared" si="1523"/>
        <v>0</v>
      </c>
      <c r="FW471" s="5" t="s">
        <v>265</v>
      </c>
      <c r="FX471" s="5">
        <f t="shared" si="1524"/>
        <v>1</v>
      </c>
      <c r="FY471" s="5" t="s">
        <v>206</v>
      </c>
      <c r="FZ471" s="5">
        <f t="shared" si="1525"/>
        <v>0</v>
      </c>
      <c r="GA471" s="5" t="s">
        <v>206</v>
      </c>
      <c r="GB471" s="5">
        <f t="shared" si="1526"/>
        <v>0</v>
      </c>
      <c r="GC471" s="5" t="s">
        <v>206</v>
      </c>
      <c r="GD471" s="5">
        <f t="shared" si="1527"/>
        <v>0</v>
      </c>
      <c r="GE471" s="5">
        <f t="shared" si="1528"/>
        <v>2</v>
      </c>
      <c r="GF471" s="5" t="str">
        <f t="shared" si="1529"/>
        <v>Nivel de riesgo medio</v>
      </c>
      <c r="GG471" s="5" t="s">
        <v>273</v>
      </c>
      <c r="GH471" s="5" t="s">
        <v>255</v>
      </c>
      <c r="GI471" s="5" t="s">
        <v>255</v>
      </c>
      <c r="GJ471" s="5" t="s">
        <v>233</v>
      </c>
      <c r="GK471" s="5" t="s">
        <v>233</v>
      </c>
      <c r="GL471" s="5" t="s">
        <v>298</v>
      </c>
      <c r="GM471" s="5" t="s">
        <v>273</v>
      </c>
      <c r="GN471" s="5" t="s">
        <v>243</v>
      </c>
      <c r="GO471" s="5" t="s">
        <v>257</v>
      </c>
      <c r="GP471" s="5" t="s">
        <v>243</v>
      </c>
      <c r="GQ471" s="5" t="s">
        <v>257</v>
      </c>
      <c r="GR471" s="5" t="s">
        <v>257</v>
      </c>
      <c r="GS471" s="5" t="s">
        <v>257</v>
      </c>
      <c r="GT471" s="5" t="s">
        <v>257</v>
      </c>
      <c r="GU471" s="5" t="s">
        <v>837</v>
      </c>
      <c r="GV471" s="5" t="str">
        <f>TEXT("6290180132492526398","0")</f>
        <v>6290180132492520000</v>
      </c>
    </row>
    <row r="472" spans="1:204" ht="15.75" customHeight="1" x14ac:dyDescent="0.15">
      <c r="A472" s="1">
        <f t="shared" si="1479"/>
        <v>472</v>
      </c>
      <c r="B472" s="4">
        <v>45860.606724537036</v>
      </c>
      <c r="C472" s="5" t="s">
        <v>204</v>
      </c>
      <c r="D472" s="5" t="s">
        <v>206</v>
      </c>
      <c r="F472" s="5" t="s">
        <v>206</v>
      </c>
      <c r="G472" s="5" t="s">
        <v>204</v>
      </c>
      <c r="H472" s="5" t="s">
        <v>206</v>
      </c>
      <c r="J472" s="5" t="s">
        <v>209</v>
      </c>
      <c r="N472" s="5" t="s">
        <v>208</v>
      </c>
      <c r="S472" s="5" t="s">
        <v>208</v>
      </c>
      <c r="X472" s="5" t="s">
        <v>208</v>
      </c>
      <c r="AC472" s="5" t="s">
        <v>208</v>
      </c>
      <c r="AH472" s="5" t="s">
        <v>275</v>
      </c>
      <c r="AI472" s="5">
        <v>2012</v>
      </c>
      <c r="AJ472" s="5" t="s">
        <v>238</v>
      </c>
      <c r="AK472" s="5" t="str">
        <f t="shared" si="1480"/>
        <v>Trabajadora por cuenta propia</v>
      </c>
      <c r="AL472" s="5" t="s">
        <v>239</v>
      </c>
      <c r="AP472" s="5" t="s">
        <v>297</v>
      </c>
      <c r="AR472" s="5" t="s">
        <v>301</v>
      </c>
      <c r="AS472" s="5" t="s">
        <v>301</v>
      </c>
      <c r="AT472" s="5" t="s">
        <v>301</v>
      </c>
      <c r="AU472" s="5" t="s">
        <v>301</v>
      </c>
      <c r="AV472" s="5" t="s">
        <v>213</v>
      </c>
      <c r="AW472" s="5" t="s">
        <v>204</v>
      </c>
      <c r="AX472" s="5" t="s">
        <v>204</v>
      </c>
      <c r="AY472" s="5" t="s">
        <v>214</v>
      </c>
      <c r="AZ472" s="5" t="s">
        <v>204</v>
      </c>
      <c r="BA472" s="5" t="s">
        <v>348</v>
      </c>
      <c r="BF472" s="5" t="s">
        <v>204</v>
      </c>
      <c r="BG472" s="5" t="s">
        <v>271</v>
      </c>
      <c r="BH472" s="5" t="s">
        <v>215</v>
      </c>
      <c r="BI472" s="5" t="s">
        <v>278</v>
      </c>
      <c r="BJ472" s="5" t="s">
        <v>278</v>
      </c>
      <c r="BK472" s="5" t="s">
        <v>244</v>
      </c>
      <c r="BL472" s="5" t="s">
        <v>244</v>
      </c>
      <c r="BM472" s="5" t="s">
        <v>244</v>
      </c>
      <c r="BN472" s="5" t="s">
        <v>244</v>
      </c>
      <c r="BO472" s="5" t="s">
        <v>244</v>
      </c>
      <c r="BP472" s="5" t="s">
        <v>244</v>
      </c>
      <c r="BQ472" s="5" t="s">
        <v>244</v>
      </c>
      <c r="BR472" s="5" t="s">
        <v>244</v>
      </c>
      <c r="BS472" s="5" t="s">
        <v>217</v>
      </c>
      <c r="BT472" s="5" t="s">
        <v>217</v>
      </c>
      <c r="BU472" s="5" t="s">
        <v>248</v>
      </c>
      <c r="BV472" s="5" t="s">
        <v>217</v>
      </c>
      <c r="BW472" s="5" t="s">
        <v>217</v>
      </c>
      <c r="BX472" s="5" t="s">
        <v>217</v>
      </c>
      <c r="BY472" s="5" t="s">
        <v>217</v>
      </c>
      <c r="BZ472" s="5" t="s">
        <v>216</v>
      </c>
      <c r="CA472" s="5" t="s">
        <v>216</v>
      </c>
      <c r="CB472" s="5" t="s">
        <v>216</v>
      </c>
      <c r="CC472" s="5" t="s">
        <v>216</v>
      </c>
      <c r="CD472" s="5" t="s">
        <v>206</v>
      </c>
      <c r="CH472" s="5" t="s">
        <v>206</v>
      </c>
      <c r="CI472" s="5" t="s">
        <v>206</v>
      </c>
      <c r="CJ472" s="5">
        <v>0</v>
      </c>
      <c r="CK472" s="5" t="s">
        <v>223</v>
      </c>
      <c r="CU472" s="5" t="s">
        <v>206</v>
      </c>
      <c r="DA472" s="5" t="s">
        <v>231</v>
      </c>
      <c r="DB472" s="5">
        <f t="shared" si="1481"/>
        <v>2</v>
      </c>
      <c r="DC472" s="5" t="s">
        <v>251</v>
      </c>
      <c r="DD472" s="5">
        <f t="shared" si="1482"/>
        <v>1</v>
      </c>
      <c r="DE472" s="5" t="s">
        <v>251</v>
      </c>
      <c r="DF472" s="5">
        <f t="shared" si="1483"/>
        <v>1</v>
      </c>
      <c r="DG472" s="5" t="s">
        <v>251</v>
      </c>
      <c r="DH472" s="5">
        <f t="shared" si="1484"/>
        <v>1</v>
      </c>
      <c r="DI472" s="5" t="s">
        <v>251</v>
      </c>
      <c r="DJ472" s="5">
        <f t="shared" si="1485"/>
        <v>1</v>
      </c>
      <c r="DK472" s="5" t="s">
        <v>251</v>
      </c>
      <c r="DL472" s="5">
        <f t="shared" si="1486"/>
        <v>1</v>
      </c>
      <c r="DM472" s="5" t="s">
        <v>251</v>
      </c>
      <c r="DN472" s="5">
        <f t="shared" si="1487"/>
        <v>1</v>
      </c>
      <c r="DO472" s="5" t="s">
        <v>281</v>
      </c>
      <c r="DP472" s="5">
        <f t="shared" si="1488"/>
        <v>1</v>
      </c>
      <c r="DQ472" s="5" t="s">
        <v>281</v>
      </c>
      <c r="DR472" s="5">
        <f t="shared" si="1489"/>
        <v>1</v>
      </c>
      <c r="DS472" s="5" t="s">
        <v>281</v>
      </c>
      <c r="DT472" s="5">
        <f t="shared" si="1490"/>
        <v>1</v>
      </c>
      <c r="DU472" s="5" t="s">
        <v>281</v>
      </c>
      <c r="DV472" s="5">
        <f t="shared" si="1491"/>
        <v>1</v>
      </c>
      <c r="DW472" s="5" t="s">
        <v>281</v>
      </c>
      <c r="DX472" s="5">
        <f t="shared" si="1492"/>
        <v>1</v>
      </c>
      <c r="DY472" s="5">
        <f t="shared" si="1493"/>
        <v>13</v>
      </c>
      <c r="DZ472" s="5" t="str">
        <f t="shared" si="1494"/>
        <v>Nivel de riesgo bajo</v>
      </c>
      <c r="EA472" s="5" t="s">
        <v>248</v>
      </c>
      <c r="EB472" s="5">
        <f t="shared" si="1495"/>
        <v>1</v>
      </c>
      <c r="EC472" s="5" t="s">
        <v>253</v>
      </c>
      <c r="ED472" s="5">
        <f t="shared" si="1496"/>
        <v>0</v>
      </c>
      <c r="EE472" s="5" t="s">
        <v>253</v>
      </c>
      <c r="EF472" s="5">
        <f t="shared" si="1497"/>
        <v>0</v>
      </c>
      <c r="EG472" s="5">
        <f t="shared" si="1498"/>
        <v>1</v>
      </c>
      <c r="EH472" s="5" t="str">
        <f t="shared" si="1499"/>
        <v>Nivel de riesgo bajo</v>
      </c>
      <c r="EI472" s="5" t="s">
        <v>253</v>
      </c>
      <c r="EJ472" s="5">
        <f t="shared" si="1500"/>
        <v>0</v>
      </c>
      <c r="EK472" s="5" t="s">
        <v>253</v>
      </c>
      <c r="EL472" s="5">
        <f t="shared" si="1501"/>
        <v>0</v>
      </c>
      <c r="EM472" s="5" t="s">
        <v>253</v>
      </c>
      <c r="EN472" s="5">
        <f t="shared" si="1502"/>
        <v>0</v>
      </c>
      <c r="EO472" s="5">
        <f t="shared" si="1503"/>
        <v>0</v>
      </c>
      <c r="EP472" s="5" t="str">
        <f t="shared" si="1504"/>
        <v>Nivel de riesgo bajo</v>
      </c>
      <c r="EQ472" s="5" t="s">
        <v>254</v>
      </c>
      <c r="ER472" s="5">
        <f t="shared" si="1505"/>
        <v>0</v>
      </c>
      <c r="ES472" s="5" t="s">
        <v>254</v>
      </c>
      <c r="ET472" s="5">
        <f t="shared" si="1506"/>
        <v>0</v>
      </c>
      <c r="EU472" s="5" t="s">
        <v>254</v>
      </c>
      <c r="EV472" s="5">
        <f t="shared" si="1507"/>
        <v>0</v>
      </c>
      <c r="EW472" s="5" t="s">
        <v>254</v>
      </c>
      <c r="EX472" s="5">
        <f t="shared" si="1508"/>
        <v>0</v>
      </c>
      <c r="EY472" s="5">
        <f t="shared" si="1509"/>
        <v>0</v>
      </c>
      <c r="EZ472" s="5" t="str">
        <f t="shared" si="1510"/>
        <v>Nivel de riesgo bajo</v>
      </c>
      <c r="FA472" s="5" t="s">
        <v>253</v>
      </c>
      <c r="FB472" s="5">
        <f t="shared" si="1511"/>
        <v>0</v>
      </c>
      <c r="FC472" s="5" t="s">
        <v>253</v>
      </c>
      <c r="FD472" s="5">
        <f t="shared" si="1512"/>
        <v>0</v>
      </c>
      <c r="FE472" s="5" t="s">
        <v>253</v>
      </c>
      <c r="FF472" s="5">
        <f t="shared" si="1513"/>
        <v>0</v>
      </c>
      <c r="FG472" s="5">
        <f t="shared" si="1514"/>
        <v>0</v>
      </c>
      <c r="FH472" s="5" t="str">
        <f t="shared" si="1515"/>
        <v>Nivel de riesgo bajo</v>
      </c>
      <c r="FI472" s="5" t="s">
        <v>253</v>
      </c>
      <c r="FJ472" s="5">
        <f t="shared" si="1516"/>
        <v>0</v>
      </c>
      <c r="FK472" s="5" t="s">
        <v>253</v>
      </c>
      <c r="FL472" s="5">
        <f t="shared" si="1517"/>
        <v>0</v>
      </c>
      <c r="FM472" s="5" t="s">
        <v>253</v>
      </c>
      <c r="FN472" s="5">
        <f t="shared" si="1518"/>
        <v>0</v>
      </c>
      <c r="FO472" s="5">
        <f t="shared" si="1519"/>
        <v>0</v>
      </c>
      <c r="FP472" s="5" t="str">
        <f t="shared" si="1520"/>
        <v>Nivel de riesgo bajo</v>
      </c>
      <c r="FQ472" s="5" t="s">
        <v>206</v>
      </c>
      <c r="FR472" s="5">
        <f t="shared" si="1521"/>
        <v>0</v>
      </c>
      <c r="FS472" s="5" t="s">
        <v>206</v>
      </c>
      <c r="FT472" s="5">
        <f t="shared" si="1522"/>
        <v>0</v>
      </c>
      <c r="FU472" s="5" t="s">
        <v>206</v>
      </c>
      <c r="FV472" s="5">
        <f t="shared" si="1523"/>
        <v>0</v>
      </c>
      <c r="FW472" s="5" t="s">
        <v>206</v>
      </c>
      <c r="FX472" s="5">
        <f t="shared" si="1524"/>
        <v>0</v>
      </c>
      <c r="FY472" s="5" t="s">
        <v>206</v>
      </c>
      <c r="FZ472" s="5">
        <f t="shared" si="1525"/>
        <v>0</v>
      </c>
      <c r="GA472" s="5" t="s">
        <v>206</v>
      </c>
      <c r="GB472" s="5">
        <f t="shared" si="1526"/>
        <v>0</v>
      </c>
      <c r="GC472" s="5" t="s">
        <v>206</v>
      </c>
      <c r="GD472" s="5">
        <f t="shared" si="1527"/>
        <v>0</v>
      </c>
      <c r="GE472" s="5">
        <f t="shared" si="1528"/>
        <v>0</v>
      </c>
      <c r="GF472" s="5" t="str">
        <f t="shared" si="1529"/>
        <v>Nivel de riesgo bajo</v>
      </c>
      <c r="GG472" s="5" t="s">
        <v>255</v>
      </c>
      <c r="GH472" s="5" t="s">
        <v>255</v>
      </c>
      <c r="GI472" s="5" t="s">
        <v>255</v>
      </c>
      <c r="GJ472" s="5" t="s">
        <v>273</v>
      </c>
      <c r="GK472" s="5" t="s">
        <v>233</v>
      </c>
      <c r="GL472" s="5" t="s">
        <v>233</v>
      </c>
      <c r="GM472" s="5" t="s">
        <v>255</v>
      </c>
      <c r="GN472" s="5" t="s">
        <v>256</v>
      </c>
      <c r="GO472" s="5" t="s">
        <v>243</v>
      </c>
      <c r="GP472" s="5" t="s">
        <v>256</v>
      </c>
      <c r="GQ472" s="5" t="s">
        <v>243</v>
      </c>
      <c r="GR472" s="5" t="s">
        <v>256</v>
      </c>
      <c r="GS472" s="5" t="s">
        <v>256</v>
      </c>
      <c r="GT472" s="5" t="s">
        <v>243</v>
      </c>
      <c r="GU472" s="5" t="s">
        <v>838</v>
      </c>
      <c r="GV472" s="5" t="str">
        <f>TEXT("6290184211816614921","0")</f>
        <v>6290184211816610000</v>
      </c>
    </row>
    <row r="473" spans="1:204" ht="15.75" customHeight="1" x14ac:dyDescent="0.15">
      <c r="A473" s="1">
        <f t="shared" si="1479"/>
        <v>473</v>
      </c>
      <c r="B473" s="4">
        <v>45860.61109953704</v>
      </c>
      <c r="C473" s="5" t="s">
        <v>204</v>
      </c>
      <c r="D473" s="5" t="s">
        <v>204</v>
      </c>
      <c r="E473" s="5" t="s">
        <v>335</v>
      </c>
      <c r="F473" s="5" t="s">
        <v>206</v>
      </c>
      <c r="G473" s="5" t="s">
        <v>206</v>
      </c>
      <c r="H473" s="5" t="s">
        <v>206</v>
      </c>
      <c r="K473" s="5" t="s">
        <v>237</v>
      </c>
      <c r="P473" s="5" t="s">
        <v>237</v>
      </c>
      <c r="T473" s="5" t="s">
        <v>209</v>
      </c>
      <c r="Y473" s="5" t="s">
        <v>209</v>
      </c>
      <c r="AC473" s="5" t="s">
        <v>208</v>
      </c>
      <c r="AH473" s="5" t="s">
        <v>268</v>
      </c>
      <c r="AI473" s="5">
        <v>2020</v>
      </c>
      <c r="AJ473" s="5" t="s">
        <v>238</v>
      </c>
      <c r="AK473" s="5" t="str">
        <f t="shared" si="1480"/>
        <v>Trabajadora por cuenta propia</v>
      </c>
      <c r="AL473" s="5" t="s">
        <v>239</v>
      </c>
      <c r="AP473" s="5" t="s">
        <v>321</v>
      </c>
      <c r="AR473" s="5" t="s">
        <v>241</v>
      </c>
      <c r="AS473" s="5" t="s">
        <v>241</v>
      </c>
      <c r="AT473" s="5" t="s">
        <v>241</v>
      </c>
      <c r="AU473" s="5" t="s">
        <v>241</v>
      </c>
      <c r="AV473" s="5" t="s">
        <v>285</v>
      </c>
      <c r="AW473" s="5" t="s">
        <v>204</v>
      </c>
      <c r="AX473" s="5" t="s">
        <v>204</v>
      </c>
      <c r="AY473" s="5" t="s">
        <v>214</v>
      </c>
      <c r="AZ473" s="5" t="s">
        <v>204</v>
      </c>
      <c r="BA473" s="5" t="s">
        <v>295</v>
      </c>
      <c r="BB473" s="5" t="s">
        <v>206</v>
      </c>
      <c r="BC473" s="5" t="s">
        <v>206</v>
      </c>
      <c r="BD473" s="5" t="s">
        <v>290</v>
      </c>
      <c r="BE473" s="5" t="s">
        <v>204</v>
      </c>
      <c r="BF473" s="5" t="s">
        <v>204</v>
      </c>
      <c r="BG473" s="5" t="s">
        <v>207</v>
      </c>
      <c r="BH473" s="5" t="s">
        <v>215</v>
      </c>
      <c r="BI473" s="5" t="s">
        <v>207</v>
      </c>
      <c r="BJ473" s="5" t="s">
        <v>215</v>
      </c>
      <c r="BK473" s="5" t="s">
        <v>243</v>
      </c>
      <c r="BL473" s="5" t="s">
        <v>243</v>
      </c>
      <c r="BM473" s="5" t="s">
        <v>243</v>
      </c>
      <c r="BN473" s="5" t="s">
        <v>245</v>
      </c>
      <c r="BO473" s="5" t="s">
        <v>243</v>
      </c>
      <c r="BP473" s="5" t="s">
        <v>243</v>
      </c>
      <c r="BQ473" s="5" t="s">
        <v>243</v>
      </c>
      <c r="BR473" s="5" t="s">
        <v>246</v>
      </c>
      <c r="BS473" s="5" t="s">
        <v>232</v>
      </c>
      <c r="BT473" s="5" t="s">
        <v>247</v>
      </c>
      <c r="BU473" s="5" t="s">
        <v>247</v>
      </c>
      <c r="BV473" s="5" t="s">
        <v>247</v>
      </c>
      <c r="BW473" s="5" t="s">
        <v>247</v>
      </c>
      <c r="BX473" s="5" t="s">
        <v>247</v>
      </c>
      <c r="BY473" s="5" t="s">
        <v>247</v>
      </c>
      <c r="BZ473" s="5" t="s">
        <v>243</v>
      </c>
      <c r="CA473" s="5" t="s">
        <v>243</v>
      </c>
      <c r="CB473" s="5" t="s">
        <v>243</v>
      </c>
      <c r="CC473" s="5" t="s">
        <v>243</v>
      </c>
      <c r="CD473" s="5" t="s">
        <v>206</v>
      </c>
      <c r="CH473" s="5" t="s">
        <v>206</v>
      </c>
      <c r="CI473" s="5" t="s">
        <v>206</v>
      </c>
      <c r="CJ473" s="5">
        <v>0</v>
      </c>
      <c r="CK473" s="5" t="s">
        <v>223</v>
      </c>
      <c r="CU473" s="5" t="s">
        <v>206</v>
      </c>
      <c r="DA473" s="5" t="s">
        <v>231</v>
      </c>
      <c r="DB473" s="5">
        <f t="shared" si="1481"/>
        <v>2</v>
      </c>
      <c r="DC473" s="5" t="s">
        <v>280</v>
      </c>
      <c r="DD473" s="5">
        <f t="shared" si="1482"/>
        <v>4</v>
      </c>
      <c r="DE473" s="5" t="s">
        <v>280</v>
      </c>
      <c r="DF473" s="5">
        <f t="shared" si="1483"/>
        <v>4</v>
      </c>
      <c r="DG473" s="5" t="s">
        <v>230</v>
      </c>
      <c r="DH473" s="5">
        <f t="shared" si="1484"/>
        <v>2</v>
      </c>
      <c r="DI473" s="5" t="s">
        <v>280</v>
      </c>
      <c r="DJ473" s="5">
        <f t="shared" si="1485"/>
        <v>4</v>
      </c>
      <c r="DK473" s="5" t="s">
        <v>230</v>
      </c>
      <c r="DL473" s="5">
        <f t="shared" si="1486"/>
        <v>2</v>
      </c>
      <c r="DM473" s="5" t="s">
        <v>280</v>
      </c>
      <c r="DN473" s="5">
        <f t="shared" si="1487"/>
        <v>4</v>
      </c>
      <c r="DO473" s="5" t="s">
        <v>229</v>
      </c>
      <c r="DP473" s="5">
        <f t="shared" si="1488"/>
        <v>4</v>
      </c>
      <c r="DQ473" s="5" t="s">
        <v>229</v>
      </c>
      <c r="DR473" s="5">
        <f t="shared" si="1489"/>
        <v>4</v>
      </c>
      <c r="DS473" s="5" t="s">
        <v>252</v>
      </c>
      <c r="DT473" s="5">
        <f t="shared" si="1490"/>
        <v>3</v>
      </c>
      <c r="DU473" s="5" t="s">
        <v>229</v>
      </c>
      <c r="DV473" s="5">
        <f t="shared" si="1491"/>
        <v>4</v>
      </c>
      <c r="DW473" s="5" t="s">
        <v>252</v>
      </c>
      <c r="DX473" s="5">
        <f t="shared" si="1492"/>
        <v>3</v>
      </c>
      <c r="DY473" s="5">
        <f t="shared" si="1493"/>
        <v>40</v>
      </c>
      <c r="DZ473" s="5" t="str">
        <f t="shared" si="1494"/>
        <v>Nivel de riesgo alto</v>
      </c>
      <c r="EA473" s="5" t="s">
        <v>253</v>
      </c>
      <c r="EB473" s="5">
        <f t="shared" si="1495"/>
        <v>0</v>
      </c>
      <c r="EC473" s="5" t="s">
        <v>248</v>
      </c>
      <c r="ED473" s="5">
        <f t="shared" si="1496"/>
        <v>1</v>
      </c>
      <c r="EE473" s="5" t="s">
        <v>248</v>
      </c>
      <c r="EF473" s="5">
        <f t="shared" si="1497"/>
        <v>1</v>
      </c>
      <c r="EG473" s="5">
        <f t="shared" si="1498"/>
        <v>2</v>
      </c>
      <c r="EH473" s="5" t="str">
        <f t="shared" si="1499"/>
        <v>Nivel de riesgo medio</v>
      </c>
      <c r="EI473" s="5" t="s">
        <v>248</v>
      </c>
      <c r="EJ473" s="5">
        <f t="shared" si="1500"/>
        <v>1</v>
      </c>
      <c r="EK473" s="5" t="s">
        <v>253</v>
      </c>
      <c r="EL473" s="5">
        <f t="shared" si="1501"/>
        <v>0</v>
      </c>
      <c r="EM473" s="5" t="s">
        <v>254</v>
      </c>
      <c r="EN473" s="5">
        <f t="shared" si="1502"/>
        <v>4</v>
      </c>
      <c r="EO473" s="5">
        <f t="shared" si="1503"/>
        <v>5</v>
      </c>
      <c r="EP473" s="5" t="str">
        <f t="shared" si="1504"/>
        <v>Nivel de riesgo medio</v>
      </c>
      <c r="EQ473" s="5" t="s">
        <v>232</v>
      </c>
      <c r="ER473" s="5">
        <f t="shared" si="1505"/>
        <v>1</v>
      </c>
      <c r="ES473" s="5" t="s">
        <v>232</v>
      </c>
      <c r="ET473" s="5">
        <f t="shared" si="1506"/>
        <v>1</v>
      </c>
      <c r="EU473" s="5" t="s">
        <v>232</v>
      </c>
      <c r="EV473" s="5">
        <f t="shared" si="1507"/>
        <v>1</v>
      </c>
      <c r="EW473" s="5" t="s">
        <v>232</v>
      </c>
      <c r="EX473" s="5">
        <f t="shared" si="1508"/>
        <v>1</v>
      </c>
      <c r="EY473" s="5">
        <f t="shared" si="1509"/>
        <v>4</v>
      </c>
      <c r="EZ473" s="5" t="str">
        <f t="shared" si="1510"/>
        <v>Nivel de riesgo medio</v>
      </c>
      <c r="FA473" s="5" t="s">
        <v>253</v>
      </c>
      <c r="FB473" s="5">
        <f t="shared" si="1511"/>
        <v>0</v>
      </c>
      <c r="FC473" s="5" t="s">
        <v>253</v>
      </c>
      <c r="FD473" s="5">
        <f t="shared" si="1512"/>
        <v>0</v>
      </c>
      <c r="FE473" s="5" t="s">
        <v>253</v>
      </c>
      <c r="FF473" s="5">
        <f t="shared" si="1513"/>
        <v>0</v>
      </c>
      <c r="FG473" s="5">
        <f t="shared" si="1514"/>
        <v>0</v>
      </c>
      <c r="FH473" s="5" t="str">
        <f t="shared" si="1515"/>
        <v>Nivel de riesgo bajo</v>
      </c>
      <c r="FI473" s="5" t="s">
        <v>248</v>
      </c>
      <c r="FJ473" s="5">
        <f t="shared" si="1516"/>
        <v>1</v>
      </c>
      <c r="FK473" s="5" t="s">
        <v>248</v>
      </c>
      <c r="FL473" s="5">
        <f t="shared" si="1517"/>
        <v>1</v>
      </c>
      <c r="FM473" s="5" t="s">
        <v>248</v>
      </c>
      <c r="FN473" s="5">
        <f t="shared" si="1518"/>
        <v>1</v>
      </c>
      <c r="FO473" s="5">
        <f t="shared" si="1519"/>
        <v>3</v>
      </c>
      <c r="FP473" s="5" t="str">
        <f t="shared" si="1520"/>
        <v>Nivel de riesgo medio</v>
      </c>
      <c r="FQ473" s="5" t="s">
        <v>206</v>
      </c>
      <c r="FR473" s="5">
        <f t="shared" si="1521"/>
        <v>0</v>
      </c>
      <c r="FS473" s="5" t="s">
        <v>206</v>
      </c>
      <c r="FT473" s="5">
        <f t="shared" si="1522"/>
        <v>0</v>
      </c>
      <c r="FU473" s="5" t="s">
        <v>206</v>
      </c>
      <c r="FV473" s="5">
        <f t="shared" si="1523"/>
        <v>0</v>
      </c>
      <c r="FW473" s="5" t="s">
        <v>206</v>
      </c>
      <c r="FX473" s="5">
        <f t="shared" si="1524"/>
        <v>0</v>
      </c>
      <c r="FY473" s="5" t="s">
        <v>206</v>
      </c>
      <c r="FZ473" s="5">
        <f t="shared" si="1525"/>
        <v>0</v>
      </c>
      <c r="GA473" s="5" t="s">
        <v>206</v>
      </c>
      <c r="GB473" s="5">
        <f t="shared" si="1526"/>
        <v>0</v>
      </c>
      <c r="GC473" s="5" t="s">
        <v>206</v>
      </c>
      <c r="GD473" s="5">
        <f t="shared" si="1527"/>
        <v>0</v>
      </c>
      <c r="GE473" s="5">
        <f t="shared" si="1528"/>
        <v>0</v>
      </c>
      <c r="GF473" s="5" t="str">
        <f t="shared" si="1529"/>
        <v>Nivel de riesgo bajo</v>
      </c>
      <c r="GG473" s="5" t="s">
        <v>298</v>
      </c>
      <c r="GH473" s="5" t="s">
        <v>266</v>
      </c>
      <c r="GI473" s="5" t="s">
        <v>298</v>
      </c>
      <c r="GJ473" s="5" t="s">
        <v>233</v>
      </c>
      <c r="GK473" s="5" t="s">
        <v>233</v>
      </c>
      <c r="GL473" s="5" t="s">
        <v>233</v>
      </c>
      <c r="GM473" s="5" t="s">
        <v>233</v>
      </c>
      <c r="GN473" s="5" t="s">
        <v>243</v>
      </c>
      <c r="GO473" s="5" t="s">
        <v>243</v>
      </c>
      <c r="GP473" s="5" t="s">
        <v>256</v>
      </c>
      <c r="GQ473" s="5" t="s">
        <v>256</v>
      </c>
      <c r="GR473" s="5" t="s">
        <v>257</v>
      </c>
      <c r="GS473" s="5" t="s">
        <v>257</v>
      </c>
      <c r="GT473" s="5" t="s">
        <v>243</v>
      </c>
      <c r="GU473" s="5" t="s">
        <v>839</v>
      </c>
      <c r="GV473" s="5" t="str">
        <f>TEXT("6290187997989539531","0")</f>
        <v>6290187997989530000</v>
      </c>
    </row>
    <row r="474" spans="1:204" ht="15.75" customHeight="1" x14ac:dyDescent="0.15">
      <c r="A474" s="1">
        <f t="shared" si="1479"/>
        <v>474</v>
      </c>
      <c r="B474" s="4">
        <v>45860.615671296298</v>
      </c>
      <c r="C474" s="5" t="s">
        <v>204</v>
      </c>
      <c r="D474" s="5" t="s">
        <v>206</v>
      </c>
      <c r="F474" s="5" t="s">
        <v>206</v>
      </c>
      <c r="G474" s="5" t="s">
        <v>204</v>
      </c>
      <c r="H474" s="5" t="s">
        <v>206</v>
      </c>
      <c r="L474" s="5" t="s">
        <v>236</v>
      </c>
      <c r="O474" s="5" t="s">
        <v>209</v>
      </c>
      <c r="S474" s="5" t="s">
        <v>208</v>
      </c>
      <c r="X474" s="5" t="s">
        <v>208</v>
      </c>
      <c r="AF474" s="5" t="s">
        <v>236</v>
      </c>
      <c r="AH474" s="5" t="s">
        <v>210</v>
      </c>
      <c r="AI474" s="5">
        <v>2020</v>
      </c>
      <c r="AJ474" s="5" t="s">
        <v>238</v>
      </c>
      <c r="AK474" s="5" t="str">
        <f t="shared" si="1480"/>
        <v>Trabajadora por cuenta propia</v>
      </c>
      <c r="AN474" s="5" t="s">
        <v>288</v>
      </c>
      <c r="AP474" s="5" t="s">
        <v>321</v>
      </c>
      <c r="AR474" s="5" t="s">
        <v>241</v>
      </c>
      <c r="AS474" s="5" t="s">
        <v>241</v>
      </c>
      <c r="AT474" s="5" t="s">
        <v>241</v>
      </c>
      <c r="AU474" s="5" t="s">
        <v>241</v>
      </c>
      <c r="AV474" s="5" t="s">
        <v>213</v>
      </c>
      <c r="AW474" s="5" t="s">
        <v>206</v>
      </c>
      <c r="BF474" s="5" t="s">
        <v>204</v>
      </c>
      <c r="BG474" s="5" t="s">
        <v>264</v>
      </c>
      <c r="BH474" s="5" t="s">
        <v>242</v>
      </c>
      <c r="BI474" s="5" t="s">
        <v>215</v>
      </c>
      <c r="BJ474" s="5" t="s">
        <v>215</v>
      </c>
      <c r="BK474" s="5" t="s">
        <v>216</v>
      </c>
      <c r="BL474" s="5" t="s">
        <v>244</v>
      </c>
      <c r="BM474" s="5" t="s">
        <v>244</v>
      </c>
      <c r="BN474" s="5" t="s">
        <v>216</v>
      </c>
      <c r="BO474" s="5" t="s">
        <v>216</v>
      </c>
      <c r="BP474" s="5" t="s">
        <v>216</v>
      </c>
      <c r="BQ474" s="5" t="s">
        <v>216</v>
      </c>
      <c r="BR474" s="5" t="s">
        <v>216</v>
      </c>
      <c r="BS474" s="5" t="s">
        <v>217</v>
      </c>
      <c r="BT474" s="5" t="s">
        <v>217</v>
      </c>
      <c r="BU474" s="5" t="s">
        <v>217</v>
      </c>
      <c r="BV474" s="5" t="s">
        <v>217</v>
      </c>
      <c r="BW474" s="5" t="s">
        <v>217</v>
      </c>
      <c r="BX474" s="5" t="s">
        <v>217</v>
      </c>
      <c r="BY474" s="5" t="s">
        <v>217</v>
      </c>
      <c r="CD474" s="5" t="s">
        <v>206</v>
      </c>
      <c r="CH474" s="5" t="s">
        <v>221</v>
      </c>
      <c r="CI474" s="5" t="s">
        <v>307</v>
      </c>
      <c r="CJ474" s="5">
        <v>3</v>
      </c>
      <c r="CL474" s="5" t="s">
        <v>433</v>
      </c>
      <c r="CU474" s="5" t="s">
        <v>204</v>
      </c>
      <c r="CV474" s="5" t="s">
        <v>350</v>
      </c>
      <c r="CW474" s="5" t="s">
        <v>371</v>
      </c>
      <c r="CX474" s="5" t="s">
        <v>752</v>
      </c>
      <c r="CY474" s="5" t="s">
        <v>353</v>
      </c>
      <c r="CZ474" s="5" t="s">
        <v>228</v>
      </c>
      <c r="DA474" s="5" t="s">
        <v>272</v>
      </c>
      <c r="DB474" s="5">
        <f t="shared" si="1481"/>
        <v>1</v>
      </c>
      <c r="DC474" s="5" t="s">
        <v>251</v>
      </c>
      <c r="DD474" s="5">
        <f t="shared" si="1482"/>
        <v>1</v>
      </c>
      <c r="DE474" s="5" t="s">
        <v>251</v>
      </c>
      <c r="DF474" s="5">
        <f t="shared" si="1483"/>
        <v>1</v>
      </c>
      <c r="DG474" s="5" t="s">
        <v>251</v>
      </c>
      <c r="DH474" s="5">
        <f t="shared" si="1484"/>
        <v>1</v>
      </c>
      <c r="DI474" s="5" t="s">
        <v>251</v>
      </c>
      <c r="DJ474" s="5">
        <f t="shared" si="1485"/>
        <v>1</v>
      </c>
      <c r="DK474" s="5" t="s">
        <v>251</v>
      </c>
      <c r="DL474" s="5">
        <f t="shared" si="1486"/>
        <v>1</v>
      </c>
      <c r="DM474" s="5" t="s">
        <v>251</v>
      </c>
      <c r="DN474" s="5">
        <f t="shared" si="1487"/>
        <v>1</v>
      </c>
      <c r="DO474" s="5" t="s">
        <v>281</v>
      </c>
      <c r="DP474" s="5">
        <f t="shared" si="1488"/>
        <v>1</v>
      </c>
      <c r="DQ474" s="5" t="s">
        <v>281</v>
      </c>
      <c r="DR474" s="5">
        <f t="shared" si="1489"/>
        <v>1</v>
      </c>
      <c r="DS474" s="5" t="s">
        <v>281</v>
      </c>
      <c r="DT474" s="5">
        <f t="shared" si="1490"/>
        <v>1</v>
      </c>
      <c r="DU474" s="5" t="s">
        <v>281</v>
      </c>
      <c r="DV474" s="5">
        <f t="shared" si="1491"/>
        <v>1</v>
      </c>
      <c r="DW474" s="5" t="s">
        <v>281</v>
      </c>
      <c r="DX474" s="5">
        <f t="shared" si="1492"/>
        <v>1</v>
      </c>
      <c r="DY474" s="5">
        <f t="shared" si="1493"/>
        <v>12</v>
      </c>
      <c r="DZ474" s="5" t="str">
        <f t="shared" si="1494"/>
        <v>Nivel de riesgo bajo</v>
      </c>
      <c r="EA474" s="5" t="s">
        <v>248</v>
      </c>
      <c r="EB474" s="5">
        <f t="shared" si="1495"/>
        <v>1</v>
      </c>
      <c r="EC474" s="5" t="s">
        <v>248</v>
      </c>
      <c r="ED474" s="5">
        <f t="shared" si="1496"/>
        <v>1</v>
      </c>
      <c r="EE474" s="5" t="s">
        <v>248</v>
      </c>
      <c r="EF474" s="5">
        <f t="shared" si="1497"/>
        <v>1</v>
      </c>
      <c r="EG474" s="5">
        <f t="shared" si="1498"/>
        <v>3</v>
      </c>
      <c r="EH474" s="5" t="str">
        <f t="shared" si="1499"/>
        <v>Nivel de riesgo medio</v>
      </c>
      <c r="EI474" s="5" t="s">
        <v>248</v>
      </c>
      <c r="EJ474" s="5">
        <f t="shared" si="1500"/>
        <v>1</v>
      </c>
      <c r="EK474" s="5" t="s">
        <v>248</v>
      </c>
      <c r="EL474" s="5">
        <f t="shared" si="1501"/>
        <v>1</v>
      </c>
      <c r="EM474" s="5" t="s">
        <v>248</v>
      </c>
      <c r="EN474" s="5">
        <f t="shared" si="1502"/>
        <v>1</v>
      </c>
      <c r="EO474" s="5">
        <f t="shared" si="1503"/>
        <v>3</v>
      </c>
      <c r="EP474" s="5" t="str">
        <f t="shared" si="1504"/>
        <v>Nivel de riesgo medio</v>
      </c>
      <c r="EQ474" s="5" t="s">
        <v>248</v>
      </c>
      <c r="ER474" s="5">
        <f t="shared" si="1505"/>
        <v>3</v>
      </c>
      <c r="ES474" s="5" t="s">
        <v>248</v>
      </c>
      <c r="ET474" s="5">
        <f t="shared" si="1506"/>
        <v>3</v>
      </c>
      <c r="EU474" s="5" t="s">
        <v>248</v>
      </c>
      <c r="EV474" s="5">
        <f t="shared" si="1507"/>
        <v>3</v>
      </c>
      <c r="EW474" s="5" t="s">
        <v>248</v>
      </c>
      <c r="EX474" s="5">
        <f t="shared" si="1508"/>
        <v>3</v>
      </c>
      <c r="EY474" s="5">
        <f t="shared" si="1509"/>
        <v>12</v>
      </c>
      <c r="EZ474" s="5" t="str">
        <f t="shared" si="1510"/>
        <v>Nivel de riesgo alto</v>
      </c>
      <c r="FA474" s="5" t="s">
        <v>248</v>
      </c>
      <c r="FB474" s="5">
        <f t="shared" si="1511"/>
        <v>1</v>
      </c>
      <c r="FC474" s="5" t="s">
        <v>248</v>
      </c>
      <c r="FD474" s="5">
        <f t="shared" si="1512"/>
        <v>1</v>
      </c>
      <c r="FE474" s="5" t="s">
        <v>248</v>
      </c>
      <c r="FF474" s="5">
        <f t="shared" si="1513"/>
        <v>1</v>
      </c>
      <c r="FG474" s="5">
        <f t="shared" si="1514"/>
        <v>3</v>
      </c>
      <c r="FH474" s="5" t="str">
        <f t="shared" si="1515"/>
        <v>Nivel de riesgo medio</v>
      </c>
      <c r="FI474" s="5" t="s">
        <v>248</v>
      </c>
      <c r="FJ474" s="5">
        <f t="shared" si="1516"/>
        <v>1</v>
      </c>
      <c r="FK474" s="5" t="s">
        <v>248</v>
      </c>
      <c r="FL474" s="5">
        <f t="shared" si="1517"/>
        <v>1</v>
      </c>
      <c r="FM474" s="5" t="s">
        <v>248</v>
      </c>
      <c r="FN474" s="5">
        <f t="shared" si="1518"/>
        <v>1</v>
      </c>
      <c r="FO474" s="5">
        <f t="shared" si="1519"/>
        <v>3</v>
      </c>
      <c r="FP474" s="5" t="str">
        <f t="shared" si="1520"/>
        <v>Nivel de riesgo medio</v>
      </c>
      <c r="FQ474" s="5" t="s">
        <v>206</v>
      </c>
      <c r="FR474" s="5">
        <f t="shared" si="1521"/>
        <v>0</v>
      </c>
      <c r="FS474" s="5" t="s">
        <v>206</v>
      </c>
      <c r="FT474" s="5">
        <f t="shared" si="1522"/>
        <v>0</v>
      </c>
      <c r="FU474" s="5" t="s">
        <v>206</v>
      </c>
      <c r="FV474" s="5">
        <f t="shared" si="1523"/>
        <v>0</v>
      </c>
      <c r="FW474" s="5" t="s">
        <v>206</v>
      </c>
      <c r="FX474" s="5">
        <f t="shared" si="1524"/>
        <v>0</v>
      </c>
      <c r="FY474" s="5" t="s">
        <v>206</v>
      </c>
      <c r="FZ474" s="5">
        <f t="shared" si="1525"/>
        <v>0</v>
      </c>
      <c r="GA474" s="5" t="s">
        <v>206</v>
      </c>
      <c r="GB474" s="5">
        <f t="shared" si="1526"/>
        <v>0</v>
      </c>
      <c r="GC474" s="5" t="s">
        <v>206</v>
      </c>
      <c r="GD474" s="5">
        <f t="shared" si="1527"/>
        <v>0</v>
      </c>
      <c r="GE474" s="5">
        <f t="shared" si="1528"/>
        <v>0</v>
      </c>
      <c r="GF474" s="5" t="str">
        <f t="shared" si="1529"/>
        <v>Nivel de riesgo bajo</v>
      </c>
      <c r="GG474" s="5" t="s">
        <v>255</v>
      </c>
      <c r="GH474" s="5" t="s">
        <v>255</v>
      </c>
      <c r="GI474" s="5" t="s">
        <v>255</v>
      </c>
      <c r="GJ474" s="5" t="s">
        <v>255</v>
      </c>
      <c r="GK474" s="5" t="s">
        <v>255</v>
      </c>
      <c r="GL474" s="5" t="s">
        <v>255</v>
      </c>
      <c r="GM474" s="5" t="s">
        <v>255</v>
      </c>
      <c r="GN474" s="5" t="s">
        <v>234</v>
      </c>
      <c r="GO474" s="5" t="s">
        <v>244</v>
      </c>
      <c r="GP474" s="5" t="s">
        <v>234</v>
      </c>
      <c r="GQ474" s="5" t="s">
        <v>234</v>
      </c>
      <c r="GR474" s="5" t="s">
        <v>234</v>
      </c>
      <c r="GS474" s="5" t="s">
        <v>234</v>
      </c>
      <c r="GT474" s="5" t="s">
        <v>234</v>
      </c>
      <c r="GU474" s="5" t="s">
        <v>840</v>
      </c>
      <c r="GV474" s="5" t="str">
        <f>TEXT("6290191942422957414","0")</f>
        <v>6290191942422950000</v>
      </c>
    </row>
    <row r="475" spans="1:204" ht="15.75" customHeight="1" x14ac:dyDescent="0.15">
      <c r="A475" s="1">
        <f t="shared" si="1479"/>
        <v>475</v>
      </c>
      <c r="B475" s="4">
        <v>45860.63449074074</v>
      </c>
      <c r="C475" s="5" t="s">
        <v>204</v>
      </c>
      <c r="D475" s="5" t="s">
        <v>206</v>
      </c>
      <c r="F475" s="5" t="s">
        <v>206</v>
      </c>
      <c r="G475" s="5" t="s">
        <v>206</v>
      </c>
      <c r="H475" s="5" t="s">
        <v>206</v>
      </c>
      <c r="K475" s="5" t="s">
        <v>237</v>
      </c>
      <c r="P475" s="5" t="s">
        <v>237</v>
      </c>
      <c r="T475" s="5" t="s">
        <v>209</v>
      </c>
      <c r="Y475" s="5" t="s">
        <v>209</v>
      </c>
      <c r="AC475" s="5" t="s">
        <v>208</v>
      </c>
      <c r="AD475" s="5" t="s">
        <v>209</v>
      </c>
      <c r="AH475" s="5" t="s">
        <v>268</v>
      </c>
      <c r="AI475" s="5">
        <v>2023</v>
      </c>
      <c r="AJ475" s="5" t="s">
        <v>330</v>
      </c>
      <c r="AK475" s="5" t="str">
        <f t="shared" si="1480"/>
        <v>Asalariada</v>
      </c>
      <c r="AQ475" s="5" t="s">
        <v>204</v>
      </c>
      <c r="AR475" s="5" t="s">
        <v>301</v>
      </c>
      <c r="AS475" s="5" t="s">
        <v>301</v>
      </c>
      <c r="AT475" s="5" t="s">
        <v>261</v>
      </c>
      <c r="AU475" s="5" t="s">
        <v>241</v>
      </c>
      <c r="AV475" s="5" t="s">
        <v>285</v>
      </c>
      <c r="AW475" s="5" t="s">
        <v>204</v>
      </c>
      <c r="AX475" s="5" t="s">
        <v>204</v>
      </c>
      <c r="AY475" s="5" t="s">
        <v>406</v>
      </c>
      <c r="AZ475" s="5" t="s">
        <v>204</v>
      </c>
      <c r="BA475" s="5" t="s">
        <v>295</v>
      </c>
      <c r="BB475" s="5" t="s">
        <v>206</v>
      </c>
      <c r="BC475" s="5" t="s">
        <v>206</v>
      </c>
      <c r="BD475" s="5" t="s">
        <v>206</v>
      </c>
      <c r="BE475" s="5" t="s">
        <v>206</v>
      </c>
      <c r="BF475" s="5" t="s">
        <v>204</v>
      </c>
      <c r="BG475" s="5" t="s">
        <v>278</v>
      </c>
      <c r="BH475" s="5" t="s">
        <v>278</v>
      </c>
      <c r="BI475" s="5" t="s">
        <v>278</v>
      </c>
      <c r="BJ475" s="5" t="s">
        <v>278</v>
      </c>
      <c r="BK475" s="5" t="s">
        <v>246</v>
      </c>
      <c r="BL475" s="5" t="s">
        <v>244</v>
      </c>
      <c r="BM475" s="5" t="s">
        <v>244</v>
      </c>
      <c r="BN475" s="5" t="s">
        <v>244</v>
      </c>
      <c r="BO475" s="5" t="s">
        <v>244</v>
      </c>
      <c r="BP475" s="5" t="s">
        <v>244</v>
      </c>
      <c r="BQ475" s="5" t="s">
        <v>244</v>
      </c>
      <c r="BR475" s="5" t="s">
        <v>244</v>
      </c>
      <c r="BS475" s="5" t="s">
        <v>232</v>
      </c>
      <c r="BT475" s="5" t="s">
        <v>247</v>
      </c>
      <c r="BU475" s="5" t="s">
        <v>247</v>
      </c>
      <c r="BV475" s="5" t="s">
        <v>217</v>
      </c>
      <c r="BW475" s="5" t="s">
        <v>217</v>
      </c>
      <c r="BX475" s="5" t="s">
        <v>217</v>
      </c>
      <c r="BY475" s="5" t="s">
        <v>217</v>
      </c>
      <c r="BZ475" s="5" t="s">
        <v>246</v>
      </c>
      <c r="CA475" s="5" t="s">
        <v>246</v>
      </c>
      <c r="CB475" s="5" t="s">
        <v>244</v>
      </c>
      <c r="CC475" s="5" t="s">
        <v>246</v>
      </c>
      <c r="CD475" s="5" t="s">
        <v>206</v>
      </c>
      <c r="CH475" s="5" t="s">
        <v>206</v>
      </c>
      <c r="CI475" s="5" t="s">
        <v>206</v>
      </c>
      <c r="CJ475" s="5">
        <v>0</v>
      </c>
      <c r="CK475" s="5" t="s">
        <v>223</v>
      </c>
      <c r="CU475" s="5" t="s">
        <v>206</v>
      </c>
      <c r="DA475" s="5" t="s">
        <v>231</v>
      </c>
      <c r="DB475" s="5">
        <f t="shared" si="1481"/>
        <v>2</v>
      </c>
      <c r="DC475" s="5" t="s">
        <v>230</v>
      </c>
      <c r="DD475" s="5">
        <f t="shared" si="1482"/>
        <v>2</v>
      </c>
      <c r="DE475" s="5" t="s">
        <v>230</v>
      </c>
      <c r="DF475" s="5">
        <f t="shared" si="1483"/>
        <v>2</v>
      </c>
      <c r="DG475" s="5" t="s">
        <v>230</v>
      </c>
      <c r="DH475" s="5">
        <f t="shared" si="1484"/>
        <v>2</v>
      </c>
      <c r="DI475" s="5" t="s">
        <v>251</v>
      </c>
      <c r="DJ475" s="5">
        <f t="shared" si="1485"/>
        <v>1</v>
      </c>
      <c r="DK475" s="5" t="s">
        <v>251</v>
      </c>
      <c r="DL475" s="5">
        <f t="shared" si="1486"/>
        <v>1</v>
      </c>
      <c r="DM475" s="5" t="s">
        <v>251</v>
      </c>
      <c r="DN475" s="5">
        <f t="shared" si="1487"/>
        <v>1</v>
      </c>
      <c r="DO475" s="5" t="s">
        <v>231</v>
      </c>
      <c r="DP475" s="5">
        <f t="shared" si="1488"/>
        <v>2</v>
      </c>
      <c r="DQ475" s="5" t="s">
        <v>231</v>
      </c>
      <c r="DR475" s="5">
        <f t="shared" si="1489"/>
        <v>2</v>
      </c>
      <c r="DS475" s="5" t="s">
        <v>231</v>
      </c>
      <c r="DT475" s="5">
        <f t="shared" si="1490"/>
        <v>2</v>
      </c>
      <c r="DU475" s="5" t="s">
        <v>231</v>
      </c>
      <c r="DV475" s="5">
        <f t="shared" si="1491"/>
        <v>2</v>
      </c>
      <c r="DW475" s="5" t="s">
        <v>231</v>
      </c>
      <c r="DX475" s="5">
        <f t="shared" si="1492"/>
        <v>2</v>
      </c>
      <c r="DY475" s="5">
        <f t="shared" si="1493"/>
        <v>21</v>
      </c>
      <c r="DZ475" s="5" t="str">
        <f t="shared" si="1494"/>
        <v>Nivel de riesgo medio</v>
      </c>
      <c r="EA475" s="5" t="s">
        <v>253</v>
      </c>
      <c r="EB475" s="5">
        <f t="shared" si="1495"/>
        <v>0</v>
      </c>
      <c r="EC475" s="5" t="s">
        <v>248</v>
      </c>
      <c r="ED475" s="5">
        <f t="shared" si="1496"/>
        <v>1</v>
      </c>
      <c r="EE475" s="5" t="s">
        <v>253</v>
      </c>
      <c r="EF475" s="5">
        <f t="shared" si="1497"/>
        <v>0</v>
      </c>
      <c r="EG475" s="5">
        <f t="shared" si="1498"/>
        <v>1</v>
      </c>
      <c r="EH475" s="5" t="str">
        <f t="shared" si="1499"/>
        <v>Nivel de riesgo bajo</v>
      </c>
      <c r="EI475" s="5" t="s">
        <v>253</v>
      </c>
      <c r="EJ475" s="5">
        <f t="shared" si="1500"/>
        <v>0</v>
      </c>
      <c r="EK475" s="5" t="s">
        <v>253</v>
      </c>
      <c r="EL475" s="5">
        <f t="shared" si="1501"/>
        <v>0</v>
      </c>
      <c r="EM475" s="5" t="s">
        <v>253</v>
      </c>
      <c r="EN475" s="5">
        <f t="shared" si="1502"/>
        <v>0</v>
      </c>
      <c r="EO475" s="5">
        <f t="shared" si="1503"/>
        <v>0</v>
      </c>
      <c r="EP475" s="5" t="str">
        <f t="shared" si="1504"/>
        <v>Nivel de riesgo bajo</v>
      </c>
      <c r="EQ475" s="5" t="s">
        <v>254</v>
      </c>
      <c r="ER475" s="5">
        <f t="shared" si="1505"/>
        <v>0</v>
      </c>
      <c r="ES475" s="5" t="s">
        <v>254</v>
      </c>
      <c r="ET475" s="5">
        <f t="shared" si="1506"/>
        <v>0</v>
      </c>
      <c r="EU475" s="5" t="s">
        <v>254</v>
      </c>
      <c r="EV475" s="5">
        <f t="shared" si="1507"/>
        <v>0</v>
      </c>
      <c r="EW475" s="5" t="s">
        <v>254</v>
      </c>
      <c r="EX475" s="5">
        <f t="shared" si="1508"/>
        <v>0</v>
      </c>
      <c r="EY475" s="5">
        <f t="shared" si="1509"/>
        <v>0</v>
      </c>
      <c r="EZ475" s="5" t="str">
        <f t="shared" si="1510"/>
        <v>Nivel de riesgo bajo</v>
      </c>
      <c r="FA475" s="5" t="s">
        <v>253</v>
      </c>
      <c r="FB475" s="5">
        <f t="shared" si="1511"/>
        <v>0</v>
      </c>
      <c r="FC475" s="5" t="s">
        <v>253</v>
      </c>
      <c r="FD475" s="5">
        <f t="shared" si="1512"/>
        <v>0</v>
      </c>
      <c r="FE475" s="5" t="s">
        <v>253</v>
      </c>
      <c r="FF475" s="5">
        <f t="shared" si="1513"/>
        <v>0</v>
      </c>
      <c r="FG475" s="5">
        <f t="shared" si="1514"/>
        <v>0</v>
      </c>
      <c r="FH475" s="5" t="str">
        <f t="shared" si="1515"/>
        <v>Nivel de riesgo bajo</v>
      </c>
      <c r="FI475" s="5" t="s">
        <v>253</v>
      </c>
      <c r="FJ475" s="5">
        <f t="shared" si="1516"/>
        <v>0</v>
      </c>
      <c r="FK475" s="5" t="s">
        <v>253</v>
      </c>
      <c r="FL475" s="5">
        <f t="shared" si="1517"/>
        <v>0</v>
      </c>
      <c r="FM475" s="5" t="s">
        <v>253</v>
      </c>
      <c r="FN475" s="5">
        <f t="shared" si="1518"/>
        <v>0</v>
      </c>
      <c r="FO475" s="5">
        <f t="shared" si="1519"/>
        <v>0</v>
      </c>
      <c r="FP475" s="5" t="str">
        <f t="shared" si="1520"/>
        <v>Nivel de riesgo bajo</v>
      </c>
      <c r="FQ475" s="5" t="s">
        <v>206</v>
      </c>
      <c r="FR475" s="5">
        <f t="shared" si="1521"/>
        <v>0</v>
      </c>
      <c r="FS475" s="5" t="s">
        <v>206</v>
      </c>
      <c r="FT475" s="5">
        <f t="shared" si="1522"/>
        <v>0</v>
      </c>
      <c r="FU475" s="5" t="s">
        <v>206</v>
      </c>
      <c r="FV475" s="5">
        <f t="shared" si="1523"/>
        <v>0</v>
      </c>
      <c r="FW475" s="5" t="s">
        <v>206</v>
      </c>
      <c r="FX475" s="5">
        <f t="shared" si="1524"/>
        <v>0</v>
      </c>
      <c r="FY475" s="5" t="s">
        <v>206</v>
      </c>
      <c r="FZ475" s="5">
        <f t="shared" si="1525"/>
        <v>0</v>
      </c>
      <c r="GA475" s="5" t="s">
        <v>206</v>
      </c>
      <c r="GB475" s="5">
        <f t="shared" si="1526"/>
        <v>0</v>
      </c>
      <c r="GC475" s="5" t="s">
        <v>206</v>
      </c>
      <c r="GD475" s="5">
        <f t="shared" si="1527"/>
        <v>0</v>
      </c>
      <c r="GE475" s="5">
        <f t="shared" si="1528"/>
        <v>0</v>
      </c>
      <c r="GF475" s="5" t="str">
        <f t="shared" si="1529"/>
        <v>Nivel de riesgo bajo</v>
      </c>
      <c r="GG475" s="5" t="s">
        <v>255</v>
      </c>
      <c r="GH475" s="5" t="s">
        <v>255</v>
      </c>
      <c r="GI475" s="5" t="s">
        <v>255</v>
      </c>
      <c r="GJ475" s="5" t="s">
        <v>298</v>
      </c>
      <c r="GK475" s="5" t="s">
        <v>233</v>
      </c>
      <c r="GL475" s="5" t="s">
        <v>298</v>
      </c>
      <c r="GM475" s="5" t="s">
        <v>266</v>
      </c>
      <c r="GN475" s="5" t="s">
        <v>243</v>
      </c>
      <c r="GO475" s="5" t="s">
        <v>243</v>
      </c>
      <c r="GP475" s="5" t="s">
        <v>243</v>
      </c>
      <c r="GQ475" s="5" t="s">
        <v>257</v>
      </c>
      <c r="GR475" s="5" t="s">
        <v>257</v>
      </c>
      <c r="GS475" s="5" t="s">
        <v>257</v>
      </c>
      <c r="GT475" s="5" t="s">
        <v>257</v>
      </c>
      <c r="GU475" s="5" t="s">
        <v>338</v>
      </c>
      <c r="GV475" s="5" t="str">
        <f>TEXT("6290208206854265389","0")</f>
        <v>6290208206854260000</v>
      </c>
    </row>
    <row r="476" spans="1:204" ht="15.75" customHeight="1" x14ac:dyDescent="0.15">
      <c r="A476" s="1">
        <f t="shared" si="1479"/>
        <v>476</v>
      </c>
      <c r="B476" s="4">
        <v>45860.6408912037</v>
      </c>
      <c r="C476" s="5" t="s">
        <v>204</v>
      </c>
      <c r="D476" s="5" t="s">
        <v>206</v>
      </c>
      <c r="F476" s="5" t="s">
        <v>206</v>
      </c>
      <c r="G476" s="5" t="s">
        <v>206</v>
      </c>
      <c r="H476" s="5" t="s">
        <v>204</v>
      </c>
      <c r="K476" s="5" t="s">
        <v>237</v>
      </c>
      <c r="O476" s="5" t="s">
        <v>209</v>
      </c>
      <c r="T476" s="5" t="s">
        <v>209</v>
      </c>
      <c r="X476" s="5" t="s">
        <v>208</v>
      </c>
      <c r="AC476" s="5" t="s">
        <v>208</v>
      </c>
      <c r="AH476" s="5" t="s">
        <v>210</v>
      </c>
      <c r="AI476" s="5">
        <v>2016</v>
      </c>
      <c r="AJ476" s="5" t="s">
        <v>238</v>
      </c>
      <c r="AK476" s="5" t="str">
        <f t="shared" si="1480"/>
        <v>Trabajadora por cuenta propia</v>
      </c>
      <c r="AM476" s="5" t="s">
        <v>309</v>
      </c>
      <c r="AP476" s="5" t="s">
        <v>297</v>
      </c>
      <c r="AR476" s="5" t="s">
        <v>241</v>
      </c>
      <c r="AS476" s="5" t="s">
        <v>241</v>
      </c>
      <c r="AT476" s="5" t="s">
        <v>261</v>
      </c>
      <c r="AU476" s="5" t="s">
        <v>294</v>
      </c>
      <c r="AV476" s="5" t="s">
        <v>285</v>
      </c>
      <c r="AW476" s="5" t="s">
        <v>204</v>
      </c>
      <c r="AX476" s="5" t="s">
        <v>204</v>
      </c>
      <c r="AY476" s="5" t="s">
        <v>214</v>
      </c>
      <c r="AZ476" s="5" t="s">
        <v>204</v>
      </c>
      <c r="BA476" s="5" t="s">
        <v>263</v>
      </c>
      <c r="BF476" s="5" t="s">
        <v>204</v>
      </c>
      <c r="BG476" s="5" t="s">
        <v>278</v>
      </c>
      <c r="BH476" s="5" t="s">
        <v>278</v>
      </c>
      <c r="BI476" s="5" t="s">
        <v>278</v>
      </c>
      <c r="BJ476" s="5" t="s">
        <v>278</v>
      </c>
      <c r="BK476" s="5" t="s">
        <v>245</v>
      </c>
      <c r="BL476" s="5" t="s">
        <v>243</v>
      </c>
      <c r="BM476" s="5" t="s">
        <v>245</v>
      </c>
      <c r="BN476" s="5" t="s">
        <v>245</v>
      </c>
      <c r="BO476" s="5" t="s">
        <v>243</v>
      </c>
      <c r="BP476" s="5" t="s">
        <v>245</v>
      </c>
      <c r="BQ476" s="5" t="s">
        <v>245</v>
      </c>
      <c r="BR476" s="5" t="s">
        <v>245</v>
      </c>
      <c r="BS476" s="5" t="s">
        <v>232</v>
      </c>
      <c r="BT476" s="5" t="s">
        <v>232</v>
      </c>
      <c r="BU476" s="5" t="s">
        <v>254</v>
      </c>
      <c r="BV476" s="5" t="s">
        <v>232</v>
      </c>
      <c r="BW476" s="5" t="s">
        <v>232</v>
      </c>
      <c r="BX476" s="5" t="s">
        <v>232</v>
      </c>
      <c r="BY476" s="5" t="s">
        <v>247</v>
      </c>
      <c r="BZ476" s="5" t="s">
        <v>243</v>
      </c>
      <c r="CA476" s="5" t="s">
        <v>243</v>
      </c>
      <c r="CB476" s="5" t="s">
        <v>246</v>
      </c>
      <c r="CC476" s="5" t="s">
        <v>246</v>
      </c>
      <c r="CD476" s="5" t="s">
        <v>206</v>
      </c>
      <c r="CH476" s="5" t="s">
        <v>206</v>
      </c>
      <c r="CI476" s="5" t="s">
        <v>249</v>
      </c>
      <c r="CJ476" s="5">
        <v>1</v>
      </c>
      <c r="CK476" s="5" t="s">
        <v>223</v>
      </c>
      <c r="CU476" s="5" t="s">
        <v>206</v>
      </c>
      <c r="DA476" s="5" t="s">
        <v>231</v>
      </c>
      <c r="DB476" s="5">
        <f t="shared" si="1481"/>
        <v>2</v>
      </c>
      <c r="DC476" s="5" t="s">
        <v>280</v>
      </c>
      <c r="DD476" s="5">
        <f t="shared" si="1482"/>
        <v>4</v>
      </c>
      <c r="DE476" s="5" t="s">
        <v>280</v>
      </c>
      <c r="DF476" s="5">
        <f t="shared" si="1483"/>
        <v>4</v>
      </c>
      <c r="DG476" s="5" t="s">
        <v>280</v>
      </c>
      <c r="DH476" s="5">
        <f t="shared" si="1484"/>
        <v>4</v>
      </c>
      <c r="DI476" s="5" t="s">
        <v>250</v>
      </c>
      <c r="DJ476" s="5">
        <f t="shared" si="1485"/>
        <v>3</v>
      </c>
      <c r="DK476" s="5" t="s">
        <v>250</v>
      </c>
      <c r="DL476" s="5">
        <f t="shared" si="1486"/>
        <v>3</v>
      </c>
      <c r="DM476" s="5" t="s">
        <v>230</v>
      </c>
      <c r="DN476" s="5">
        <f t="shared" si="1487"/>
        <v>2</v>
      </c>
      <c r="DO476" s="5" t="s">
        <v>231</v>
      </c>
      <c r="DP476" s="5">
        <f t="shared" si="1488"/>
        <v>2</v>
      </c>
      <c r="DQ476" s="5" t="s">
        <v>231</v>
      </c>
      <c r="DR476" s="5">
        <f t="shared" si="1489"/>
        <v>2</v>
      </c>
      <c r="DS476" s="5" t="s">
        <v>252</v>
      </c>
      <c r="DT476" s="5">
        <f t="shared" si="1490"/>
        <v>3</v>
      </c>
      <c r="DU476" s="5" t="s">
        <v>231</v>
      </c>
      <c r="DV476" s="5">
        <f t="shared" si="1491"/>
        <v>2</v>
      </c>
      <c r="DW476" s="5" t="s">
        <v>231</v>
      </c>
      <c r="DX476" s="5">
        <f t="shared" si="1492"/>
        <v>2</v>
      </c>
      <c r="DY476" s="5">
        <f t="shared" si="1493"/>
        <v>33</v>
      </c>
      <c r="DZ476" s="5" t="str">
        <f t="shared" si="1494"/>
        <v>Nivel de riesgo alto</v>
      </c>
      <c r="EA476" s="5" t="s">
        <v>232</v>
      </c>
      <c r="EB476" s="5">
        <f t="shared" si="1495"/>
        <v>3</v>
      </c>
      <c r="EC476" s="5" t="s">
        <v>232</v>
      </c>
      <c r="ED476" s="5">
        <f t="shared" si="1496"/>
        <v>3</v>
      </c>
      <c r="EE476" s="5" t="s">
        <v>248</v>
      </c>
      <c r="EF476" s="5">
        <f t="shared" si="1497"/>
        <v>1</v>
      </c>
      <c r="EG476" s="5">
        <f t="shared" si="1498"/>
        <v>7</v>
      </c>
      <c r="EH476" s="5" t="str">
        <f t="shared" si="1499"/>
        <v>Nivel de riesgo alto</v>
      </c>
      <c r="EI476" s="5" t="s">
        <v>248</v>
      </c>
      <c r="EJ476" s="5">
        <f t="shared" si="1500"/>
        <v>1</v>
      </c>
      <c r="EK476" s="5" t="s">
        <v>248</v>
      </c>
      <c r="EL476" s="5">
        <f t="shared" si="1501"/>
        <v>1</v>
      </c>
      <c r="EM476" s="5" t="s">
        <v>248</v>
      </c>
      <c r="EN476" s="5">
        <f t="shared" si="1502"/>
        <v>1</v>
      </c>
      <c r="EO476" s="5">
        <f t="shared" si="1503"/>
        <v>3</v>
      </c>
      <c r="EP476" s="5" t="str">
        <f t="shared" si="1504"/>
        <v>Nivel de riesgo medio</v>
      </c>
      <c r="EQ476" s="5" t="s">
        <v>248</v>
      </c>
      <c r="ER476" s="5">
        <f t="shared" si="1505"/>
        <v>3</v>
      </c>
      <c r="ES476" s="5" t="s">
        <v>248</v>
      </c>
      <c r="ET476" s="5">
        <f t="shared" si="1506"/>
        <v>3</v>
      </c>
      <c r="EU476" s="5" t="s">
        <v>247</v>
      </c>
      <c r="EV476" s="5">
        <f t="shared" si="1507"/>
        <v>2</v>
      </c>
      <c r="EW476" s="5" t="s">
        <v>247</v>
      </c>
      <c r="EX476" s="5">
        <f t="shared" si="1508"/>
        <v>2</v>
      </c>
      <c r="EY476" s="5">
        <f t="shared" si="1509"/>
        <v>10</v>
      </c>
      <c r="EZ476" s="5" t="str">
        <f t="shared" si="1510"/>
        <v>Nivel de riesgo alto</v>
      </c>
      <c r="FA476" s="5" t="s">
        <v>247</v>
      </c>
      <c r="FB476" s="5">
        <f t="shared" si="1511"/>
        <v>2</v>
      </c>
      <c r="FC476" s="5" t="s">
        <v>247</v>
      </c>
      <c r="FD476" s="5">
        <f t="shared" si="1512"/>
        <v>2</v>
      </c>
      <c r="FE476" s="5" t="s">
        <v>248</v>
      </c>
      <c r="FF476" s="5">
        <f t="shared" si="1513"/>
        <v>1</v>
      </c>
      <c r="FG476" s="5">
        <f t="shared" si="1514"/>
        <v>5</v>
      </c>
      <c r="FH476" s="5" t="str">
        <f t="shared" si="1515"/>
        <v>Nivel de riesgo medio</v>
      </c>
      <c r="FI476" s="5" t="s">
        <v>232</v>
      </c>
      <c r="FJ476" s="5">
        <f t="shared" si="1516"/>
        <v>3</v>
      </c>
      <c r="FK476" s="5" t="s">
        <v>247</v>
      </c>
      <c r="FL476" s="5">
        <f t="shared" si="1517"/>
        <v>2</v>
      </c>
      <c r="FM476" s="5" t="s">
        <v>247</v>
      </c>
      <c r="FN476" s="5">
        <f t="shared" si="1518"/>
        <v>2</v>
      </c>
      <c r="FO476" s="5">
        <f t="shared" si="1519"/>
        <v>7</v>
      </c>
      <c r="FP476" s="5" t="str">
        <f t="shared" si="1520"/>
        <v>Nivel de riesgo alto</v>
      </c>
      <c r="FQ476" s="5" t="s">
        <v>206</v>
      </c>
      <c r="FR476" s="5">
        <f t="shared" si="1521"/>
        <v>0</v>
      </c>
      <c r="FS476" s="5" t="s">
        <v>206</v>
      </c>
      <c r="FT476" s="5">
        <f t="shared" si="1522"/>
        <v>0</v>
      </c>
      <c r="FU476" s="5" t="s">
        <v>206</v>
      </c>
      <c r="FV476" s="5">
        <f t="shared" si="1523"/>
        <v>0</v>
      </c>
      <c r="FW476" s="5" t="s">
        <v>206</v>
      </c>
      <c r="FX476" s="5">
        <f t="shared" si="1524"/>
        <v>0</v>
      </c>
      <c r="FY476" s="5" t="s">
        <v>206</v>
      </c>
      <c r="FZ476" s="5">
        <f t="shared" si="1525"/>
        <v>0</v>
      </c>
      <c r="GA476" s="5" t="s">
        <v>206</v>
      </c>
      <c r="GB476" s="5">
        <f t="shared" si="1526"/>
        <v>0</v>
      </c>
      <c r="GC476" s="5" t="s">
        <v>206</v>
      </c>
      <c r="GD476" s="5">
        <f t="shared" si="1527"/>
        <v>0</v>
      </c>
      <c r="GE476" s="5">
        <f t="shared" si="1528"/>
        <v>0</v>
      </c>
      <c r="GF476" s="5" t="str">
        <f t="shared" si="1529"/>
        <v>Nivel de riesgo bajo</v>
      </c>
      <c r="GG476" s="5" t="s">
        <v>255</v>
      </c>
      <c r="GH476" s="5" t="s">
        <v>255</v>
      </c>
      <c r="GI476" s="5" t="s">
        <v>255</v>
      </c>
      <c r="GJ476" s="5" t="s">
        <v>255</v>
      </c>
      <c r="GK476" s="5" t="s">
        <v>233</v>
      </c>
      <c r="GL476" s="5" t="s">
        <v>266</v>
      </c>
      <c r="GM476" s="5" t="s">
        <v>233</v>
      </c>
      <c r="GN476" s="5" t="s">
        <v>256</v>
      </c>
      <c r="GO476" s="5" t="s">
        <v>243</v>
      </c>
      <c r="GP476" s="5" t="s">
        <v>243</v>
      </c>
      <c r="GQ476" s="5" t="s">
        <v>234</v>
      </c>
      <c r="GR476" s="5" t="s">
        <v>244</v>
      </c>
      <c r="GS476" s="5" t="s">
        <v>256</v>
      </c>
      <c r="GT476" s="5" t="s">
        <v>256</v>
      </c>
      <c r="GU476" s="5" t="s">
        <v>841</v>
      </c>
      <c r="GV476" s="5" t="str">
        <f>TEXT("6290213739235702439","0")</f>
        <v>6290213739235700000</v>
      </c>
    </row>
    <row r="477" spans="1:204" ht="15.75" customHeight="1" x14ac:dyDescent="0.15">
      <c r="A477" s="1">
        <f t="shared" si="1479"/>
        <v>477</v>
      </c>
      <c r="B477" s="4">
        <v>45860.658101851855</v>
      </c>
      <c r="C477" s="5" t="s">
        <v>204</v>
      </c>
      <c r="D477" s="5" t="s">
        <v>206</v>
      </c>
      <c r="F477" s="5" t="s">
        <v>204</v>
      </c>
      <c r="G477" s="5" t="s">
        <v>204</v>
      </c>
      <c r="H477" s="5" t="s">
        <v>206</v>
      </c>
      <c r="L477" s="5" t="s">
        <v>236</v>
      </c>
      <c r="Q477" s="5" t="s">
        <v>236</v>
      </c>
      <c r="U477" s="5" t="s">
        <v>237</v>
      </c>
      <c r="Y477" s="5" t="s">
        <v>209</v>
      </c>
      <c r="AD477" s="5" t="s">
        <v>209</v>
      </c>
      <c r="AH477" s="5" t="s">
        <v>268</v>
      </c>
      <c r="AI477" s="5">
        <v>2021</v>
      </c>
      <c r="AJ477" s="5" t="s">
        <v>238</v>
      </c>
      <c r="AK477" s="5" t="str">
        <f t="shared" si="1480"/>
        <v>Trabajadora por cuenta propia</v>
      </c>
      <c r="AL477" s="5" t="s">
        <v>239</v>
      </c>
      <c r="AP477" s="5" t="s">
        <v>284</v>
      </c>
      <c r="AR477" s="5" t="s">
        <v>241</v>
      </c>
      <c r="AS477" s="5" t="s">
        <v>241</v>
      </c>
      <c r="AT477" s="5" t="s">
        <v>241</v>
      </c>
      <c r="AU477" s="5" t="s">
        <v>241</v>
      </c>
      <c r="AV477" s="5" t="s">
        <v>269</v>
      </c>
      <c r="AW477" s="5" t="s">
        <v>204</v>
      </c>
      <c r="AX477" s="5" t="s">
        <v>204</v>
      </c>
      <c r="AY477" s="5" t="s">
        <v>214</v>
      </c>
      <c r="AZ477" s="5" t="s">
        <v>204</v>
      </c>
      <c r="BA477" s="5" t="s">
        <v>295</v>
      </c>
      <c r="BB477" s="5" t="s">
        <v>206</v>
      </c>
      <c r="BC477" s="5" t="s">
        <v>204</v>
      </c>
      <c r="BD477" s="5" t="s">
        <v>290</v>
      </c>
      <c r="BE477" s="5" t="s">
        <v>204</v>
      </c>
      <c r="BF477" s="5" t="s">
        <v>204</v>
      </c>
      <c r="BG477" s="5" t="s">
        <v>278</v>
      </c>
      <c r="BH477" s="5" t="s">
        <v>278</v>
      </c>
      <c r="BI477" s="5" t="s">
        <v>278</v>
      </c>
      <c r="BJ477" s="5" t="s">
        <v>278</v>
      </c>
      <c r="BK477" s="5" t="s">
        <v>244</v>
      </c>
      <c r="BL477" s="5" t="s">
        <v>244</v>
      </c>
      <c r="BM477" s="5" t="s">
        <v>244</v>
      </c>
      <c r="BN477" s="5" t="s">
        <v>244</v>
      </c>
      <c r="BO477" s="5" t="s">
        <v>244</v>
      </c>
      <c r="BP477" s="5" t="s">
        <v>244</v>
      </c>
      <c r="BQ477" s="5" t="s">
        <v>244</v>
      </c>
      <c r="BR477" s="5" t="s">
        <v>244</v>
      </c>
      <c r="BS477" s="5" t="s">
        <v>217</v>
      </c>
      <c r="BT477" s="5" t="s">
        <v>217</v>
      </c>
      <c r="BU477" s="5" t="s">
        <v>217</v>
      </c>
      <c r="BV477" s="5" t="s">
        <v>217</v>
      </c>
      <c r="BW477" s="5" t="s">
        <v>217</v>
      </c>
      <c r="BX477" s="5" t="s">
        <v>217</v>
      </c>
      <c r="BY477" s="5" t="s">
        <v>217</v>
      </c>
      <c r="BZ477" s="5" t="s">
        <v>244</v>
      </c>
      <c r="CA477" s="5" t="s">
        <v>244</v>
      </c>
      <c r="CB477" s="5" t="s">
        <v>244</v>
      </c>
      <c r="CC477" s="5" t="s">
        <v>244</v>
      </c>
      <c r="CD477" s="5" t="s">
        <v>206</v>
      </c>
      <c r="CH477" s="5" t="s">
        <v>206</v>
      </c>
      <c r="CI477" s="5" t="s">
        <v>206</v>
      </c>
      <c r="CJ477" s="5">
        <v>0</v>
      </c>
      <c r="CK477" s="5" t="s">
        <v>223</v>
      </c>
      <c r="CU477" s="5" t="s">
        <v>206</v>
      </c>
      <c r="DA477" s="5" t="s">
        <v>231</v>
      </c>
      <c r="DB477" s="5">
        <f t="shared" si="1481"/>
        <v>2</v>
      </c>
      <c r="DC477" s="5" t="s">
        <v>251</v>
      </c>
      <c r="DD477" s="5">
        <f t="shared" si="1482"/>
        <v>1</v>
      </c>
      <c r="DE477" s="5" t="s">
        <v>230</v>
      </c>
      <c r="DF477" s="5">
        <f t="shared" si="1483"/>
        <v>2</v>
      </c>
      <c r="DG477" s="5" t="s">
        <v>251</v>
      </c>
      <c r="DH477" s="5">
        <f t="shared" si="1484"/>
        <v>1</v>
      </c>
      <c r="DI477" s="5" t="s">
        <v>230</v>
      </c>
      <c r="DJ477" s="5">
        <f t="shared" si="1485"/>
        <v>2</v>
      </c>
      <c r="DK477" s="5" t="s">
        <v>251</v>
      </c>
      <c r="DL477" s="5">
        <f t="shared" si="1486"/>
        <v>1</v>
      </c>
      <c r="DM477" s="5" t="s">
        <v>251</v>
      </c>
      <c r="DN477" s="5">
        <f t="shared" si="1487"/>
        <v>1</v>
      </c>
      <c r="DO477" s="5" t="s">
        <v>281</v>
      </c>
      <c r="DP477" s="5">
        <f t="shared" si="1488"/>
        <v>1</v>
      </c>
      <c r="DQ477" s="5" t="s">
        <v>281</v>
      </c>
      <c r="DR477" s="5">
        <f t="shared" si="1489"/>
        <v>1</v>
      </c>
      <c r="DS477" s="5" t="s">
        <v>281</v>
      </c>
      <c r="DT477" s="5">
        <f t="shared" si="1490"/>
        <v>1</v>
      </c>
      <c r="DU477" s="5" t="s">
        <v>281</v>
      </c>
      <c r="DV477" s="5">
        <f t="shared" si="1491"/>
        <v>1</v>
      </c>
      <c r="DW477" s="5" t="s">
        <v>281</v>
      </c>
      <c r="DX477" s="5">
        <f t="shared" si="1492"/>
        <v>1</v>
      </c>
      <c r="DY477" s="5">
        <f t="shared" si="1493"/>
        <v>15</v>
      </c>
      <c r="DZ477" s="5" t="str">
        <f t="shared" si="1494"/>
        <v>Nivel de riesgo bajo</v>
      </c>
      <c r="EA477" s="5" t="s">
        <v>248</v>
      </c>
      <c r="EB477" s="5">
        <f t="shared" si="1495"/>
        <v>1</v>
      </c>
      <c r="EC477" s="5" t="s">
        <v>248</v>
      </c>
      <c r="ED477" s="5">
        <f t="shared" si="1496"/>
        <v>1</v>
      </c>
      <c r="EE477" s="5" t="s">
        <v>248</v>
      </c>
      <c r="EF477" s="5">
        <f t="shared" si="1497"/>
        <v>1</v>
      </c>
      <c r="EG477" s="5">
        <f t="shared" si="1498"/>
        <v>3</v>
      </c>
      <c r="EH477" s="5" t="str">
        <f t="shared" si="1499"/>
        <v>Nivel de riesgo medio</v>
      </c>
      <c r="EI477" s="5" t="s">
        <v>248</v>
      </c>
      <c r="EJ477" s="5">
        <f t="shared" si="1500"/>
        <v>1</v>
      </c>
      <c r="EK477" s="5" t="s">
        <v>248</v>
      </c>
      <c r="EL477" s="5">
        <f t="shared" si="1501"/>
        <v>1</v>
      </c>
      <c r="EM477" s="5" t="s">
        <v>248</v>
      </c>
      <c r="EN477" s="5">
        <f t="shared" si="1502"/>
        <v>1</v>
      </c>
      <c r="EO477" s="5">
        <f t="shared" si="1503"/>
        <v>3</v>
      </c>
      <c r="EP477" s="5" t="str">
        <f t="shared" si="1504"/>
        <v>Nivel de riesgo medio</v>
      </c>
      <c r="EQ477" s="5" t="s">
        <v>248</v>
      </c>
      <c r="ER477" s="5">
        <f t="shared" si="1505"/>
        <v>3</v>
      </c>
      <c r="ES477" s="5" t="s">
        <v>253</v>
      </c>
      <c r="ET477" s="5">
        <f t="shared" si="1506"/>
        <v>4</v>
      </c>
      <c r="EU477" s="5" t="s">
        <v>253</v>
      </c>
      <c r="EV477" s="5">
        <f t="shared" si="1507"/>
        <v>4</v>
      </c>
      <c r="EW477" s="5" t="s">
        <v>253</v>
      </c>
      <c r="EX477" s="5">
        <f t="shared" si="1508"/>
        <v>4</v>
      </c>
      <c r="EY477" s="5">
        <f t="shared" si="1509"/>
        <v>15</v>
      </c>
      <c r="EZ477" s="5" t="str">
        <f t="shared" si="1510"/>
        <v>Nivel de riesgo alto</v>
      </c>
      <c r="FA477" s="5" t="s">
        <v>253</v>
      </c>
      <c r="FB477" s="5">
        <f t="shared" si="1511"/>
        <v>0</v>
      </c>
      <c r="FC477" s="5" t="s">
        <v>253</v>
      </c>
      <c r="FD477" s="5">
        <f t="shared" si="1512"/>
        <v>0</v>
      </c>
      <c r="FE477" s="5" t="s">
        <v>253</v>
      </c>
      <c r="FF477" s="5">
        <f t="shared" si="1513"/>
        <v>0</v>
      </c>
      <c r="FG477" s="5">
        <f t="shared" si="1514"/>
        <v>0</v>
      </c>
      <c r="FH477" s="5" t="str">
        <f t="shared" si="1515"/>
        <v>Nivel de riesgo bajo</v>
      </c>
      <c r="FI477" s="5" t="s">
        <v>253</v>
      </c>
      <c r="FJ477" s="5">
        <f t="shared" si="1516"/>
        <v>0</v>
      </c>
      <c r="FK477" s="5" t="s">
        <v>253</v>
      </c>
      <c r="FL477" s="5">
        <f t="shared" si="1517"/>
        <v>0</v>
      </c>
      <c r="FM477" s="5" t="s">
        <v>253</v>
      </c>
      <c r="FN477" s="5">
        <f t="shared" si="1518"/>
        <v>0</v>
      </c>
      <c r="FO477" s="5">
        <f t="shared" si="1519"/>
        <v>0</v>
      </c>
      <c r="FP477" s="5" t="str">
        <f t="shared" si="1520"/>
        <v>Nivel de riesgo bajo</v>
      </c>
      <c r="FQ477" s="5" t="s">
        <v>206</v>
      </c>
      <c r="FR477" s="5">
        <f t="shared" si="1521"/>
        <v>0</v>
      </c>
      <c r="FS477" s="5" t="s">
        <v>206</v>
      </c>
      <c r="FT477" s="5">
        <f t="shared" si="1522"/>
        <v>0</v>
      </c>
      <c r="FU477" s="5" t="s">
        <v>206</v>
      </c>
      <c r="FV477" s="5">
        <f t="shared" si="1523"/>
        <v>0</v>
      </c>
      <c r="FW477" s="5" t="s">
        <v>206</v>
      </c>
      <c r="FX477" s="5">
        <f t="shared" si="1524"/>
        <v>0</v>
      </c>
      <c r="FY477" s="5" t="s">
        <v>206</v>
      </c>
      <c r="FZ477" s="5">
        <f t="shared" si="1525"/>
        <v>0</v>
      </c>
      <c r="GA477" s="5" t="s">
        <v>206</v>
      </c>
      <c r="GB477" s="5">
        <f t="shared" si="1526"/>
        <v>0</v>
      </c>
      <c r="GC477" s="5" t="s">
        <v>206</v>
      </c>
      <c r="GD477" s="5">
        <f t="shared" si="1527"/>
        <v>0</v>
      </c>
      <c r="GE477" s="5">
        <f t="shared" si="1528"/>
        <v>0</v>
      </c>
      <c r="GF477" s="5" t="str">
        <f t="shared" si="1529"/>
        <v>Nivel de riesgo bajo</v>
      </c>
      <c r="GG477" s="5" t="s">
        <v>255</v>
      </c>
      <c r="GH477" s="5" t="s">
        <v>255</v>
      </c>
      <c r="GI477" s="5" t="s">
        <v>255</v>
      </c>
      <c r="GJ477" s="5" t="s">
        <v>255</v>
      </c>
      <c r="GK477" s="5" t="s">
        <v>233</v>
      </c>
      <c r="GL477" s="5" t="s">
        <v>233</v>
      </c>
      <c r="GM477" s="5" t="s">
        <v>255</v>
      </c>
      <c r="GN477" s="5" t="s">
        <v>243</v>
      </c>
      <c r="GO477" s="5" t="s">
        <v>243</v>
      </c>
      <c r="GP477" s="5" t="s">
        <v>243</v>
      </c>
      <c r="GQ477" s="5" t="s">
        <v>243</v>
      </c>
      <c r="GR477" s="5" t="s">
        <v>243</v>
      </c>
      <c r="GS477" s="5" t="s">
        <v>243</v>
      </c>
      <c r="GT477" s="5" t="s">
        <v>243</v>
      </c>
      <c r="GU477" s="5" t="s">
        <v>842</v>
      </c>
      <c r="GV477" s="5" t="str">
        <f>TEXT("6290228603057628951","0")</f>
        <v>6290228603057620000</v>
      </c>
    </row>
    <row r="478" spans="1:204" ht="15.75" customHeight="1" x14ac:dyDescent="0.15">
      <c r="A478" s="1">
        <f t="shared" si="1479"/>
        <v>478</v>
      </c>
      <c r="B478" s="4">
        <v>45860.659618055557</v>
      </c>
      <c r="C478" s="5" t="s">
        <v>204</v>
      </c>
      <c r="D478" s="5" t="s">
        <v>204</v>
      </c>
      <c r="E478" s="5" t="s">
        <v>495</v>
      </c>
      <c r="F478" s="5" t="s">
        <v>206</v>
      </c>
      <c r="G478" s="5" t="s">
        <v>206</v>
      </c>
      <c r="H478" s="5" t="s">
        <v>204</v>
      </c>
      <c r="K478" s="5" t="s">
        <v>237</v>
      </c>
      <c r="N478" s="5" t="s">
        <v>208</v>
      </c>
      <c r="S478" s="5" t="s">
        <v>208</v>
      </c>
      <c r="X478" s="5" t="s">
        <v>208</v>
      </c>
      <c r="AD478" s="5" t="s">
        <v>209</v>
      </c>
      <c r="AH478" s="5" t="s">
        <v>210</v>
      </c>
      <c r="AI478" s="5">
        <v>2020</v>
      </c>
      <c r="AJ478" s="5" t="s">
        <v>238</v>
      </c>
      <c r="AK478" s="5" t="str">
        <f t="shared" si="1480"/>
        <v>Trabajadora por cuenta propia</v>
      </c>
      <c r="AL478" s="5" t="s">
        <v>239</v>
      </c>
      <c r="AP478" s="5" t="s">
        <v>297</v>
      </c>
      <c r="AR478" s="5" t="s">
        <v>301</v>
      </c>
      <c r="AS478" s="5" t="s">
        <v>241</v>
      </c>
      <c r="AT478" s="5" t="s">
        <v>241</v>
      </c>
      <c r="AU478" s="5" t="s">
        <v>241</v>
      </c>
      <c r="AV478" s="5" t="s">
        <v>269</v>
      </c>
      <c r="AW478" s="5" t="s">
        <v>204</v>
      </c>
      <c r="AX478" s="5" t="s">
        <v>204</v>
      </c>
      <c r="AY478" s="5" t="s">
        <v>270</v>
      </c>
      <c r="AZ478" s="5" t="s">
        <v>204</v>
      </c>
      <c r="BA478" s="5" t="s">
        <v>348</v>
      </c>
      <c r="BF478" s="5" t="s">
        <v>204</v>
      </c>
      <c r="BG478" s="5" t="s">
        <v>207</v>
      </c>
      <c r="BH478" s="5" t="s">
        <v>215</v>
      </c>
      <c r="BI478" s="5" t="s">
        <v>207</v>
      </c>
      <c r="BJ478" s="5" t="s">
        <v>264</v>
      </c>
      <c r="BK478" s="5" t="s">
        <v>244</v>
      </c>
      <c r="BL478" s="5" t="s">
        <v>244</v>
      </c>
      <c r="BM478" s="5" t="s">
        <v>244</v>
      </c>
      <c r="BN478" s="5" t="s">
        <v>244</v>
      </c>
      <c r="BO478" s="5" t="s">
        <v>244</v>
      </c>
      <c r="BP478" s="5" t="s">
        <v>244</v>
      </c>
      <c r="BQ478" s="5" t="s">
        <v>244</v>
      </c>
      <c r="BR478" s="5" t="s">
        <v>244</v>
      </c>
      <c r="BS478" s="5" t="s">
        <v>247</v>
      </c>
      <c r="BT478" s="5" t="s">
        <v>217</v>
      </c>
      <c r="BU478" s="5" t="s">
        <v>248</v>
      </c>
      <c r="BV478" s="5" t="s">
        <v>217</v>
      </c>
      <c r="BW478" s="5" t="s">
        <v>217</v>
      </c>
      <c r="BX478" s="5" t="s">
        <v>217</v>
      </c>
      <c r="BY478" s="5" t="s">
        <v>217</v>
      </c>
      <c r="BZ478" s="5" t="s">
        <v>244</v>
      </c>
      <c r="CA478" s="5" t="s">
        <v>244</v>
      </c>
      <c r="CB478" s="5" t="s">
        <v>244</v>
      </c>
      <c r="CC478" s="5" t="s">
        <v>244</v>
      </c>
      <c r="CD478" s="5" t="s">
        <v>204</v>
      </c>
      <c r="CE478" s="5" t="s">
        <v>218</v>
      </c>
      <c r="CF478" s="5" t="s">
        <v>219</v>
      </c>
      <c r="CG478" s="5" t="s">
        <v>206</v>
      </c>
      <c r="CH478" s="5" t="s">
        <v>206</v>
      </c>
      <c r="CI478" s="5" t="s">
        <v>206</v>
      </c>
      <c r="CJ478" s="5">
        <v>0</v>
      </c>
      <c r="CK478" s="5" t="s">
        <v>223</v>
      </c>
      <c r="CU478" s="5" t="s">
        <v>206</v>
      </c>
      <c r="DA478" s="5" t="s">
        <v>272</v>
      </c>
      <c r="DB478" s="5">
        <f t="shared" si="1481"/>
        <v>1</v>
      </c>
      <c r="DC478" s="5" t="s">
        <v>251</v>
      </c>
      <c r="DD478" s="5">
        <f t="shared" si="1482"/>
        <v>1</v>
      </c>
      <c r="DE478" s="5" t="s">
        <v>230</v>
      </c>
      <c r="DF478" s="5">
        <f t="shared" si="1483"/>
        <v>2</v>
      </c>
      <c r="DG478" s="5" t="s">
        <v>280</v>
      </c>
      <c r="DH478" s="5">
        <f t="shared" si="1484"/>
        <v>4</v>
      </c>
      <c r="DI478" s="5" t="s">
        <v>251</v>
      </c>
      <c r="DJ478" s="5">
        <f t="shared" si="1485"/>
        <v>1</v>
      </c>
      <c r="DK478" s="5" t="s">
        <v>251</v>
      </c>
      <c r="DL478" s="5">
        <f t="shared" si="1486"/>
        <v>1</v>
      </c>
      <c r="DM478" s="5" t="s">
        <v>251</v>
      </c>
      <c r="DN478" s="5">
        <f t="shared" si="1487"/>
        <v>1</v>
      </c>
      <c r="DO478" s="5" t="s">
        <v>229</v>
      </c>
      <c r="DP478" s="5">
        <f t="shared" si="1488"/>
        <v>4</v>
      </c>
      <c r="DQ478" s="5" t="s">
        <v>229</v>
      </c>
      <c r="DR478" s="5">
        <f t="shared" si="1489"/>
        <v>4</v>
      </c>
      <c r="DS478" s="5" t="s">
        <v>229</v>
      </c>
      <c r="DT478" s="5">
        <f t="shared" si="1490"/>
        <v>4</v>
      </c>
      <c r="DU478" s="5" t="s">
        <v>229</v>
      </c>
      <c r="DV478" s="5">
        <f t="shared" si="1491"/>
        <v>4</v>
      </c>
      <c r="DW478" s="5" t="s">
        <v>229</v>
      </c>
      <c r="DX478" s="5">
        <f t="shared" si="1492"/>
        <v>4</v>
      </c>
      <c r="DY478" s="5">
        <f t="shared" si="1493"/>
        <v>31</v>
      </c>
      <c r="DZ478" s="5" t="str">
        <f t="shared" si="1494"/>
        <v>Nivel de riesgo alto</v>
      </c>
      <c r="EA478" s="5" t="s">
        <v>247</v>
      </c>
      <c r="EB478" s="5">
        <f t="shared" si="1495"/>
        <v>2</v>
      </c>
      <c r="EC478" s="5" t="s">
        <v>248</v>
      </c>
      <c r="ED478" s="5">
        <f t="shared" si="1496"/>
        <v>1</v>
      </c>
      <c r="EE478" s="5" t="s">
        <v>253</v>
      </c>
      <c r="EF478" s="5">
        <f t="shared" si="1497"/>
        <v>0</v>
      </c>
      <c r="EG478" s="5">
        <f t="shared" si="1498"/>
        <v>3</v>
      </c>
      <c r="EH478" s="5" t="str">
        <f t="shared" si="1499"/>
        <v>Nivel de riesgo medio</v>
      </c>
      <c r="EI478" s="5" t="s">
        <v>253</v>
      </c>
      <c r="EJ478" s="5">
        <f t="shared" si="1500"/>
        <v>0</v>
      </c>
      <c r="EK478" s="5" t="s">
        <v>253</v>
      </c>
      <c r="EL478" s="5">
        <f t="shared" si="1501"/>
        <v>0</v>
      </c>
      <c r="EM478" s="5" t="s">
        <v>253</v>
      </c>
      <c r="EN478" s="5">
        <f t="shared" si="1502"/>
        <v>0</v>
      </c>
      <c r="EO478" s="5">
        <f t="shared" si="1503"/>
        <v>0</v>
      </c>
      <c r="EP478" s="5" t="str">
        <f t="shared" si="1504"/>
        <v>Nivel de riesgo bajo</v>
      </c>
      <c r="EQ478" s="5" t="s">
        <v>253</v>
      </c>
      <c r="ER478" s="5">
        <f t="shared" si="1505"/>
        <v>4</v>
      </c>
      <c r="ES478" s="5" t="s">
        <v>253</v>
      </c>
      <c r="ET478" s="5">
        <f t="shared" si="1506"/>
        <v>4</v>
      </c>
      <c r="EU478" s="5" t="s">
        <v>232</v>
      </c>
      <c r="EV478" s="5">
        <f t="shared" si="1507"/>
        <v>1</v>
      </c>
      <c r="EW478" s="5" t="s">
        <v>232</v>
      </c>
      <c r="EX478" s="5">
        <f t="shared" si="1508"/>
        <v>1</v>
      </c>
      <c r="EY478" s="5">
        <f t="shared" si="1509"/>
        <v>10</v>
      </c>
      <c r="EZ478" s="5" t="str">
        <f t="shared" si="1510"/>
        <v>Nivel de riesgo alto</v>
      </c>
      <c r="FA478" s="5" t="s">
        <v>253</v>
      </c>
      <c r="FB478" s="5">
        <f t="shared" si="1511"/>
        <v>0</v>
      </c>
      <c r="FC478" s="5" t="s">
        <v>253</v>
      </c>
      <c r="FD478" s="5">
        <f t="shared" si="1512"/>
        <v>0</v>
      </c>
      <c r="FE478" s="5" t="s">
        <v>253</v>
      </c>
      <c r="FF478" s="5">
        <f t="shared" si="1513"/>
        <v>0</v>
      </c>
      <c r="FG478" s="5">
        <f t="shared" si="1514"/>
        <v>0</v>
      </c>
      <c r="FH478" s="5" t="str">
        <f t="shared" si="1515"/>
        <v>Nivel de riesgo bajo</v>
      </c>
      <c r="FI478" s="5" t="s">
        <v>253</v>
      </c>
      <c r="FJ478" s="5">
        <f t="shared" si="1516"/>
        <v>0</v>
      </c>
      <c r="FK478" s="5" t="s">
        <v>253</v>
      </c>
      <c r="FL478" s="5">
        <f t="shared" si="1517"/>
        <v>0</v>
      </c>
      <c r="FM478" s="5" t="s">
        <v>253</v>
      </c>
      <c r="FN478" s="5">
        <f t="shared" si="1518"/>
        <v>0</v>
      </c>
      <c r="FO478" s="5">
        <f t="shared" si="1519"/>
        <v>0</v>
      </c>
      <c r="FP478" s="5" t="str">
        <f t="shared" si="1520"/>
        <v>Nivel de riesgo bajo</v>
      </c>
      <c r="FQ478" s="5" t="s">
        <v>206</v>
      </c>
      <c r="FR478" s="5">
        <f t="shared" si="1521"/>
        <v>0</v>
      </c>
      <c r="FS478" s="5" t="s">
        <v>206</v>
      </c>
      <c r="FT478" s="5">
        <f t="shared" si="1522"/>
        <v>0</v>
      </c>
      <c r="FU478" s="5" t="s">
        <v>206</v>
      </c>
      <c r="FV478" s="5">
        <f t="shared" si="1523"/>
        <v>0</v>
      </c>
      <c r="FW478" s="5" t="s">
        <v>206</v>
      </c>
      <c r="FX478" s="5">
        <f t="shared" si="1524"/>
        <v>0</v>
      </c>
      <c r="FY478" s="5" t="s">
        <v>206</v>
      </c>
      <c r="FZ478" s="5">
        <f t="shared" si="1525"/>
        <v>0</v>
      </c>
      <c r="GA478" s="5" t="s">
        <v>206</v>
      </c>
      <c r="GB478" s="5">
        <f t="shared" si="1526"/>
        <v>0</v>
      </c>
      <c r="GC478" s="5" t="s">
        <v>206</v>
      </c>
      <c r="GD478" s="5">
        <f t="shared" si="1527"/>
        <v>0</v>
      </c>
      <c r="GE478" s="5">
        <f t="shared" si="1528"/>
        <v>0</v>
      </c>
      <c r="GF478" s="5" t="str">
        <f t="shared" si="1529"/>
        <v>Nivel de riesgo bajo</v>
      </c>
      <c r="GG478" s="5" t="s">
        <v>273</v>
      </c>
      <c r="GH478" s="5" t="s">
        <v>273</v>
      </c>
      <c r="GI478" s="5" t="s">
        <v>266</v>
      </c>
      <c r="GJ478" s="5" t="s">
        <v>233</v>
      </c>
      <c r="GK478" s="5" t="s">
        <v>233</v>
      </c>
      <c r="GL478" s="5" t="s">
        <v>233</v>
      </c>
      <c r="GM478" s="5" t="s">
        <v>298</v>
      </c>
      <c r="GN478" s="5" t="s">
        <v>243</v>
      </c>
      <c r="GO478" s="5" t="s">
        <v>243</v>
      </c>
      <c r="GP478" s="5" t="s">
        <v>257</v>
      </c>
      <c r="GQ478" s="5" t="s">
        <v>243</v>
      </c>
      <c r="GR478" s="5" t="s">
        <v>243</v>
      </c>
      <c r="GS478" s="5" t="s">
        <v>243</v>
      </c>
      <c r="GT478" s="5" t="s">
        <v>243</v>
      </c>
      <c r="GU478" s="5" t="s">
        <v>843</v>
      </c>
      <c r="GV478" s="5" t="str">
        <f>TEXT("6290229913419165349","0")</f>
        <v>6290229913419160000</v>
      </c>
    </row>
    <row r="479" spans="1:204" ht="15.75" customHeight="1" x14ac:dyDescent="0.15">
      <c r="A479" s="1">
        <f t="shared" si="1479"/>
        <v>479</v>
      </c>
      <c r="B479" s="4">
        <v>45860.677442129629</v>
      </c>
      <c r="C479" s="5" t="s">
        <v>204</v>
      </c>
      <c r="D479" s="5" t="s">
        <v>204</v>
      </c>
      <c r="E479" s="5" t="s">
        <v>335</v>
      </c>
      <c r="F479" s="5" t="s">
        <v>206</v>
      </c>
      <c r="G479" s="5" t="s">
        <v>206</v>
      </c>
      <c r="H479" s="5" t="s">
        <v>206</v>
      </c>
      <c r="K479" s="5" t="s">
        <v>237</v>
      </c>
      <c r="P479" s="5" t="s">
        <v>237</v>
      </c>
      <c r="S479" s="5" t="s">
        <v>208</v>
      </c>
      <c r="X479" s="5" t="s">
        <v>208</v>
      </c>
      <c r="AC479" s="5" t="s">
        <v>208</v>
      </c>
      <c r="AH479" s="5" t="s">
        <v>268</v>
      </c>
      <c r="AI479" s="5">
        <v>2010</v>
      </c>
      <c r="AJ479" s="5" t="s">
        <v>330</v>
      </c>
      <c r="AK479" s="5" t="str">
        <f t="shared" si="1480"/>
        <v>Asalariada</v>
      </c>
      <c r="AQ479" s="5" t="s">
        <v>204</v>
      </c>
      <c r="AR479" s="5" t="s">
        <v>276</v>
      </c>
      <c r="AS479" s="5" t="s">
        <v>276</v>
      </c>
      <c r="AT479" s="5" t="s">
        <v>276</v>
      </c>
      <c r="AU479" s="5" t="s">
        <v>276</v>
      </c>
      <c r="AV479" s="5" t="s">
        <v>285</v>
      </c>
      <c r="AW479" s="5" t="s">
        <v>206</v>
      </c>
      <c r="BF479" s="5" t="s">
        <v>204</v>
      </c>
      <c r="BG479" s="5" t="s">
        <v>207</v>
      </c>
      <c r="BH479" s="5" t="s">
        <v>242</v>
      </c>
      <c r="BI479" s="5" t="s">
        <v>207</v>
      </c>
      <c r="BJ479" s="5" t="s">
        <v>242</v>
      </c>
      <c r="BK479" s="5" t="s">
        <v>243</v>
      </c>
      <c r="BL479" s="5" t="s">
        <v>245</v>
      </c>
      <c r="BM479" s="5" t="s">
        <v>243</v>
      </c>
      <c r="BN479" s="5" t="s">
        <v>245</v>
      </c>
      <c r="BO479" s="5" t="s">
        <v>244</v>
      </c>
      <c r="BP479" s="5" t="s">
        <v>243</v>
      </c>
      <c r="BQ479" s="5" t="s">
        <v>245</v>
      </c>
      <c r="BR479" s="5" t="s">
        <v>245</v>
      </c>
      <c r="BS479" s="5" t="s">
        <v>247</v>
      </c>
      <c r="BT479" s="5" t="s">
        <v>217</v>
      </c>
      <c r="BU479" s="5" t="s">
        <v>248</v>
      </c>
      <c r="BV479" s="5" t="s">
        <v>247</v>
      </c>
      <c r="BW479" s="5" t="s">
        <v>232</v>
      </c>
      <c r="BX479" s="5" t="s">
        <v>232</v>
      </c>
      <c r="BY479" s="5" t="s">
        <v>247</v>
      </c>
      <c r="CD479" s="5" t="s">
        <v>206</v>
      </c>
      <c r="CH479" s="5" t="s">
        <v>206</v>
      </c>
      <c r="CI479" s="5" t="s">
        <v>206</v>
      </c>
      <c r="CJ479" s="5">
        <v>1</v>
      </c>
      <c r="CK479" s="5" t="s">
        <v>223</v>
      </c>
      <c r="CU479" s="5" t="s">
        <v>206</v>
      </c>
      <c r="DA479" s="5" t="s">
        <v>231</v>
      </c>
      <c r="DB479" s="5">
        <f t="shared" si="1481"/>
        <v>2</v>
      </c>
      <c r="DC479" s="5" t="s">
        <v>250</v>
      </c>
      <c r="DD479" s="5">
        <f t="shared" si="1482"/>
        <v>3</v>
      </c>
      <c r="DE479" s="5" t="s">
        <v>250</v>
      </c>
      <c r="DF479" s="5">
        <f t="shared" si="1483"/>
        <v>3</v>
      </c>
      <c r="DG479" s="5" t="s">
        <v>250</v>
      </c>
      <c r="DH479" s="5">
        <f t="shared" si="1484"/>
        <v>3</v>
      </c>
      <c r="DI479" s="5" t="s">
        <v>230</v>
      </c>
      <c r="DJ479" s="5">
        <f t="shared" si="1485"/>
        <v>2</v>
      </c>
      <c r="DK479" s="5" t="s">
        <v>230</v>
      </c>
      <c r="DL479" s="5">
        <f t="shared" si="1486"/>
        <v>2</v>
      </c>
      <c r="DM479" s="5" t="s">
        <v>250</v>
      </c>
      <c r="DN479" s="5">
        <f t="shared" si="1487"/>
        <v>3</v>
      </c>
      <c r="DO479" s="5" t="s">
        <v>231</v>
      </c>
      <c r="DP479" s="5">
        <f t="shared" si="1488"/>
        <v>2</v>
      </c>
      <c r="DQ479" s="5" t="s">
        <v>231</v>
      </c>
      <c r="DR479" s="5">
        <f t="shared" si="1489"/>
        <v>2</v>
      </c>
      <c r="DS479" s="5" t="s">
        <v>252</v>
      </c>
      <c r="DT479" s="5">
        <f t="shared" si="1490"/>
        <v>3</v>
      </c>
      <c r="DU479" s="5" t="s">
        <v>231</v>
      </c>
      <c r="DV479" s="5">
        <f t="shared" si="1491"/>
        <v>2</v>
      </c>
      <c r="DW479" s="5" t="s">
        <v>231</v>
      </c>
      <c r="DX479" s="5">
        <f t="shared" si="1492"/>
        <v>2</v>
      </c>
      <c r="DY479" s="5">
        <f t="shared" si="1493"/>
        <v>29</v>
      </c>
      <c r="DZ479" s="5" t="str">
        <f t="shared" si="1494"/>
        <v>Nivel de riesgo alto</v>
      </c>
      <c r="EA479" s="5" t="s">
        <v>247</v>
      </c>
      <c r="EB479" s="5">
        <f t="shared" si="1495"/>
        <v>2</v>
      </c>
      <c r="EC479" s="5" t="s">
        <v>247</v>
      </c>
      <c r="ED479" s="5">
        <f t="shared" si="1496"/>
        <v>2</v>
      </c>
      <c r="EE479" s="5" t="s">
        <v>247</v>
      </c>
      <c r="EF479" s="5">
        <f t="shared" si="1497"/>
        <v>2</v>
      </c>
      <c r="EG479" s="5">
        <f t="shared" si="1498"/>
        <v>6</v>
      </c>
      <c r="EH479" s="5" t="str">
        <f t="shared" si="1499"/>
        <v>Nivel de riesgo alto</v>
      </c>
      <c r="EI479" s="5" t="s">
        <v>232</v>
      </c>
      <c r="EJ479" s="5">
        <f t="shared" si="1500"/>
        <v>3</v>
      </c>
      <c r="EK479" s="5" t="s">
        <v>247</v>
      </c>
      <c r="EL479" s="5">
        <f t="shared" si="1501"/>
        <v>2</v>
      </c>
      <c r="EM479" s="5" t="s">
        <v>232</v>
      </c>
      <c r="EN479" s="5">
        <f t="shared" si="1502"/>
        <v>3</v>
      </c>
      <c r="EO479" s="5">
        <f t="shared" si="1503"/>
        <v>8</v>
      </c>
      <c r="EP479" s="5" t="str">
        <f t="shared" si="1504"/>
        <v>Nivel de riesgo alto</v>
      </c>
      <c r="EQ479" s="5" t="s">
        <v>232</v>
      </c>
      <c r="ER479" s="5">
        <f t="shared" si="1505"/>
        <v>1</v>
      </c>
      <c r="ES479" s="5" t="s">
        <v>232</v>
      </c>
      <c r="ET479" s="5">
        <f t="shared" si="1506"/>
        <v>1</v>
      </c>
      <c r="EU479" s="5" t="s">
        <v>247</v>
      </c>
      <c r="EV479" s="5">
        <f t="shared" si="1507"/>
        <v>2</v>
      </c>
      <c r="EW479" s="5" t="s">
        <v>232</v>
      </c>
      <c r="EX479" s="5">
        <f t="shared" si="1508"/>
        <v>1</v>
      </c>
      <c r="EY479" s="5">
        <f t="shared" si="1509"/>
        <v>5</v>
      </c>
      <c r="EZ479" s="5" t="str">
        <f t="shared" si="1510"/>
        <v>Nivel de riesgo alto</v>
      </c>
      <c r="FA479" s="5" t="s">
        <v>247</v>
      </c>
      <c r="FB479" s="5">
        <f t="shared" si="1511"/>
        <v>2</v>
      </c>
      <c r="FC479" s="5" t="s">
        <v>247</v>
      </c>
      <c r="FD479" s="5">
        <f t="shared" si="1512"/>
        <v>2</v>
      </c>
      <c r="FE479" s="5" t="s">
        <v>232</v>
      </c>
      <c r="FF479" s="5">
        <f t="shared" si="1513"/>
        <v>3</v>
      </c>
      <c r="FG479" s="5">
        <f t="shared" si="1514"/>
        <v>7</v>
      </c>
      <c r="FH479" s="5" t="str">
        <f t="shared" si="1515"/>
        <v>Nivel de riesgo alto</v>
      </c>
      <c r="FI479" s="5" t="s">
        <v>232</v>
      </c>
      <c r="FJ479" s="5">
        <f t="shared" si="1516"/>
        <v>3</v>
      </c>
      <c r="FK479" s="5" t="s">
        <v>232</v>
      </c>
      <c r="FL479" s="5">
        <f t="shared" si="1517"/>
        <v>3</v>
      </c>
      <c r="FM479" s="5" t="s">
        <v>232</v>
      </c>
      <c r="FN479" s="5">
        <f t="shared" si="1518"/>
        <v>3</v>
      </c>
      <c r="FO479" s="5">
        <f t="shared" si="1519"/>
        <v>9</v>
      </c>
      <c r="FP479" s="5" t="str">
        <f t="shared" si="1520"/>
        <v>Nivel de riesgo alto</v>
      </c>
      <c r="FQ479" s="5" t="s">
        <v>206</v>
      </c>
      <c r="FR479" s="5">
        <f t="shared" si="1521"/>
        <v>0</v>
      </c>
      <c r="FS479" s="5" t="s">
        <v>206</v>
      </c>
      <c r="FT479" s="5">
        <f t="shared" si="1522"/>
        <v>0</v>
      </c>
      <c r="FU479" s="5" t="s">
        <v>206</v>
      </c>
      <c r="FV479" s="5">
        <f t="shared" si="1523"/>
        <v>0</v>
      </c>
      <c r="FW479" s="5" t="s">
        <v>206</v>
      </c>
      <c r="FX479" s="5">
        <f t="shared" si="1524"/>
        <v>0</v>
      </c>
      <c r="FY479" s="5" t="s">
        <v>206</v>
      </c>
      <c r="FZ479" s="5">
        <f t="shared" si="1525"/>
        <v>0</v>
      </c>
      <c r="GA479" s="5" t="s">
        <v>206</v>
      </c>
      <c r="GB479" s="5">
        <f t="shared" si="1526"/>
        <v>0</v>
      </c>
      <c r="GC479" s="5" t="s">
        <v>206</v>
      </c>
      <c r="GD479" s="5">
        <f t="shared" si="1527"/>
        <v>0</v>
      </c>
      <c r="GE479" s="5">
        <f t="shared" si="1528"/>
        <v>0</v>
      </c>
      <c r="GF479" s="5" t="str">
        <f t="shared" si="1529"/>
        <v>Nivel de riesgo bajo</v>
      </c>
      <c r="GG479" s="5" t="s">
        <v>255</v>
      </c>
      <c r="GH479" s="5" t="s">
        <v>255</v>
      </c>
      <c r="GI479" s="5" t="s">
        <v>255</v>
      </c>
      <c r="GJ479" s="5" t="s">
        <v>255</v>
      </c>
      <c r="GK479" s="5" t="s">
        <v>233</v>
      </c>
      <c r="GL479" s="5" t="s">
        <v>298</v>
      </c>
      <c r="GM479" s="5" t="s">
        <v>273</v>
      </c>
      <c r="GN479" s="5" t="s">
        <v>234</v>
      </c>
      <c r="GO479" s="5" t="s">
        <v>244</v>
      </c>
      <c r="GP479" s="5" t="s">
        <v>257</v>
      </c>
      <c r="GQ479" s="5" t="s">
        <v>257</v>
      </c>
      <c r="GR479" s="5" t="s">
        <v>244</v>
      </c>
      <c r="GS479" s="5" t="s">
        <v>243</v>
      </c>
      <c r="GT479" s="5" t="s">
        <v>243</v>
      </c>
      <c r="GU479" s="5" t="s">
        <v>844</v>
      </c>
      <c r="GV479" s="5" t="str">
        <f>TEXT("6290245310216170687","0")</f>
        <v>6290245310216170000</v>
      </c>
    </row>
    <row r="480" spans="1:204" ht="15.75" customHeight="1" x14ac:dyDescent="0.15">
      <c r="A480" s="1">
        <f t="shared" si="1479"/>
        <v>480</v>
      </c>
      <c r="B480" s="4">
        <v>45860.680254629631</v>
      </c>
      <c r="C480" s="5" t="s">
        <v>204</v>
      </c>
      <c r="D480" s="5" t="s">
        <v>206</v>
      </c>
      <c r="F480" s="5" t="s">
        <v>206</v>
      </c>
      <c r="G480" s="5" t="s">
        <v>206</v>
      </c>
      <c r="H480" s="5" t="s">
        <v>206</v>
      </c>
      <c r="J480" s="5" t="s">
        <v>209</v>
      </c>
      <c r="O480" s="5" t="s">
        <v>209</v>
      </c>
      <c r="S480" s="5" t="s">
        <v>208</v>
      </c>
      <c r="X480" s="5" t="s">
        <v>208</v>
      </c>
      <c r="AC480" s="5" t="s">
        <v>208</v>
      </c>
      <c r="AH480" s="5" t="s">
        <v>275</v>
      </c>
      <c r="AI480" s="5">
        <v>2018</v>
      </c>
      <c r="AJ480" s="5" t="s">
        <v>238</v>
      </c>
      <c r="AK480" s="5" t="str">
        <f t="shared" si="1480"/>
        <v>Trabajadora por cuenta propia</v>
      </c>
      <c r="AL480" s="5" t="s">
        <v>239</v>
      </c>
      <c r="AP480" s="5" t="s">
        <v>284</v>
      </c>
      <c r="AR480" s="5" t="s">
        <v>276</v>
      </c>
      <c r="AS480" s="5" t="s">
        <v>276</v>
      </c>
      <c r="AT480" s="5" t="s">
        <v>276</v>
      </c>
      <c r="AU480" s="5" t="s">
        <v>276</v>
      </c>
      <c r="AV480" s="5" t="s">
        <v>285</v>
      </c>
      <c r="AW480" s="5" t="s">
        <v>206</v>
      </c>
      <c r="BF480" s="5" t="s">
        <v>204</v>
      </c>
      <c r="BG480" s="5" t="s">
        <v>271</v>
      </c>
      <c r="BH480" s="5" t="s">
        <v>278</v>
      </c>
      <c r="BI480" s="5" t="s">
        <v>278</v>
      </c>
      <c r="BJ480" s="5" t="s">
        <v>278</v>
      </c>
      <c r="BK480" s="5" t="s">
        <v>216</v>
      </c>
      <c r="BL480" s="5" t="s">
        <v>244</v>
      </c>
      <c r="BM480" s="5" t="s">
        <v>216</v>
      </c>
      <c r="BN480" s="5" t="s">
        <v>216</v>
      </c>
      <c r="BO480" s="5" t="s">
        <v>216</v>
      </c>
      <c r="BP480" s="5" t="s">
        <v>244</v>
      </c>
      <c r="BQ480" s="5" t="s">
        <v>244</v>
      </c>
      <c r="BR480" s="5" t="s">
        <v>244</v>
      </c>
      <c r="BS480" s="5" t="s">
        <v>217</v>
      </c>
      <c r="BT480" s="5" t="s">
        <v>248</v>
      </c>
      <c r="BU480" s="5" t="s">
        <v>248</v>
      </c>
      <c r="BV480" s="5" t="s">
        <v>248</v>
      </c>
      <c r="BW480" s="5" t="s">
        <v>248</v>
      </c>
      <c r="BX480" s="5" t="s">
        <v>248</v>
      </c>
      <c r="BY480" s="5" t="s">
        <v>248</v>
      </c>
      <c r="CD480" s="5" t="s">
        <v>206</v>
      </c>
      <c r="CH480" s="5" t="s">
        <v>221</v>
      </c>
      <c r="CI480" s="5" t="s">
        <v>206</v>
      </c>
      <c r="CJ480" s="5">
        <v>2</v>
      </c>
      <c r="CK480" s="5" t="s">
        <v>223</v>
      </c>
      <c r="CU480" s="5" t="s">
        <v>206</v>
      </c>
      <c r="DA480" s="5" t="s">
        <v>272</v>
      </c>
      <c r="DB480" s="5">
        <f t="shared" si="1481"/>
        <v>1</v>
      </c>
      <c r="DC480" s="5" t="s">
        <v>250</v>
      </c>
      <c r="DD480" s="5">
        <f t="shared" si="1482"/>
        <v>3</v>
      </c>
      <c r="DE480" s="5" t="s">
        <v>230</v>
      </c>
      <c r="DF480" s="5">
        <f t="shared" si="1483"/>
        <v>2</v>
      </c>
      <c r="DG480" s="5" t="s">
        <v>251</v>
      </c>
      <c r="DH480" s="5">
        <f t="shared" si="1484"/>
        <v>1</v>
      </c>
      <c r="DI480" s="5" t="s">
        <v>251</v>
      </c>
      <c r="DJ480" s="5">
        <f t="shared" si="1485"/>
        <v>1</v>
      </c>
      <c r="DK480" s="5" t="s">
        <v>251</v>
      </c>
      <c r="DL480" s="5">
        <f t="shared" si="1486"/>
        <v>1</v>
      </c>
      <c r="DM480" s="5" t="s">
        <v>251</v>
      </c>
      <c r="DN480" s="5">
        <f t="shared" si="1487"/>
        <v>1</v>
      </c>
      <c r="DO480" s="5" t="s">
        <v>281</v>
      </c>
      <c r="DP480" s="5">
        <f t="shared" si="1488"/>
        <v>1</v>
      </c>
      <c r="DQ480" s="5" t="s">
        <v>281</v>
      </c>
      <c r="DR480" s="5">
        <f t="shared" si="1489"/>
        <v>1</v>
      </c>
      <c r="DS480" s="5" t="s">
        <v>281</v>
      </c>
      <c r="DT480" s="5">
        <f t="shared" si="1490"/>
        <v>1</v>
      </c>
      <c r="DU480" s="5" t="s">
        <v>281</v>
      </c>
      <c r="DV480" s="5">
        <f t="shared" si="1491"/>
        <v>1</v>
      </c>
      <c r="DW480" s="5" t="s">
        <v>281</v>
      </c>
      <c r="DX480" s="5">
        <f t="shared" si="1492"/>
        <v>1</v>
      </c>
      <c r="DY480" s="5">
        <f t="shared" si="1493"/>
        <v>15</v>
      </c>
      <c r="DZ480" s="5" t="str">
        <f t="shared" si="1494"/>
        <v>Nivel de riesgo bajo</v>
      </c>
      <c r="EA480" s="5" t="s">
        <v>247</v>
      </c>
      <c r="EB480" s="5">
        <f t="shared" si="1495"/>
        <v>2</v>
      </c>
      <c r="EC480" s="5" t="s">
        <v>247</v>
      </c>
      <c r="ED480" s="5">
        <f t="shared" si="1496"/>
        <v>2</v>
      </c>
      <c r="EE480" s="5" t="s">
        <v>247</v>
      </c>
      <c r="EF480" s="5">
        <f t="shared" si="1497"/>
        <v>2</v>
      </c>
      <c r="EG480" s="5">
        <f t="shared" si="1498"/>
        <v>6</v>
      </c>
      <c r="EH480" s="5" t="str">
        <f t="shared" si="1499"/>
        <v>Nivel de riesgo alto</v>
      </c>
      <c r="EI480" s="5" t="s">
        <v>247</v>
      </c>
      <c r="EJ480" s="5">
        <f t="shared" si="1500"/>
        <v>2</v>
      </c>
      <c r="EK480" s="5" t="s">
        <v>247</v>
      </c>
      <c r="EL480" s="5">
        <f t="shared" si="1501"/>
        <v>2</v>
      </c>
      <c r="EM480" s="5" t="s">
        <v>247</v>
      </c>
      <c r="EN480" s="5">
        <f t="shared" si="1502"/>
        <v>2</v>
      </c>
      <c r="EO480" s="5">
        <f t="shared" si="1503"/>
        <v>6</v>
      </c>
      <c r="EP480" s="5" t="str">
        <f t="shared" si="1504"/>
        <v>Nivel de riesgo alto</v>
      </c>
      <c r="EQ480" s="5" t="s">
        <v>247</v>
      </c>
      <c r="ER480" s="5">
        <f t="shared" si="1505"/>
        <v>2</v>
      </c>
      <c r="ES480" s="5" t="s">
        <v>247</v>
      </c>
      <c r="ET480" s="5">
        <f t="shared" si="1506"/>
        <v>2</v>
      </c>
      <c r="EU480" s="5" t="s">
        <v>247</v>
      </c>
      <c r="EV480" s="5">
        <f t="shared" si="1507"/>
        <v>2</v>
      </c>
      <c r="EW480" s="5" t="s">
        <v>247</v>
      </c>
      <c r="EX480" s="5">
        <f t="shared" si="1508"/>
        <v>2</v>
      </c>
      <c r="EY480" s="5">
        <f t="shared" si="1509"/>
        <v>8</v>
      </c>
      <c r="EZ480" s="5" t="str">
        <f t="shared" si="1510"/>
        <v>Nivel de riesgo alto</v>
      </c>
      <c r="FA480" s="5" t="s">
        <v>247</v>
      </c>
      <c r="FB480" s="5">
        <f t="shared" si="1511"/>
        <v>2</v>
      </c>
      <c r="FC480" s="5" t="s">
        <v>247</v>
      </c>
      <c r="FD480" s="5">
        <f t="shared" si="1512"/>
        <v>2</v>
      </c>
      <c r="FE480" s="5" t="s">
        <v>247</v>
      </c>
      <c r="FF480" s="5">
        <f t="shared" si="1513"/>
        <v>2</v>
      </c>
      <c r="FG480" s="5">
        <f t="shared" si="1514"/>
        <v>6</v>
      </c>
      <c r="FH480" s="5" t="str">
        <f t="shared" si="1515"/>
        <v>Nivel de riesgo alto</v>
      </c>
      <c r="FI480" s="5" t="s">
        <v>247</v>
      </c>
      <c r="FJ480" s="5">
        <f t="shared" si="1516"/>
        <v>2</v>
      </c>
      <c r="FK480" s="5" t="s">
        <v>247</v>
      </c>
      <c r="FL480" s="5">
        <f t="shared" si="1517"/>
        <v>2</v>
      </c>
      <c r="FM480" s="5" t="s">
        <v>247</v>
      </c>
      <c r="FN480" s="5">
        <f t="shared" si="1518"/>
        <v>2</v>
      </c>
      <c r="FO480" s="5">
        <f t="shared" si="1519"/>
        <v>6</v>
      </c>
      <c r="FP480" s="5" t="str">
        <f t="shared" si="1520"/>
        <v>Nivel de riesgo alto</v>
      </c>
      <c r="FQ480" s="5" t="s">
        <v>206</v>
      </c>
      <c r="FR480" s="5">
        <f t="shared" si="1521"/>
        <v>0</v>
      </c>
      <c r="FS480" s="5" t="s">
        <v>206</v>
      </c>
      <c r="FT480" s="5">
        <f t="shared" si="1522"/>
        <v>0</v>
      </c>
      <c r="FU480" s="5" t="s">
        <v>206</v>
      </c>
      <c r="FV480" s="5">
        <f t="shared" si="1523"/>
        <v>0</v>
      </c>
      <c r="FW480" s="5" t="s">
        <v>206</v>
      </c>
      <c r="FX480" s="5">
        <f t="shared" si="1524"/>
        <v>0</v>
      </c>
      <c r="FY480" s="5" t="s">
        <v>206</v>
      </c>
      <c r="FZ480" s="5">
        <f t="shared" si="1525"/>
        <v>0</v>
      </c>
      <c r="GA480" s="5" t="s">
        <v>206</v>
      </c>
      <c r="GB480" s="5">
        <f t="shared" si="1526"/>
        <v>0</v>
      </c>
      <c r="GC480" s="5" t="s">
        <v>206</v>
      </c>
      <c r="GD480" s="5">
        <f t="shared" si="1527"/>
        <v>0</v>
      </c>
      <c r="GE480" s="5">
        <f t="shared" si="1528"/>
        <v>0</v>
      </c>
      <c r="GF480" s="5" t="str">
        <f t="shared" si="1529"/>
        <v>Nivel de riesgo bajo</v>
      </c>
      <c r="GG480" s="5" t="s">
        <v>255</v>
      </c>
      <c r="GH480" s="5" t="s">
        <v>255</v>
      </c>
      <c r="GI480" s="5" t="s">
        <v>266</v>
      </c>
      <c r="GJ480" s="5" t="s">
        <v>266</v>
      </c>
      <c r="GK480" s="5" t="s">
        <v>233</v>
      </c>
      <c r="GL480" s="5" t="s">
        <v>233</v>
      </c>
      <c r="GM480" s="5" t="s">
        <v>233</v>
      </c>
      <c r="GN480" s="5" t="s">
        <v>256</v>
      </c>
      <c r="GO480" s="5" t="s">
        <v>256</v>
      </c>
      <c r="GP480" s="5" t="s">
        <v>243</v>
      </c>
      <c r="GQ480" s="5" t="s">
        <v>257</v>
      </c>
      <c r="GR480" s="5" t="s">
        <v>257</v>
      </c>
      <c r="GS480" s="5" t="s">
        <v>257</v>
      </c>
      <c r="GT480" s="5" t="s">
        <v>257</v>
      </c>
      <c r="GU480" s="5" t="s">
        <v>845</v>
      </c>
      <c r="GV480" s="5" t="str">
        <f>TEXT("6290247745023192038","0")</f>
        <v>6290247745023190000</v>
      </c>
    </row>
    <row r="481" spans="1:204" ht="15.75" customHeight="1" x14ac:dyDescent="0.15">
      <c r="A481" s="1">
        <f t="shared" si="1479"/>
        <v>481</v>
      </c>
      <c r="B481" s="4">
        <v>45860.680405092593</v>
      </c>
      <c r="C481" s="5" t="s">
        <v>204</v>
      </c>
      <c r="D481" s="5" t="s">
        <v>206</v>
      </c>
      <c r="F481" s="5" t="s">
        <v>206</v>
      </c>
      <c r="G481" s="5" t="s">
        <v>206</v>
      </c>
      <c r="H481" s="5" t="s">
        <v>206</v>
      </c>
      <c r="J481" s="5" t="s">
        <v>209</v>
      </c>
      <c r="O481" s="5" t="s">
        <v>209</v>
      </c>
      <c r="S481" s="5" t="s">
        <v>208</v>
      </c>
      <c r="X481" s="5" t="s">
        <v>208</v>
      </c>
      <c r="AD481" s="5" t="s">
        <v>209</v>
      </c>
      <c r="AH481" s="5" t="s">
        <v>268</v>
      </c>
      <c r="AI481" s="5">
        <v>2021</v>
      </c>
      <c r="AJ481" s="5" t="s">
        <v>330</v>
      </c>
      <c r="AK481" s="5" t="str">
        <f t="shared" si="1480"/>
        <v>Asalariada</v>
      </c>
      <c r="AQ481" s="5" t="s">
        <v>204</v>
      </c>
      <c r="AR481" s="5" t="s">
        <v>261</v>
      </c>
      <c r="AS481" s="5" t="s">
        <v>241</v>
      </c>
      <c r="AT481" s="5" t="s">
        <v>261</v>
      </c>
      <c r="AU481" s="5" t="s">
        <v>261</v>
      </c>
      <c r="AV481" s="5" t="s">
        <v>285</v>
      </c>
      <c r="AW481" s="5" t="s">
        <v>204</v>
      </c>
      <c r="AX481" s="5" t="s">
        <v>204</v>
      </c>
      <c r="AY481" s="5" t="s">
        <v>270</v>
      </c>
      <c r="AZ481" s="5" t="s">
        <v>204</v>
      </c>
      <c r="BA481" s="5" t="s">
        <v>263</v>
      </c>
      <c r="BF481" s="5" t="s">
        <v>204</v>
      </c>
      <c r="BG481" s="5" t="s">
        <v>278</v>
      </c>
      <c r="BH481" s="5" t="s">
        <v>242</v>
      </c>
      <c r="BI481" s="5" t="s">
        <v>278</v>
      </c>
      <c r="BJ481" s="5" t="s">
        <v>215</v>
      </c>
      <c r="BK481" s="5" t="s">
        <v>246</v>
      </c>
      <c r="BL481" s="5" t="s">
        <v>243</v>
      </c>
      <c r="BM481" s="5" t="s">
        <v>246</v>
      </c>
      <c r="BN481" s="5" t="s">
        <v>246</v>
      </c>
      <c r="BO481" s="5" t="s">
        <v>244</v>
      </c>
      <c r="BP481" s="5" t="s">
        <v>244</v>
      </c>
      <c r="BQ481" s="5" t="s">
        <v>244</v>
      </c>
      <c r="BR481" s="5" t="s">
        <v>244</v>
      </c>
      <c r="BS481" s="5" t="s">
        <v>247</v>
      </c>
      <c r="BT481" s="5" t="s">
        <v>248</v>
      </c>
      <c r="BU481" s="5" t="s">
        <v>247</v>
      </c>
      <c r="BV481" s="5" t="s">
        <v>247</v>
      </c>
      <c r="BW481" s="5" t="s">
        <v>247</v>
      </c>
      <c r="BX481" s="5" t="s">
        <v>247</v>
      </c>
      <c r="BY481" s="5" t="s">
        <v>247</v>
      </c>
      <c r="BZ481" s="5" t="s">
        <v>244</v>
      </c>
      <c r="CA481" s="5" t="s">
        <v>244</v>
      </c>
      <c r="CB481" s="5" t="s">
        <v>244</v>
      </c>
      <c r="CC481" s="5" t="s">
        <v>244</v>
      </c>
      <c r="CD481" s="5" t="s">
        <v>204</v>
      </c>
      <c r="CE481" s="5" t="s">
        <v>218</v>
      </c>
      <c r="CF481" s="5" t="s">
        <v>219</v>
      </c>
      <c r="CG481" s="5" t="s">
        <v>206</v>
      </c>
      <c r="CH481" s="5" t="s">
        <v>206</v>
      </c>
      <c r="CI481" s="5" t="s">
        <v>206</v>
      </c>
      <c r="CJ481" s="5">
        <v>2</v>
      </c>
      <c r="CK481" s="5" t="s">
        <v>223</v>
      </c>
      <c r="CU481" s="5" t="s">
        <v>206</v>
      </c>
      <c r="DA481" s="5" t="s">
        <v>231</v>
      </c>
      <c r="DB481" s="5">
        <f t="shared" si="1481"/>
        <v>2</v>
      </c>
      <c r="DC481" s="5" t="s">
        <v>250</v>
      </c>
      <c r="DD481" s="5">
        <f t="shared" si="1482"/>
        <v>3</v>
      </c>
      <c r="DE481" s="5" t="s">
        <v>250</v>
      </c>
      <c r="DF481" s="5">
        <f t="shared" si="1483"/>
        <v>3</v>
      </c>
      <c r="DG481" s="5" t="s">
        <v>250</v>
      </c>
      <c r="DH481" s="5">
        <f t="shared" si="1484"/>
        <v>3</v>
      </c>
      <c r="DI481" s="5" t="s">
        <v>251</v>
      </c>
      <c r="DJ481" s="5">
        <f t="shared" si="1485"/>
        <v>1</v>
      </c>
      <c r="DK481" s="5" t="s">
        <v>230</v>
      </c>
      <c r="DL481" s="5">
        <f t="shared" si="1486"/>
        <v>2</v>
      </c>
      <c r="DM481" s="5" t="s">
        <v>251</v>
      </c>
      <c r="DN481" s="5">
        <f t="shared" si="1487"/>
        <v>1</v>
      </c>
      <c r="DO481" s="5" t="s">
        <v>231</v>
      </c>
      <c r="DP481" s="5">
        <f t="shared" si="1488"/>
        <v>2</v>
      </c>
      <c r="DQ481" s="5" t="s">
        <v>281</v>
      </c>
      <c r="DR481" s="5">
        <f t="shared" si="1489"/>
        <v>1</v>
      </c>
      <c r="DS481" s="5" t="s">
        <v>231</v>
      </c>
      <c r="DT481" s="5">
        <f t="shared" si="1490"/>
        <v>2</v>
      </c>
      <c r="DU481" s="5" t="s">
        <v>231</v>
      </c>
      <c r="DV481" s="5">
        <f t="shared" si="1491"/>
        <v>2</v>
      </c>
      <c r="DW481" s="5" t="s">
        <v>231</v>
      </c>
      <c r="DX481" s="5">
        <f t="shared" si="1492"/>
        <v>2</v>
      </c>
      <c r="DY481" s="5">
        <f t="shared" si="1493"/>
        <v>24</v>
      </c>
      <c r="DZ481" s="5" t="str">
        <f t="shared" si="1494"/>
        <v>Nivel de riesgo alto</v>
      </c>
      <c r="EA481" s="5" t="s">
        <v>247</v>
      </c>
      <c r="EB481" s="5">
        <f t="shared" si="1495"/>
        <v>2</v>
      </c>
      <c r="EC481" s="5" t="s">
        <v>247</v>
      </c>
      <c r="ED481" s="5">
        <f t="shared" si="1496"/>
        <v>2</v>
      </c>
      <c r="EE481" s="5" t="s">
        <v>247</v>
      </c>
      <c r="EF481" s="5">
        <f t="shared" si="1497"/>
        <v>2</v>
      </c>
      <c r="EG481" s="5">
        <f t="shared" si="1498"/>
        <v>6</v>
      </c>
      <c r="EH481" s="5" t="str">
        <f t="shared" si="1499"/>
        <v>Nivel de riesgo alto</v>
      </c>
      <c r="EI481" s="5" t="s">
        <v>248</v>
      </c>
      <c r="EJ481" s="5">
        <f t="shared" si="1500"/>
        <v>1</v>
      </c>
      <c r="EK481" s="5" t="s">
        <v>248</v>
      </c>
      <c r="EL481" s="5">
        <f t="shared" si="1501"/>
        <v>1</v>
      </c>
      <c r="EM481" s="5" t="s">
        <v>248</v>
      </c>
      <c r="EN481" s="5">
        <f t="shared" si="1502"/>
        <v>1</v>
      </c>
      <c r="EO481" s="5">
        <f t="shared" si="1503"/>
        <v>3</v>
      </c>
      <c r="EP481" s="5" t="str">
        <f t="shared" si="1504"/>
        <v>Nivel de riesgo medio</v>
      </c>
      <c r="EQ481" s="5" t="s">
        <v>248</v>
      </c>
      <c r="ER481" s="5">
        <f t="shared" si="1505"/>
        <v>3</v>
      </c>
      <c r="ES481" s="5" t="s">
        <v>248</v>
      </c>
      <c r="ET481" s="5">
        <f t="shared" si="1506"/>
        <v>3</v>
      </c>
      <c r="EU481" s="5" t="s">
        <v>248</v>
      </c>
      <c r="EV481" s="5">
        <f t="shared" si="1507"/>
        <v>3</v>
      </c>
      <c r="EW481" s="5" t="s">
        <v>248</v>
      </c>
      <c r="EX481" s="5">
        <f t="shared" si="1508"/>
        <v>3</v>
      </c>
      <c r="EY481" s="5">
        <f t="shared" si="1509"/>
        <v>12</v>
      </c>
      <c r="EZ481" s="5" t="str">
        <f t="shared" si="1510"/>
        <v>Nivel de riesgo alto</v>
      </c>
      <c r="FA481" s="5" t="s">
        <v>248</v>
      </c>
      <c r="FB481" s="5">
        <f t="shared" si="1511"/>
        <v>1</v>
      </c>
      <c r="FC481" s="5" t="s">
        <v>248</v>
      </c>
      <c r="FD481" s="5">
        <f t="shared" si="1512"/>
        <v>1</v>
      </c>
      <c r="FE481" s="5" t="s">
        <v>248</v>
      </c>
      <c r="FF481" s="5">
        <f t="shared" si="1513"/>
        <v>1</v>
      </c>
      <c r="FG481" s="5">
        <f t="shared" si="1514"/>
        <v>3</v>
      </c>
      <c r="FH481" s="5" t="str">
        <f t="shared" si="1515"/>
        <v>Nivel de riesgo medio</v>
      </c>
      <c r="FI481" s="5" t="s">
        <v>248</v>
      </c>
      <c r="FJ481" s="5">
        <f t="shared" si="1516"/>
        <v>1</v>
      </c>
      <c r="FK481" s="5" t="s">
        <v>248</v>
      </c>
      <c r="FL481" s="5">
        <f t="shared" si="1517"/>
        <v>1</v>
      </c>
      <c r="FM481" s="5" t="s">
        <v>248</v>
      </c>
      <c r="FN481" s="5">
        <f t="shared" si="1518"/>
        <v>1</v>
      </c>
      <c r="FO481" s="5">
        <f t="shared" si="1519"/>
        <v>3</v>
      </c>
      <c r="FP481" s="5" t="str">
        <f t="shared" si="1520"/>
        <v>Nivel de riesgo medio</v>
      </c>
      <c r="FQ481" s="5" t="s">
        <v>265</v>
      </c>
      <c r="FR481" s="5">
        <f t="shared" si="1521"/>
        <v>1</v>
      </c>
      <c r="FS481" s="5" t="s">
        <v>265</v>
      </c>
      <c r="FT481" s="5">
        <f t="shared" si="1522"/>
        <v>1</v>
      </c>
      <c r="FU481" s="5" t="s">
        <v>265</v>
      </c>
      <c r="FV481" s="5">
        <f t="shared" si="1523"/>
        <v>1</v>
      </c>
      <c r="FW481" s="5" t="s">
        <v>265</v>
      </c>
      <c r="FX481" s="5">
        <f t="shared" si="1524"/>
        <v>1</v>
      </c>
      <c r="FY481" s="5" t="s">
        <v>265</v>
      </c>
      <c r="FZ481" s="5">
        <f t="shared" si="1525"/>
        <v>1</v>
      </c>
      <c r="GA481" s="5" t="s">
        <v>265</v>
      </c>
      <c r="GB481" s="5">
        <f t="shared" si="1526"/>
        <v>1</v>
      </c>
      <c r="GC481" s="5" t="s">
        <v>265</v>
      </c>
      <c r="GD481" s="5">
        <f t="shared" si="1527"/>
        <v>1</v>
      </c>
      <c r="GE481" s="5">
        <f t="shared" si="1528"/>
        <v>7</v>
      </c>
      <c r="GF481" s="5" t="str">
        <f t="shared" si="1529"/>
        <v>Nivel de riesgo medio</v>
      </c>
      <c r="GG481" s="5" t="s">
        <v>255</v>
      </c>
      <c r="GH481" s="5" t="s">
        <v>255</v>
      </c>
      <c r="GI481" s="5" t="s">
        <v>255</v>
      </c>
      <c r="GJ481" s="5" t="s">
        <v>233</v>
      </c>
      <c r="GK481" s="5" t="s">
        <v>255</v>
      </c>
      <c r="GL481" s="5" t="s">
        <v>233</v>
      </c>
      <c r="GM481" s="5" t="s">
        <v>255</v>
      </c>
      <c r="GN481" s="5" t="s">
        <v>256</v>
      </c>
      <c r="GO481" s="5" t="s">
        <v>256</v>
      </c>
      <c r="GP481" s="5" t="s">
        <v>244</v>
      </c>
      <c r="GQ481" s="5" t="s">
        <v>256</v>
      </c>
      <c r="GR481" s="5" t="s">
        <v>244</v>
      </c>
      <c r="GS481" s="5" t="s">
        <v>244</v>
      </c>
      <c r="GT481" s="5" t="s">
        <v>244</v>
      </c>
      <c r="GU481" s="5" t="s">
        <v>308</v>
      </c>
      <c r="GV481" s="5" t="str">
        <f>TEXT("6290247873215383584","0")</f>
        <v>6290247873215380000</v>
      </c>
    </row>
    <row r="482" spans="1:204" ht="15.75" customHeight="1" x14ac:dyDescent="0.15">
      <c r="A482" s="1">
        <f t="shared" si="1479"/>
        <v>482</v>
      </c>
      <c r="B482" s="4">
        <v>45860.681261574071</v>
      </c>
      <c r="C482" s="5" t="s">
        <v>204</v>
      </c>
      <c r="D482" s="5" t="s">
        <v>206</v>
      </c>
      <c r="F482" s="5" t="s">
        <v>204</v>
      </c>
      <c r="G482" s="5" t="s">
        <v>206</v>
      </c>
      <c r="H482" s="5" t="s">
        <v>206</v>
      </c>
      <c r="L482" s="5" t="s">
        <v>236</v>
      </c>
      <c r="O482" s="5" t="s">
        <v>209</v>
      </c>
      <c r="T482" s="5" t="s">
        <v>209</v>
      </c>
      <c r="Y482" s="5" t="s">
        <v>209</v>
      </c>
      <c r="AC482" s="5" t="s">
        <v>208</v>
      </c>
      <c r="AH482" s="5" t="s">
        <v>846</v>
      </c>
      <c r="AI482" s="5">
        <v>2021</v>
      </c>
      <c r="AJ482" s="5" t="s">
        <v>238</v>
      </c>
      <c r="AK482" s="5" t="str">
        <f t="shared" si="1480"/>
        <v>Trabajadora por cuenta propia</v>
      </c>
      <c r="AM482" s="5" t="s">
        <v>309</v>
      </c>
      <c r="AP482" s="5" t="s">
        <v>847</v>
      </c>
      <c r="AR482" s="5" t="s">
        <v>301</v>
      </c>
      <c r="AS482" s="5" t="s">
        <v>301</v>
      </c>
      <c r="AT482" s="5" t="s">
        <v>301</v>
      </c>
      <c r="AU482" s="5" t="s">
        <v>241</v>
      </c>
      <c r="AV482" s="5" t="s">
        <v>285</v>
      </c>
      <c r="AW482" s="5" t="s">
        <v>204</v>
      </c>
      <c r="AX482" s="5" t="s">
        <v>204</v>
      </c>
      <c r="AY482" s="5" t="s">
        <v>214</v>
      </c>
      <c r="AZ482" s="5" t="s">
        <v>204</v>
      </c>
      <c r="BA482" s="5" t="s">
        <v>263</v>
      </c>
      <c r="BF482" s="5" t="s">
        <v>204</v>
      </c>
      <c r="BG482" s="5" t="s">
        <v>242</v>
      </c>
      <c r="BH482" s="5" t="s">
        <v>215</v>
      </c>
      <c r="BI482" s="5" t="s">
        <v>215</v>
      </c>
      <c r="BJ482" s="5" t="s">
        <v>215</v>
      </c>
      <c r="BK482" s="5" t="s">
        <v>246</v>
      </c>
      <c r="BL482" s="5" t="s">
        <v>244</v>
      </c>
      <c r="BM482" s="5" t="s">
        <v>246</v>
      </c>
      <c r="BN482" s="5" t="s">
        <v>246</v>
      </c>
      <c r="BO482" s="5" t="s">
        <v>244</v>
      </c>
      <c r="BP482" s="5" t="s">
        <v>244</v>
      </c>
      <c r="BQ482" s="5" t="s">
        <v>244</v>
      </c>
      <c r="BR482" s="5" t="s">
        <v>244</v>
      </c>
      <c r="BS482" s="5" t="s">
        <v>217</v>
      </c>
      <c r="BT482" s="5" t="s">
        <v>248</v>
      </c>
      <c r="BU482" s="5" t="s">
        <v>217</v>
      </c>
      <c r="BV482" s="5" t="s">
        <v>217</v>
      </c>
      <c r="BW482" s="5" t="s">
        <v>248</v>
      </c>
      <c r="BX482" s="5" t="s">
        <v>248</v>
      </c>
      <c r="BY482" s="5" t="s">
        <v>217</v>
      </c>
      <c r="BZ482" s="5" t="s">
        <v>244</v>
      </c>
      <c r="CA482" s="5" t="s">
        <v>244</v>
      </c>
      <c r="CB482" s="5" t="s">
        <v>246</v>
      </c>
      <c r="CC482" s="5" t="s">
        <v>244</v>
      </c>
      <c r="CD482" s="5" t="s">
        <v>206</v>
      </c>
      <c r="CH482" s="5" t="s">
        <v>206</v>
      </c>
      <c r="CI482" s="5" t="s">
        <v>206</v>
      </c>
      <c r="CJ482" s="5">
        <v>0</v>
      </c>
      <c r="CK482" s="5" t="s">
        <v>223</v>
      </c>
      <c r="CU482" s="5" t="s">
        <v>206</v>
      </c>
      <c r="DA482" s="5" t="s">
        <v>231</v>
      </c>
      <c r="DB482" s="5">
        <f t="shared" si="1481"/>
        <v>2</v>
      </c>
      <c r="DC482" s="5" t="s">
        <v>230</v>
      </c>
      <c r="DD482" s="5">
        <f t="shared" si="1482"/>
        <v>2</v>
      </c>
      <c r="DE482" s="5" t="s">
        <v>251</v>
      </c>
      <c r="DF482" s="5">
        <f t="shared" si="1483"/>
        <v>1</v>
      </c>
      <c r="DG482" s="5" t="s">
        <v>251</v>
      </c>
      <c r="DH482" s="5">
        <f t="shared" si="1484"/>
        <v>1</v>
      </c>
      <c r="DI482" s="5" t="s">
        <v>251</v>
      </c>
      <c r="DJ482" s="5">
        <f t="shared" si="1485"/>
        <v>1</v>
      </c>
      <c r="DK482" s="5" t="s">
        <v>251</v>
      </c>
      <c r="DL482" s="5">
        <f t="shared" si="1486"/>
        <v>1</v>
      </c>
      <c r="DM482" s="5" t="s">
        <v>251</v>
      </c>
      <c r="DN482" s="5">
        <f t="shared" si="1487"/>
        <v>1</v>
      </c>
      <c r="DO482" s="5" t="s">
        <v>281</v>
      </c>
      <c r="DP482" s="5">
        <f t="shared" si="1488"/>
        <v>1</v>
      </c>
      <c r="DQ482" s="5" t="s">
        <v>281</v>
      </c>
      <c r="DR482" s="5">
        <f t="shared" si="1489"/>
        <v>1</v>
      </c>
      <c r="DS482" s="5" t="s">
        <v>281</v>
      </c>
      <c r="DT482" s="5">
        <f t="shared" si="1490"/>
        <v>1</v>
      </c>
      <c r="DU482" s="5" t="s">
        <v>281</v>
      </c>
      <c r="DV482" s="5">
        <f t="shared" si="1491"/>
        <v>1</v>
      </c>
      <c r="DW482" s="5" t="s">
        <v>281</v>
      </c>
      <c r="DX482" s="5">
        <f t="shared" si="1492"/>
        <v>1</v>
      </c>
      <c r="DY482" s="5">
        <f t="shared" si="1493"/>
        <v>14</v>
      </c>
      <c r="DZ482" s="5" t="str">
        <f t="shared" si="1494"/>
        <v>Nivel de riesgo bajo</v>
      </c>
      <c r="EA482" s="5" t="s">
        <v>248</v>
      </c>
      <c r="EB482" s="5">
        <f t="shared" si="1495"/>
        <v>1</v>
      </c>
      <c r="EC482" s="5" t="s">
        <v>253</v>
      </c>
      <c r="ED482" s="5">
        <f t="shared" si="1496"/>
        <v>0</v>
      </c>
      <c r="EE482" s="5" t="s">
        <v>253</v>
      </c>
      <c r="EF482" s="5">
        <f t="shared" si="1497"/>
        <v>0</v>
      </c>
      <c r="EG482" s="5">
        <f t="shared" si="1498"/>
        <v>1</v>
      </c>
      <c r="EH482" s="5" t="str">
        <f t="shared" si="1499"/>
        <v>Nivel de riesgo bajo</v>
      </c>
      <c r="EI482" s="5" t="s">
        <v>253</v>
      </c>
      <c r="EJ482" s="5">
        <f t="shared" si="1500"/>
        <v>0</v>
      </c>
      <c r="EK482" s="5" t="s">
        <v>248</v>
      </c>
      <c r="EL482" s="5">
        <f t="shared" si="1501"/>
        <v>1</v>
      </c>
      <c r="EM482" s="5" t="s">
        <v>248</v>
      </c>
      <c r="EN482" s="5">
        <f t="shared" si="1502"/>
        <v>1</v>
      </c>
      <c r="EO482" s="5">
        <f t="shared" si="1503"/>
        <v>2</v>
      </c>
      <c r="EP482" s="5" t="str">
        <f t="shared" si="1504"/>
        <v>Nivel de riesgo medio</v>
      </c>
      <c r="EQ482" s="5" t="s">
        <v>254</v>
      </c>
      <c r="ER482" s="5">
        <f t="shared" si="1505"/>
        <v>0</v>
      </c>
      <c r="ES482" s="5" t="s">
        <v>254</v>
      </c>
      <c r="ET482" s="5">
        <f t="shared" si="1506"/>
        <v>0</v>
      </c>
      <c r="EU482" s="5" t="s">
        <v>254</v>
      </c>
      <c r="EV482" s="5">
        <f t="shared" si="1507"/>
        <v>0</v>
      </c>
      <c r="EW482" s="5" t="s">
        <v>254</v>
      </c>
      <c r="EX482" s="5">
        <f t="shared" si="1508"/>
        <v>0</v>
      </c>
      <c r="EY482" s="5">
        <f t="shared" si="1509"/>
        <v>0</v>
      </c>
      <c r="EZ482" s="5" t="str">
        <f t="shared" si="1510"/>
        <v>Nivel de riesgo bajo</v>
      </c>
      <c r="FA482" s="5" t="s">
        <v>253</v>
      </c>
      <c r="FB482" s="5">
        <f t="shared" si="1511"/>
        <v>0</v>
      </c>
      <c r="FC482" s="5" t="s">
        <v>253</v>
      </c>
      <c r="FD482" s="5">
        <f t="shared" si="1512"/>
        <v>0</v>
      </c>
      <c r="FE482" s="5" t="s">
        <v>253</v>
      </c>
      <c r="FF482" s="5">
        <f t="shared" si="1513"/>
        <v>0</v>
      </c>
      <c r="FG482" s="5">
        <f t="shared" si="1514"/>
        <v>0</v>
      </c>
      <c r="FH482" s="5" t="str">
        <f t="shared" si="1515"/>
        <v>Nivel de riesgo bajo</v>
      </c>
      <c r="FI482" s="5" t="s">
        <v>253</v>
      </c>
      <c r="FJ482" s="5">
        <f t="shared" si="1516"/>
        <v>0</v>
      </c>
      <c r="FK482" s="5" t="s">
        <v>253</v>
      </c>
      <c r="FL482" s="5">
        <f t="shared" si="1517"/>
        <v>0</v>
      </c>
      <c r="FM482" s="5" t="s">
        <v>253</v>
      </c>
      <c r="FN482" s="5">
        <f t="shared" si="1518"/>
        <v>0</v>
      </c>
      <c r="FO482" s="5">
        <f t="shared" si="1519"/>
        <v>0</v>
      </c>
      <c r="FP482" s="5" t="str">
        <f t="shared" si="1520"/>
        <v>Nivel de riesgo bajo</v>
      </c>
      <c r="FQ482" s="5" t="s">
        <v>206</v>
      </c>
      <c r="FR482" s="5">
        <f t="shared" si="1521"/>
        <v>0</v>
      </c>
      <c r="FS482" s="5" t="s">
        <v>206</v>
      </c>
      <c r="FT482" s="5">
        <f t="shared" si="1522"/>
        <v>0</v>
      </c>
      <c r="FU482" s="5" t="s">
        <v>206</v>
      </c>
      <c r="FV482" s="5">
        <f t="shared" si="1523"/>
        <v>0</v>
      </c>
      <c r="FW482" s="5" t="s">
        <v>206</v>
      </c>
      <c r="FX482" s="5">
        <f t="shared" si="1524"/>
        <v>0</v>
      </c>
      <c r="FY482" s="5" t="s">
        <v>206</v>
      </c>
      <c r="FZ482" s="5">
        <f t="shared" si="1525"/>
        <v>0</v>
      </c>
      <c r="GA482" s="5" t="s">
        <v>206</v>
      </c>
      <c r="GB482" s="5">
        <f t="shared" si="1526"/>
        <v>0</v>
      </c>
      <c r="GC482" s="5" t="s">
        <v>206</v>
      </c>
      <c r="GD482" s="5">
        <f t="shared" si="1527"/>
        <v>0</v>
      </c>
      <c r="GE482" s="5">
        <f t="shared" si="1528"/>
        <v>0</v>
      </c>
      <c r="GF482" s="5" t="str">
        <f t="shared" si="1529"/>
        <v>Nivel de riesgo bajo</v>
      </c>
      <c r="GG482" s="5" t="s">
        <v>255</v>
      </c>
      <c r="GH482" s="5" t="s">
        <v>255</v>
      </c>
      <c r="GI482" s="5" t="s">
        <v>255</v>
      </c>
      <c r="GJ482" s="5" t="s">
        <v>255</v>
      </c>
      <c r="GK482" s="5" t="s">
        <v>233</v>
      </c>
      <c r="GL482" s="5" t="s">
        <v>273</v>
      </c>
      <c r="GM482" s="5" t="s">
        <v>273</v>
      </c>
      <c r="GN482" s="5" t="s">
        <v>234</v>
      </c>
      <c r="GO482" s="5" t="s">
        <v>234</v>
      </c>
      <c r="GP482" s="5" t="s">
        <v>234</v>
      </c>
      <c r="GQ482" s="5" t="s">
        <v>234</v>
      </c>
      <c r="GR482" s="5" t="s">
        <v>234</v>
      </c>
      <c r="GS482" s="5" t="s">
        <v>234</v>
      </c>
      <c r="GT482" s="5" t="s">
        <v>234</v>
      </c>
      <c r="GU482" s="5" t="s">
        <v>848</v>
      </c>
      <c r="GV482" s="5" t="str">
        <f>TEXT("6290248616611025659","0")</f>
        <v>6290248616611020000</v>
      </c>
    </row>
    <row r="483" spans="1:204" ht="15.75" customHeight="1" x14ac:dyDescent="0.15">
      <c r="A483" s="1">
        <f t="shared" si="1479"/>
        <v>483</v>
      </c>
      <c r="B483" s="4">
        <v>45860.683275462965</v>
      </c>
      <c r="C483" s="5" t="s">
        <v>204</v>
      </c>
      <c r="D483" s="5" t="s">
        <v>206</v>
      </c>
      <c r="F483" s="5" t="s">
        <v>206</v>
      </c>
      <c r="G483" s="5" t="s">
        <v>204</v>
      </c>
      <c r="H483" s="5" t="s">
        <v>206</v>
      </c>
      <c r="K483" s="5" t="s">
        <v>237</v>
      </c>
      <c r="N483" s="5" t="s">
        <v>208</v>
      </c>
      <c r="T483" s="5" t="s">
        <v>209</v>
      </c>
      <c r="X483" s="5" t="s">
        <v>208</v>
      </c>
      <c r="AE483" s="5" t="s">
        <v>237</v>
      </c>
      <c r="AH483" s="5" t="s">
        <v>210</v>
      </c>
      <c r="AI483" s="5">
        <v>2017</v>
      </c>
      <c r="AJ483" s="5" t="s">
        <v>238</v>
      </c>
      <c r="AK483" s="5" t="str">
        <f t="shared" si="1480"/>
        <v>Trabajadora por cuenta propia</v>
      </c>
      <c r="AL483" s="5" t="s">
        <v>239</v>
      </c>
      <c r="AP483" s="5" t="s">
        <v>396</v>
      </c>
      <c r="AR483" s="5" t="s">
        <v>276</v>
      </c>
      <c r="AS483" s="5" t="s">
        <v>276</v>
      </c>
      <c r="AT483" s="5" t="s">
        <v>276</v>
      </c>
      <c r="AU483" s="5" t="s">
        <v>276</v>
      </c>
      <c r="AV483" s="5" t="s">
        <v>285</v>
      </c>
      <c r="AW483" s="5" t="s">
        <v>204</v>
      </c>
      <c r="AX483" s="5" t="s">
        <v>204</v>
      </c>
      <c r="AY483" s="5" t="s">
        <v>270</v>
      </c>
      <c r="AZ483" s="5" t="s">
        <v>204</v>
      </c>
      <c r="BA483" s="5" t="s">
        <v>263</v>
      </c>
      <c r="BF483" s="5" t="s">
        <v>204</v>
      </c>
      <c r="BG483" s="5" t="s">
        <v>215</v>
      </c>
      <c r="BH483" s="5" t="s">
        <v>215</v>
      </c>
      <c r="BI483" s="5" t="s">
        <v>215</v>
      </c>
      <c r="BJ483" s="5" t="s">
        <v>215</v>
      </c>
      <c r="BK483" s="5" t="s">
        <v>243</v>
      </c>
      <c r="BL483" s="5" t="s">
        <v>243</v>
      </c>
      <c r="BM483" s="5" t="s">
        <v>243</v>
      </c>
      <c r="BN483" s="5" t="s">
        <v>243</v>
      </c>
      <c r="BO483" s="5" t="s">
        <v>243</v>
      </c>
      <c r="BP483" s="5" t="s">
        <v>243</v>
      </c>
      <c r="BQ483" s="5" t="s">
        <v>243</v>
      </c>
      <c r="BR483" s="5" t="s">
        <v>246</v>
      </c>
      <c r="BS483" s="5" t="s">
        <v>217</v>
      </c>
      <c r="BT483" s="5" t="s">
        <v>247</v>
      </c>
      <c r="BU483" s="5" t="s">
        <v>247</v>
      </c>
      <c r="BV483" s="5" t="s">
        <v>247</v>
      </c>
      <c r="BW483" s="5" t="s">
        <v>247</v>
      </c>
      <c r="BX483" s="5" t="s">
        <v>247</v>
      </c>
      <c r="BY483" s="5" t="s">
        <v>247</v>
      </c>
      <c r="BZ483" s="5" t="s">
        <v>243</v>
      </c>
      <c r="CA483" s="5" t="s">
        <v>243</v>
      </c>
      <c r="CB483" s="5" t="s">
        <v>246</v>
      </c>
      <c r="CC483" s="5" t="s">
        <v>246</v>
      </c>
      <c r="CD483" s="5" t="s">
        <v>206</v>
      </c>
      <c r="CH483" s="5" t="s">
        <v>310</v>
      </c>
      <c r="CI483" s="5" t="s">
        <v>206</v>
      </c>
      <c r="CJ483" s="5">
        <v>2</v>
      </c>
      <c r="CK483" s="5" t="s">
        <v>223</v>
      </c>
      <c r="CU483" s="5" t="s">
        <v>206</v>
      </c>
      <c r="DA483" s="5" t="s">
        <v>231</v>
      </c>
      <c r="DB483" s="5">
        <f t="shared" si="1481"/>
        <v>2</v>
      </c>
      <c r="DC483" s="5" t="s">
        <v>250</v>
      </c>
      <c r="DD483" s="5">
        <f t="shared" si="1482"/>
        <v>3</v>
      </c>
      <c r="DE483" s="5" t="s">
        <v>250</v>
      </c>
      <c r="DF483" s="5">
        <f t="shared" si="1483"/>
        <v>3</v>
      </c>
      <c r="DG483" s="5" t="s">
        <v>250</v>
      </c>
      <c r="DH483" s="5">
        <f t="shared" si="1484"/>
        <v>3</v>
      </c>
      <c r="DI483" s="5" t="s">
        <v>250</v>
      </c>
      <c r="DJ483" s="5">
        <f t="shared" si="1485"/>
        <v>3</v>
      </c>
      <c r="DK483" s="5" t="s">
        <v>251</v>
      </c>
      <c r="DL483" s="5">
        <f t="shared" si="1486"/>
        <v>1</v>
      </c>
      <c r="DM483" s="5" t="s">
        <v>251</v>
      </c>
      <c r="DN483" s="5">
        <f t="shared" si="1487"/>
        <v>1</v>
      </c>
      <c r="DO483" s="5" t="s">
        <v>281</v>
      </c>
      <c r="DP483" s="5">
        <f t="shared" si="1488"/>
        <v>1</v>
      </c>
      <c r="DQ483" s="5" t="s">
        <v>231</v>
      </c>
      <c r="DR483" s="5">
        <f t="shared" si="1489"/>
        <v>2</v>
      </c>
      <c r="DS483" s="5" t="s">
        <v>252</v>
      </c>
      <c r="DT483" s="5">
        <f t="shared" si="1490"/>
        <v>3</v>
      </c>
      <c r="DU483" s="5" t="s">
        <v>231</v>
      </c>
      <c r="DV483" s="5">
        <f t="shared" si="1491"/>
        <v>2</v>
      </c>
      <c r="DW483" s="5" t="s">
        <v>252</v>
      </c>
      <c r="DX483" s="5">
        <f t="shared" si="1492"/>
        <v>3</v>
      </c>
      <c r="DY483" s="5">
        <f t="shared" si="1493"/>
        <v>27</v>
      </c>
      <c r="DZ483" s="5" t="str">
        <f t="shared" si="1494"/>
        <v>Nivel de riesgo alto</v>
      </c>
      <c r="EA483" s="5" t="s">
        <v>232</v>
      </c>
      <c r="EB483" s="5">
        <f t="shared" si="1495"/>
        <v>3</v>
      </c>
      <c r="EC483" s="5" t="s">
        <v>232</v>
      </c>
      <c r="ED483" s="5">
        <f t="shared" si="1496"/>
        <v>3</v>
      </c>
      <c r="EE483" s="5" t="s">
        <v>253</v>
      </c>
      <c r="EF483" s="5">
        <f t="shared" si="1497"/>
        <v>0</v>
      </c>
      <c r="EG483" s="5">
        <f t="shared" si="1498"/>
        <v>6</v>
      </c>
      <c r="EH483" s="5" t="str">
        <f t="shared" si="1499"/>
        <v>Nivel de riesgo alto</v>
      </c>
      <c r="EI483" s="5" t="s">
        <v>232</v>
      </c>
      <c r="EJ483" s="5">
        <f t="shared" si="1500"/>
        <v>3</v>
      </c>
      <c r="EK483" s="5" t="s">
        <v>247</v>
      </c>
      <c r="EL483" s="5">
        <f t="shared" si="1501"/>
        <v>2</v>
      </c>
      <c r="EM483" s="5" t="s">
        <v>232</v>
      </c>
      <c r="EN483" s="5">
        <f t="shared" si="1502"/>
        <v>3</v>
      </c>
      <c r="EO483" s="5">
        <f t="shared" si="1503"/>
        <v>8</v>
      </c>
      <c r="EP483" s="5" t="str">
        <f t="shared" si="1504"/>
        <v>Nivel de riesgo alto</v>
      </c>
      <c r="EQ483" s="5" t="s">
        <v>254</v>
      </c>
      <c r="ER483" s="5">
        <f t="shared" si="1505"/>
        <v>0</v>
      </c>
      <c r="ES483" s="5" t="s">
        <v>254</v>
      </c>
      <c r="ET483" s="5">
        <f t="shared" si="1506"/>
        <v>0</v>
      </c>
      <c r="EU483" s="5" t="s">
        <v>254</v>
      </c>
      <c r="EV483" s="5">
        <f t="shared" si="1507"/>
        <v>0</v>
      </c>
      <c r="EW483" s="5" t="s">
        <v>254</v>
      </c>
      <c r="EX483" s="5">
        <f t="shared" si="1508"/>
        <v>0</v>
      </c>
      <c r="EY483" s="5">
        <f t="shared" si="1509"/>
        <v>0</v>
      </c>
      <c r="EZ483" s="5" t="str">
        <f t="shared" si="1510"/>
        <v>Nivel de riesgo bajo</v>
      </c>
      <c r="FA483" s="5" t="s">
        <v>232</v>
      </c>
      <c r="FB483" s="5">
        <f t="shared" si="1511"/>
        <v>3</v>
      </c>
      <c r="FC483" s="5" t="s">
        <v>247</v>
      </c>
      <c r="FD483" s="5">
        <f t="shared" si="1512"/>
        <v>2</v>
      </c>
      <c r="FE483" s="5" t="s">
        <v>247</v>
      </c>
      <c r="FF483" s="5">
        <f t="shared" si="1513"/>
        <v>2</v>
      </c>
      <c r="FG483" s="5">
        <f t="shared" si="1514"/>
        <v>7</v>
      </c>
      <c r="FH483" s="5" t="str">
        <f t="shared" si="1515"/>
        <v>Nivel de riesgo alto</v>
      </c>
      <c r="FI483" s="5" t="s">
        <v>232</v>
      </c>
      <c r="FJ483" s="5">
        <f t="shared" si="1516"/>
        <v>3</v>
      </c>
      <c r="FK483" s="5" t="s">
        <v>232</v>
      </c>
      <c r="FL483" s="5">
        <f t="shared" si="1517"/>
        <v>3</v>
      </c>
      <c r="FM483" s="5" t="s">
        <v>232</v>
      </c>
      <c r="FN483" s="5">
        <f t="shared" si="1518"/>
        <v>3</v>
      </c>
      <c r="FO483" s="5">
        <f t="shared" si="1519"/>
        <v>9</v>
      </c>
      <c r="FP483" s="5" t="str">
        <f t="shared" si="1520"/>
        <v>Nivel de riesgo alto</v>
      </c>
      <c r="FQ483" s="5" t="s">
        <v>265</v>
      </c>
      <c r="FR483" s="5">
        <f t="shared" si="1521"/>
        <v>1</v>
      </c>
      <c r="FS483" s="5" t="s">
        <v>206</v>
      </c>
      <c r="FT483" s="5">
        <f t="shared" si="1522"/>
        <v>0</v>
      </c>
      <c r="FU483" s="5" t="s">
        <v>206</v>
      </c>
      <c r="FV483" s="5">
        <f t="shared" si="1523"/>
        <v>0</v>
      </c>
      <c r="FW483" s="5" t="s">
        <v>206</v>
      </c>
      <c r="FX483" s="5">
        <f t="shared" si="1524"/>
        <v>0</v>
      </c>
      <c r="FY483" s="5" t="s">
        <v>206</v>
      </c>
      <c r="FZ483" s="5">
        <f t="shared" si="1525"/>
        <v>0</v>
      </c>
      <c r="GA483" s="5" t="s">
        <v>206</v>
      </c>
      <c r="GB483" s="5">
        <f t="shared" si="1526"/>
        <v>0</v>
      </c>
      <c r="GC483" s="5" t="s">
        <v>206</v>
      </c>
      <c r="GD483" s="5">
        <f t="shared" si="1527"/>
        <v>0</v>
      </c>
      <c r="GE483" s="5">
        <f t="shared" si="1528"/>
        <v>1</v>
      </c>
      <c r="GF483" s="5" t="str">
        <f t="shared" si="1529"/>
        <v>Nivel de riesgo medio</v>
      </c>
      <c r="GG483" s="5" t="s">
        <v>255</v>
      </c>
      <c r="GH483" s="5" t="s">
        <v>255</v>
      </c>
      <c r="GI483" s="5" t="s">
        <v>273</v>
      </c>
      <c r="GJ483" s="5" t="s">
        <v>273</v>
      </c>
      <c r="GK483" s="5" t="s">
        <v>273</v>
      </c>
      <c r="GL483" s="5" t="s">
        <v>273</v>
      </c>
      <c r="GM483" s="5" t="s">
        <v>273</v>
      </c>
      <c r="GN483" s="5" t="s">
        <v>256</v>
      </c>
      <c r="GO483" s="5" t="s">
        <v>256</v>
      </c>
      <c r="GP483" s="5" t="s">
        <v>256</v>
      </c>
      <c r="GQ483" s="5" t="s">
        <v>256</v>
      </c>
      <c r="GR483" s="5" t="s">
        <v>256</v>
      </c>
      <c r="GS483" s="5" t="s">
        <v>256</v>
      </c>
      <c r="GT483" s="5" t="s">
        <v>256</v>
      </c>
      <c r="GU483" s="5" t="s">
        <v>849</v>
      </c>
      <c r="GV483" s="5" t="str">
        <f>TEXT("6290250357719230251","0")</f>
        <v>6290250357719230000</v>
      </c>
    </row>
    <row r="484" spans="1:204" ht="15.75" customHeight="1" x14ac:dyDescent="0.15">
      <c r="A484" s="1">
        <f t="shared" si="1479"/>
        <v>484</v>
      </c>
      <c r="B484" s="4">
        <v>45860.691203703704</v>
      </c>
      <c r="C484" s="5" t="s">
        <v>204</v>
      </c>
      <c r="D484" s="5" t="s">
        <v>206</v>
      </c>
      <c r="F484" s="5" t="s">
        <v>204</v>
      </c>
      <c r="G484" s="5" t="s">
        <v>204</v>
      </c>
      <c r="H484" s="5" t="s">
        <v>206</v>
      </c>
      <c r="K484" s="5" t="s">
        <v>237</v>
      </c>
      <c r="O484" s="5" t="s">
        <v>209</v>
      </c>
      <c r="T484" s="5" t="s">
        <v>209</v>
      </c>
      <c r="Z484" s="5" t="s">
        <v>237</v>
      </c>
      <c r="AE484" s="5" t="s">
        <v>237</v>
      </c>
      <c r="AH484" s="5" t="s">
        <v>850</v>
      </c>
      <c r="AI484" s="5">
        <v>2008</v>
      </c>
      <c r="AJ484" s="5" t="s">
        <v>337</v>
      </c>
      <c r="AK484" s="5" t="str">
        <f t="shared" si="1480"/>
        <v>Asalariada</v>
      </c>
      <c r="AQ484" s="5" t="s">
        <v>204</v>
      </c>
      <c r="AR484" s="5" t="s">
        <v>261</v>
      </c>
      <c r="AS484" s="5" t="s">
        <v>261</v>
      </c>
      <c r="AT484" s="5" t="s">
        <v>294</v>
      </c>
      <c r="AU484" s="5" t="s">
        <v>261</v>
      </c>
      <c r="AV484" s="5" t="s">
        <v>213</v>
      </c>
      <c r="AW484" s="5" t="s">
        <v>206</v>
      </c>
      <c r="BF484" s="5" t="s">
        <v>204</v>
      </c>
      <c r="BG484" s="5" t="s">
        <v>278</v>
      </c>
      <c r="BH484" s="5" t="s">
        <v>242</v>
      </c>
      <c r="BI484" s="5" t="s">
        <v>278</v>
      </c>
      <c r="BJ484" s="5" t="s">
        <v>242</v>
      </c>
      <c r="BK484" s="5" t="s">
        <v>216</v>
      </c>
      <c r="BL484" s="5" t="s">
        <v>246</v>
      </c>
      <c r="BM484" s="5" t="s">
        <v>246</v>
      </c>
      <c r="BN484" s="5" t="s">
        <v>244</v>
      </c>
      <c r="BO484" s="5" t="s">
        <v>244</v>
      </c>
      <c r="BP484" s="5" t="s">
        <v>246</v>
      </c>
      <c r="BQ484" s="5" t="s">
        <v>246</v>
      </c>
      <c r="BR484" s="5" t="s">
        <v>243</v>
      </c>
      <c r="BS484" s="5" t="s">
        <v>247</v>
      </c>
      <c r="BT484" s="5" t="s">
        <v>247</v>
      </c>
      <c r="BU484" s="5" t="s">
        <v>254</v>
      </c>
      <c r="BV484" s="5" t="s">
        <v>248</v>
      </c>
      <c r="BW484" s="5" t="s">
        <v>254</v>
      </c>
      <c r="BX484" s="5" t="s">
        <v>232</v>
      </c>
      <c r="BY484" s="5" t="s">
        <v>254</v>
      </c>
      <c r="CD484" s="5" t="s">
        <v>206</v>
      </c>
      <c r="CH484" s="5" t="s">
        <v>206</v>
      </c>
      <c r="CI484" s="5" t="s">
        <v>291</v>
      </c>
      <c r="CJ484" s="5">
        <v>3</v>
      </c>
      <c r="CK484" s="5" t="s">
        <v>223</v>
      </c>
      <c r="CU484" s="5" t="s">
        <v>206</v>
      </c>
      <c r="DA484" s="5" t="s">
        <v>231</v>
      </c>
      <c r="DB484" s="5">
        <f t="shared" si="1481"/>
        <v>2</v>
      </c>
      <c r="DC484" s="5" t="s">
        <v>280</v>
      </c>
      <c r="DD484" s="5">
        <f t="shared" si="1482"/>
        <v>4</v>
      </c>
      <c r="DE484" s="5" t="s">
        <v>250</v>
      </c>
      <c r="DF484" s="5">
        <f t="shared" si="1483"/>
        <v>3</v>
      </c>
      <c r="DG484" s="5" t="s">
        <v>230</v>
      </c>
      <c r="DH484" s="5">
        <f t="shared" si="1484"/>
        <v>2</v>
      </c>
      <c r="DI484" s="5" t="s">
        <v>250</v>
      </c>
      <c r="DJ484" s="5">
        <f t="shared" si="1485"/>
        <v>3</v>
      </c>
      <c r="DK484" s="5" t="s">
        <v>251</v>
      </c>
      <c r="DL484" s="5">
        <f t="shared" si="1486"/>
        <v>1</v>
      </c>
      <c r="DM484" s="5" t="s">
        <v>251</v>
      </c>
      <c r="DN484" s="5">
        <f t="shared" si="1487"/>
        <v>1</v>
      </c>
      <c r="DO484" s="5" t="s">
        <v>281</v>
      </c>
      <c r="DP484" s="5">
        <f t="shared" si="1488"/>
        <v>1</v>
      </c>
      <c r="DQ484" s="5" t="s">
        <v>281</v>
      </c>
      <c r="DR484" s="5">
        <f t="shared" si="1489"/>
        <v>1</v>
      </c>
      <c r="DS484" s="5" t="s">
        <v>252</v>
      </c>
      <c r="DT484" s="5">
        <f t="shared" si="1490"/>
        <v>3</v>
      </c>
      <c r="DU484" s="5" t="s">
        <v>231</v>
      </c>
      <c r="DV484" s="5">
        <f t="shared" si="1491"/>
        <v>2</v>
      </c>
      <c r="DW484" s="5" t="s">
        <v>231</v>
      </c>
      <c r="DX484" s="5">
        <f t="shared" si="1492"/>
        <v>2</v>
      </c>
      <c r="DY484" s="5">
        <f t="shared" si="1493"/>
        <v>25</v>
      </c>
      <c r="DZ484" s="5" t="str">
        <f t="shared" si="1494"/>
        <v>Nivel de riesgo alto</v>
      </c>
      <c r="EA484" s="5" t="s">
        <v>254</v>
      </c>
      <c r="EB484" s="5">
        <f t="shared" si="1495"/>
        <v>4</v>
      </c>
      <c r="EC484" s="5" t="s">
        <v>253</v>
      </c>
      <c r="ED484" s="5">
        <f t="shared" si="1496"/>
        <v>0</v>
      </c>
      <c r="EE484" s="5" t="s">
        <v>253</v>
      </c>
      <c r="EF484" s="5">
        <f t="shared" si="1497"/>
        <v>0</v>
      </c>
      <c r="EG484" s="5">
        <f t="shared" si="1498"/>
        <v>4</v>
      </c>
      <c r="EH484" s="5" t="str">
        <f t="shared" si="1499"/>
        <v>Nivel de riesgo medio</v>
      </c>
      <c r="EI484" s="5" t="s">
        <v>247</v>
      </c>
      <c r="EJ484" s="5">
        <f t="shared" si="1500"/>
        <v>2</v>
      </c>
      <c r="EK484" s="5" t="s">
        <v>254</v>
      </c>
      <c r="EL484" s="5">
        <f t="shared" si="1501"/>
        <v>4</v>
      </c>
      <c r="EM484" s="5" t="s">
        <v>254</v>
      </c>
      <c r="EN484" s="5">
        <f t="shared" si="1502"/>
        <v>4</v>
      </c>
      <c r="EO484" s="5">
        <f t="shared" si="1503"/>
        <v>10</v>
      </c>
      <c r="EP484" s="5" t="str">
        <f t="shared" si="1504"/>
        <v>Nivel de riesgo alto</v>
      </c>
      <c r="EQ484" s="5" t="s">
        <v>247</v>
      </c>
      <c r="ER484" s="5">
        <f t="shared" si="1505"/>
        <v>2</v>
      </c>
      <c r="ES484" s="5" t="s">
        <v>247</v>
      </c>
      <c r="ET484" s="5">
        <f t="shared" si="1506"/>
        <v>2</v>
      </c>
      <c r="EU484" s="5" t="s">
        <v>232</v>
      </c>
      <c r="EV484" s="5">
        <f t="shared" si="1507"/>
        <v>1</v>
      </c>
      <c r="EW484" s="5" t="s">
        <v>247</v>
      </c>
      <c r="EX484" s="5">
        <f t="shared" si="1508"/>
        <v>2</v>
      </c>
      <c r="EY484" s="5">
        <f t="shared" si="1509"/>
        <v>7</v>
      </c>
      <c r="EZ484" s="5" t="str">
        <f t="shared" si="1510"/>
        <v>Nivel de riesgo alto</v>
      </c>
      <c r="FA484" s="5" t="s">
        <v>232</v>
      </c>
      <c r="FB484" s="5">
        <f t="shared" si="1511"/>
        <v>3</v>
      </c>
      <c r="FC484" s="5" t="s">
        <v>232</v>
      </c>
      <c r="FD484" s="5">
        <f t="shared" si="1512"/>
        <v>3</v>
      </c>
      <c r="FE484" s="5" t="s">
        <v>232</v>
      </c>
      <c r="FF484" s="5">
        <f t="shared" si="1513"/>
        <v>3</v>
      </c>
      <c r="FG484" s="5">
        <f t="shared" si="1514"/>
        <v>9</v>
      </c>
      <c r="FH484" s="5" t="str">
        <f t="shared" si="1515"/>
        <v>Nivel de riesgo alto</v>
      </c>
      <c r="FI484" s="5" t="s">
        <v>254</v>
      </c>
      <c r="FJ484" s="5">
        <f t="shared" si="1516"/>
        <v>4</v>
      </c>
      <c r="FK484" s="5" t="s">
        <v>254</v>
      </c>
      <c r="FL484" s="5">
        <f t="shared" si="1517"/>
        <v>4</v>
      </c>
      <c r="FM484" s="5" t="s">
        <v>247</v>
      </c>
      <c r="FN484" s="5">
        <f t="shared" si="1518"/>
        <v>2</v>
      </c>
      <c r="FO484" s="5">
        <f t="shared" si="1519"/>
        <v>10</v>
      </c>
      <c r="FP484" s="5" t="str">
        <f t="shared" si="1520"/>
        <v>Nivel de riesgo alto</v>
      </c>
      <c r="FQ484" s="5" t="s">
        <v>265</v>
      </c>
      <c r="FR484" s="5">
        <f t="shared" si="1521"/>
        <v>1</v>
      </c>
      <c r="FS484" s="5" t="s">
        <v>265</v>
      </c>
      <c r="FT484" s="5">
        <f t="shared" si="1522"/>
        <v>1</v>
      </c>
      <c r="FU484" s="5" t="s">
        <v>206</v>
      </c>
      <c r="FV484" s="5">
        <f t="shared" si="1523"/>
        <v>0</v>
      </c>
      <c r="FW484" s="5" t="s">
        <v>206</v>
      </c>
      <c r="FX484" s="5">
        <f t="shared" si="1524"/>
        <v>0</v>
      </c>
      <c r="FY484" s="5" t="s">
        <v>265</v>
      </c>
      <c r="FZ484" s="5">
        <f t="shared" si="1525"/>
        <v>1</v>
      </c>
      <c r="GA484" s="5" t="s">
        <v>206</v>
      </c>
      <c r="GB484" s="5">
        <f t="shared" si="1526"/>
        <v>0</v>
      </c>
      <c r="GC484" s="5" t="s">
        <v>206</v>
      </c>
      <c r="GD484" s="5">
        <f t="shared" si="1527"/>
        <v>0</v>
      </c>
      <c r="GE484" s="5">
        <f t="shared" si="1528"/>
        <v>3</v>
      </c>
      <c r="GF484" s="5" t="str">
        <f t="shared" si="1529"/>
        <v>Nivel de riesgo medio</v>
      </c>
      <c r="GG484" s="5" t="s">
        <v>255</v>
      </c>
      <c r="GH484" s="5" t="s">
        <v>298</v>
      </c>
      <c r="GI484" s="5" t="s">
        <v>255</v>
      </c>
      <c r="GJ484" s="5" t="s">
        <v>266</v>
      </c>
      <c r="GK484" s="5" t="s">
        <v>233</v>
      </c>
      <c r="GL484" s="5" t="s">
        <v>233</v>
      </c>
      <c r="GM484" s="5" t="s">
        <v>233</v>
      </c>
      <c r="GN484" s="5" t="s">
        <v>256</v>
      </c>
      <c r="GO484" s="5" t="s">
        <v>244</v>
      </c>
      <c r="GP484" s="5" t="s">
        <v>257</v>
      </c>
      <c r="GQ484" s="5" t="s">
        <v>257</v>
      </c>
      <c r="GR484" s="5" t="s">
        <v>257</v>
      </c>
      <c r="GS484" s="5" t="s">
        <v>234</v>
      </c>
      <c r="GT484" s="5" t="s">
        <v>256</v>
      </c>
      <c r="GU484" s="5" t="s">
        <v>851</v>
      </c>
      <c r="GV484" s="5" t="str">
        <f>TEXT("6290257203027158534","0")</f>
        <v>6290257203027150000</v>
      </c>
    </row>
    <row r="485" spans="1:204" ht="15.75" customHeight="1" x14ac:dyDescent="0.15">
      <c r="A485" s="1">
        <f t="shared" si="1479"/>
        <v>485</v>
      </c>
      <c r="B485" s="4">
        <v>45860.693298611113</v>
      </c>
      <c r="C485" s="5" t="s">
        <v>204</v>
      </c>
      <c r="D485" s="5" t="s">
        <v>204</v>
      </c>
      <c r="E485" s="5" t="s">
        <v>335</v>
      </c>
      <c r="F485" s="5" t="s">
        <v>204</v>
      </c>
      <c r="G485" s="5" t="s">
        <v>204</v>
      </c>
      <c r="H485" s="5" t="s">
        <v>206</v>
      </c>
      <c r="J485" s="5" t="s">
        <v>209</v>
      </c>
      <c r="N485" s="5" t="s">
        <v>208</v>
      </c>
      <c r="T485" s="5" t="s">
        <v>209</v>
      </c>
      <c r="X485" s="5" t="s">
        <v>208</v>
      </c>
      <c r="AC485" s="5" t="s">
        <v>208</v>
      </c>
      <c r="AH485" s="5" t="s">
        <v>210</v>
      </c>
      <c r="AI485" s="5">
        <v>1998</v>
      </c>
      <c r="AJ485" s="5" t="s">
        <v>238</v>
      </c>
      <c r="AK485" s="5" t="str">
        <f t="shared" si="1480"/>
        <v>Trabajadora por cuenta propia</v>
      </c>
      <c r="AL485" s="5" t="s">
        <v>239</v>
      </c>
      <c r="AP485" s="5" t="s">
        <v>284</v>
      </c>
      <c r="AR485" s="5" t="s">
        <v>301</v>
      </c>
      <c r="AS485" s="5" t="s">
        <v>241</v>
      </c>
      <c r="AT485" s="5" t="s">
        <v>241</v>
      </c>
      <c r="AU485" s="5" t="s">
        <v>241</v>
      </c>
      <c r="AV485" s="5" t="s">
        <v>269</v>
      </c>
      <c r="AW485" s="5" t="s">
        <v>204</v>
      </c>
      <c r="AX485" s="5" t="s">
        <v>204</v>
      </c>
      <c r="AY485" s="5" t="s">
        <v>214</v>
      </c>
      <c r="AZ485" s="5" t="s">
        <v>204</v>
      </c>
      <c r="BA485" s="5" t="s">
        <v>295</v>
      </c>
      <c r="BB485" s="5" t="s">
        <v>204</v>
      </c>
      <c r="BC485" s="5" t="s">
        <v>204</v>
      </c>
      <c r="BD485" s="5" t="s">
        <v>290</v>
      </c>
      <c r="BE485" s="5" t="s">
        <v>204</v>
      </c>
      <c r="BF485" s="5" t="s">
        <v>204</v>
      </c>
      <c r="BG485" s="5" t="s">
        <v>242</v>
      </c>
      <c r="BH485" s="5" t="s">
        <v>215</v>
      </c>
      <c r="BI485" s="5" t="s">
        <v>215</v>
      </c>
      <c r="BJ485" s="5" t="s">
        <v>215</v>
      </c>
      <c r="BK485" s="5" t="s">
        <v>243</v>
      </c>
      <c r="BL485" s="5" t="s">
        <v>243</v>
      </c>
      <c r="BM485" s="5" t="s">
        <v>243</v>
      </c>
      <c r="BN485" s="5" t="s">
        <v>243</v>
      </c>
      <c r="BO485" s="5" t="s">
        <v>243</v>
      </c>
      <c r="BP485" s="5" t="s">
        <v>243</v>
      </c>
      <c r="BQ485" s="5" t="s">
        <v>243</v>
      </c>
      <c r="BR485" s="5" t="s">
        <v>243</v>
      </c>
      <c r="BS485" s="5" t="s">
        <v>247</v>
      </c>
      <c r="BT485" s="5" t="s">
        <v>254</v>
      </c>
      <c r="BU485" s="5" t="s">
        <v>217</v>
      </c>
      <c r="BV485" s="5" t="s">
        <v>217</v>
      </c>
      <c r="BW485" s="5" t="s">
        <v>217</v>
      </c>
      <c r="BX485" s="5" t="s">
        <v>217</v>
      </c>
      <c r="BY485" s="5" t="s">
        <v>217</v>
      </c>
      <c r="BZ485" s="5" t="s">
        <v>243</v>
      </c>
      <c r="CA485" s="5" t="s">
        <v>243</v>
      </c>
      <c r="CB485" s="5" t="s">
        <v>243</v>
      </c>
      <c r="CC485" s="5" t="s">
        <v>243</v>
      </c>
      <c r="CD485" s="5" t="s">
        <v>206</v>
      </c>
      <c r="CH485" s="5" t="s">
        <v>470</v>
      </c>
      <c r="CI485" s="5" t="s">
        <v>332</v>
      </c>
      <c r="CJ485" s="5">
        <v>3</v>
      </c>
      <c r="CK485" s="5" t="s">
        <v>223</v>
      </c>
      <c r="CU485" s="5" t="s">
        <v>206</v>
      </c>
      <c r="DA485" s="5" t="s">
        <v>252</v>
      </c>
      <c r="DB485" s="5">
        <f t="shared" si="1481"/>
        <v>3</v>
      </c>
      <c r="DC485" s="5" t="s">
        <v>250</v>
      </c>
      <c r="DD485" s="5">
        <f t="shared" si="1482"/>
        <v>3</v>
      </c>
      <c r="DE485" s="5" t="s">
        <v>250</v>
      </c>
      <c r="DF485" s="5">
        <f t="shared" si="1483"/>
        <v>3</v>
      </c>
      <c r="DG485" s="5" t="s">
        <v>230</v>
      </c>
      <c r="DH485" s="5">
        <f t="shared" si="1484"/>
        <v>2</v>
      </c>
      <c r="DI485" s="5" t="s">
        <v>230</v>
      </c>
      <c r="DJ485" s="5">
        <f t="shared" si="1485"/>
        <v>2</v>
      </c>
      <c r="DK485" s="5" t="s">
        <v>251</v>
      </c>
      <c r="DL485" s="5">
        <f t="shared" si="1486"/>
        <v>1</v>
      </c>
      <c r="DM485" s="5" t="s">
        <v>251</v>
      </c>
      <c r="DN485" s="5">
        <f t="shared" si="1487"/>
        <v>1</v>
      </c>
      <c r="DO485" s="5" t="s">
        <v>281</v>
      </c>
      <c r="DP485" s="5">
        <f t="shared" si="1488"/>
        <v>1</v>
      </c>
      <c r="DQ485" s="5" t="s">
        <v>281</v>
      </c>
      <c r="DR485" s="5">
        <f t="shared" si="1489"/>
        <v>1</v>
      </c>
      <c r="DS485" s="5" t="s">
        <v>281</v>
      </c>
      <c r="DT485" s="5">
        <f t="shared" si="1490"/>
        <v>1</v>
      </c>
      <c r="DU485" s="5" t="s">
        <v>281</v>
      </c>
      <c r="DV485" s="5">
        <f t="shared" si="1491"/>
        <v>1</v>
      </c>
      <c r="DW485" s="5" t="s">
        <v>281</v>
      </c>
      <c r="DX485" s="5">
        <f t="shared" si="1492"/>
        <v>1</v>
      </c>
      <c r="DY485" s="5">
        <f t="shared" si="1493"/>
        <v>20</v>
      </c>
      <c r="DZ485" s="5" t="str">
        <f t="shared" si="1494"/>
        <v>Nivel de riesgo medio</v>
      </c>
      <c r="EA485" s="5" t="s">
        <v>247</v>
      </c>
      <c r="EB485" s="5">
        <f t="shared" si="1495"/>
        <v>2</v>
      </c>
      <c r="EC485" s="5" t="s">
        <v>248</v>
      </c>
      <c r="ED485" s="5">
        <f t="shared" si="1496"/>
        <v>1</v>
      </c>
      <c r="EE485" s="5" t="s">
        <v>248</v>
      </c>
      <c r="EF485" s="5">
        <f t="shared" si="1497"/>
        <v>1</v>
      </c>
      <c r="EG485" s="5">
        <f t="shared" si="1498"/>
        <v>4</v>
      </c>
      <c r="EH485" s="5" t="str">
        <f t="shared" si="1499"/>
        <v>Nivel de riesgo medio</v>
      </c>
      <c r="EI485" s="5" t="s">
        <v>253</v>
      </c>
      <c r="EJ485" s="5">
        <f t="shared" si="1500"/>
        <v>0</v>
      </c>
      <c r="EK485" s="5" t="s">
        <v>247</v>
      </c>
      <c r="EL485" s="5">
        <f t="shared" si="1501"/>
        <v>2</v>
      </c>
      <c r="EM485" s="5" t="s">
        <v>247</v>
      </c>
      <c r="EN485" s="5">
        <f t="shared" si="1502"/>
        <v>2</v>
      </c>
      <c r="EO485" s="5">
        <f t="shared" si="1503"/>
        <v>4</v>
      </c>
      <c r="EP485" s="5" t="str">
        <f t="shared" si="1504"/>
        <v>Nivel de riesgo medio</v>
      </c>
      <c r="EQ485" s="5" t="s">
        <v>247</v>
      </c>
      <c r="ER485" s="5">
        <f t="shared" si="1505"/>
        <v>2</v>
      </c>
      <c r="ES485" s="5" t="s">
        <v>232</v>
      </c>
      <c r="ET485" s="5">
        <f t="shared" si="1506"/>
        <v>1</v>
      </c>
      <c r="EU485" s="5" t="s">
        <v>254</v>
      </c>
      <c r="EV485" s="5">
        <f t="shared" si="1507"/>
        <v>0</v>
      </c>
      <c r="EW485" s="5" t="s">
        <v>254</v>
      </c>
      <c r="EX485" s="5">
        <f t="shared" si="1508"/>
        <v>0</v>
      </c>
      <c r="EY485" s="5">
        <f t="shared" si="1509"/>
        <v>3</v>
      </c>
      <c r="EZ485" s="5" t="str">
        <f t="shared" si="1510"/>
        <v>Nivel de riesgo medio</v>
      </c>
      <c r="FA485" s="5" t="s">
        <v>248</v>
      </c>
      <c r="FB485" s="5">
        <f t="shared" si="1511"/>
        <v>1</v>
      </c>
      <c r="FC485" s="5" t="s">
        <v>253</v>
      </c>
      <c r="FD485" s="5">
        <f t="shared" si="1512"/>
        <v>0</v>
      </c>
      <c r="FE485" s="5" t="s">
        <v>253</v>
      </c>
      <c r="FF485" s="5">
        <f t="shared" si="1513"/>
        <v>0</v>
      </c>
      <c r="FG485" s="5">
        <f t="shared" si="1514"/>
        <v>1</v>
      </c>
      <c r="FH485" s="5" t="str">
        <f t="shared" si="1515"/>
        <v>Nivel de riesgo bajo</v>
      </c>
      <c r="FI485" s="5" t="s">
        <v>248</v>
      </c>
      <c r="FJ485" s="5">
        <f t="shared" si="1516"/>
        <v>1</v>
      </c>
      <c r="FK485" s="5" t="s">
        <v>248</v>
      </c>
      <c r="FL485" s="5">
        <f t="shared" si="1517"/>
        <v>1</v>
      </c>
      <c r="FM485" s="5" t="s">
        <v>248</v>
      </c>
      <c r="FN485" s="5">
        <f t="shared" si="1518"/>
        <v>1</v>
      </c>
      <c r="FO485" s="5">
        <f t="shared" si="1519"/>
        <v>3</v>
      </c>
      <c r="FP485" s="5" t="str">
        <f t="shared" si="1520"/>
        <v>Nivel de riesgo medio</v>
      </c>
      <c r="FQ485" s="5" t="s">
        <v>206</v>
      </c>
      <c r="FR485" s="5">
        <f t="shared" si="1521"/>
        <v>0</v>
      </c>
      <c r="FS485" s="5" t="s">
        <v>206</v>
      </c>
      <c r="FT485" s="5">
        <f t="shared" si="1522"/>
        <v>0</v>
      </c>
      <c r="FU485" s="5" t="s">
        <v>265</v>
      </c>
      <c r="FV485" s="5">
        <f t="shared" si="1523"/>
        <v>1</v>
      </c>
      <c r="FW485" s="5" t="s">
        <v>206</v>
      </c>
      <c r="FX485" s="5">
        <f t="shared" si="1524"/>
        <v>0</v>
      </c>
      <c r="FY485" s="5" t="s">
        <v>206</v>
      </c>
      <c r="FZ485" s="5">
        <f t="shared" si="1525"/>
        <v>0</v>
      </c>
      <c r="GA485" s="5" t="s">
        <v>206</v>
      </c>
      <c r="GB485" s="5">
        <f t="shared" si="1526"/>
        <v>0</v>
      </c>
      <c r="GC485" s="5" t="s">
        <v>206</v>
      </c>
      <c r="GD485" s="5">
        <f t="shared" si="1527"/>
        <v>0</v>
      </c>
      <c r="GE485" s="5">
        <f t="shared" si="1528"/>
        <v>1</v>
      </c>
      <c r="GF485" s="5" t="str">
        <f t="shared" si="1529"/>
        <v>Nivel de riesgo medio</v>
      </c>
      <c r="GG485" s="5" t="s">
        <v>255</v>
      </c>
      <c r="GH485" s="5" t="s">
        <v>255</v>
      </c>
      <c r="GI485" s="5" t="s">
        <v>255</v>
      </c>
      <c r="GJ485" s="5" t="s">
        <v>255</v>
      </c>
      <c r="GK485" s="5" t="s">
        <v>233</v>
      </c>
      <c r="GL485" s="5" t="s">
        <v>273</v>
      </c>
      <c r="GM485" s="5" t="s">
        <v>255</v>
      </c>
      <c r="GN485" s="5" t="s">
        <v>256</v>
      </c>
      <c r="GO485" s="5" t="s">
        <v>243</v>
      </c>
      <c r="GP485" s="5" t="s">
        <v>243</v>
      </c>
      <c r="GQ485" s="5" t="s">
        <v>243</v>
      </c>
      <c r="GR485" s="5" t="s">
        <v>243</v>
      </c>
      <c r="GS485" s="5" t="s">
        <v>243</v>
      </c>
      <c r="GT485" s="5" t="s">
        <v>256</v>
      </c>
      <c r="GU485" s="5" t="s">
        <v>852</v>
      </c>
      <c r="GV485" s="5" t="str">
        <f>TEXT("6290259016517736735","0")</f>
        <v>6290259016517730000</v>
      </c>
    </row>
    <row r="486" spans="1:204" ht="15.75" hidden="1" customHeight="1" x14ac:dyDescent="0.15">
      <c r="B486" s="4">
        <v>45860.6955787037</v>
      </c>
      <c r="C486" s="5" t="s">
        <v>204</v>
      </c>
      <c r="D486" s="5" t="s">
        <v>206</v>
      </c>
      <c r="F486" s="5" t="s">
        <v>206</v>
      </c>
      <c r="G486" s="5" t="s">
        <v>206</v>
      </c>
      <c r="H486" s="5" t="s">
        <v>206</v>
      </c>
      <c r="K486" s="5" t="s">
        <v>237</v>
      </c>
      <c r="P486" s="5" t="s">
        <v>237</v>
      </c>
      <c r="U486" s="5" t="s">
        <v>237</v>
      </c>
      <c r="Y486" s="5" t="s">
        <v>209</v>
      </c>
      <c r="AD486" s="5" t="s">
        <v>209</v>
      </c>
      <c r="AH486" s="5" t="s">
        <v>275</v>
      </c>
      <c r="AI486" s="5">
        <v>2016</v>
      </c>
      <c r="AJ486" s="5" t="s">
        <v>293</v>
      </c>
      <c r="AK486" s="5"/>
      <c r="AR486" s="5" t="s">
        <v>301</v>
      </c>
      <c r="AS486" s="5" t="s">
        <v>294</v>
      </c>
      <c r="AT486" s="5" t="s">
        <v>276</v>
      </c>
      <c r="AU486" s="5" t="s">
        <v>276</v>
      </c>
      <c r="AV486" s="5" t="s">
        <v>213</v>
      </c>
      <c r="AW486" s="5" t="s">
        <v>206</v>
      </c>
      <c r="BF486" s="5" t="s">
        <v>204</v>
      </c>
      <c r="BG486" s="5" t="s">
        <v>271</v>
      </c>
      <c r="BH486" s="5" t="s">
        <v>215</v>
      </c>
      <c r="BI486" s="5" t="s">
        <v>278</v>
      </c>
      <c r="BJ486" s="5" t="s">
        <v>215</v>
      </c>
      <c r="BK486" s="5" t="s">
        <v>246</v>
      </c>
      <c r="BL486" s="5" t="s">
        <v>246</v>
      </c>
      <c r="BM486" s="5" t="s">
        <v>244</v>
      </c>
      <c r="BN486" s="5" t="s">
        <v>244</v>
      </c>
      <c r="BO486" s="5" t="s">
        <v>246</v>
      </c>
      <c r="BP486" s="5" t="s">
        <v>246</v>
      </c>
      <c r="BQ486" s="5" t="s">
        <v>246</v>
      </c>
      <c r="BR486" s="5" t="s">
        <v>246</v>
      </c>
      <c r="BS486" s="5" t="s">
        <v>254</v>
      </c>
      <c r="BT486" s="5" t="s">
        <v>217</v>
      </c>
      <c r="BU486" s="5" t="s">
        <v>232</v>
      </c>
      <c r="BV486" s="5" t="s">
        <v>232</v>
      </c>
      <c r="BW486" s="5" t="s">
        <v>254</v>
      </c>
      <c r="BX486" s="5" t="s">
        <v>254</v>
      </c>
      <c r="BY486" s="5" t="s">
        <v>254</v>
      </c>
      <c r="CD486" s="5" t="s">
        <v>206</v>
      </c>
      <c r="CH486" s="5" t="s">
        <v>310</v>
      </c>
      <c r="CI486" s="5" t="s">
        <v>291</v>
      </c>
      <c r="CJ486" s="5">
        <v>1</v>
      </c>
      <c r="CK486" s="5" t="s">
        <v>223</v>
      </c>
      <c r="CU486" s="5" t="s">
        <v>206</v>
      </c>
      <c r="DA486" s="5" t="s">
        <v>252</v>
      </c>
      <c r="DB486" s="5"/>
      <c r="DC486" s="5" t="s">
        <v>280</v>
      </c>
      <c r="DD486" s="5"/>
      <c r="DE486" s="5" t="s">
        <v>280</v>
      </c>
      <c r="DF486" s="5"/>
      <c r="DG486" s="5" t="s">
        <v>250</v>
      </c>
      <c r="DH486" s="5"/>
      <c r="DI486" s="5" t="s">
        <v>280</v>
      </c>
      <c r="DJ486" s="5"/>
      <c r="DK486" s="5" t="s">
        <v>250</v>
      </c>
      <c r="DL486" s="5"/>
      <c r="DM486" s="5" t="s">
        <v>251</v>
      </c>
      <c r="DN486" s="5"/>
      <c r="DO486" s="5" t="s">
        <v>231</v>
      </c>
      <c r="DP486" s="5"/>
      <c r="DQ486" s="5" t="s">
        <v>281</v>
      </c>
      <c r="DR486" s="5"/>
      <c r="DS486" s="5" t="s">
        <v>252</v>
      </c>
      <c r="DT486" s="5"/>
      <c r="DU486" s="5" t="s">
        <v>252</v>
      </c>
      <c r="DV486" s="5"/>
      <c r="DW486" s="5" t="s">
        <v>252</v>
      </c>
      <c r="DX486" s="5"/>
      <c r="DY486" s="5"/>
      <c r="DZ486" s="5"/>
      <c r="EA486" s="5" t="s">
        <v>248</v>
      </c>
      <c r="EB486" s="5"/>
      <c r="EC486" s="5" t="s">
        <v>253</v>
      </c>
      <c r="ED486" s="5"/>
      <c r="EE486" s="5" t="s">
        <v>253</v>
      </c>
      <c r="EF486" s="5"/>
      <c r="EG486" s="5"/>
      <c r="EH486" s="5"/>
      <c r="EI486" s="5" t="s">
        <v>247</v>
      </c>
      <c r="EJ486" s="5"/>
      <c r="EK486" s="5" t="s">
        <v>254</v>
      </c>
      <c r="EL486" s="5"/>
      <c r="EM486" s="5" t="s">
        <v>254</v>
      </c>
      <c r="EN486" s="5"/>
      <c r="EO486" s="5"/>
      <c r="EP486" s="5"/>
      <c r="EQ486" s="5" t="s">
        <v>253</v>
      </c>
      <c r="ER486" s="5"/>
      <c r="ES486" s="5" t="s">
        <v>253</v>
      </c>
      <c r="ET486" s="5"/>
      <c r="EU486" s="5" t="s">
        <v>253</v>
      </c>
      <c r="EV486" s="5"/>
      <c r="EW486" s="5" t="s">
        <v>248</v>
      </c>
      <c r="EX486" s="5"/>
      <c r="EY486" s="5"/>
      <c r="EZ486" s="5"/>
      <c r="FA486" s="5" t="s">
        <v>232</v>
      </c>
      <c r="FB486" s="5"/>
      <c r="FC486" s="5" t="s">
        <v>254</v>
      </c>
      <c r="FD486" s="5"/>
      <c r="FE486" s="5" t="s">
        <v>232</v>
      </c>
      <c r="FF486" s="5"/>
      <c r="FG486" s="5"/>
      <c r="FH486" s="5"/>
      <c r="FI486" s="5" t="s">
        <v>254</v>
      </c>
      <c r="FJ486" s="5"/>
      <c r="FK486" s="5" t="s">
        <v>254</v>
      </c>
      <c r="FL486" s="5"/>
      <c r="FM486" s="5" t="s">
        <v>254</v>
      </c>
      <c r="FN486" s="5"/>
      <c r="FO486" s="5"/>
      <c r="FP486" s="5"/>
      <c r="FQ486" s="5" t="s">
        <v>206</v>
      </c>
      <c r="FR486" s="5"/>
      <c r="FS486" s="5" t="s">
        <v>265</v>
      </c>
      <c r="FT486" s="5"/>
      <c r="FU486" s="5" t="s">
        <v>265</v>
      </c>
      <c r="FV486" s="5"/>
      <c r="FW486" s="5" t="s">
        <v>206</v>
      </c>
      <c r="FX486" s="5"/>
      <c r="FY486" s="5" t="s">
        <v>206</v>
      </c>
      <c r="FZ486" s="5"/>
      <c r="GA486" s="5" t="s">
        <v>265</v>
      </c>
      <c r="GB486" s="5"/>
      <c r="GC486" s="5" t="s">
        <v>265</v>
      </c>
      <c r="GD486" s="5"/>
      <c r="GE486" s="5"/>
      <c r="GF486" s="5"/>
      <c r="GG486" s="5" t="s">
        <v>298</v>
      </c>
      <c r="GH486" s="5" t="s">
        <v>298</v>
      </c>
      <c r="GI486" s="5" t="s">
        <v>298</v>
      </c>
      <c r="GJ486" s="5" t="s">
        <v>298</v>
      </c>
      <c r="GK486" s="5" t="s">
        <v>298</v>
      </c>
      <c r="GL486" s="5" t="s">
        <v>298</v>
      </c>
      <c r="GM486" s="5" t="s">
        <v>298</v>
      </c>
      <c r="GN486" s="5" t="s">
        <v>257</v>
      </c>
      <c r="GO486" s="5" t="s">
        <v>257</v>
      </c>
      <c r="GP486" s="5" t="s">
        <v>243</v>
      </c>
      <c r="GQ486" s="5" t="s">
        <v>256</v>
      </c>
      <c r="GR486" s="5" t="s">
        <v>257</v>
      </c>
      <c r="GS486" s="5" t="s">
        <v>234</v>
      </c>
      <c r="GT486" s="5" t="s">
        <v>256</v>
      </c>
      <c r="GU486" s="5" t="s">
        <v>853</v>
      </c>
      <c r="GV486" s="5" t="str">
        <f>TEXT("6290260983694852524","0")</f>
        <v>6290260983694850000</v>
      </c>
    </row>
    <row r="487" spans="1:204" ht="15.75" customHeight="1" x14ac:dyDescent="0.15">
      <c r="A487" s="1">
        <f t="shared" ref="A487:A502" si="1530">ROW(A487)</f>
        <v>487</v>
      </c>
      <c r="B487" s="4">
        <v>45860.698437500003</v>
      </c>
      <c r="C487" s="5" t="s">
        <v>204</v>
      </c>
      <c r="D487" s="5" t="s">
        <v>204</v>
      </c>
      <c r="E487" s="5" t="s">
        <v>335</v>
      </c>
      <c r="F487" s="5" t="s">
        <v>206</v>
      </c>
      <c r="G487" s="5" t="s">
        <v>206</v>
      </c>
      <c r="H487" s="5" t="s">
        <v>206</v>
      </c>
      <c r="K487" s="5" t="s">
        <v>237</v>
      </c>
      <c r="O487" s="5" t="s">
        <v>209</v>
      </c>
      <c r="S487" s="5" t="s">
        <v>208</v>
      </c>
      <c r="X487" s="5" t="s">
        <v>208</v>
      </c>
      <c r="AC487" s="5" t="s">
        <v>208</v>
      </c>
      <c r="AH487" s="5" t="s">
        <v>275</v>
      </c>
      <c r="AI487" s="5">
        <v>1998</v>
      </c>
      <c r="AJ487" s="5" t="s">
        <v>330</v>
      </c>
      <c r="AK487" s="5" t="str">
        <f t="shared" ref="AK487:AK502" si="1531">IF(OR(AJ487="Empleada del sector privado",AJ487="Empleada del sector público"),"Asalariada",
IF(AJ487="Trabajadora por cuenta propia","Trabajadora por cuenta propia",""))</f>
        <v>Asalariada</v>
      </c>
      <c r="AQ487" s="5" t="s">
        <v>204</v>
      </c>
      <c r="AR487" s="5" t="s">
        <v>276</v>
      </c>
      <c r="AS487" s="5" t="s">
        <v>276</v>
      </c>
      <c r="AT487" s="5" t="s">
        <v>276</v>
      </c>
      <c r="AU487" s="5" t="s">
        <v>276</v>
      </c>
      <c r="AV487" s="5" t="s">
        <v>213</v>
      </c>
      <c r="AW487" s="5" t="s">
        <v>206</v>
      </c>
      <c r="BF487" s="5" t="s">
        <v>206</v>
      </c>
      <c r="CK487" s="5" t="s">
        <v>223</v>
      </c>
      <c r="CU487" s="5" t="s">
        <v>206</v>
      </c>
      <c r="DA487" s="5" t="s">
        <v>252</v>
      </c>
      <c r="DB487" s="5">
        <f t="shared" ref="DB487:DB502" si="1532">IF(DA487="Mejor que lo habitual",1,
IF(DA487="Igual que lo habitual",2,
IF(DA487="Menos que lo habitual",3,
IF(DA487="Mucho menos que lo habitual",4,""))))</f>
        <v>3</v>
      </c>
      <c r="DC487" s="5" t="s">
        <v>230</v>
      </c>
      <c r="DD487" s="5">
        <f t="shared" ref="DD487:DD502" si="1533">IF(DC487="No, en absoluto",1,
IF(DC487="No más que lo habitual",2,
IF(DC487="Bastante más que lo habitual",3,
IF(DC487="Mucho más que lo habitual",4,""))))</f>
        <v>2</v>
      </c>
      <c r="DE487" s="5" t="s">
        <v>230</v>
      </c>
      <c r="DF487" s="5">
        <f t="shared" ref="DF487:DF502" si="1534">IF(DE487="No, en absoluto",1,
IF(DE487="No más que lo habitual",2,
IF(DE487="Bastante más que lo habitual",3,
IF(DE487="Mucho más que lo habitual",4,""))))</f>
        <v>2</v>
      </c>
      <c r="DG487" s="5" t="s">
        <v>230</v>
      </c>
      <c r="DH487" s="5">
        <f t="shared" ref="DH487:DH502" si="1535">IF(DG487="No, en absoluto",1,
IF(DG487="No más que lo habitual",2,
IF(DG487="Bastante más que lo habitual",3,
IF(DG487="Mucho más que lo habitual",4,""))))</f>
        <v>2</v>
      </c>
      <c r="DI487" s="5" t="s">
        <v>230</v>
      </c>
      <c r="DJ487" s="5">
        <f t="shared" ref="DJ487:DJ502" si="1536">IF(DI487="No, en absoluto",1,
IF(DI487="No más que lo habitual",2,
IF(DI487="Bastante más que lo habitual",3,
IF(DI487="Mucho más que lo habitual",4,""))))</f>
        <v>2</v>
      </c>
      <c r="DK487" s="5" t="s">
        <v>230</v>
      </c>
      <c r="DL487" s="5">
        <f t="shared" ref="DL487:DL502" si="1537">IF(DK487="No, en absoluto",1,
IF(DK487="No más que lo habitual",2,
IF(DK487="Bastante más que lo habitual",3,
IF(DK487="Mucho más que lo habitual",4,""))))</f>
        <v>2</v>
      </c>
      <c r="DM487" s="5" t="s">
        <v>250</v>
      </c>
      <c r="DN487" s="5">
        <f t="shared" ref="DN487:DN502" si="1538">IF(DM487="No, en absoluto",1,
IF(DM487="No más que lo habitual",2,
IF(DM487="Bastante más que lo habitual",3,
IF(DM487="Mucho más que lo habitual",4,""))))</f>
        <v>3</v>
      </c>
      <c r="DO487" s="5" t="s">
        <v>231</v>
      </c>
      <c r="DP487" s="5">
        <f t="shared" ref="DP487:DP502" si="1539">IF(DO487="Más que lo habitual",1,
IF(DO487="Igual que lo habitual",2,
IF(DO487="Menos que lo habitual",3,
IF(DO487="Mucho menos que lo habitual",4,""))))</f>
        <v>2</v>
      </c>
      <c r="DQ487" s="5" t="s">
        <v>231</v>
      </c>
      <c r="DR487" s="5">
        <f t="shared" ref="DR487:DR502" si="1540">IF(DQ487="Más que lo habitual",1,
IF(DQ487="Igual que lo habitual",2,
IF(DQ487="Menos que lo habitual",3,
IF(DQ487="Mucho menos que lo habitual",4,""))))</f>
        <v>2</v>
      </c>
      <c r="DS487" s="5" t="s">
        <v>231</v>
      </c>
      <c r="DT487" s="5">
        <f t="shared" ref="DT487:DT502" si="1541">IF(DS487="Más que lo habitual",1,
IF(DS487="Igual que lo habitual",2,
IF(DS487="Menos que lo habitual",3,
IF(DS487="Mucho menos que lo habitual",4,""))))</f>
        <v>2</v>
      </c>
      <c r="DU487" s="5" t="s">
        <v>231</v>
      </c>
      <c r="DV487" s="5">
        <f t="shared" ref="DV487:DV502" si="1542">IF(DU487="Más que lo habitual",1,
IF(DU487="Igual que lo habitual",2,
IF(DU487="Menos que lo habitual",3,
IF(DU487="Mucho menos que lo habitual",4,""))))</f>
        <v>2</v>
      </c>
      <c r="DW487" s="5" t="s">
        <v>231</v>
      </c>
      <c r="DX487" s="5">
        <f t="shared" ref="DX487:DX502" si="1543">IF(DW487="Más que lo habitual",1,
IF(DW487="Igual que lo habitual",2,
IF(DW487="Menos que lo habitual",3,
IF(DW487="Mucho menos que lo habitual",4,""))))</f>
        <v>2</v>
      </c>
      <c r="DY487" s="5">
        <f t="shared" ref="DY487:DY502" si="1544">SUM(DB487,DD487,DF487,DH487,DJ487,DL487,DN487,DP487,DR487,DT487,DV487,DX487)</f>
        <v>26</v>
      </c>
      <c r="DZ487" s="5" t="str">
        <f t="shared" ref="DZ487:DZ502" si="1545">IF(DY487&lt;=18,"Nivel de riesgo bajo",
IF(DY487&lt;=23,"Nivel de riesgo medio",
"Nivel de riesgo alto"))</f>
        <v>Nivel de riesgo alto</v>
      </c>
      <c r="EA487" s="5" t="s">
        <v>232</v>
      </c>
      <c r="EB487" s="5">
        <f t="shared" ref="EB487:EB502" si="1546">IF(EA487="Nunca/ casi nunca",0,
IF(EA487="Rara vez",1,
IF(EA487="A veces",2,
IF(EA487="A menudo",3,
IF(EA487="Siempre",4,"")))))</f>
        <v>3</v>
      </c>
      <c r="EC487" s="5" t="s">
        <v>232</v>
      </c>
      <c r="ED487" s="5">
        <f t="shared" ref="ED487:ED502" si="1547">IF(EC487="Nunca/ casi nunca",0,
IF(EC487="Rara vez",1,
IF(EC487="A veces",2,
IF(EC487="A menudo",3,
IF(EC487="Siempre",4,"")))))</f>
        <v>3</v>
      </c>
      <c r="EE487" s="5" t="s">
        <v>232</v>
      </c>
      <c r="EF487" s="5">
        <f t="shared" ref="EF487:EF502" si="1548">IF(EE487="Nunca/ casi nunca",0,
IF(EE487="Rara vez",1,
IF(EE487="A veces",2,
IF(EE487="A menudo",3,
IF(EE487="Siempre",4,"")))))</f>
        <v>3</v>
      </c>
      <c r="EG487" s="5">
        <f t="shared" ref="EG487:EG502" si="1549">SUM(EB487,ED487,EF487)</f>
        <v>9</v>
      </c>
      <c r="EH487" s="5" t="str">
        <f t="shared" ref="EH487:EH502" si="1550">IF(EG487&lt;=1,"Nivel de riesgo bajo",
IF(EG487&lt;=4,"Nivel de riesgo medio",
"Nivel de riesgo alto"))</f>
        <v>Nivel de riesgo alto</v>
      </c>
      <c r="EI487" s="5" t="s">
        <v>232</v>
      </c>
      <c r="EJ487" s="5">
        <f t="shared" ref="EJ487:EJ502" si="1551">IF(EI487="Nunca/ casi nunca",0,
IF(EI487="Rara vez",1,
IF(EI487="A veces",2,
IF(EI487="A menudo",3,
IF(EI487="Siempre",4,"")))))</f>
        <v>3</v>
      </c>
      <c r="EK487" s="5" t="s">
        <v>232</v>
      </c>
      <c r="EL487" s="5">
        <f t="shared" ref="EL487:EL502" si="1552">IF(EK487="Nunca/ casi nunca",0,
IF(EK487="Rara vez",1,
IF(EK487="A veces",2,
IF(EK487="A menudo",3,
IF(EK487="Siempre",4,"")))))</f>
        <v>3</v>
      </c>
      <c r="EM487" s="5" t="s">
        <v>232</v>
      </c>
      <c r="EN487" s="5">
        <f t="shared" ref="EN487:EN502" si="1553">IF(EM487="Nunca/ casi nunca",0,
IF(EM487="Rara vez",1,
IF(EM487="A veces",2,
IF(EM487="A menudo",3,
IF(EM487="Siempre",4,"")))))</f>
        <v>3</v>
      </c>
      <c r="EO487" s="5">
        <f t="shared" ref="EO487:EO502" si="1554">SUM(EJ487,EL487,EN487)</f>
        <v>9</v>
      </c>
      <c r="EP487" s="5" t="str">
        <f t="shared" ref="EP487:EP502" si="1555">IF(EO487&lt;=1,"Nivel de riesgo bajo",
IF(EO487&lt;=5,"Nivel de riesgo medio",
"Nivel de riesgo alto"))</f>
        <v>Nivel de riesgo alto</v>
      </c>
      <c r="EQ487" s="5" t="s">
        <v>232</v>
      </c>
      <c r="ER487" s="5">
        <f t="shared" ref="ER487:ER502" si="1556">IF(EQ487="Nunca/ casi nunca",4,
IF(EQ487="Rara vez",3,
IF(EQ487="A veces",2,
IF(EQ487="A menudo",1,
IF(EQ487="Siempre",0,"")))))</f>
        <v>1</v>
      </c>
      <c r="ES487" s="5" t="s">
        <v>232</v>
      </c>
      <c r="ET487" s="5">
        <f t="shared" ref="ET487:ET502" si="1557">IF(ES487="Nunca/ casi nunca",4,
IF(ES487="Rara vez",3,
IF(ES487="A veces",2,
IF(ES487="A menudo",1,
IF(ES487="Siempre",0,"")))))</f>
        <v>1</v>
      </c>
      <c r="EU487" s="5" t="s">
        <v>254</v>
      </c>
      <c r="EV487" s="5">
        <f t="shared" ref="EV487:EV502" si="1558">IF(EU487="Nunca/ casi nunca",4,
IF(EU487="Rara vez",3,
IF(EU487="A veces",2,
IF(EU487="A menudo",1,
IF(EU487="Siempre",0,"")))))</f>
        <v>0</v>
      </c>
      <c r="EW487" s="5" t="s">
        <v>232</v>
      </c>
      <c r="EX487" s="5">
        <f t="shared" ref="EX487:EX502" si="1559">IF(EW487="Nunca/ casi nunca",4,
IF(EW487="Rara vez",3,
IF(EW487="A veces",2,
IF(EW487="A menudo",1,
IF(EW487="Siempre",0,"")))))</f>
        <v>1</v>
      </c>
      <c r="EY487" s="5">
        <f t="shared" ref="EY487:EY502" si="1560">SUM(ER487,ET487,EV487,EX487)</f>
        <v>3</v>
      </c>
      <c r="EZ487" s="5" t="str">
        <f t="shared" ref="EZ487:EZ502" si="1561">IF(EY487&lt;=0,"Nivel de riesgo bajo",
IF(EY487&lt;=4,"Nivel de riesgo medio",
"Nivel de riesgo alto"))</f>
        <v>Nivel de riesgo medio</v>
      </c>
      <c r="FA487" s="5" t="s">
        <v>232</v>
      </c>
      <c r="FB487" s="5">
        <f t="shared" ref="FB487:FB502" si="1562">IF(FA487="Nunca/ casi nunca",0,
IF(FA487="Rara vez",1,
IF(FA487="A veces",2,
IF(FA487="A menudo",3,
IF(FA487="Siempre",4,"")))))</f>
        <v>3</v>
      </c>
      <c r="FC487" s="5" t="s">
        <v>232</v>
      </c>
      <c r="FD487" s="5">
        <f t="shared" ref="FD487:FD502" si="1563">IF(FC487="Nunca/ casi nunca",0,
IF(FC487="Rara vez",1,
IF(FC487="A veces",2,
IF(FC487="A menudo",3,
IF(FC487="Siempre",4,"")))))</f>
        <v>3</v>
      </c>
      <c r="FE487" s="5" t="s">
        <v>232</v>
      </c>
      <c r="FF487" s="5">
        <f t="shared" ref="FF487:FF502" si="1564">IF(FE487="Nunca/ casi nunca",0,
IF(FE487="Rara vez",1,
IF(FE487="A veces",2,
IF(FE487="A menudo",3,
IF(FE487="Siempre",4,"")))))</f>
        <v>3</v>
      </c>
      <c r="FG487" s="5">
        <f t="shared" ref="FG487:FG502" si="1565">SUM(FB487,FD487,FF487)</f>
        <v>9</v>
      </c>
      <c r="FH487" s="5" t="str">
        <f t="shared" ref="FH487:FH502" si="1566">IF(FG487&lt;=2,"Nivel de riesgo bajo",
IF(FG487&lt;=5,"Nivel de riesgo medio",
"Nivel de riesgo alto"))</f>
        <v>Nivel de riesgo alto</v>
      </c>
      <c r="FI487" s="5" t="s">
        <v>232</v>
      </c>
      <c r="FJ487" s="5">
        <f t="shared" ref="FJ487:FJ502" si="1567">IF(FI487="Nunca/ casi nunca",0,
IF(FI487="Rara vez",1,
IF(FI487="A veces",2,
IF(FI487="A menudo",3,
IF(FI487="Siempre",4,"")))))</f>
        <v>3</v>
      </c>
      <c r="FK487" s="5" t="s">
        <v>232</v>
      </c>
      <c r="FL487" s="5">
        <f t="shared" ref="FL487:FL502" si="1568">IF(FK487="Nunca/ casi nunca",0,
IF(FK487="Rara vez",1,
IF(FK487="A veces",2,
IF(FK487="A menudo",3,
IF(FK487="Siempre",4,"")))))</f>
        <v>3</v>
      </c>
      <c r="FM487" s="5" t="s">
        <v>232</v>
      </c>
      <c r="FN487" s="5">
        <f t="shared" ref="FN487:FN502" si="1569">IF(FM487="Nunca/ casi nunca",0,
IF(FM487="Rara vez",1,
IF(FM487="A veces",2,
IF(FM487="A menudo",3,
IF(FM487="Siempre",4,"")))))</f>
        <v>3</v>
      </c>
      <c r="FO487" s="5">
        <f t="shared" ref="FO487:FO502" si="1570">SUM(FJ487,FL487,FN487)</f>
        <v>9</v>
      </c>
      <c r="FP487" s="5" t="str">
        <f t="shared" ref="FP487:FP502" si="1571">IF(FO487&lt;=2,"Nivel de riesgo bajo",
IF(FO487&lt;=5,"Nivel de riesgo medio",
"Nivel de riesgo alto"))</f>
        <v>Nivel de riesgo alto</v>
      </c>
      <c r="FQ487" s="5" t="s">
        <v>206</v>
      </c>
      <c r="FR487" s="5">
        <f t="shared" ref="FR487:FR502" si="1572">IF(FQ487="No",0,
IF(FQ487="Sí, unas pocas veces",1,
IF(FQ487="Sí, mensualmente",2,
IF(FQ487="Sí, semanalmente",3,
IF(FQ487="Sí, diariamente",4,"")))))</f>
        <v>0</v>
      </c>
      <c r="FS487" s="5" t="s">
        <v>206</v>
      </c>
      <c r="FT487" s="5">
        <f t="shared" ref="FT487:FT502" si="1573">IF(FS487="No",0,
IF(FS487="Sí, unas pocas veces",1,
IF(FS487="Sí, mensualmente",2,
IF(FS487="Sí, semanalmente",3,
IF(FS487="Sí, diariamente",4,"")))))</f>
        <v>0</v>
      </c>
      <c r="FU487" s="5" t="s">
        <v>206</v>
      </c>
      <c r="FV487" s="5">
        <f t="shared" ref="FV487:FV502" si="1574">IF(FU487="No",0,
IF(FU487="Sí, unas pocas veces",1,
IF(FU487="Sí, mensualmente",2,
IF(FU487="Sí, semanalmente",3,
IF(FU487="Sí, diariamente",4,"")))))</f>
        <v>0</v>
      </c>
      <c r="FW487" s="5" t="s">
        <v>206</v>
      </c>
      <c r="FX487" s="5">
        <f t="shared" ref="FX487:FX502" si="1575">IF(FW487="No",0,
IF(FW487="Sí, unas pocas veces",1,
IF(FW487="Sí, mensualmente",2,
IF(FW487="Sí, semanalmente",3,
IF(FW487="Sí, diariamente",4,"")))))</f>
        <v>0</v>
      </c>
      <c r="FY487" s="5" t="s">
        <v>206</v>
      </c>
      <c r="FZ487" s="5">
        <f t="shared" ref="FZ487:FZ502" si="1576">IF(FY487="No",0,
IF(FY487="Sí, unas pocas veces",1,
IF(FY487="Sí, mensualmente",2,
IF(FY487="Sí, semanalmente",3,
IF(FY487="Sí, diariamente",4,"")))))</f>
        <v>0</v>
      </c>
      <c r="GA487" s="5" t="s">
        <v>206</v>
      </c>
      <c r="GB487" s="5">
        <f t="shared" ref="GB487:GB502" si="1577">IF(GA487="No",0,
IF(GA487="Sí, unas pocas veces",1,
IF(GA487="Sí, mensualmente",2,
IF(GA487="Sí, semanalmente",3,
IF(GA487="Sí, diariamente",4,"")))))</f>
        <v>0</v>
      </c>
      <c r="GC487" s="5" t="s">
        <v>206</v>
      </c>
      <c r="GD487" s="5">
        <f t="shared" ref="GD487:GD502" si="1578">IF(GC487="No",0,
IF(GC487="Sí, unas pocas veces",1,
IF(GC487="Sí, mensualmente",2,
IF(GC487="Sí, semanalmente",3,
IF(GC487="Sí, diariamente",4,"")))))</f>
        <v>0</v>
      </c>
      <c r="GE487" s="5">
        <f t="shared" ref="GE487:GE502" si="1579">SUM(FR487,FT487,FV487,FX487,FZ487,GB487,GD487)</f>
        <v>0</v>
      </c>
      <c r="GF487" s="5" t="str">
        <f t="shared" ref="GF487:GF502" si="1580">IF(GE487&lt;=0,"Nivel de riesgo bajo",
IF(GE487&lt;=14,"Nivel de riesgo medio",
"Nivel de riesgo alto"))</f>
        <v>Nivel de riesgo bajo</v>
      </c>
      <c r="GG487" s="5" t="s">
        <v>298</v>
      </c>
      <c r="GH487" s="5" t="s">
        <v>298</v>
      </c>
      <c r="GI487" s="5" t="s">
        <v>298</v>
      </c>
      <c r="GJ487" s="5" t="s">
        <v>298</v>
      </c>
      <c r="GK487" s="5" t="s">
        <v>298</v>
      </c>
      <c r="GL487" s="5" t="s">
        <v>298</v>
      </c>
      <c r="GM487" s="5" t="s">
        <v>298</v>
      </c>
      <c r="GN487" s="5" t="s">
        <v>244</v>
      </c>
      <c r="GO487" s="5" t="s">
        <v>244</v>
      </c>
      <c r="GP487" s="5" t="s">
        <v>244</v>
      </c>
      <c r="GQ487" s="5" t="s">
        <v>244</v>
      </c>
      <c r="GR487" s="5" t="s">
        <v>244</v>
      </c>
      <c r="GS487" s="5" t="s">
        <v>244</v>
      </c>
      <c r="GT487" s="5" t="s">
        <v>244</v>
      </c>
      <c r="GU487" s="5" t="s">
        <v>854</v>
      </c>
      <c r="GV487" s="5" t="str">
        <f>TEXT("6290263452232002178","0")</f>
        <v>6290263452232000000</v>
      </c>
    </row>
    <row r="488" spans="1:204" ht="15.75" customHeight="1" x14ac:dyDescent="0.15">
      <c r="A488" s="1">
        <f t="shared" si="1530"/>
        <v>488</v>
      </c>
      <c r="B488" s="4">
        <v>45860.704293981478</v>
      </c>
      <c r="C488" s="5" t="s">
        <v>204</v>
      </c>
      <c r="D488" s="5" t="s">
        <v>206</v>
      </c>
      <c r="F488" s="5" t="s">
        <v>206</v>
      </c>
      <c r="G488" s="5" t="s">
        <v>204</v>
      </c>
      <c r="H488" s="5" t="s">
        <v>206</v>
      </c>
      <c r="K488" s="5" t="s">
        <v>237</v>
      </c>
      <c r="O488" s="5" t="s">
        <v>209</v>
      </c>
      <c r="T488" s="5" t="s">
        <v>209</v>
      </c>
      <c r="X488" s="5" t="s">
        <v>208</v>
      </c>
      <c r="AC488" s="5" t="s">
        <v>208</v>
      </c>
      <c r="AH488" s="5" t="s">
        <v>268</v>
      </c>
      <c r="AI488" s="5">
        <v>2021</v>
      </c>
      <c r="AJ488" s="5" t="s">
        <v>330</v>
      </c>
      <c r="AK488" s="5" t="str">
        <f t="shared" si="1531"/>
        <v>Asalariada</v>
      </c>
      <c r="AQ488" s="5" t="s">
        <v>204</v>
      </c>
      <c r="AR488" s="5" t="s">
        <v>276</v>
      </c>
      <c r="AS488" s="5" t="s">
        <v>276</v>
      </c>
      <c r="AT488" s="5" t="s">
        <v>294</v>
      </c>
      <c r="AU488" s="5" t="s">
        <v>276</v>
      </c>
      <c r="AV488" s="5" t="s">
        <v>457</v>
      </c>
      <c r="AW488" s="5" t="s">
        <v>206</v>
      </c>
      <c r="BF488" s="5" t="s">
        <v>204</v>
      </c>
      <c r="BG488" s="5" t="s">
        <v>215</v>
      </c>
      <c r="BH488" s="5" t="s">
        <v>264</v>
      </c>
      <c r="BI488" s="5" t="s">
        <v>215</v>
      </c>
      <c r="BJ488" s="5" t="s">
        <v>264</v>
      </c>
      <c r="BK488" s="5" t="s">
        <v>243</v>
      </c>
      <c r="BL488" s="5" t="s">
        <v>243</v>
      </c>
      <c r="BM488" s="5" t="s">
        <v>243</v>
      </c>
      <c r="BN488" s="5" t="s">
        <v>244</v>
      </c>
      <c r="BO488" s="5" t="s">
        <v>243</v>
      </c>
      <c r="BP488" s="5" t="s">
        <v>244</v>
      </c>
      <c r="BQ488" s="5" t="s">
        <v>216</v>
      </c>
      <c r="BR488" s="5" t="s">
        <v>246</v>
      </c>
      <c r="BS488" s="5" t="s">
        <v>248</v>
      </c>
      <c r="BT488" s="5" t="s">
        <v>217</v>
      </c>
      <c r="BU488" s="5" t="s">
        <v>232</v>
      </c>
      <c r="BV488" s="5" t="s">
        <v>248</v>
      </c>
      <c r="BW488" s="5" t="s">
        <v>232</v>
      </c>
      <c r="BX488" s="5" t="s">
        <v>248</v>
      </c>
      <c r="BY488" s="5" t="s">
        <v>247</v>
      </c>
      <c r="CD488" s="5" t="s">
        <v>206</v>
      </c>
      <c r="CH488" s="5" t="s">
        <v>206</v>
      </c>
      <c r="CI488" s="5" t="s">
        <v>206</v>
      </c>
      <c r="CJ488" s="5">
        <v>0</v>
      </c>
      <c r="CK488" s="5" t="s">
        <v>223</v>
      </c>
      <c r="CU488" s="5" t="s">
        <v>206</v>
      </c>
      <c r="DA488" s="5" t="s">
        <v>231</v>
      </c>
      <c r="DB488" s="5">
        <f t="shared" si="1532"/>
        <v>2</v>
      </c>
      <c r="DC488" s="5" t="s">
        <v>250</v>
      </c>
      <c r="DD488" s="5">
        <f t="shared" si="1533"/>
        <v>3</v>
      </c>
      <c r="DE488" s="5" t="s">
        <v>250</v>
      </c>
      <c r="DF488" s="5">
        <f t="shared" si="1534"/>
        <v>3</v>
      </c>
      <c r="DG488" s="5" t="s">
        <v>250</v>
      </c>
      <c r="DH488" s="5">
        <f t="shared" si="1535"/>
        <v>3</v>
      </c>
      <c r="DI488" s="5" t="s">
        <v>280</v>
      </c>
      <c r="DJ488" s="5">
        <f t="shared" si="1536"/>
        <v>4</v>
      </c>
      <c r="DK488" s="5" t="s">
        <v>280</v>
      </c>
      <c r="DL488" s="5">
        <f t="shared" si="1537"/>
        <v>4</v>
      </c>
      <c r="DM488" s="5" t="s">
        <v>250</v>
      </c>
      <c r="DN488" s="5">
        <f t="shared" si="1538"/>
        <v>3</v>
      </c>
      <c r="DO488" s="5" t="s">
        <v>281</v>
      </c>
      <c r="DP488" s="5">
        <f t="shared" si="1539"/>
        <v>1</v>
      </c>
      <c r="DQ488" s="5" t="s">
        <v>231</v>
      </c>
      <c r="DR488" s="5">
        <f t="shared" si="1540"/>
        <v>2</v>
      </c>
      <c r="DS488" s="5" t="s">
        <v>252</v>
      </c>
      <c r="DT488" s="5">
        <f t="shared" si="1541"/>
        <v>3</v>
      </c>
      <c r="DU488" s="5" t="s">
        <v>231</v>
      </c>
      <c r="DV488" s="5">
        <f t="shared" si="1542"/>
        <v>2</v>
      </c>
      <c r="DW488" s="5" t="s">
        <v>252</v>
      </c>
      <c r="DX488" s="5">
        <f t="shared" si="1543"/>
        <v>3</v>
      </c>
      <c r="DY488" s="5">
        <f t="shared" si="1544"/>
        <v>33</v>
      </c>
      <c r="DZ488" s="5" t="str">
        <f t="shared" si="1545"/>
        <v>Nivel de riesgo alto</v>
      </c>
      <c r="EA488" s="5" t="s">
        <v>247</v>
      </c>
      <c r="EB488" s="5">
        <f t="shared" si="1546"/>
        <v>2</v>
      </c>
      <c r="EC488" s="5" t="s">
        <v>248</v>
      </c>
      <c r="ED488" s="5">
        <f t="shared" si="1547"/>
        <v>1</v>
      </c>
      <c r="EE488" s="5" t="s">
        <v>248</v>
      </c>
      <c r="EF488" s="5">
        <f t="shared" si="1548"/>
        <v>1</v>
      </c>
      <c r="EG488" s="5">
        <f t="shared" si="1549"/>
        <v>4</v>
      </c>
      <c r="EH488" s="5" t="str">
        <f t="shared" si="1550"/>
        <v>Nivel de riesgo medio</v>
      </c>
      <c r="EI488" s="5" t="s">
        <v>248</v>
      </c>
      <c r="EJ488" s="5">
        <f t="shared" si="1551"/>
        <v>1</v>
      </c>
      <c r="EK488" s="5" t="s">
        <v>248</v>
      </c>
      <c r="EL488" s="5">
        <f t="shared" si="1552"/>
        <v>1</v>
      </c>
      <c r="EM488" s="5" t="s">
        <v>248</v>
      </c>
      <c r="EN488" s="5">
        <f t="shared" si="1553"/>
        <v>1</v>
      </c>
      <c r="EO488" s="5">
        <f t="shared" si="1554"/>
        <v>3</v>
      </c>
      <c r="EP488" s="5" t="str">
        <f t="shared" si="1555"/>
        <v>Nivel de riesgo medio</v>
      </c>
      <c r="EQ488" s="5" t="s">
        <v>248</v>
      </c>
      <c r="ER488" s="5">
        <f t="shared" si="1556"/>
        <v>3</v>
      </c>
      <c r="ES488" s="5" t="s">
        <v>248</v>
      </c>
      <c r="ET488" s="5">
        <f t="shared" si="1557"/>
        <v>3</v>
      </c>
      <c r="EU488" s="5" t="s">
        <v>248</v>
      </c>
      <c r="EV488" s="5">
        <f t="shared" si="1558"/>
        <v>3</v>
      </c>
      <c r="EW488" s="5" t="s">
        <v>248</v>
      </c>
      <c r="EX488" s="5">
        <f t="shared" si="1559"/>
        <v>3</v>
      </c>
      <c r="EY488" s="5">
        <f t="shared" si="1560"/>
        <v>12</v>
      </c>
      <c r="EZ488" s="5" t="str">
        <f t="shared" si="1561"/>
        <v>Nivel de riesgo alto</v>
      </c>
      <c r="FA488" s="5" t="s">
        <v>247</v>
      </c>
      <c r="FB488" s="5">
        <f t="shared" si="1562"/>
        <v>2</v>
      </c>
      <c r="FC488" s="5" t="s">
        <v>247</v>
      </c>
      <c r="FD488" s="5">
        <f t="shared" si="1563"/>
        <v>2</v>
      </c>
      <c r="FE488" s="5" t="s">
        <v>248</v>
      </c>
      <c r="FF488" s="5">
        <f t="shared" si="1564"/>
        <v>1</v>
      </c>
      <c r="FG488" s="5">
        <f t="shared" si="1565"/>
        <v>5</v>
      </c>
      <c r="FH488" s="5" t="str">
        <f t="shared" si="1566"/>
        <v>Nivel de riesgo medio</v>
      </c>
      <c r="FI488" s="5" t="s">
        <v>248</v>
      </c>
      <c r="FJ488" s="5">
        <f t="shared" si="1567"/>
        <v>1</v>
      </c>
      <c r="FK488" s="5" t="s">
        <v>247</v>
      </c>
      <c r="FL488" s="5">
        <f t="shared" si="1568"/>
        <v>2</v>
      </c>
      <c r="FM488" s="5" t="s">
        <v>248</v>
      </c>
      <c r="FN488" s="5">
        <f t="shared" si="1569"/>
        <v>1</v>
      </c>
      <c r="FO488" s="5">
        <f t="shared" si="1570"/>
        <v>4</v>
      </c>
      <c r="FP488" s="5" t="str">
        <f t="shared" si="1571"/>
        <v>Nivel de riesgo medio</v>
      </c>
      <c r="FQ488" s="5" t="s">
        <v>206</v>
      </c>
      <c r="FR488" s="5">
        <f t="shared" si="1572"/>
        <v>0</v>
      </c>
      <c r="FS488" s="5" t="s">
        <v>265</v>
      </c>
      <c r="FT488" s="5">
        <f t="shared" si="1573"/>
        <v>1</v>
      </c>
      <c r="FU488" s="5" t="s">
        <v>265</v>
      </c>
      <c r="FV488" s="5">
        <f t="shared" si="1574"/>
        <v>1</v>
      </c>
      <c r="FW488" s="5" t="s">
        <v>206</v>
      </c>
      <c r="FX488" s="5">
        <f t="shared" si="1575"/>
        <v>0</v>
      </c>
      <c r="FY488" s="5" t="s">
        <v>206</v>
      </c>
      <c r="FZ488" s="5">
        <f t="shared" si="1576"/>
        <v>0</v>
      </c>
      <c r="GA488" s="5" t="s">
        <v>265</v>
      </c>
      <c r="GB488" s="5">
        <f t="shared" si="1577"/>
        <v>1</v>
      </c>
      <c r="GC488" s="5" t="s">
        <v>265</v>
      </c>
      <c r="GD488" s="5">
        <f t="shared" si="1578"/>
        <v>1</v>
      </c>
      <c r="GE488" s="5">
        <f t="shared" si="1579"/>
        <v>4</v>
      </c>
      <c r="GF488" s="5" t="str">
        <f t="shared" si="1580"/>
        <v>Nivel de riesgo medio</v>
      </c>
      <c r="GG488" s="5" t="s">
        <v>273</v>
      </c>
      <c r="GH488" s="5" t="s">
        <v>273</v>
      </c>
      <c r="GI488" s="5" t="s">
        <v>273</v>
      </c>
      <c r="GJ488" s="5" t="s">
        <v>273</v>
      </c>
      <c r="GK488" s="5" t="s">
        <v>273</v>
      </c>
      <c r="GL488" s="5" t="s">
        <v>233</v>
      </c>
      <c r="GM488" s="5" t="s">
        <v>273</v>
      </c>
      <c r="GN488" s="5" t="s">
        <v>257</v>
      </c>
      <c r="GO488" s="5" t="s">
        <v>257</v>
      </c>
      <c r="GP488" s="5" t="s">
        <v>257</v>
      </c>
      <c r="GQ488" s="5" t="s">
        <v>257</v>
      </c>
      <c r="GR488" s="5" t="s">
        <v>244</v>
      </c>
      <c r="GS488" s="5" t="s">
        <v>244</v>
      </c>
      <c r="GT488" s="5" t="s">
        <v>257</v>
      </c>
      <c r="GU488" s="5" t="s">
        <v>855</v>
      </c>
      <c r="GV488" s="5" t="str">
        <f>TEXT("6290268516614964344","0")</f>
        <v>6290268516614960000</v>
      </c>
    </row>
    <row r="489" spans="1:204" ht="15.75" customHeight="1" x14ac:dyDescent="0.15">
      <c r="A489" s="1">
        <f t="shared" si="1530"/>
        <v>489</v>
      </c>
      <c r="B489" s="4">
        <v>45860.720520833333</v>
      </c>
      <c r="C489" s="5" t="s">
        <v>204</v>
      </c>
      <c r="D489" s="5" t="s">
        <v>206</v>
      </c>
      <c r="F489" s="5" t="s">
        <v>204</v>
      </c>
      <c r="G489" s="5" t="s">
        <v>206</v>
      </c>
      <c r="H489" s="5" t="s">
        <v>206</v>
      </c>
      <c r="L489" s="5" t="s">
        <v>236</v>
      </c>
      <c r="O489" s="5" t="s">
        <v>209</v>
      </c>
      <c r="T489" s="5" t="s">
        <v>209</v>
      </c>
      <c r="Y489" s="5" t="s">
        <v>209</v>
      </c>
      <c r="AG489" s="5" t="s">
        <v>207</v>
      </c>
      <c r="AH489" s="5" t="s">
        <v>268</v>
      </c>
      <c r="AI489" s="5">
        <v>2004</v>
      </c>
      <c r="AJ489" s="5" t="s">
        <v>330</v>
      </c>
      <c r="AK489" s="5" t="str">
        <f t="shared" si="1531"/>
        <v>Asalariada</v>
      </c>
      <c r="AQ489" s="5" t="s">
        <v>204</v>
      </c>
      <c r="AR489" s="5" t="s">
        <v>241</v>
      </c>
      <c r="AS489" s="5" t="s">
        <v>241</v>
      </c>
      <c r="AT489" s="5" t="s">
        <v>241</v>
      </c>
      <c r="AU489" s="5" t="s">
        <v>241</v>
      </c>
      <c r="AV489" s="5" t="s">
        <v>277</v>
      </c>
      <c r="AW489" s="5" t="s">
        <v>204</v>
      </c>
      <c r="AX489" s="5" t="s">
        <v>204</v>
      </c>
      <c r="AY489" s="5" t="s">
        <v>214</v>
      </c>
      <c r="AZ489" s="5" t="s">
        <v>206</v>
      </c>
      <c r="BA489" s="5" t="s">
        <v>263</v>
      </c>
      <c r="BF489" s="5" t="s">
        <v>204</v>
      </c>
      <c r="BG489" s="5" t="s">
        <v>242</v>
      </c>
      <c r="BH489" s="5" t="s">
        <v>242</v>
      </c>
      <c r="BI489" s="5" t="s">
        <v>242</v>
      </c>
      <c r="BJ489" s="5" t="s">
        <v>215</v>
      </c>
      <c r="BK489" s="5" t="s">
        <v>246</v>
      </c>
      <c r="BL489" s="5" t="s">
        <v>246</v>
      </c>
      <c r="BM489" s="5" t="s">
        <v>246</v>
      </c>
      <c r="BN489" s="5" t="s">
        <v>246</v>
      </c>
      <c r="BO489" s="5" t="s">
        <v>246</v>
      </c>
      <c r="BP489" s="5" t="s">
        <v>246</v>
      </c>
      <c r="BQ489" s="5" t="s">
        <v>244</v>
      </c>
      <c r="BR489" s="5" t="s">
        <v>244</v>
      </c>
      <c r="BS489" s="5" t="s">
        <v>254</v>
      </c>
      <c r="BT489" s="5" t="s">
        <v>247</v>
      </c>
      <c r="BU489" s="5" t="s">
        <v>247</v>
      </c>
      <c r="BV489" s="5" t="s">
        <v>217</v>
      </c>
      <c r="BW489" s="5" t="s">
        <v>217</v>
      </c>
      <c r="BX489" s="5" t="s">
        <v>217</v>
      </c>
      <c r="BY489" s="5" t="s">
        <v>217</v>
      </c>
      <c r="BZ489" s="5" t="s">
        <v>244</v>
      </c>
      <c r="CA489" s="5" t="s">
        <v>244</v>
      </c>
      <c r="CB489" s="5" t="s">
        <v>244</v>
      </c>
      <c r="CC489" s="5" t="s">
        <v>246</v>
      </c>
      <c r="CD489" s="5" t="s">
        <v>204</v>
      </c>
      <c r="CE489" s="5" t="s">
        <v>286</v>
      </c>
      <c r="CF489" s="5" t="s">
        <v>219</v>
      </c>
      <c r="CG489" s="5" t="s">
        <v>206</v>
      </c>
      <c r="CH489" s="5" t="s">
        <v>206</v>
      </c>
      <c r="CI489" s="5" t="s">
        <v>206</v>
      </c>
      <c r="CJ489" s="5">
        <v>0</v>
      </c>
      <c r="CK489" s="5" t="s">
        <v>223</v>
      </c>
      <c r="CU489" s="5" t="s">
        <v>206</v>
      </c>
      <c r="DA489" s="5" t="s">
        <v>231</v>
      </c>
      <c r="DB489" s="5">
        <f t="shared" si="1532"/>
        <v>2</v>
      </c>
      <c r="DC489" s="5" t="s">
        <v>251</v>
      </c>
      <c r="DD489" s="5">
        <f t="shared" si="1533"/>
        <v>1</v>
      </c>
      <c r="DE489" s="5" t="s">
        <v>251</v>
      </c>
      <c r="DF489" s="5">
        <f t="shared" si="1534"/>
        <v>1</v>
      </c>
      <c r="DG489" s="5" t="s">
        <v>251</v>
      </c>
      <c r="DH489" s="5">
        <f t="shared" si="1535"/>
        <v>1</v>
      </c>
      <c r="DI489" s="5" t="s">
        <v>251</v>
      </c>
      <c r="DJ489" s="5">
        <f t="shared" si="1536"/>
        <v>1</v>
      </c>
      <c r="DK489" s="5" t="s">
        <v>251</v>
      </c>
      <c r="DL489" s="5">
        <f t="shared" si="1537"/>
        <v>1</v>
      </c>
      <c r="DM489" s="5" t="s">
        <v>251</v>
      </c>
      <c r="DN489" s="5">
        <f t="shared" si="1538"/>
        <v>1</v>
      </c>
      <c r="DO489" s="5" t="s">
        <v>231</v>
      </c>
      <c r="DP489" s="5">
        <f t="shared" si="1539"/>
        <v>2</v>
      </c>
      <c r="DQ489" s="5" t="s">
        <v>231</v>
      </c>
      <c r="DR489" s="5">
        <f t="shared" si="1540"/>
        <v>2</v>
      </c>
      <c r="DS489" s="5" t="s">
        <v>231</v>
      </c>
      <c r="DT489" s="5">
        <f t="shared" si="1541"/>
        <v>2</v>
      </c>
      <c r="DU489" s="5" t="s">
        <v>231</v>
      </c>
      <c r="DV489" s="5">
        <f t="shared" si="1542"/>
        <v>2</v>
      </c>
      <c r="DW489" s="5" t="s">
        <v>231</v>
      </c>
      <c r="DX489" s="5">
        <f t="shared" si="1543"/>
        <v>2</v>
      </c>
      <c r="DY489" s="5">
        <f t="shared" si="1544"/>
        <v>18</v>
      </c>
      <c r="DZ489" s="5" t="str">
        <f t="shared" si="1545"/>
        <v>Nivel de riesgo bajo</v>
      </c>
      <c r="EA489" s="5" t="s">
        <v>247</v>
      </c>
      <c r="EB489" s="5">
        <f t="shared" si="1546"/>
        <v>2</v>
      </c>
      <c r="EC489" s="5" t="s">
        <v>253</v>
      </c>
      <c r="ED489" s="5">
        <f t="shared" si="1547"/>
        <v>0</v>
      </c>
      <c r="EE489" s="5" t="s">
        <v>253</v>
      </c>
      <c r="EF489" s="5">
        <f t="shared" si="1548"/>
        <v>0</v>
      </c>
      <c r="EG489" s="5">
        <f t="shared" si="1549"/>
        <v>2</v>
      </c>
      <c r="EH489" s="5" t="str">
        <f t="shared" si="1550"/>
        <v>Nivel de riesgo medio</v>
      </c>
      <c r="EI489" s="5" t="s">
        <v>253</v>
      </c>
      <c r="EJ489" s="5">
        <f t="shared" si="1551"/>
        <v>0</v>
      </c>
      <c r="EK489" s="5" t="s">
        <v>253</v>
      </c>
      <c r="EL489" s="5">
        <f t="shared" si="1552"/>
        <v>0</v>
      </c>
      <c r="EM489" s="5" t="s">
        <v>253</v>
      </c>
      <c r="EN489" s="5">
        <f t="shared" si="1553"/>
        <v>0</v>
      </c>
      <c r="EO489" s="5">
        <f t="shared" si="1554"/>
        <v>0</v>
      </c>
      <c r="EP489" s="5" t="str">
        <f t="shared" si="1555"/>
        <v>Nivel de riesgo bajo</v>
      </c>
      <c r="EQ489" s="5" t="s">
        <v>254</v>
      </c>
      <c r="ER489" s="5">
        <f t="shared" si="1556"/>
        <v>0</v>
      </c>
      <c r="ES489" s="5" t="s">
        <v>254</v>
      </c>
      <c r="ET489" s="5">
        <f t="shared" si="1557"/>
        <v>0</v>
      </c>
      <c r="EU489" s="5" t="s">
        <v>254</v>
      </c>
      <c r="EV489" s="5">
        <f t="shared" si="1558"/>
        <v>0</v>
      </c>
      <c r="EW489" s="5" t="s">
        <v>254</v>
      </c>
      <c r="EX489" s="5">
        <f t="shared" si="1559"/>
        <v>0</v>
      </c>
      <c r="EY489" s="5">
        <f t="shared" si="1560"/>
        <v>0</v>
      </c>
      <c r="EZ489" s="5" t="str">
        <f t="shared" si="1561"/>
        <v>Nivel de riesgo bajo</v>
      </c>
      <c r="FA489" s="5" t="s">
        <v>253</v>
      </c>
      <c r="FB489" s="5">
        <f t="shared" si="1562"/>
        <v>0</v>
      </c>
      <c r="FC489" s="5" t="s">
        <v>253</v>
      </c>
      <c r="FD489" s="5">
        <f t="shared" si="1563"/>
        <v>0</v>
      </c>
      <c r="FE489" s="5" t="s">
        <v>253</v>
      </c>
      <c r="FF489" s="5">
        <f t="shared" si="1564"/>
        <v>0</v>
      </c>
      <c r="FG489" s="5">
        <f t="shared" si="1565"/>
        <v>0</v>
      </c>
      <c r="FH489" s="5" t="str">
        <f t="shared" si="1566"/>
        <v>Nivel de riesgo bajo</v>
      </c>
      <c r="FI489" s="5" t="s">
        <v>253</v>
      </c>
      <c r="FJ489" s="5">
        <f t="shared" si="1567"/>
        <v>0</v>
      </c>
      <c r="FK489" s="5" t="s">
        <v>253</v>
      </c>
      <c r="FL489" s="5">
        <f t="shared" si="1568"/>
        <v>0</v>
      </c>
      <c r="FM489" s="5" t="s">
        <v>253</v>
      </c>
      <c r="FN489" s="5">
        <f t="shared" si="1569"/>
        <v>0</v>
      </c>
      <c r="FO489" s="5">
        <f t="shared" si="1570"/>
        <v>0</v>
      </c>
      <c r="FP489" s="5" t="str">
        <f t="shared" si="1571"/>
        <v>Nivel de riesgo bajo</v>
      </c>
      <c r="FQ489" s="5" t="s">
        <v>206</v>
      </c>
      <c r="FR489" s="5">
        <f t="shared" si="1572"/>
        <v>0</v>
      </c>
      <c r="FS489" s="5" t="s">
        <v>206</v>
      </c>
      <c r="FT489" s="5">
        <f t="shared" si="1573"/>
        <v>0</v>
      </c>
      <c r="FU489" s="5" t="s">
        <v>206</v>
      </c>
      <c r="FV489" s="5">
        <f t="shared" si="1574"/>
        <v>0</v>
      </c>
      <c r="FW489" s="5" t="s">
        <v>206</v>
      </c>
      <c r="FX489" s="5">
        <f t="shared" si="1575"/>
        <v>0</v>
      </c>
      <c r="FY489" s="5" t="s">
        <v>206</v>
      </c>
      <c r="FZ489" s="5">
        <f t="shared" si="1576"/>
        <v>0</v>
      </c>
      <c r="GA489" s="5" t="s">
        <v>206</v>
      </c>
      <c r="GB489" s="5">
        <f t="shared" si="1577"/>
        <v>0</v>
      </c>
      <c r="GC489" s="5" t="s">
        <v>206</v>
      </c>
      <c r="GD489" s="5">
        <f t="shared" si="1578"/>
        <v>0</v>
      </c>
      <c r="GE489" s="5">
        <f t="shared" si="1579"/>
        <v>0</v>
      </c>
      <c r="GF489" s="5" t="str">
        <f t="shared" si="1580"/>
        <v>Nivel de riesgo bajo</v>
      </c>
      <c r="GG489" s="5" t="s">
        <v>255</v>
      </c>
      <c r="GH489" s="5" t="s">
        <v>273</v>
      </c>
      <c r="GI489" s="5" t="s">
        <v>273</v>
      </c>
      <c r="GJ489" s="5" t="s">
        <v>255</v>
      </c>
      <c r="GK489" s="5" t="s">
        <v>255</v>
      </c>
      <c r="GL489" s="5" t="s">
        <v>255</v>
      </c>
      <c r="GM489" s="5" t="s">
        <v>255</v>
      </c>
      <c r="GN489" s="5" t="s">
        <v>256</v>
      </c>
      <c r="GO489" s="5" t="s">
        <v>256</v>
      </c>
      <c r="GP489" s="5" t="s">
        <v>256</v>
      </c>
      <c r="GQ489" s="5" t="s">
        <v>256</v>
      </c>
      <c r="GR489" s="5" t="s">
        <v>256</v>
      </c>
      <c r="GS489" s="5" t="s">
        <v>256</v>
      </c>
      <c r="GT489" s="5" t="s">
        <v>256</v>
      </c>
      <c r="GU489" s="5" t="s">
        <v>856</v>
      </c>
      <c r="GV489" s="5" t="str">
        <f>TEXT("6290282532068967218","0")</f>
        <v>6290282532068960000</v>
      </c>
    </row>
    <row r="490" spans="1:204" ht="15.75" customHeight="1" x14ac:dyDescent="0.15">
      <c r="A490" s="1">
        <f t="shared" si="1530"/>
        <v>490</v>
      </c>
      <c r="B490" s="4">
        <v>45860.72488425926</v>
      </c>
      <c r="C490" s="5" t="s">
        <v>204</v>
      </c>
      <c r="D490" s="5" t="s">
        <v>204</v>
      </c>
      <c r="E490" s="5" t="s">
        <v>335</v>
      </c>
      <c r="F490" s="5" t="s">
        <v>206</v>
      </c>
      <c r="G490" s="5" t="s">
        <v>204</v>
      </c>
      <c r="H490" s="5" t="s">
        <v>206</v>
      </c>
      <c r="K490" s="5" t="s">
        <v>237</v>
      </c>
      <c r="P490" s="5" t="s">
        <v>237</v>
      </c>
      <c r="T490" s="5" t="s">
        <v>209</v>
      </c>
      <c r="Y490" s="5" t="s">
        <v>209</v>
      </c>
      <c r="AD490" s="5" t="s">
        <v>209</v>
      </c>
      <c r="AH490" s="5" t="s">
        <v>268</v>
      </c>
      <c r="AI490" s="5">
        <v>2023</v>
      </c>
      <c r="AJ490" s="5" t="s">
        <v>238</v>
      </c>
      <c r="AK490" s="5" t="str">
        <f t="shared" si="1531"/>
        <v>Trabajadora por cuenta propia</v>
      </c>
      <c r="AL490" s="5" t="s">
        <v>239</v>
      </c>
      <c r="AP490" s="5" t="s">
        <v>240</v>
      </c>
      <c r="AR490" s="5" t="s">
        <v>241</v>
      </c>
      <c r="AS490" s="5" t="s">
        <v>241</v>
      </c>
      <c r="AT490" s="5" t="s">
        <v>261</v>
      </c>
      <c r="AU490" s="5" t="s">
        <v>261</v>
      </c>
      <c r="AV490" s="5" t="s">
        <v>269</v>
      </c>
      <c r="AW490" s="5" t="s">
        <v>204</v>
      </c>
      <c r="AX490" s="5" t="s">
        <v>204</v>
      </c>
      <c r="AY490" s="5" t="s">
        <v>214</v>
      </c>
      <c r="AZ490" s="5" t="s">
        <v>204</v>
      </c>
      <c r="BA490" s="5" t="s">
        <v>295</v>
      </c>
      <c r="BB490" s="5" t="s">
        <v>204</v>
      </c>
      <c r="BC490" s="5" t="s">
        <v>204</v>
      </c>
      <c r="BD490" s="5" t="s">
        <v>206</v>
      </c>
      <c r="BE490" s="5" t="s">
        <v>206</v>
      </c>
      <c r="BF490" s="5" t="s">
        <v>204</v>
      </c>
      <c r="BG490" s="5" t="s">
        <v>271</v>
      </c>
      <c r="BH490" s="5" t="s">
        <v>215</v>
      </c>
      <c r="BI490" s="5" t="s">
        <v>271</v>
      </c>
      <c r="BJ490" s="5" t="s">
        <v>242</v>
      </c>
      <c r="BK490" s="5" t="s">
        <v>243</v>
      </c>
      <c r="BL490" s="5" t="s">
        <v>243</v>
      </c>
      <c r="BM490" s="5" t="s">
        <v>246</v>
      </c>
      <c r="BN490" s="5" t="s">
        <v>243</v>
      </c>
      <c r="BO490" s="5" t="s">
        <v>244</v>
      </c>
      <c r="BP490" s="5" t="s">
        <v>246</v>
      </c>
      <c r="BQ490" s="5" t="s">
        <v>244</v>
      </c>
      <c r="BR490" s="5" t="s">
        <v>246</v>
      </c>
      <c r="BS490" s="5" t="s">
        <v>247</v>
      </c>
      <c r="BT490" s="5" t="s">
        <v>247</v>
      </c>
      <c r="BU490" s="5" t="s">
        <v>248</v>
      </c>
      <c r="BV490" s="5" t="s">
        <v>248</v>
      </c>
      <c r="BW490" s="5" t="s">
        <v>247</v>
      </c>
      <c r="BX490" s="5" t="s">
        <v>248</v>
      </c>
      <c r="BY490" s="5" t="s">
        <v>248</v>
      </c>
      <c r="BZ490" s="5" t="s">
        <v>246</v>
      </c>
      <c r="CA490" s="5" t="s">
        <v>244</v>
      </c>
      <c r="CB490" s="5" t="s">
        <v>216</v>
      </c>
      <c r="CC490" s="5" t="s">
        <v>246</v>
      </c>
      <c r="CD490" s="5" t="s">
        <v>204</v>
      </c>
      <c r="CE490" s="5" t="s">
        <v>218</v>
      </c>
      <c r="CF490" s="5" t="s">
        <v>219</v>
      </c>
      <c r="CG490" s="5" t="s">
        <v>206</v>
      </c>
      <c r="CH490" s="5" t="s">
        <v>206</v>
      </c>
      <c r="CI490" s="5" t="s">
        <v>332</v>
      </c>
      <c r="CJ490" s="5">
        <v>2</v>
      </c>
      <c r="CK490" s="5" t="s">
        <v>223</v>
      </c>
      <c r="CU490" s="5" t="s">
        <v>206</v>
      </c>
      <c r="DA490" s="5" t="s">
        <v>252</v>
      </c>
      <c r="DB490" s="5">
        <f t="shared" si="1532"/>
        <v>3</v>
      </c>
      <c r="DC490" s="5" t="s">
        <v>230</v>
      </c>
      <c r="DD490" s="5">
        <f t="shared" si="1533"/>
        <v>2</v>
      </c>
      <c r="DE490" s="5" t="s">
        <v>251</v>
      </c>
      <c r="DF490" s="5">
        <f t="shared" si="1534"/>
        <v>1</v>
      </c>
      <c r="DG490" s="5" t="s">
        <v>251</v>
      </c>
      <c r="DH490" s="5">
        <f t="shared" si="1535"/>
        <v>1</v>
      </c>
      <c r="DI490" s="5" t="s">
        <v>230</v>
      </c>
      <c r="DJ490" s="5">
        <f t="shared" si="1536"/>
        <v>2</v>
      </c>
      <c r="DK490" s="5" t="s">
        <v>230</v>
      </c>
      <c r="DL490" s="5">
        <f t="shared" si="1537"/>
        <v>2</v>
      </c>
      <c r="DM490" s="5" t="s">
        <v>251</v>
      </c>
      <c r="DN490" s="5">
        <f t="shared" si="1538"/>
        <v>1</v>
      </c>
      <c r="DO490" s="5" t="s">
        <v>231</v>
      </c>
      <c r="DP490" s="5">
        <f t="shared" si="1539"/>
        <v>2</v>
      </c>
      <c r="DQ490" s="5" t="s">
        <v>231</v>
      </c>
      <c r="DR490" s="5">
        <f t="shared" si="1540"/>
        <v>2</v>
      </c>
      <c r="DS490" s="5" t="s">
        <v>231</v>
      </c>
      <c r="DT490" s="5">
        <f t="shared" si="1541"/>
        <v>2</v>
      </c>
      <c r="DU490" s="5" t="s">
        <v>231</v>
      </c>
      <c r="DV490" s="5">
        <f t="shared" si="1542"/>
        <v>2</v>
      </c>
      <c r="DW490" s="5" t="s">
        <v>231</v>
      </c>
      <c r="DX490" s="5">
        <f t="shared" si="1543"/>
        <v>2</v>
      </c>
      <c r="DY490" s="5">
        <f t="shared" si="1544"/>
        <v>22</v>
      </c>
      <c r="DZ490" s="5" t="str">
        <f t="shared" si="1545"/>
        <v>Nivel de riesgo medio</v>
      </c>
      <c r="EA490" s="5" t="s">
        <v>247</v>
      </c>
      <c r="EB490" s="5">
        <f t="shared" si="1546"/>
        <v>2</v>
      </c>
      <c r="EC490" s="5" t="s">
        <v>247</v>
      </c>
      <c r="ED490" s="5">
        <f t="shared" si="1547"/>
        <v>2</v>
      </c>
      <c r="EE490" s="5" t="s">
        <v>248</v>
      </c>
      <c r="EF490" s="5">
        <f t="shared" si="1548"/>
        <v>1</v>
      </c>
      <c r="EG490" s="5">
        <f t="shared" si="1549"/>
        <v>5</v>
      </c>
      <c r="EH490" s="5" t="str">
        <f t="shared" si="1550"/>
        <v>Nivel de riesgo alto</v>
      </c>
      <c r="EI490" s="5" t="s">
        <v>248</v>
      </c>
      <c r="EJ490" s="5">
        <f t="shared" si="1551"/>
        <v>1</v>
      </c>
      <c r="EK490" s="5" t="s">
        <v>253</v>
      </c>
      <c r="EL490" s="5">
        <f t="shared" si="1552"/>
        <v>0</v>
      </c>
      <c r="EM490" s="5" t="s">
        <v>247</v>
      </c>
      <c r="EN490" s="5">
        <f t="shared" si="1553"/>
        <v>2</v>
      </c>
      <c r="EO490" s="5">
        <f t="shared" si="1554"/>
        <v>3</v>
      </c>
      <c r="EP490" s="5" t="str">
        <f t="shared" si="1555"/>
        <v>Nivel de riesgo medio</v>
      </c>
      <c r="EQ490" s="5" t="s">
        <v>232</v>
      </c>
      <c r="ER490" s="5">
        <f t="shared" si="1556"/>
        <v>1</v>
      </c>
      <c r="ES490" s="5" t="s">
        <v>232</v>
      </c>
      <c r="ET490" s="5">
        <f t="shared" si="1557"/>
        <v>1</v>
      </c>
      <c r="EU490" s="5" t="s">
        <v>232</v>
      </c>
      <c r="EV490" s="5">
        <f t="shared" si="1558"/>
        <v>1</v>
      </c>
      <c r="EW490" s="5" t="s">
        <v>232</v>
      </c>
      <c r="EX490" s="5">
        <f t="shared" si="1559"/>
        <v>1</v>
      </c>
      <c r="EY490" s="5">
        <f t="shared" si="1560"/>
        <v>4</v>
      </c>
      <c r="EZ490" s="5" t="str">
        <f t="shared" si="1561"/>
        <v>Nivel de riesgo medio</v>
      </c>
      <c r="FA490" s="5" t="s">
        <v>247</v>
      </c>
      <c r="FB490" s="5">
        <f t="shared" si="1562"/>
        <v>2</v>
      </c>
      <c r="FC490" s="5" t="s">
        <v>247</v>
      </c>
      <c r="FD490" s="5">
        <f t="shared" si="1563"/>
        <v>2</v>
      </c>
      <c r="FE490" s="5" t="s">
        <v>232</v>
      </c>
      <c r="FF490" s="5">
        <f t="shared" si="1564"/>
        <v>3</v>
      </c>
      <c r="FG490" s="5">
        <f t="shared" si="1565"/>
        <v>7</v>
      </c>
      <c r="FH490" s="5" t="str">
        <f t="shared" si="1566"/>
        <v>Nivel de riesgo alto</v>
      </c>
      <c r="FI490" s="5" t="s">
        <v>247</v>
      </c>
      <c r="FJ490" s="5">
        <f t="shared" si="1567"/>
        <v>2</v>
      </c>
      <c r="FK490" s="5" t="s">
        <v>248</v>
      </c>
      <c r="FL490" s="5">
        <f t="shared" si="1568"/>
        <v>1</v>
      </c>
      <c r="FM490" s="5" t="s">
        <v>248</v>
      </c>
      <c r="FN490" s="5">
        <f t="shared" si="1569"/>
        <v>1</v>
      </c>
      <c r="FO490" s="5">
        <f t="shared" si="1570"/>
        <v>4</v>
      </c>
      <c r="FP490" s="5" t="str">
        <f t="shared" si="1571"/>
        <v>Nivel de riesgo medio</v>
      </c>
      <c r="FQ490" s="5" t="s">
        <v>206</v>
      </c>
      <c r="FR490" s="5">
        <f t="shared" si="1572"/>
        <v>0</v>
      </c>
      <c r="FS490" s="5" t="s">
        <v>265</v>
      </c>
      <c r="FT490" s="5">
        <f t="shared" si="1573"/>
        <v>1</v>
      </c>
      <c r="FU490" s="5" t="s">
        <v>206</v>
      </c>
      <c r="FV490" s="5">
        <f t="shared" si="1574"/>
        <v>0</v>
      </c>
      <c r="FW490" s="5" t="s">
        <v>206</v>
      </c>
      <c r="FX490" s="5">
        <f t="shared" si="1575"/>
        <v>0</v>
      </c>
      <c r="FY490" s="5" t="s">
        <v>206</v>
      </c>
      <c r="FZ490" s="5">
        <f t="shared" si="1576"/>
        <v>0</v>
      </c>
      <c r="GA490" s="5" t="s">
        <v>206</v>
      </c>
      <c r="GB490" s="5">
        <f t="shared" si="1577"/>
        <v>0</v>
      </c>
      <c r="GC490" s="5" t="s">
        <v>206</v>
      </c>
      <c r="GD490" s="5">
        <f t="shared" si="1578"/>
        <v>0</v>
      </c>
      <c r="GE490" s="5">
        <f t="shared" si="1579"/>
        <v>1</v>
      </c>
      <c r="GF490" s="5" t="str">
        <f t="shared" si="1580"/>
        <v>Nivel de riesgo medio</v>
      </c>
      <c r="GG490" s="5" t="s">
        <v>266</v>
      </c>
      <c r="GH490" s="5" t="s">
        <v>298</v>
      </c>
      <c r="GI490" s="5" t="s">
        <v>266</v>
      </c>
      <c r="GJ490" s="5" t="s">
        <v>233</v>
      </c>
      <c r="GK490" s="5" t="s">
        <v>233</v>
      </c>
      <c r="GL490" s="5" t="s">
        <v>233</v>
      </c>
      <c r="GM490" s="5" t="s">
        <v>266</v>
      </c>
      <c r="GN490" s="5" t="s">
        <v>234</v>
      </c>
      <c r="GO490" s="5" t="s">
        <v>234</v>
      </c>
      <c r="GP490" s="5" t="s">
        <v>234</v>
      </c>
      <c r="GQ490" s="5" t="s">
        <v>234</v>
      </c>
      <c r="GR490" s="5" t="s">
        <v>244</v>
      </c>
      <c r="GS490" s="5" t="s">
        <v>244</v>
      </c>
      <c r="GT490" s="5" t="s">
        <v>234</v>
      </c>
      <c r="GU490" s="5" t="s">
        <v>857</v>
      </c>
      <c r="GV490" s="5" t="str">
        <f>TEXT("6290286306808655754","0")</f>
        <v>6290286306808650000</v>
      </c>
    </row>
    <row r="491" spans="1:204" ht="15.75" customHeight="1" x14ac:dyDescent="0.15">
      <c r="A491" s="1">
        <f t="shared" si="1530"/>
        <v>491</v>
      </c>
      <c r="B491" s="4">
        <v>45860.738321759258</v>
      </c>
      <c r="C491" s="5" t="s">
        <v>204</v>
      </c>
      <c r="D491" s="5" t="s">
        <v>206</v>
      </c>
      <c r="F491" s="5" t="s">
        <v>206</v>
      </c>
      <c r="G491" s="5" t="s">
        <v>206</v>
      </c>
      <c r="H491" s="5" t="s">
        <v>206</v>
      </c>
      <c r="L491" s="5" t="s">
        <v>236</v>
      </c>
      <c r="O491" s="5" t="s">
        <v>209</v>
      </c>
      <c r="S491" s="5" t="s">
        <v>208</v>
      </c>
      <c r="Y491" s="5" t="s">
        <v>209</v>
      </c>
      <c r="AD491" s="5" t="s">
        <v>209</v>
      </c>
      <c r="AH491" s="5" t="s">
        <v>210</v>
      </c>
      <c r="AI491" s="5">
        <v>2021</v>
      </c>
      <c r="AJ491" s="5" t="s">
        <v>238</v>
      </c>
      <c r="AK491" s="5" t="str">
        <f t="shared" si="1531"/>
        <v>Trabajadora por cuenta propia</v>
      </c>
      <c r="AL491" s="5" t="s">
        <v>239</v>
      </c>
      <c r="AP491" s="5" t="s">
        <v>297</v>
      </c>
      <c r="AR491" s="5" t="s">
        <v>301</v>
      </c>
      <c r="AS491" s="5" t="s">
        <v>241</v>
      </c>
      <c r="AT491" s="5" t="s">
        <v>241</v>
      </c>
      <c r="AU491" s="5" t="s">
        <v>241</v>
      </c>
      <c r="AV491" s="5" t="s">
        <v>302</v>
      </c>
      <c r="AW491" s="5" t="s">
        <v>206</v>
      </c>
      <c r="BF491" s="5" t="s">
        <v>204</v>
      </c>
      <c r="BG491" s="5" t="s">
        <v>242</v>
      </c>
      <c r="BH491" s="5" t="s">
        <v>242</v>
      </c>
      <c r="BI491" s="5" t="s">
        <v>242</v>
      </c>
      <c r="BJ491" s="5" t="s">
        <v>242</v>
      </c>
      <c r="BK491" s="5" t="s">
        <v>245</v>
      </c>
      <c r="BL491" s="5" t="s">
        <v>243</v>
      </c>
      <c r="BM491" s="5" t="s">
        <v>243</v>
      </c>
      <c r="BN491" s="5" t="s">
        <v>245</v>
      </c>
      <c r="BO491" s="5" t="s">
        <v>243</v>
      </c>
      <c r="BP491" s="5" t="s">
        <v>245</v>
      </c>
      <c r="BQ491" s="5" t="s">
        <v>243</v>
      </c>
      <c r="BR491" s="5" t="s">
        <v>243</v>
      </c>
      <c r="BS491" s="5" t="s">
        <v>232</v>
      </c>
      <c r="BT491" s="5" t="s">
        <v>232</v>
      </c>
      <c r="BU491" s="5" t="s">
        <v>232</v>
      </c>
      <c r="BV491" s="5" t="s">
        <v>232</v>
      </c>
      <c r="BW491" s="5" t="s">
        <v>247</v>
      </c>
      <c r="BX491" s="5" t="s">
        <v>232</v>
      </c>
      <c r="BY491" s="5" t="s">
        <v>254</v>
      </c>
      <c r="CD491" s="5" t="s">
        <v>206</v>
      </c>
      <c r="CH491" s="5" t="s">
        <v>206</v>
      </c>
      <c r="CI491" s="5" t="s">
        <v>249</v>
      </c>
      <c r="CJ491" s="5">
        <v>2</v>
      </c>
      <c r="CN491" s="5" t="s">
        <v>618</v>
      </c>
      <c r="CU491" s="5" t="s">
        <v>204</v>
      </c>
      <c r="CV491" s="5" t="s">
        <v>350</v>
      </c>
      <c r="CW491" s="5" t="s">
        <v>619</v>
      </c>
      <c r="CX491" s="5" t="s">
        <v>435</v>
      </c>
      <c r="CY491" s="5" t="s">
        <v>353</v>
      </c>
      <c r="CZ491" s="5" t="s">
        <v>206</v>
      </c>
      <c r="DA491" s="5" t="s">
        <v>231</v>
      </c>
      <c r="DB491" s="5">
        <f t="shared" si="1532"/>
        <v>2</v>
      </c>
      <c r="DC491" s="5" t="s">
        <v>250</v>
      </c>
      <c r="DD491" s="5">
        <f t="shared" si="1533"/>
        <v>3</v>
      </c>
      <c r="DE491" s="5" t="s">
        <v>230</v>
      </c>
      <c r="DF491" s="5">
        <f t="shared" si="1534"/>
        <v>2</v>
      </c>
      <c r="DG491" s="5" t="s">
        <v>251</v>
      </c>
      <c r="DH491" s="5">
        <f t="shared" si="1535"/>
        <v>1</v>
      </c>
      <c r="DI491" s="5" t="s">
        <v>251</v>
      </c>
      <c r="DJ491" s="5">
        <f t="shared" si="1536"/>
        <v>1</v>
      </c>
      <c r="DK491" s="5" t="s">
        <v>251</v>
      </c>
      <c r="DL491" s="5">
        <f t="shared" si="1537"/>
        <v>1</v>
      </c>
      <c r="DM491" s="5" t="s">
        <v>251</v>
      </c>
      <c r="DN491" s="5">
        <f t="shared" si="1538"/>
        <v>1</v>
      </c>
      <c r="DO491" s="5" t="s">
        <v>281</v>
      </c>
      <c r="DP491" s="5">
        <f t="shared" si="1539"/>
        <v>1</v>
      </c>
      <c r="DQ491" s="5" t="s">
        <v>281</v>
      </c>
      <c r="DR491" s="5">
        <f t="shared" si="1540"/>
        <v>1</v>
      </c>
      <c r="DS491" s="5" t="s">
        <v>281</v>
      </c>
      <c r="DT491" s="5">
        <f t="shared" si="1541"/>
        <v>1</v>
      </c>
      <c r="DU491" s="5" t="s">
        <v>281</v>
      </c>
      <c r="DV491" s="5">
        <f t="shared" si="1542"/>
        <v>1</v>
      </c>
      <c r="DW491" s="5" t="s">
        <v>281</v>
      </c>
      <c r="DX491" s="5">
        <f t="shared" si="1543"/>
        <v>1</v>
      </c>
      <c r="DY491" s="5">
        <f t="shared" si="1544"/>
        <v>16</v>
      </c>
      <c r="DZ491" s="5" t="str">
        <f t="shared" si="1545"/>
        <v>Nivel de riesgo bajo</v>
      </c>
      <c r="EA491" s="5" t="s">
        <v>248</v>
      </c>
      <c r="EB491" s="5">
        <f t="shared" si="1546"/>
        <v>1</v>
      </c>
      <c r="EC491" s="5" t="s">
        <v>247</v>
      </c>
      <c r="ED491" s="5">
        <f t="shared" si="1547"/>
        <v>2</v>
      </c>
      <c r="EE491" s="5" t="s">
        <v>247</v>
      </c>
      <c r="EF491" s="5">
        <f t="shared" si="1548"/>
        <v>2</v>
      </c>
      <c r="EG491" s="5">
        <f t="shared" si="1549"/>
        <v>5</v>
      </c>
      <c r="EH491" s="5" t="str">
        <f t="shared" si="1550"/>
        <v>Nivel de riesgo alto</v>
      </c>
      <c r="EI491" s="5" t="s">
        <v>247</v>
      </c>
      <c r="EJ491" s="5">
        <f t="shared" si="1551"/>
        <v>2</v>
      </c>
      <c r="EK491" s="5" t="s">
        <v>247</v>
      </c>
      <c r="EL491" s="5">
        <f t="shared" si="1552"/>
        <v>2</v>
      </c>
      <c r="EM491" s="5" t="s">
        <v>248</v>
      </c>
      <c r="EN491" s="5">
        <f t="shared" si="1553"/>
        <v>1</v>
      </c>
      <c r="EO491" s="5">
        <f t="shared" si="1554"/>
        <v>5</v>
      </c>
      <c r="EP491" s="5" t="str">
        <f t="shared" si="1555"/>
        <v>Nivel de riesgo medio</v>
      </c>
      <c r="EQ491" s="5" t="s">
        <v>253</v>
      </c>
      <c r="ER491" s="5">
        <f t="shared" si="1556"/>
        <v>4</v>
      </c>
      <c r="ES491" s="5" t="s">
        <v>253</v>
      </c>
      <c r="ET491" s="5">
        <f t="shared" si="1557"/>
        <v>4</v>
      </c>
      <c r="EU491" s="5" t="s">
        <v>254</v>
      </c>
      <c r="EV491" s="5">
        <f t="shared" si="1558"/>
        <v>0</v>
      </c>
      <c r="EW491" s="5" t="s">
        <v>254</v>
      </c>
      <c r="EX491" s="5">
        <f t="shared" si="1559"/>
        <v>0</v>
      </c>
      <c r="EY491" s="5">
        <f t="shared" si="1560"/>
        <v>8</v>
      </c>
      <c r="EZ491" s="5" t="str">
        <f t="shared" si="1561"/>
        <v>Nivel de riesgo alto</v>
      </c>
      <c r="FA491" s="5" t="s">
        <v>247</v>
      </c>
      <c r="FB491" s="5">
        <f t="shared" si="1562"/>
        <v>2</v>
      </c>
      <c r="FC491" s="5" t="s">
        <v>253</v>
      </c>
      <c r="FD491" s="5">
        <f t="shared" si="1563"/>
        <v>0</v>
      </c>
      <c r="FE491" s="5" t="s">
        <v>253</v>
      </c>
      <c r="FF491" s="5">
        <f t="shared" si="1564"/>
        <v>0</v>
      </c>
      <c r="FG491" s="5">
        <f t="shared" si="1565"/>
        <v>2</v>
      </c>
      <c r="FH491" s="5" t="str">
        <f t="shared" si="1566"/>
        <v>Nivel de riesgo bajo</v>
      </c>
      <c r="FI491" s="5" t="s">
        <v>253</v>
      </c>
      <c r="FJ491" s="5">
        <f t="shared" si="1567"/>
        <v>0</v>
      </c>
      <c r="FK491" s="5" t="s">
        <v>248</v>
      </c>
      <c r="FL491" s="5">
        <f t="shared" si="1568"/>
        <v>1</v>
      </c>
      <c r="FM491" s="5" t="s">
        <v>248</v>
      </c>
      <c r="FN491" s="5">
        <f t="shared" si="1569"/>
        <v>1</v>
      </c>
      <c r="FO491" s="5">
        <f t="shared" si="1570"/>
        <v>2</v>
      </c>
      <c r="FP491" s="5" t="str">
        <f t="shared" si="1571"/>
        <v>Nivel de riesgo bajo</v>
      </c>
      <c r="FQ491" s="5" t="s">
        <v>206</v>
      </c>
      <c r="FR491" s="5">
        <f t="shared" si="1572"/>
        <v>0</v>
      </c>
      <c r="FS491" s="5" t="s">
        <v>206</v>
      </c>
      <c r="FT491" s="5">
        <f t="shared" si="1573"/>
        <v>0</v>
      </c>
      <c r="FU491" s="5" t="s">
        <v>206</v>
      </c>
      <c r="FV491" s="5">
        <f t="shared" si="1574"/>
        <v>0</v>
      </c>
      <c r="FW491" s="5" t="s">
        <v>206</v>
      </c>
      <c r="FX491" s="5">
        <f t="shared" si="1575"/>
        <v>0</v>
      </c>
      <c r="FY491" s="5" t="s">
        <v>206</v>
      </c>
      <c r="FZ491" s="5">
        <f t="shared" si="1576"/>
        <v>0</v>
      </c>
      <c r="GA491" s="5" t="s">
        <v>265</v>
      </c>
      <c r="GB491" s="5">
        <f t="shared" si="1577"/>
        <v>1</v>
      </c>
      <c r="GC491" s="5" t="s">
        <v>206</v>
      </c>
      <c r="GD491" s="5">
        <f t="shared" si="1578"/>
        <v>0</v>
      </c>
      <c r="GE491" s="5">
        <f t="shared" si="1579"/>
        <v>1</v>
      </c>
      <c r="GF491" s="5" t="str">
        <f t="shared" si="1580"/>
        <v>Nivel de riesgo medio</v>
      </c>
      <c r="GG491" s="5" t="s">
        <v>255</v>
      </c>
      <c r="GH491" s="5" t="s">
        <v>255</v>
      </c>
      <c r="GI491" s="5" t="s">
        <v>255</v>
      </c>
      <c r="GJ491" s="5" t="s">
        <v>273</v>
      </c>
      <c r="GK491" s="5" t="s">
        <v>233</v>
      </c>
      <c r="GL491" s="5" t="s">
        <v>273</v>
      </c>
      <c r="GM491" s="5" t="s">
        <v>273</v>
      </c>
      <c r="GN491" s="5" t="s">
        <v>243</v>
      </c>
      <c r="GO491" s="5" t="s">
        <v>257</v>
      </c>
      <c r="GP491" s="5" t="s">
        <v>257</v>
      </c>
      <c r="GQ491" s="5" t="s">
        <v>244</v>
      </c>
      <c r="GR491" s="5" t="s">
        <v>257</v>
      </c>
      <c r="GS491" s="5" t="s">
        <v>244</v>
      </c>
      <c r="GT491" s="5" t="s">
        <v>243</v>
      </c>
      <c r="GU491" s="5" t="s">
        <v>858</v>
      </c>
      <c r="GV491" s="5" t="str">
        <f>TEXT("6290297910473947623","0")</f>
        <v>6290297910473940000</v>
      </c>
    </row>
    <row r="492" spans="1:204" ht="15.75" customHeight="1" x14ac:dyDescent="0.15">
      <c r="A492" s="1">
        <f t="shared" si="1530"/>
        <v>492</v>
      </c>
      <c r="B492" s="4">
        <v>45860.738981481481</v>
      </c>
      <c r="C492" s="5" t="s">
        <v>204</v>
      </c>
      <c r="D492" s="5" t="s">
        <v>206</v>
      </c>
      <c r="F492" s="5" t="s">
        <v>206</v>
      </c>
      <c r="G492" s="5" t="s">
        <v>204</v>
      </c>
      <c r="H492" s="5" t="s">
        <v>206</v>
      </c>
      <c r="L492" s="5" t="s">
        <v>236</v>
      </c>
      <c r="P492" s="5" t="s">
        <v>237</v>
      </c>
      <c r="S492" s="5" t="s">
        <v>208</v>
      </c>
      <c r="Y492" s="5" t="s">
        <v>209</v>
      </c>
      <c r="AE492" s="5" t="s">
        <v>237</v>
      </c>
      <c r="AH492" s="5" t="s">
        <v>210</v>
      </c>
      <c r="AI492" s="5">
        <v>2022</v>
      </c>
      <c r="AJ492" s="5" t="s">
        <v>238</v>
      </c>
      <c r="AK492" s="5" t="str">
        <f t="shared" si="1531"/>
        <v>Trabajadora por cuenta propia</v>
      </c>
      <c r="AL492" s="5" t="s">
        <v>239</v>
      </c>
      <c r="AP492" s="5" t="s">
        <v>297</v>
      </c>
      <c r="AR492" s="5" t="s">
        <v>241</v>
      </c>
      <c r="AS492" s="5" t="s">
        <v>241</v>
      </c>
      <c r="AT492" s="5" t="s">
        <v>261</v>
      </c>
      <c r="AU492" s="5" t="s">
        <v>261</v>
      </c>
      <c r="AV492" s="5" t="s">
        <v>213</v>
      </c>
      <c r="AW492" s="5" t="s">
        <v>204</v>
      </c>
      <c r="AX492" s="5" t="s">
        <v>204</v>
      </c>
      <c r="AY492" s="5" t="s">
        <v>366</v>
      </c>
      <c r="AZ492" s="5" t="s">
        <v>204</v>
      </c>
      <c r="BA492" s="5" t="s">
        <v>295</v>
      </c>
      <c r="BB492" s="5" t="s">
        <v>204</v>
      </c>
      <c r="BC492" s="5" t="s">
        <v>204</v>
      </c>
      <c r="BD492" s="5" t="s">
        <v>206</v>
      </c>
      <c r="BE492" s="5" t="s">
        <v>206</v>
      </c>
      <c r="BF492" s="5" t="s">
        <v>204</v>
      </c>
      <c r="BG492" s="5" t="s">
        <v>278</v>
      </c>
      <c r="BH492" s="5" t="s">
        <v>271</v>
      </c>
      <c r="BI492" s="5" t="s">
        <v>278</v>
      </c>
      <c r="BJ492" s="5" t="s">
        <v>271</v>
      </c>
      <c r="BK492" s="5" t="s">
        <v>243</v>
      </c>
      <c r="BL492" s="5" t="s">
        <v>246</v>
      </c>
      <c r="BM492" s="5" t="s">
        <v>243</v>
      </c>
      <c r="BN492" s="5" t="s">
        <v>245</v>
      </c>
      <c r="BO492" s="5" t="s">
        <v>245</v>
      </c>
      <c r="BP492" s="5" t="s">
        <v>245</v>
      </c>
      <c r="BQ492" s="5" t="s">
        <v>245</v>
      </c>
      <c r="BR492" s="5" t="s">
        <v>243</v>
      </c>
      <c r="BS492" s="5" t="s">
        <v>254</v>
      </c>
      <c r="BT492" s="5" t="s">
        <v>232</v>
      </c>
      <c r="BU492" s="5" t="s">
        <v>247</v>
      </c>
      <c r="BV492" s="5" t="s">
        <v>232</v>
      </c>
      <c r="BW492" s="5" t="s">
        <v>247</v>
      </c>
      <c r="BX492" s="5" t="s">
        <v>232</v>
      </c>
      <c r="BY492" s="5" t="s">
        <v>248</v>
      </c>
      <c r="BZ492" s="5" t="s">
        <v>246</v>
      </c>
      <c r="CA492" s="5" t="s">
        <v>244</v>
      </c>
      <c r="CB492" s="5" t="s">
        <v>216</v>
      </c>
      <c r="CC492" s="5" t="s">
        <v>243</v>
      </c>
      <c r="CD492" s="5" t="s">
        <v>206</v>
      </c>
      <c r="CH492" s="5" t="s">
        <v>206</v>
      </c>
      <c r="CI492" s="5" t="s">
        <v>206</v>
      </c>
      <c r="CJ492" s="5">
        <v>5</v>
      </c>
      <c r="CL492" s="5" t="s">
        <v>414</v>
      </c>
      <c r="CU492" s="5" t="s">
        <v>204</v>
      </c>
      <c r="CV492" s="5" t="s">
        <v>350</v>
      </c>
      <c r="CW492" s="5" t="s">
        <v>351</v>
      </c>
      <c r="CX492" s="5" t="s">
        <v>226</v>
      </c>
      <c r="CY492" s="5" t="s">
        <v>353</v>
      </c>
      <c r="CZ492" s="5" t="s">
        <v>206</v>
      </c>
      <c r="DA492" s="5" t="s">
        <v>231</v>
      </c>
      <c r="DB492" s="5">
        <f t="shared" si="1532"/>
        <v>2</v>
      </c>
      <c r="DC492" s="5" t="s">
        <v>250</v>
      </c>
      <c r="DD492" s="5">
        <f t="shared" si="1533"/>
        <v>3</v>
      </c>
      <c r="DE492" s="5" t="s">
        <v>250</v>
      </c>
      <c r="DF492" s="5">
        <f t="shared" si="1534"/>
        <v>3</v>
      </c>
      <c r="DG492" s="5" t="s">
        <v>230</v>
      </c>
      <c r="DH492" s="5">
        <f t="shared" si="1535"/>
        <v>2</v>
      </c>
      <c r="DI492" s="5" t="s">
        <v>250</v>
      </c>
      <c r="DJ492" s="5">
        <f t="shared" si="1536"/>
        <v>3</v>
      </c>
      <c r="DK492" s="5" t="s">
        <v>250</v>
      </c>
      <c r="DL492" s="5">
        <f t="shared" si="1537"/>
        <v>3</v>
      </c>
      <c r="DM492" s="5" t="s">
        <v>250</v>
      </c>
      <c r="DN492" s="5">
        <f t="shared" si="1538"/>
        <v>3</v>
      </c>
      <c r="DO492" s="5" t="s">
        <v>252</v>
      </c>
      <c r="DP492" s="5">
        <f t="shared" si="1539"/>
        <v>3</v>
      </c>
      <c r="DQ492" s="5" t="s">
        <v>281</v>
      </c>
      <c r="DR492" s="5">
        <f t="shared" si="1540"/>
        <v>1</v>
      </c>
      <c r="DS492" s="5" t="s">
        <v>231</v>
      </c>
      <c r="DT492" s="5">
        <f t="shared" si="1541"/>
        <v>2</v>
      </c>
      <c r="DU492" s="5" t="s">
        <v>281</v>
      </c>
      <c r="DV492" s="5">
        <f t="shared" si="1542"/>
        <v>1</v>
      </c>
      <c r="DW492" s="5" t="s">
        <v>281</v>
      </c>
      <c r="DX492" s="5">
        <f t="shared" si="1543"/>
        <v>1</v>
      </c>
      <c r="DY492" s="5">
        <f t="shared" si="1544"/>
        <v>27</v>
      </c>
      <c r="DZ492" s="5" t="str">
        <f t="shared" si="1545"/>
        <v>Nivel de riesgo alto</v>
      </c>
      <c r="EA492" s="5" t="s">
        <v>232</v>
      </c>
      <c r="EB492" s="5">
        <f t="shared" si="1546"/>
        <v>3</v>
      </c>
      <c r="EC492" s="5" t="s">
        <v>232</v>
      </c>
      <c r="ED492" s="5">
        <f t="shared" si="1547"/>
        <v>3</v>
      </c>
      <c r="EE492" s="5" t="s">
        <v>253</v>
      </c>
      <c r="EF492" s="5">
        <f t="shared" si="1548"/>
        <v>0</v>
      </c>
      <c r="EG492" s="5">
        <f t="shared" si="1549"/>
        <v>6</v>
      </c>
      <c r="EH492" s="5" t="str">
        <f t="shared" si="1550"/>
        <v>Nivel de riesgo alto</v>
      </c>
      <c r="EI492" s="5" t="s">
        <v>253</v>
      </c>
      <c r="EJ492" s="5">
        <f t="shared" si="1551"/>
        <v>0</v>
      </c>
      <c r="EK492" s="5" t="s">
        <v>253</v>
      </c>
      <c r="EL492" s="5">
        <f t="shared" si="1552"/>
        <v>0</v>
      </c>
      <c r="EM492" s="5" t="s">
        <v>253</v>
      </c>
      <c r="EN492" s="5">
        <f t="shared" si="1553"/>
        <v>0</v>
      </c>
      <c r="EO492" s="5">
        <f t="shared" si="1554"/>
        <v>0</v>
      </c>
      <c r="EP492" s="5" t="str">
        <f t="shared" si="1555"/>
        <v>Nivel de riesgo bajo</v>
      </c>
      <c r="EQ492" s="5" t="s">
        <v>253</v>
      </c>
      <c r="ER492" s="5">
        <f t="shared" si="1556"/>
        <v>4</v>
      </c>
      <c r="ES492" s="5" t="s">
        <v>253</v>
      </c>
      <c r="ET492" s="5">
        <f t="shared" si="1557"/>
        <v>4</v>
      </c>
      <c r="EU492" s="5" t="s">
        <v>232</v>
      </c>
      <c r="EV492" s="5">
        <f t="shared" si="1558"/>
        <v>1</v>
      </c>
      <c r="EW492" s="5" t="s">
        <v>232</v>
      </c>
      <c r="EX492" s="5">
        <f t="shared" si="1559"/>
        <v>1</v>
      </c>
      <c r="EY492" s="5">
        <f t="shared" si="1560"/>
        <v>10</v>
      </c>
      <c r="EZ492" s="5" t="str">
        <f t="shared" si="1561"/>
        <v>Nivel de riesgo alto</v>
      </c>
      <c r="FA492" s="5" t="s">
        <v>232</v>
      </c>
      <c r="FB492" s="5">
        <f t="shared" si="1562"/>
        <v>3</v>
      </c>
      <c r="FC492" s="5" t="s">
        <v>253</v>
      </c>
      <c r="FD492" s="5">
        <f t="shared" si="1563"/>
        <v>0</v>
      </c>
      <c r="FE492" s="5" t="s">
        <v>253</v>
      </c>
      <c r="FF492" s="5">
        <f t="shared" si="1564"/>
        <v>0</v>
      </c>
      <c r="FG492" s="5">
        <f t="shared" si="1565"/>
        <v>3</v>
      </c>
      <c r="FH492" s="5" t="str">
        <f t="shared" si="1566"/>
        <v>Nivel de riesgo medio</v>
      </c>
      <c r="FI492" s="5" t="s">
        <v>232</v>
      </c>
      <c r="FJ492" s="5">
        <f t="shared" si="1567"/>
        <v>3</v>
      </c>
      <c r="FK492" s="5" t="s">
        <v>232</v>
      </c>
      <c r="FL492" s="5">
        <f t="shared" si="1568"/>
        <v>3</v>
      </c>
      <c r="FM492" s="5" t="s">
        <v>248</v>
      </c>
      <c r="FN492" s="5">
        <f t="shared" si="1569"/>
        <v>1</v>
      </c>
      <c r="FO492" s="5">
        <f t="shared" si="1570"/>
        <v>7</v>
      </c>
      <c r="FP492" s="5" t="str">
        <f t="shared" si="1571"/>
        <v>Nivel de riesgo alto</v>
      </c>
      <c r="FQ492" s="5" t="s">
        <v>206</v>
      </c>
      <c r="FR492" s="5">
        <f t="shared" si="1572"/>
        <v>0</v>
      </c>
      <c r="FS492" s="5" t="s">
        <v>206</v>
      </c>
      <c r="FT492" s="5">
        <f t="shared" si="1573"/>
        <v>0</v>
      </c>
      <c r="FU492" s="5" t="s">
        <v>206</v>
      </c>
      <c r="FV492" s="5">
        <f t="shared" si="1574"/>
        <v>0</v>
      </c>
      <c r="FW492" s="5" t="s">
        <v>206</v>
      </c>
      <c r="FX492" s="5">
        <f t="shared" si="1575"/>
        <v>0</v>
      </c>
      <c r="FY492" s="5" t="s">
        <v>206</v>
      </c>
      <c r="FZ492" s="5">
        <f t="shared" si="1576"/>
        <v>0</v>
      </c>
      <c r="GA492" s="5" t="s">
        <v>206</v>
      </c>
      <c r="GB492" s="5">
        <f t="shared" si="1577"/>
        <v>0</v>
      </c>
      <c r="GC492" s="5" t="s">
        <v>206</v>
      </c>
      <c r="GD492" s="5">
        <f t="shared" si="1578"/>
        <v>0</v>
      </c>
      <c r="GE492" s="5">
        <f t="shared" si="1579"/>
        <v>0</v>
      </c>
      <c r="GF492" s="5" t="str">
        <f t="shared" si="1580"/>
        <v>Nivel de riesgo bajo</v>
      </c>
      <c r="GG492" s="5" t="s">
        <v>273</v>
      </c>
      <c r="GH492" s="5" t="s">
        <v>273</v>
      </c>
      <c r="GI492" s="5" t="s">
        <v>266</v>
      </c>
      <c r="GJ492" s="5" t="s">
        <v>266</v>
      </c>
      <c r="GK492" s="5" t="s">
        <v>233</v>
      </c>
      <c r="GL492" s="5" t="s">
        <v>233</v>
      </c>
      <c r="GM492" s="5" t="s">
        <v>273</v>
      </c>
      <c r="GN492" s="5" t="s">
        <v>234</v>
      </c>
      <c r="GO492" s="5" t="s">
        <v>234</v>
      </c>
      <c r="GP492" s="5" t="s">
        <v>234</v>
      </c>
      <c r="GQ492" s="5" t="s">
        <v>234</v>
      </c>
      <c r="GR492" s="5" t="s">
        <v>234</v>
      </c>
      <c r="GS492" s="5" t="s">
        <v>234</v>
      </c>
      <c r="GT492" s="5" t="s">
        <v>243</v>
      </c>
      <c r="GU492" s="5" t="s">
        <v>859</v>
      </c>
      <c r="GV492" s="5" t="str">
        <f>TEXT("6290298488613752341","0")</f>
        <v>6290298488613750000</v>
      </c>
    </row>
    <row r="493" spans="1:204" ht="15.75" customHeight="1" x14ac:dyDescent="0.15">
      <c r="A493" s="1">
        <f t="shared" si="1530"/>
        <v>493</v>
      </c>
      <c r="B493" s="4">
        <v>45860.749988425923</v>
      </c>
      <c r="C493" s="5" t="s">
        <v>204</v>
      </c>
      <c r="D493" s="5" t="s">
        <v>206</v>
      </c>
      <c r="F493" s="5" t="s">
        <v>206</v>
      </c>
      <c r="G493" s="5" t="s">
        <v>206</v>
      </c>
      <c r="H493" s="5" t="s">
        <v>206</v>
      </c>
      <c r="L493" s="5" t="s">
        <v>236</v>
      </c>
      <c r="O493" s="5" t="s">
        <v>209</v>
      </c>
      <c r="S493" s="5" t="s">
        <v>208</v>
      </c>
      <c r="Y493" s="5" t="s">
        <v>209</v>
      </c>
      <c r="AC493" s="5" t="s">
        <v>208</v>
      </c>
      <c r="AH493" s="5" t="s">
        <v>210</v>
      </c>
      <c r="AI493" s="5">
        <v>1993</v>
      </c>
      <c r="AJ493" s="5" t="s">
        <v>238</v>
      </c>
      <c r="AK493" s="5" t="str">
        <f t="shared" si="1531"/>
        <v>Trabajadora por cuenta propia</v>
      </c>
      <c r="AM493" s="5" t="s">
        <v>309</v>
      </c>
      <c r="AP493" s="5" t="s">
        <v>321</v>
      </c>
      <c r="AR493" s="5" t="s">
        <v>241</v>
      </c>
      <c r="AS493" s="5" t="s">
        <v>301</v>
      </c>
      <c r="AT493" s="5" t="s">
        <v>301</v>
      </c>
      <c r="AU493" s="5" t="s">
        <v>301</v>
      </c>
      <c r="AV493" s="5" t="s">
        <v>285</v>
      </c>
      <c r="AW493" s="5" t="s">
        <v>204</v>
      </c>
      <c r="AX493" s="5" t="s">
        <v>204</v>
      </c>
      <c r="AY493" s="5" t="s">
        <v>214</v>
      </c>
      <c r="AZ493" s="5" t="s">
        <v>204</v>
      </c>
      <c r="BA493" s="5" t="s">
        <v>348</v>
      </c>
      <c r="BF493" s="5" t="s">
        <v>204</v>
      </c>
      <c r="BG493" s="5" t="s">
        <v>215</v>
      </c>
      <c r="BH493" s="5" t="s">
        <v>215</v>
      </c>
      <c r="BI493" s="5" t="s">
        <v>215</v>
      </c>
      <c r="BJ493" s="5" t="s">
        <v>215</v>
      </c>
      <c r="BK493" s="5" t="s">
        <v>216</v>
      </c>
      <c r="BL493" s="5" t="s">
        <v>216</v>
      </c>
      <c r="BM493" s="5" t="s">
        <v>216</v>
      </c>
      <c r="BN493" s="5" t="s">
        <v>216</v>
      </c>
      <c r="BO493" s="5" t="s">
        <v>216</v>
      </c>
      <c r="BP493" s="5" t="s">
        <v>216</v>
      </c>
      <c r="BQ493" s="5" t="s">
        <v>216</v>
      </c>
      <c r="BR493" s="5" t="s">
        <v>216</v>
      </c>
      <c r="BS493" s="5" t="s">
        <v>248</v>
      </c>
      <c r="BT493" s="5" t="s">
        <v>217</v>
      </c>
      <c r="BU493" s="5" t="s">
        <v>217</v>
      </c>
      <c r="BV493" s="5" t="s">
        <v>217</v>
      </c>
      <c r="BW493" s="5" t="s">
        <v>217</v>
      </c>
      <c r="BX493" s="5" t="s">
        <v>217</v>
      </c>
      <c r="BY493" s="5" t="s">
        <v>217</v>
      </c>
      <c r="BZ493" s="5" t="s">
        <v>216</v>
      </c>
      <c r="CA493" s="5" t="s">
        <v>216</v>
      </c>
      <c r="CB493" s="5" t="s">
        <v>216</v>
      </c>
      <c r="CC493" s="5" t="s">
        <v>216</v>
      </c>
      <c r="CD493" s="5" t="s">
        <v>206</v>
      </c>
      <c r="CH493" s="5" t="s">
        <v>206</v>
      </c>
      <c r="CI493" s="5" t="s">
        <v>249</v>
      </c>
      <c r="CJ493" s="5">
        <v>1</v>
      </c>
      <c r="CK493" s="5" t="s">
        <v>223</v>
      </c>
      <c r="CU493" s="5" t="s">
        <v>206</v>
      </c>
      <c r="DA493" s="5" t="s">
        <v>272</v>
      </c>
      <c r="DB493" s="5">
        <f t="shared" si="1532"/>
        <v>1</v>
      </c>
      <c r="DC493" s="5" t="s">
        <v>251</v>
      </c>
      <c r="DD493" s="5">
        <f t="shared" si="1533"/>
        <v>1</v>
      </c>
      <c r="DE493" s="5" t="s">
        <v>251</v>
      </c>
      <c r="DF493" s="5">
        <f t="shared" si="1534"/>
        <v>1</v>
      </c>
      <c r="DG493" s="5" t="s">
        <v>251</v>
      </c>
      <c r="DH493" s="5">
        <f t="shared" si="1535"/>
        <v>1</v>
      </c>
      <c r="DI493" s="5" t="s">
        <v>251</v>
      </c>
      <c r="DJ493" s="5">
        <f t="shared" si="1536"/>
        <v>1</v>
      </c>
      <c r="DK493" s="5" t="s">
        <v>251</v>
      </c>
      <c r="DL493" s="5">
        <f t="shared" si="1537"/>
        <v>1</v>
      </c>
      <c r="DM493" s="5" t="s">
        <v>251</v>
      </c>
      <c r="DN493" s="5">
        <f t="shared" si="1538"/>
        <v>1</v>
      </c>
      <c r="DO493" s="5" t="s">
        <v>281</v>
      </c>
      <c r="DP493" s="5">
        <f t="shared" si="1539"/>
        <v>1</v>
      </c>
      <c r="DQ493" s="5" t="s">
        <v>281</v>
      </c>
      <c r="DR493" s="5">
        <f t="shared" si="1540"/>
        <v>1</v>
      </c>
      <c r="DS493" s="5" t="s">
        <v>281</v>
      </c>
      <c r="DT493" s="5">
        <f t="shared" si="1541"/>
        <v>1</v>
      </c>
      <c r="DU493" s="5" t="s">
        <v>281</v>
      </c>
      <c r="DV493" s="5">
        <f t="shared" si="1542"/>
        <v>1</v>
      </c>
      <c r="DW493" s="5" t="s">
        <v>281</v>
      </c>
      <c r="DX493" s="5">
        <f t="shared" si="1543"/>
        <v>1</v>
      </c>
      <c r="DY493" s="5">
        <f t="shared" si="1544"/>
        <v>12</v>
      </c>
      <c r="DZ493" s="5" t="str">
        <f t="shared" si="1545"/>
        <v>Nivel de riesgo bajo</v>
      </c>
      <c r="EA493" s="5" t="s">
        <v>253</v>
      </c>
      <c r="EB493" s="5">
        <f t="shared" si="1546"/>
        <v>0</v>
      </c>
      <c r="EC493" s="5" t="s">
        <v>253</v>
      </c>
      <c r="ED493" s="5">
        <f t="shared" si="1547"/>
        <v>0</v>
      </c>
      <c r="EE493" s="5" t="s">
        <v>253</v>
      </c>
      <c r="EF493" s="5">
        <f t="shared" si="1548"/>
        <v>0</v>
      </c>
      <c r="EG493" s="5">
        <f t="shared" si="1549"/>
        <v>0</v>
      </c>
      <c r="EH493" s="5" t="str">
        <f t="shared" si="1550"/>
        <v>Nivel de riesgo bajo</v>
      </c>
      <c r="EI493" s="5" t="s">
        <v>253</v>
      </c>
      <c r="EJ493" s="5">
        <f t="shared" si="1551"/>
        <v>0</v>
      </c>
      <c r="EK493" s="5" t="s">
        <v>253</v>
      </c>
      <c r="EL493" s="5">
        <f t="shared" si="1552"/>
        <v>0</v>
      </c>
      <c r="EM493" s="5" t="s">
        <v>253</v>
      </c>
      <c r="EN493" s="5">
        <f t="shared" si="1553"/>
        <v>0</v>
      </c>
      <c r="EO493" s="5">
        <f t="shared" si="1554"/>
        <v>0</v>
      </c>
      <c r="EP493" s="5" t="str">
        <f t="shared" si="1555"/>
        <v>Nivel de riesgo bajo</v>
      </c>
      <c r="EQ493" s="5" t="s">
        <v>253</v>
      </c>
      <c r="ER493" s="5">
        <f t="shared" si="1556"/>
        <v>4</v>
      </c>
      <c r="ES493" s="5" t="s">
        <v>253</v>
      </c>
      <c r="ET493" s="5">
        <f t="shared" si="1557"/>
        <v>4</v>
      </c>
      <c r="EU493" s="5" t="s">
        <v>253</v>
      </c>
      <c r="EV493" s="5">
        <f t="shared" si="1558"/>
        <v>4</v>
      </c>
      <c r="EW493" s="5" t="s">
        <v>253</v>
      </c>
      <c r="EX493" s="5">
        <f t="shared" si="1559"/>
        <v>4</v>
      </c>
      <c r="EY493" s="5">
        <f t="shared" si="1560"/>
        <v>16</v>
      </c>
      <c r="EZ493" s="5" t="str">
        <f t="shared" si="1561"/>
        <v>Nivel de riesgo alto</v>
      </c>
      <c r="FA493" s="5" t="s">
        <v>253</v>
      </c>
      <c r="FB493" s="5">
        <f t="shared" si="1562"/>
        <v>0</v>
      </c>
      <c r="FC493" s="5" t="s">
        <v>253</v>
      </c>
      <c r="FD493" s="5">
        <f t="shared" si="1563"/>
        <v>0</v>
      </c>
      <c r="FE493" s="5" t="s">
        <v>253</v>
      </c>
      <c r="FF493" s="5">
        <f t="shared" si="1564"/>
        <v>0</v>
      </c>
      <c r="FG493" s="5">
        <f t="shared" si="1565"/>
        <v>0</v>
      </c>
      <c r="FH493" s="5" t="str">
        <f t="shared" si="1566"/>
        <v>Nivel de riesgo bajo</v>
      </c>
      <c r="FI493" s="5" t="s">
        <v>253</v>
      </c>
      <c r="FJ493" s="5">
        <f t="shared" si="1567"/>
        <v>0</v>
      </c>
      <c r="FK493" s="5" t="s">
        <v>253</v>
      </c>
      <c r="FL493" s="5">
        <f t="shared" si="1568"/>
        <v>0</v>
      </c>
      <c r="FM493" s="5" t="s">
        <v>253</v>
      </c>
      <c r="FN493" s="5">
        <f t="shared" si="1569"/>
        <v>0</v>
      </c>
      <c r="FO493" s="5">
        <f t="shared" si="1570"/>
        <v>0</v>
      </c>
      <c r="FP493" s="5" t="str">
        <f t="shared" si="1571"/>
        <v>Nivel de riesgo bajo</v>
      </c>
      <c r="FQ493" s="5" t="s">
        <v>206</v>
      </c>
      <c r="FR493" s="5">
        <f t="shared" si="1572"/>
        <v>0</v>
      </c>
      <c r="FS493" s="5" t="s">
        <v>206</v>
      </c>
      <c r="FT493" s="5">
        <f t="shared" si="1573"/>
        <v>0</v>
      </c>
      <c r="FU493" s="5" t="s">
        <v>206</v>
      </c>
      <c r="FV493" s="5">
        <f t="shared" si="1574"/>
        <v>0</v>
      </c>
      <c r="FW493" s="5" t="s">
        <v>206</v>
      </c>
      <c r="FX493" s="5">
        <f t="shared" si="1575"/>
        <v>0</v>
      </c>
      <c r="FY493" s="5" t="s">
        <v>206</v>
      </c>
      <c r="FZ493" s="5">
        <f t="shared" si="1576"/>
        <v>0</v>
      </c>
      <c r="GA493" s="5" t="s">
        <v>206</v>
      </c>
      <c r="GB493" s="5">
        <f t="shared" si="1577"/>
        <v>0</v>
      </c>
      <c r="GC493" s="5" t="s">
        <v>206</v>
      </c>
      <c r="GD493" s="5">
        <f t="shared" si="1578"/>
        <v>0</v>
      </c>
      <c r="GE493" s="5">
        <f t="shared" si="1579"/>
        <v>0</v>
      </c>
      <c r="GF493" s="5" t="str">
        <f t="shared" si="1580"/>
        <v>Nivel de riesgo bajo</v>
      </c>
      <c r="GG493" s="5" t="s">
        <v>273</v>
      </c>
      <c r="GH493" s="5" t="s">
        <v>273</v>
      </c>
      <c r="GI493" s="5" t="s">
        <v>273</v>
      </c>
      <c r="GJ493" s="5" t="s">
        <v>273</v>
      </c>
      <c r="GK493" s="5" t="s">
        <v>233</v>
      </c>
      <c r="GL493" s="5" t="s">
        <v>233</v>
      </c>
      <c r="GM493" s="5" t="s">
        <v>273</v>
      </c>
      <c r="GN493" s="5" t="s">
        <v>244</v>
      </c>
      <c r="GO493" s="5" t="s">
        <v>244</v>
      </c>
      <c r="GP493" s="5" t="s">
        <v>244</v>
      </c>
      <c r="GQ493" s="5" t="s">
        <v>244</v>
      </c>
      <c r="GR493" s="5" t="s">
        <v>244</v>
      </c>
      <c r="GS493" s="5" t="s">
        <v>244</v>
      </c>
      <c r="GT493" s="5" t="s">
        <v>244</v>
      </c>
      <c r="GU493" s="5" t="s">
        <v>860</v>
      </c>
      <c r="GV493" s="5" t="str">
        <f>TEXT("6290307994119690873","0")</f>
        <v>6290307994119690000</v>
      </c>
    </row>
    <row r="494" spans="1:204" ht="15.75" customHeight="1" x14ac:dyDescent="0.15">
      <c r="A494" s="1">
        <f t="shared" si="1530"/>
        <v>494</v>
      </c>
      <c r="B494" s="4">
        <v>45860.76116898148</v>
      </c>
      <c r="C494" s="5" t="s">
        <v>204</v>
      </c>
      <c r="D494" s="5" t="s">
        <v>206</v>
      </c>
      <c r="F494" s="5" t="s">
        <v>206</v>
      </c>
      <c r="G494" s="5" t="s">
        <v>206</v>
      </c>
      <c r="H494" s="5" t="s">
        <v>206</v>
      </c>
      <c r="K494" s="5" t="s">
        <v>237</v>
      </c>
      <c r="O494" s="5" t="s">
        <v>209</v>
      </c>
      <c r="T494" s="5" t="s">
        <v>209</v>
      </c>
      <c r="Y494" s="5" t="s">
        <v>209</v>
      </c>
      <c r="AC494" s="5" t="s">
        <v>208</v>
      </c>
      <c r="AH494" s="5" t="s">
        <v>268</v>
      </c>
      <c r="AI494" s="5">
        <v>2024</v>
      </c>
      <c r="AJ494" s="5" t="s">
        <v>330</v>
      </c>
      <c r="AK494" s="5" t="str">
        <f t="shared" si="1531"/>
        <v>Asalariada</v>
      </c>
      <c r="AQ494" s="5" t="s">
        <v>204</v>
      </c>
      <c r="AR494" s="5" t="s">
        <v>241</v>
      </c>
      <c r="AS494" s="5" t="s">
        <v>241</v>
      </c>
      <c r="AT494" s="5" t="s">
        <v>241</v>
      </c>
      <c r="AU494" s="5" t="s">
        <v>241</v>
      </c>
      <c r="AV494" s="5" t="s">
        <v>213</v>
      </c>
      <c r="AW494" s="5" t="s">
        <v>206</v>
      </c>
      <c r="BF494" s="5" t="s">
        <v>204</v>
      </c>
      <c r="BG494" s="5" t="s">
        <v>207</v>
      </c>
      <c r="BH494" s="5" t="s">
        <v>242</v>
      </c>
      <c r="BI494" s="5" t="s">
        <v>242</v>
      </c>
      <c r="BJ494" s="5" t="s">
        <v>242</v>
      </c>
      <c r="BK494" s="5" t="s">
        <v>216</v>
      </c>
      <c r="BL494" s="5" t="s">
        <v>216</v>
      </c>
      <c r="BM494" s="5" t="s">
        <v>216</v>
      </c>
      <c r="BN494" s="5" t="s">
        <v>216</v>
      </c>
      <c r="BO494" s="5" t="s">
        <v>216</v>
      </c>
      <c r="BP494" s="5" t="s">
        <v>216</v>
      </c>
      <c r="BQ494" s="5" t="s">
        <v>216</v>
      </c>
      <c r="BR494" s="5" t="s">
        <v>216</v>
      </c>
      <c r="BS494" s="5" t="s">
        <v>248</v>
      </c>
      <c r="BT494" s="5" t="s">
        <v>248</v>
      </c>
      <c r="BU494" s="5" t="s">
        <v>248</v>
      </c>
      <c r="BV494" s="5" t="s">
        <v>248</v>
      </c>
      <c r="BW494" s="5" t="s">
        <v>248</v>
      </c>
      <c r="BX494" s="5" t="s">
        <v>248</v>
      </c>
      <c r="BY494" s="5" t="s">
        <v>248</v>
      </c>
      <c r="CD494" s="5" t="s">
        <v>204</v>
      </c>
      <c r="CE494" s="5" t="s">
        <v>286</v>
      </c>
      <c r="CF494" s="5" t="s">
        <v>219</v>
      </c>
      <c r="CG494" s="5" t="s">
        <v>206</v>
      </c>
      <c r="CH494" s="5" t="s">
        <v>206</v>
      </c>
      <c r="CI494" s="5" t="s">
        <v>307</v>
      </c>
      <c r="CJ494" s="5">
        <v>9</v>
      </c>
      <c r="CL494" s="5" t="s">
        <v>648</v>
      </c>
      <c r="CU494" s="5" t="s">
        <v>204</v>
      </c>
      <c r="CV494" s="5" t="s">
        <v>224</v>
      </c>
      <c r="CW494" s="5" t="s">
        <v>351</v>
      </c>
      <c r="CX494" s="5" t="s">
        <v>226</v>
      </c>
      <c r="CY494" s="5" t="s">
        <v>353</v>
      </c>
      <c r="CZ494" s="5" t="s">
        <v>206</v>
      </c>
      <c r="DA494" s="5" t="s">
        <v>231</v>
      </c>
      <c r="DB494" s="5">
        <f t="shared" si="1532"/>
        <v>2</v>
      </c>
      <c r="DC494" s="5" t="s">
        <v>251</v>
      </c>
      <c r="DD494" s="5">
        <f t="shared" si="1533"/>
        <v>1</v>
      </c>
      <c r="DE494" s="5" t="s">
        <v>251</v>
      </c>
      <c r="DF494" s="5">
        <f t="shared" si="1534"/>
        <v>1</v>
      </c>
      <c r="DG494" s="5" t="s">
        <v>251</v>
      </c>
      <c r="DH494" s="5">
        <f t="shared" si="1535"/>
        <v>1</v>
      </c>
      <c r="DI494" s="5" t="s">
        <v>251</v>
      </c>
      <c r="DJ494" s="5">
        <f t="shared" si="1536"/>
        <v>1</v>
      </c>
      <c r="DK494" s="5" t="s">
        <v>251</v>
      </c>
      <c r="DL494" s="5">
        <f t="shared" si="1537"/>
        <v>1</v>
      </c>
      <c r="DM494" s="5" t="s">
        <v>251</v>
      </c>
      <c r="DN494" s="5">
        <f t="shared" si="1538"/>
        <v>1</v>
      </c>
      <c r="DO494" s="5" t="s">
        <v>231</v>
      </c>
      <c r="DP494" s="5">
        <f t="shared" si="1539"/>
        <v>2</v>
      </c>
      <c r="DQ494" s="5" t="s">
        <v>231</v>
      </c>
      <c r="DR494" s="5">
        <f t="shared" si="1540"/>
        <v>2</v>
      </c>
      <c r="DS494" s="5" t="s">
        <v>231</v>
      </c>
      <c r="DT494" s="5">
        <f t="shared" si="1541"/>
        <v>2</v>
      </c>
      <c r="DU494" s="5" t="s">
        <v>231</v>
      </c>
      <c r="DV494" s="5">
        <f t="shared" si="1542"/>
        <v>2</v>
      </c>
      <c r="DW494" s="5" t="s">
        <v>231</v>
      </c>
      <c r="DX494" s="5">
        <f t="shared" si="1543"/>
        <v>2</v>
      </c>
      <c r="DY494" s="5">
        <f t="shared" si="1544"/>
        <v>18</v>
      </c>
      <c r="DZ494" s="5" t="str">
        <f t="shared" si="1545"/>
        <v>Nivel de riesgo bajo</v>
      </c>
      <c r="EA494" s="5" t="s">
        <v>253</v>
      </c>
      <c r="EB494" s="5">
        <f t="shared" si="1546"/>
        <v>0</v>
      </c>
      <c r="EC494" s="5" t="s">
        <v>253</v>
      </c>
      <c r="ED494" s="5">
        <f t="shared" si="1547"/>
        <v>0</v>
      </c>
      <c r="EE494" s="5" t="s">
        <v>253</v>
      </c>
      <c r="EF494" s="5">
        <f t="shared" si="1548"/>
        <v>0</v>
      </c>
      <c r="EG494" s="5">
        <f t="shared" si="1549"/>
        <v>0</v>
      </c>
      <c r="EH494" s="5" t="str">
        <f t="shared" si="1550"/>
        <v>Nivel de riesgo bajo</v>
      </c>
      <c r="EI494" s="5" t="s">
        <v>253</v>
      </c>
      <c r="EJ494" s="5">
        <f t="shared" si="1551"/>
        <v>0</v>
      </c>
      <c r="EK494" s="5" t="s">
        <v>253</v>
      </c>
      <c r="EL494" s="5">
        <f t="shared" si="1552"/>
        <v>0</v>
      </c>
      <c r="EM494" s="5" t="s">
        <v>253</v>
      </c>
      <c r="EN494" s="5">
        <f t="shared" si="1553"/>
        <v>0</v>
      </c>
      <c r="EO494" s="5">
        <f t="shared" si="1554"/>
        <v>0</v>
      </c>
      <c r="EP494" s="5" t="str">
        <f t="shared" si="1555"/>
        <v>Nivel de riesgo bajo</v>
      </c>
      <c r="EQ494" s="5" t="s">
        <v>253</v>
      </c>
      <c r="ER494" s="5">
        <f t="shared" si="1556"/>
        <v>4</v>
      </c>
      <c r="ES494" s="5" t="s">
        <v>253</v>
      </c>
      <c r="ET494" s="5">
        <f t="shared" si="1557"/>
        <v>4</v>
      </c>
      <c r="EU494" s="5" t="s">
        <v>254</v>
      </c>
      <c r="EV494" s="5">
        <f t="shared" si="1558"/>
        <v>0</v>
      </c>
      <c r="EW494" s="5" t="s">
        <v>247</v>
      </c>
      <c r="EX494" s="5">
        <f t="shared" si="1559"/>
        <v>2</v>
      </c>
      <c r="EY494" s="5">
        <f t="shared" si="1560"/>
        <v>10</v>
      </c>
      <c r="EZ494" s="5" t="str">
        <f t="shared" si="1561"/>
        <v>Nivel de riesgo alto</v>
      </c>
      <c r="FA494" s="5" t="s">
        <v>253</v>
      </c>
      <c r="FB494" s="5">
        <f t="shared" si="1562"/>
        <v>0</v>
      </c>
      <c r="FC494" s="5" t="s">
        <v>253</v>
      </c>
      <c r="FD494" s="5">
        <f t="shared" si="1563"/>
        <v>0</v>
      </c>
      <c r="FE494" s="5" t="s">
        <v>253</v>
      </c>
      <c r="FF494" s="5">
        <f t="shared" si="1564"/>
        <v>0</v>
      </c>
      <c r="FG494" s="5">
        <f t="shared" si="1565"/>
        <v>0</v>
      </c>
      <c r="FH494" s="5" t="str">
        <f t="shared" si="1566"/>
        <v>Nivel de riesgo bajo</v>
      </c>
      <c r="FI494" s="5" t="s">
        <v>253</v>
      </c>
      <c r="FJ494" s="5">
        <f t="shared" si="1567"/>
        <v>0</v>
      </c>
      <c r="FK494" s="5" t="s">
        <v>253</v>
      </c>
      <c r="FL494" s="5">
        <f t="shared" si="1568"/>
        <v>0</v>
      </c>
      <c r="FM494" s="5" t="s">
        <v>253</v>
      </c>
      <c r="FN494" s="5">
        <f t="shared" si="1569"/>
        <v>0</v>
      </c>
      <c r="FO494" s="5">
        <f t="shared" si="1570"/>
        <v>0</v>
      </c>
      <c r="FP494" s="5" t="str">
        <f t="shared" si="1571"/>
        <v>Nivel de riesgo bajo</v>
      </c>
      <c r="FQ494" s="5" t="s">
        <v>206</v>
      </c>
      <c r="FR494" s="5">
        <f t="shared" si="1572"/>
        <v>0</v>
      </c>
      <c r="FS494" s="5" t="s">
        <v>206</v>
      </c>
      <c r="FT494" s="5">
        <f t="shared" si="1573"/>
        <v>0</v>
      </c>
      <c r="FU494" s="5" t="s">
        <v>206</v>
      </c>
      <c r="FV494" s="5">
        <f t="shared" si="1574"/>
        <v>0</v>
      </c>
      <c r="FW494" s="5" t="s">
        <v>206</v>
      </c>
      <c r="FX494" s="5">
        <f t="shared" si="1575"/>
        <v>0</v>
      </c>
      <c r="FY494" s="5" t="s">
        <v>206</v>
      </c>
      <c r="FZ494" s="5">
        <f t="shared" si="1576"/>
        <v>0</v>
      </c>
      <c r="GA494" s="5" t="s">
        <v>206</v>
      </c>
      <c r="GB494" s="5">
        <f t="shared" si="1577"/>
        <v>0</v>
      </c>
      <c r="GC494" s="5" t="s">
        <v>206</v>
      </c>
      <c r="GD494" s="5">
        <f t="shared" si="1578"/>
        <v>0</v>
      </c>
      <c r="GE494" s="5">
        <f t="shared" si="1579"/>
        <v>0</v>
      </c>
      <c r="GF494" s="5" t="str">
        <f t="shared" si="1580"/>
        <v>Nivel de riesgo bajo</v>
      </c>
      <c r="GG494" s="5" t="s">
        <v>255</v>
      </c>
      <c r="GH494" s="5" t="s">
        <v>255</v>
      </c>
      <c r="GI494" s="5" t="s">
        <v>255</v>
      </c>
      <c r="GJ494" s="5" t="s">
        <v>255</v>
      </c>
      <c r="GK494" s="5" t="s">
        <v>233</v>
      </c>
      <c r="GL494" s="5" t="s">
        <v>266</v>
      </c>
      <c r="GM494" s="5" t="s">
        <v>233</v>
      </c>
      <c r="GN494" s="5" t="s">
        <v>243</v>
      </c>
      <c r="GO494" s="5" t="s">
        <v>243</v>
      </c>
      <c r="GP494" s="5" t="s">
        <v>243</v>
      </c>
      <c r="GQ494" s="5" t="s">
        <v>243</v>
      </c>
      <c r="GR494" s="5" t="s">
        <v>243</v>
      </c>
      <c r="GS494" s="5" t="s">
        <v>243</v>
      </c>
      <c r="GT494" s="5" t="s">
        <v>243</v>
      </c>
      <c r="GU494" s="5" t="s">
        <v>861</v>
      </c>
      <c r="GV494" s="5" t="str">
        <f>TEXT("6290317653452552977","0")</f>
        <v>6290317653452550000</v>
      </c>
    </row>
    <row r="495" spans="1:204" ht="15.75" customHeight="1" x14ac:dyDescent="0.15">
      <c r="A495" s="1">
        <f t="shared" si="1530"/>
        <v>495</v>
      </c>
      <c r="B495" s="4">
        <v>45860.761377314811</v>
      </c>
      <c r="C495" s="5" t="s">
        <v>204</v>
      </c>
      <c r="D495" s="5" t="s">
        <v>206</v>
      </c>
      <c r="F495" s="5" t="s">
        <v>206</v>
      </c>
      <c r="G495" s="5" t="s">
        <v>204</v>
      </c>
      <c r="H495" s="5" t="s">
        <v>206</v>
      </c>
      <c r="J495" s="5" t="s">
        <v>209</v>
      </c>
      <c r="O495" s="5" t="s">
        <v>209</v>
      </c>
      <c r="S495" s="5" t="s">
        <v>208</v>
      </c>
      <c r="Z495" s="5" t="s">
        <v>237</v>
      </c>
      <c r="AC495" s="5" t="s">
        <v>208</v>
      </c>
      <c r="AH495" s="5" t="s">
        <v>259</v>
      </c>
      <c r="AI495" s="5">
        <v>2023</v>
      </c>
      <c r="AJ495" s="5" t="s">
        <v>238</v>
      </c>
      <c r="AK495" s="5" t="str">
        <f t="shared" si="1531"/>
        <v>Trabajadora por cuenta propia</v>
      </c>
      <c r="AM495" s="5" t="s">
        <v>309</v>
      </c>
      <c r="AP495" s="5" t="s">
        <v>365</v>
      </c>
      <c r="AR495" s="5" t="s">
        <v>261</v>
      </c>
      <c r="AS495" s="5" t="s">
        <v>241</v>
      </c>
      <c r="AT495" s="5" t="s">
        <v>241</v>
      </c>
      <c r="AU495" s="5" t="s">
        <v>241</v>
      </c>
      <c r="AV495" s="5" t="s">
        <v>269</v>
      </c>
      <c r="AW495" s="5" t="s">
        <v>206</v>
      </c>
      <c r="BF495" s="5" t="s">
        <v>204</v>
      </c>
      <c r="BG495" s="5" t="s">
        <v>271</v>
      </c>
      <c r="BH495" s="5" t="s">
        <v>264</v>
      </c>
      <c r="BI495" s="5" t="s">
        <v>278</v>
      </c>
      <c r="BJ495" s="5" t="s">
        <v>215</v>
      </c>
      <c r="BK495" s="5" t="s">
        <v>246</v>
      </c>
      <c r="BL495" s="5" t="s">
        <v>244</v>
      </c>
      <c r="BM495" s="5" t="s">
        <v>243</v>
      </c>
      <c r="BN495" s="5" t="s">
        <v>246</v>
      </c>
      <c r="BO495" s="5" t="s">
        <v>244</v>
      </c>
      <c r="BP495" s="5" t="s">
        <v>246</v>
      </c>
      <c r="BQ495" s="5" t="s">
        <v>246</v>
      </c>
      <c r="BR495" s="5" t="s">
        <v>246</v>
      </c>
      <c r="BS495" s="5" t="s">
        <v>247</v>
      </c>
      <c r="BT495" s="5" t="s">
        <v>248</v>
      </c>
      <c r="BU495" s="5" t="s">
        <v>247</v>
      </c>
      <c r="BV495" s="5" t="s">
        <v>248</v>
      </c>
      <c r="BW495" s="5" t="s">
        <v>248</v>
      </c>
      <c r="BX495" s="5" t="s">
        <v>248</v>
      </c>
      <c r="BY495" s="5" t="s">
        <v>248</v>
      </c>
      <c r="CD495" s="5" t="s">
        <v>206</v>
      </c>
      <c r="CH495" s="5" t="s">
        <v>206</v>
      </c>
      <c r="CI495" s="5" t="s">
        <v>206</v>
      </c>
      <c r="CJ495" s="5">
        <v>0</v>
      </c>
      <c r="CK495" s="5" t="s">
        <v>223</v>
      </c>
      <c r="CU495" s="5" t="s">
        <v>206</v>
      </c>
      <c r="DA495" s="5" t="s">
        <v>231</v>
      </c>
      <c r="DB495" s="5">
        <f t="shared" si="1532"/>
        <v>2</v>
      </c>
      <c r="DC495" s="5" t="s">
        <v>230</v>
      </c>
      <c r="DD495" s="5">
        <f t="shared" si="1533"/>
        <v>2</v>
      </c>
      <c r="DE495" s="5" t="s">
        <v>230</v>
      </c>
      <c r="DF495" s="5">
        <f t="shared" si="1534"/>
        <v>2</v>
      </c>
      <c r="DG495" s="5" t="s">
        <v>230</v>
      </c>
      <c r="DH495" s="5">
        <f t="shared" si="1535"/>
        <v>2</v>
      </c>
      <c r="DI495" s="5" t="s">
        <v>251</v>
      </c>
      <c r="DJ495" s="5">
        <f t="shared" si="1536"/>
        <v>1</v>
      </c>
      <c r="DK495" s="5" t="s">
        <v>251</v>
      </c>
      <c r="DL495" s="5">
        <f t="shared" si="1537"/>
        <v>1</v>
      </c>
      <c r="DM495" s="5" t="s">
        <v>251</v>
      </c>
      <c r="DN495" s="5">
        <f t="shared" si="1538"/>
        <v>1</v>
      </c>
      <c r="DO495" s="5" t="s">
        <v>281</v>
      </c>
      <c r="DP495" s="5">
        <f t="shared" si="1539"/>
        <v>1</v>
      </c>
      <c r="DQ495" s="5" t="s">
        <v>231</v>
      </c>
      <c r="DR495" s="5">
        <f t="shared" si="1540"/>
        <v>2</v>
      </c>
      <c r="DS495" s="5" t="s">
        <v>281</v>
      </c>
      <c r="DT495" s="5">
        <f t="shared" si="1541"/>
        <v>1</v>
      </c>
      <c r="DU495" s="5" t="s">
        <v>281</v>
      </c>
      <c r="DV495" s="5">
        <f t="shared" si="1542"/>
        <v>1</v>
      </c>
      <c r="DW495" s="5" t="s">
        <v>231</v>
      </c>
      <c r="DX495" s="5">
        <f t="shared" si="1543"/>
        <v>2</v>
      </c>
      <c r="DY495" s="5">
        <f t="shared" si="1544"/>
        <v>18</v>
      </c>
      <c r="DZ495" s="5" t="str">
        <f t="shared" si="1545"/>
        <v>Nivel de riesgo bajo</v>
      </c>
      <c r="EA495" s="5" t="s">
        <v>248</v>
      </c>
      <c r="EB495" s="5">
        <f t="shared" si="1546"/>
        <v>1</v>
      </c>
      <c r="EC495" s="5" t="s">
        <v>248</v>
      </c>
      <c r="ED495" s="5">
        <f t="shared" si="1547"/>
        <v>1</v>
      </c>
      <c r="EE495" s="5" t="s">
        <v>253</v>
      </c>
      <c r="EF495" s="5">
        <f t="shared" si="1548"/>
        <v>0</v>
      </c>
      <c r="EG495" s="5">
        <f t="shared" si="1549"/>
        <v>2</v>
      </c>
      <c r="EH495" s="5" t="str">
        <f t="shared" si="1550"/>
        <v>Nivel de riesgo medio</v>
      </c>
      <c r="EI495" s="5" t="s">
        <v>253</v>
      </c>
      <c r="EJ495" s="5">
        <f t="shared" si="1551"/>
        <v>0</v>
      </c>
      <c r="EK495" s="5" t="s">
        <v>247</v>
      </c>
      <c r="EL495" s="5">
        <f t="shared" si="1552"/>
        <v>2</v>
      </c>
      <c r="EM495" s="5" t="s">
        <v>248</v>
      </c>
      <c r="EN495" s="5">
        <f t="shared" si="1553"/>
        <v>1</v>
      </c>
      <c r="EO495" s="5">
        <f t="shared" si="1554"/>
        <v>3</v>
      </c>
      <c r="EP495" s="5" t="str">
        <f t="shared" si="1555"/>
        <v>Nivel de riesgo medio</v>
      </c>
      <c r="EQ495" s="5" t="s">
        <v>248</v>
      </c>
      <c r="ER495" s="5">
        <f t="shared" si="1556"/>
        <v>3</v>
      </c>
      <c r="ES495" s="5" t="s">
        <v>253</v>
      </c>
      <c r="ET495" s="5">
        <f t="shared" si="1557"/>
        <v>4</v>
      </c>
      <c r="EU495" s="5" t="s">
        <v>247</v>
      </c>
      <c r="EV495" s="5">
        <f t="shared" si="1558"/>
        <v>2</v>
      </c>
      <c r="EW495" s="5" t="s">
        <v>232</v>
      </c>
      <c r="EX495" s="5">
        <f t="shared" si="1559"/>
        <v>1</v>
      </c>
      <c r="EY495" s="5">
        <f t="shared" si="1560"/>
        <v>10</v>
      </c>
      <c r="EZ495" s="5" t="str">
        <f t="shared" si="1561"/>
        <v>Nivel de riesgo alto</v>
      </c>
      <c r="FA495" s="5" t="s">
        <v>247</v>
      </c>
      <c r="FB495" s="5">
        <f t="shared" si="1562"/>
        <v>2</v>
      </c>
      <c r="FC495" s="5" t="s">
        <v>247</v>
      </c>
      <c r="FD495" s="5">
        <f t="shared" si="1563"/>
        <v>2</v>
      </c>
      <c r="FE495" s="5" t="s">
        <v>232</v>
      </c>
      <c r="FF495" s="5">
        <f t="shared" si="1564"/>
        <v>3</v>
      </c>
      <c r="FG495" s="5">
        <f t="shared" si="1565"/>
        <v>7</v>
      </c>
      <c r="FH495" s="5" t="str">
        <f t="shared" si="1566"/>
        <v>Nivel de riesgo alto</v>
      </c>
      <c r="FI495" s="5" t="s">
        <v>247</v>
      </c>
      <c r="FJ495" s="5">
        <f t="shared" si="1567"/>
        <v>2</v>
      </c>
      <c r="FK495" s="5" t="s">
        <v>247</v>
      </c>
      <c r="FL495" s="5">
        <f t="shared" si="1568"/>
        <v>2</v>
      </c>
      <c r="FM495" s="5" t="s">
        <v>247</v>
      </c>
      <c r="FN495" s="5">
        <f t="shared" si="1569"/>
        <v>2</v>
      </c>
      <c r="FO495" s="5">
        <f t="shared" si="1570"/>
        <v>6</v>
      </c>
      <c r="FP495" s="5" t="str">
        <f t="shared" si="1571"/>
        <v>Nivel de riesgo alto</v>
      </c>
      <c r="FQ495" s="5" t="s">
        <v>206</v>
      </c>
      <c r="FR495" s="5">
        <f t="shared" si="1572"/>
        <v>0</v>
      </c>
      <c r="FS495" s="5" t="s">
        <v>206</v>
      </c>
      <c r="FT495" s="5">
        <f t="shared" si="1573"/>
        <v>0</v>
      </c>
      <c r="FU495" s="5" t="s">
        <v>206</v>
      </c>
      <c r="FV495" s="5">
        <f t="shared" si="1574"/>
        <v>0</v>
      </c>
      <c r="FW495" s="5" t="s">
        <v>206</v>
      </c>
      <c r="FX495" s="5">
        <f t="shared" si="1575"/>
        <v>0</v>
      </c>
      <c r="FY495" s="5" t="s">
        <v>206</v>
      </c>
      <c r="FZ495" s="5">
        <f t="shared" si="1576"/>
        <v>0</v>
      </c>
      <c r="GA495" s="5" t="s">
        <v>206</v>
      </c>
      <c r="GB495" s="5">
        <f t="shared" si="1577"/>
        <v>0</v>
      </c>
      <c r="GC495" s="5" t="s">
        <v>206</v>
      </c>
      <c r="GD495" s="5">
        <f t="shared" si="1578"/>
        <v>0</v>
      </c>
      <c r="GE495" s="5">
        <f t="shared" si="1579"/>
        <v>0</v>
      </c>
      <c r="GF495" s="5" t="str">
        <f t="shared" si="1580"/>
        <v>Nivel de riesgo bajo</v>
      </c>
      <c r="GG495" s="5" t="s">
        <v>255</v>
      </c>
      <c r="GH495" s="5" t="s">
        <v>255</v>
      </c>
      <c r="GI495" s="5" t="s">
        <v>255</v>
      </c>
      <c r="GJ495" s="5" t="s">
        <v>298</v>
      </c>
      <c r="GK495" s="5" t="s">
        <v>233</v>
      </c>
      <c r="GL495" s="5" t="s">
        <v>298</v>
      </c>
      <c r="GM495" s="5" t="s">
        <v>298</v>
      </c>
      <c r="GN495" s="5" t="s">
        <v>243</v>
      </c>
      <c r="GO495" s="5" t="s">
        <v>243</v>
      </c>
      <c r="GP495" s="5" t="s">
        <v>243</v>
      </c>
      <c r="GQ495" s="5" t="s">
        <v>243</v>
      </c>
      <c r="GR495" s="5" t="s">
        <v>243</v>
      </c>
      <c r="GS495" s="5" t="s">
        <v>243</v>
      </c>
      <c r="GT495" s="5" t="s">
        <v>243</v>
      </c>
      <c r="GU495" s="5" t="s">
        <v>862</v>
      </c>
      <c r="GV495" s="5" t="str">
        <f>TEXT("6290317832892710227","0")</f>
        <v>6290317832892710000</v>
      </c>
    </row>
    <row r="496" spans="1:204" ht="15.75" customHeight="1" x14ac:dyDescent="0.15">
      <c r="A496" s="1">
        <f t="shared" si="1530"/>
        <v>496</v>
      </c>
      <c r="B496" s="4">
        <v>45860.778368055559</v>
      </c>
      <c r="C496" s="5" t="s">
        <v>204</v>
      </c>
      <c r="D496" s="5" t="s">
        <v>206</v>
      </c>
      <c r="F496" s="5" t="s">
        <v>206</v>
      </c>
      <c r="G496" s="5" t="s">
        <v>206</v>
      </c>
      <c r="H496" s="5" t="s">
        <v>206</v>
      </c>
      <c r="K496" s="5" t="s">
        <v>237</v>
      </c>
      <c r="P496" s="5" t="s">
        <v>237</v>
      </c>
      <c r="U496" s="5" t="s">
        <v>237</v>
      </c>
      <c r="Z496" s="5" t="s">
        <v>237</v>
      </c>
      <c r="AE496" s="5" t="s">
        <v>237</v>
      </c>
      <c r="AH496" s="5" t="s">
        <v>268</v>
      </c>
      <c r="AI496" s="5">
        <v>2025</v>
      </c>
      <c r="AJ496" s="5" t="s">
        <v>330</v>
      </c>
      <c r="AK496" s="5" t="str">
        <f t="shared" si="1531"/>
        <v>Asalariada</v>
      </c>
      <c r="AQ496" s="5" t="s">
        <v>204</v>
      </c>
      <c r="AR496" s="5" t="s">
        <v>301</v>
      </c>
      <c r="AS496" s="5" t="s">
        <v>301</v>
      </c>
      <c r="AT496" s="5" t="s">
        <v>301</v>
      </c>
      <c r="AU496" s="5" t="s">
        <v>301</v>
      </c>
      <c r="AV496" s="5" t="s">
        <v>213</v>
      </c>
      <c r="AW496" s="5" t="s">
        <v>206</v>
      </c>
      <c r="BF496" s="5" t="s">
        <v>204</v>
      </c>
      <c r="BG496" s="5" t="s">
        <v>207</v>
      </c>
      <c r="BH496" s="5" t="s">
        <v>207</v>
      </c>
      <c r="BI496" s="5" t="s">
        <v>207</v>
      </c>
      <c r="BJ496" s="5" t="s">
        <v>207</v>
      </c>
      <c r="BK496" s="5" t="s">
        <v>216</v>
      </c>
      <c r="BL496" s="5" t="s">
        <v>216</v>
      </c>
      <c r="BM496" s="5" t="s">
        <v>216</v>
      </c>
      <c r="BN496" s="5" t="s">
        <v>216</v>
      </c>
      <c r="BO496" s="5" t="s">
        <v>216</v>
      </c>
      <c r="BP496" s="5" t="s">
        <v>216</v>
      </c>
      <c r="BQ496" s="5" t="s">
        <v>216</v>
      </c>
      <c r="BR496" s="5" t="s">
        <v>216</v>
      </c>
      <c r="BS496" s="5" t="s">
        <v>217</v>
      </c>
      <c r="BT496" s="5" t="s">
        <v>217</v>
      </c>
      <c r="BU496" s="5" t="s">
        <v>217</v>
      </c>
      <c r="BV496" s="5" t="s">
        <v>217</v>
      </c>
      <c r="BW496" s="5" t="s">
        <v>217</v>
      </c>
      <c r="BX496" s="5" t="s">
        <v>217</v>
      </c>
      <c r="BY496" s="5" t="s">
        <v>217</v>
      </c>
      <c r="CD496" s="5" t="s">
        <v>206</v>
      </c>
      <c r="CH496" s="5" t="s">
        <v>206</v>
      </c>
      <c r="CI496" s="5" t="s">
        <v>206</v>
      </c>
      <c r="CJ496" s="5">
        <v>0</v>
      </c>
      <c r="CK496" s="5" t="s">
        <v>223</v>
      </c>
      <c r="CU496" s="5" t="s">
        <v>206</v>
      </c>
      <c r="DA496" s="5" t="s">
        <v>272</v>
      </c>
      <c r="DB496" s="5">
        <f t="shared" si="1532"/>
        <v>1</v>
      </c>
      <c r="DC496" s="5" t="s">
        <v>251</v>
      </c>
      <c r="DD496" s="5">
        <f t="shared" si="1533"/>
        <v>1</v>
      </c>
      <c r="DE496" s="5" t="s">
        <v>251</v>
      </c>
      <c r="DF496" s="5">
        <f t="shared" si="1534"/>
        <v>1</v>
      </c>
      <c r="DG496" s="5" t="s">
        <v>251</v>
      </c>
      <c r="DH496" s="5">
        <f t="shared" si="1535"/>
        <v>1</v>
      </c>
      <c r="DI496" s="5" t="s">
        <v>251</v>
      </c>
      <c r="DJ496" s="5">
        <f t="shared" si="1536"/>
        <v>1</v>
      </c>
      <c r="DK496" s="5" t="s">
        <v>251</v>
      </c>
      <c r="DL496" s="5">
        <f t="shared" si="1537"/>
        <v>1</v>
      </c>
      <c r="DM496" s="5" t="s">
        <v>251</v>
      </c>
      <c r="DN496" s="5">
        <f t="shared" si="1538"/>
        <v>1</v>
      </c>
      <c r="DO496" s="5" t="s">
        <v>281</v>
      </c>
      <c r="DP496" s="5">
        <f t="shared" si="1539"/>
        <v>1</v>
      </c>
      <c r="DQ496" s="5" t="s">
        <v>281</v>
      </c>
      <c r="DR496" s="5">
        <f t="shared" si="1540"/>
        <v>1</v>
      </c>
      <c r="DS496" s="5" t="s">
        <v>281</v>
      </c>
      <c r="DT496" s="5">
        <f t="shared" si="1541"/>
        <v>1</v>
      </c>
      <c r="DU496" s="5" t="s">
        <v>281</v>
      </c>
      <c r="DV496" s="5">
        <f t="shared" si="1542"/>
        <v>1</v>
      </c>
      <c r="DW496" s="5" t="s">
        <v>281</v>
      </c>
      <c r="DX496" s="5">
        <f t="shared" si="1543"/>
        <v>1</v>
      </c>
      <c r="DY496" s="5">
        <f t="shared" si="1544"/>
        <v>12</v>
      </c>
      <c r="DZ496" s="5" t="str">
        <f t="shared" si="1545"/>
        <v>Nivel de riesgo bajo</v>
      </c>
      <c r="EA496" s="5" t="s">
        <v>253</v>
      </c>
      <c r="EB496" s="5">
        <f t="shared" si="1546"/>
        <v>0</v>
      </c>
      <c r="EC496" s="5" t="s">
        <v>253</v>
      </c>
      <c r="ED496" s="5">
        <f t="shared" si="1547"/>
        <v>0</v>
      </c>
      <c r="EE496" s="5" t="s">
        <v>253</v>
      </c>
      <c r="EF496" s="5">
        <f t="shared" si="1548"/>
        <v>0</v>
      </c>
      <c r="EG496" s="5">
        <f t="shared" si="1549"/>
        <v>0</v>
      </c>
      <c r="EH496" s="5" t="str">
        <f t="shared" si="1550"/>
        <v>Nivel de riesgo bajo</v>
      </c>
      <c r="EI496" s="5" t="s">
        <v>253</v>
      </c>
      <c r="EJ496" s="5">
        <f t="shared" si="1551"/>
        <v>0</v>
      </c>
      <c r="EK496" s="5" t="s">
        <v>253</v>
      </c>
      <c r="EL496" s="5">
        <f t="shared" si="1552"/>
        <v>0</v>
      </c>
      <c r="EM496" s="5" t="s">
        <v>253</v>
      </c>
      <c r="EN496" s="5">
        <f t="shared" si="1553"/>
        <v>0</v>
      </c>
      <c r="EO496" s="5">
        <f t="shared" si="1554"/>
        <v>0</v>
      </c>
      <c r="EP496" s="5" t="str">
        <f t="shared" si="1555"/>
        <v>Nivel de riesgo bajo</v>
      </c>
      <c r="EQ496" s="5" t="s">
        <v>253</v>
      </c>
      <c r="ER496" s="5">
        <f t="shared" si="1556"/>
        <v>4</v>
      </c>
      <c r="ES496" s="5" t="s">
        <v>253</v>
      </c>
      <c r="ET496" s="5">
        <f t="shared" si="1557"/>
        <v>4</v>
      </c>
      <c r="EU496" s="5" t="s">
        <v>253</v>
      </c>
      <c r="EV496" s="5">
        <f t="shared" si="1558"/>
        <v>4</v>
      </c>
      <c r="EW496" s="5" t="s">
        <v>253</v>
      </c>
      <c r="EX496" s="5">
        <f t="shared" si="1559"/>
        <v>4</v>
      </c>
      <c r="EY496" s="5">
        <f t="shared" si="1560"/>
        <v>16</v>
      </c>
      <c r="EZ496" s="5" t="str">
        <f t="shared" si="1561"/>
        <v>Nivel de riesgo alto</v>
      </c>
      <c r="FA496" s="5" t="s">
        <v>253</v>
      </c>
      <c r="FB496" s="5">
        <f t="shared" si="1562"/>
        <v>0</v>
      </c>
      <c r="FC496" s="5" t="s">
        <v>253</v>
      </c>
      <c r="FD496" s="5">
        <f t="shared" si="1563"/>
        <v>0</v>
      </c>
      <c r="FE496" s="5" t="s">
        <v>253</v>
      </c>
      <c r="FF496" s="5">
        <f t="shared" si="1564"/>
        <v>0</v>
      </c>
      <c r="FG496" s="5">
        <f t="shared" si="1565"/>
        <v>0</v>
      </c>
      <c r="FH496" s="5" t="str">
        <f t="shared" si="1566"/>
        <v>Nivel de riesgo bajo</v>
      </c>
      <c r="FI496" s="5" t="s">
        <v>253</v>
      </c>
      <c r="FJ496" s="5">
        <f t="shared" si="1567"/>
        <v>0</v>
      </c>
      <c r="FK496" s="5" t="s">
        <v>253</v>
      </c>
      <c r="FL496" s="5">
        <f t="shared" si="1568"/>
        <v>0</v>
      </c>
      <c r="FM496" s="5" t="s">
        <v>253</v>
      </c>
      <c r="FN496" s="5">
        <f t="shared" si="1569"/>
        <v>0</v>
      </c>
      <c r="FO496" s="5">
        <f t="shared" si="1570"/>
        <v>0</v>
      </c>
      <c r="FP496" s="5" t="str">
        <f t="shared" si="1571"/>
        <v>Nivel de riesgo bajo</v>
      </c>
      <c r="FQ496" s="5" t="s">
        <v>206</v>
      </c>
      <c r="FR496" s="5">
        <f t="shared" si="1572"/>
        <v>0</v>
      </c>
      <c r="FS496" s="5" t="s">
        <v>206</v>
      </c>
      <c r="FT496" s="5">
        <f t="shared" si="1573"/>
        <v>0</v>
      </c>
      <c r="FU496" s="5" t="s">
        <v>206</v>
      </c>
      <c r="FV496" s="5">
        <f t="shared" si="1574"/>
        <v>0</v>
      </c>
      <c r="FW496" s="5" t="s">
        <v>206</v>
      </c>
      <c r="FX496" s="5">
        <f t="shared" si="1575"/>
        <v>0</v>
      </c>
      <c r="FY496" s="5" t="s">
        <v>206</v>
      </c>
      <c r="FZ496" s="5">
        <f t="shared" si="1576"/>
        <v>0</v>
      </c>
      <c r="GA496" s="5" t="s">
        <v>206</v>
      </c>
      <c r="GB496" s="5">
        <f t="shared" si="1577"/>
        <v>0</v>
      </c>
      <c r="GC496" s="5" t="s">
        <v>206</v>
      </c>
      <c r="GD496" s="5">
        <f t="shared" si="1578"/>
        <v>0</v>
      </c>
      <c r="GE496" s="5">
        <f t="shared" si="1579"/>
        <v>0</v>
      </c>
      <c r="GF496" s="5" t="str">
        <f t="shared" si="1580"/>
        <v>Nivel de riesgo bajo</v>
      </c>
      <c r="GG496" s="5" t="s">
        <v>255</v>
      </c>
      <c r="GH496" s="5" t="s">
        <v>255</v>
      </c>
      <c r="GI496" s="5" t="s">
        <v>255</v>
      </c>
      <c r="GJ496" s="5" t="s">
        <v>255</v>
      </c>
      <c r="GK496" s="5" t="s">
        <v>255</v>
      </c>
      <c r="GL496" s="5" t="s">
        <v>255</v>
      </c>
      <c r="GM496" s="5" t="s">
        <v>255</v>
      </c>
      <c r="GN496" s="5" t="s">
        <v>256</v>
      </c>
      <c r="GO496" s="5" t="s">
        <v>256</v>
      </c>
      <c r="GP496" s="5" t="s">
        <v>256</v>
      </c>
      <c r="GQ496" s="5" t="s">
        <v>256</v>
      </c>
      <c r="GR496" s="5" t="s">
        <v>256</v>
      </c>
      <c r="GS496" s="5" t="s">
        <v>256</v>
      </c>
      <c r="GT496" s="5" t="s">
        <v>256</v>
      </c>
      <c r="GU496" s="5" t="s">
        <v>863</v>
      </c>
      <c r="GV496" s="5" t="str">
        <f>TEXT("6290332510221655490","0")</f>
        <v>6290332510221650000</v>
      </c>
    </row>
    <row r="497" spans="1:204" ht="15.75" customHeight="1" x14ac:dyDescent="0.15">
      <c r="A497" s="1">
        <f t="shared" si="1530"/>
        <v>497</v>
      </c>
      <c r="B497" s="4">
        <v>45860.780821759261</v>
      </c>
      <c r="C497" s="5" t="s">
        <v>204</v>
      </c>
      <c r="D497" s="5" t="s">
        <v>206</v>
      </c>
      <c r="F497" s="5" t="s">
        <v>206</v>
      </c>
      <c r="G497" s="5" t="s">
        <v>206</v>
      </c>
      <c r="H497" s="5" t="s">
        <v>206</v>
      </c>
      <c r="L497" s="5" t="s">
        <v>236</v>
      </c>
      <c r="P497" s="5" t="s">
        <v>237</v>
      </c>
      <c r="T497" s="5" t="s">
        <v>209</v>
      </c>
      <c r="Y497" s="5" t="s">
        <v>209</v>
      </c>
      <c r="AE497" s="5" t="s">
        <v>237</v>
      </c>
      <c r="AH497" s="5" t="s">
        <v>268</v>
      </c>
      <c r="AI497" s="5">
        <v>2018</v>
      </c>
      <c r="AJ497" s="5" t="s">
        <v>330</v>
      </c>
      <c r="AK497" s="5" t="str">
        <f t="shared" si="1531"/>
        <v>Asalariada</v>
      </c>
      <c r="AQ497" s="5" t="s">
        <v>206</v>
      </c>
      <c r="AR497" s="5" t="s">
        <v>276</v>
      </c>
      <c r="AS497" s="5" t="s">
        <v>276</v>
      </c>
      <c r="AT497" s="5" t="s">
        <v>276</v>
      </c>
      <c r="AU497" s="5" t="s">
        <v>276</v>
      </c>
      <c r="AV497" s="5" t="s">
        <v>213</v>
      </c>
      <c r="AW497" s="5" t="s">
        <v>206</v>
      </c>
      <c r="BF497" s="5" t="s">
        <v>204</v>
      </c>
      <c r="BG497" s="5" t="s">
        <v>242</v>
      </c>
      <c r="BH497" s="5" t="s">
        <v>242</v>
      </c>
      <c r="BI497" s="5" t="s">
        <v>278</v>
      </c>
      <c r="BJ497" s="5" t="s">
        <v>278</v>
      </c>
      <c r="BK497" s="5" t="s">
        <v>216</v>
      </c>
      <c r="BL497" s="5" t="s">
        <v>216</v>
      </c>
      <c r="BM497" s="5" t="s">
        <v>216</v>
      </c>
      <c r="BN497" s="5" t="s">
        <v>243</v>
      </c>
      <c r="BO497" s="5" t="s">
        <v>216</v>
      </c>
      <c r="BP497" s="5" t="s">
        <v>216</v>
      </c>
      <c r="BQ497" s="5" t="s">
        <v>216</v>
      </c>
      <c r="BR497" s="5" t="s">
        <v>244</v>
      </c>
      <c r="BS497" s="5" t="s">
        <v>217</v>
      </c>
      <c r="BT497" s="5" t="s">
        <v>217</v>
      </c>
      <c r="BU497" s="5" t="s">
        <v>248</v>
      </c>
      <c r="BV497" s="5" t="s">
        <v>247</v>
      </c>
      <c r="BW497" s="5" t="s">
        <v>247</v>
      </c>
      <c r="BX497" s="5" t="s">
        <v>217</v>
      </c>
      <c r="BY497" s="5" t="s">
        <v>217</v>
      </c>
      <c r="CD497" s="5" t="s">
        <v>206</v>
      </c>
      <c r="CH497" s="5" t="s">
        <v>206</v>
      </c>
      <c r="CI497" s="5" t="s">
        <v>206</v>
      </c>
      <c r="CJ497" s="5">
        <v>0</v>
      </c>
      <c r="CK497" s="5" t="s">
        <v>223</v>
      </c>
      <c r="CU497" s="5" t="s">
        <v>206</v>
      </c>
      <c r="DA497" s="5" t="s">
        <v>272</v>
      </c>
      <c r="DB497" s="5">
        <f t="shared" si="1532"/>
        <v>1</v>
      </c>
      <c r="DC497" s="5" t="s">
        <v>230</v>
      </c>
      <c r="DD497" s="5">
        <f t="shared" si="1533"/>
        <v>2</v>
      </c>
      <c r="DE497" s="5" t="s">
        <v>230</v>
      </c>
      <c r="DF497" s="5">
        <f t="shared" si="1534"/>
        <v>2</v>
      </c>
      <c r="DG497" s="5" t="s">
        <v>230</v>
      </c>
      <c r="DH497" s="5">
        <f t="shared" si="1535"/>
        <v>2</v>
      </c>
      <c r="DI497" s="5" t="s">
        <v>230</v>
      </c>
      <c r="DJ497" s="5">
        <f t="shared" si="1536"/>
        <v>2</v>
      </c>
      <c r="DK497" s="5" t="s">
        <v>251</v>
      </c>
      <c r="DL497" s="5">
        <f t="shared" si="1537"/>
        <v>1</v>
      </c>
      <c r="DM497" s="5" t="s">
        <v>251</v>
      </c>
      <c r="DN497" s="5">
        <f t="shared" si="1538"/>
        <v>1</v>
      </c>
      <c r="DO497" s="5" t="s">
        <v>231</v>
      </c>
      <c r="DP497" s="5">
        <f t="shared" si="1539"/>
        <v>2</v>
      </c>
      <c r="DQ497" s="5" t="s">
        <v>231</v>
      </c>
      <c r="DR497" s="5">
        <f t="shared" si="1540"/>
        <v>2</v>
      </c>
      <c r="DS497" s="5" t="s">
        <v>281</v>
      </c>
      <c r="DT497" s="5">
        <f t="shared" si="1541"/>
        <v>1</v>
      </c>
      <c r="DU497" s="5" t="s">
        <v>281</v>
      </c>
      <c r="DV497" s="5">
        <f t="shared" si="1542"/>
        <v>1</v>
      </c>
      <c r="DW497" s="5" t="s">
        <v>281</v>
      </c>
      <c r="DX497" s="5">
        <f t="shared" si="1543"/>
        <v>1</v>
      </c>
      <c r="DY497" s="5">
        <f t="shared" si="1544"/>
        <v>18</v>
      </c>
      <c r="DZ497" s="5" t="str">
        <f t="shared" si="1545"/>
        <v>Nivel de riesgo bajo</v>
      </c>
      <c r="EA497" s="5" t="s">
        <v>253</v>
      </c>
      <c r="EB497" s="5">
        <f t="shared" si="1546"/>
        <v>0</v>
      </c>
      <c r="EC497" s="5" t="s">
        <v>253</v>
      </c>
      <c r="ED497" s="5">
        <f t="shared" si="1547"/>
        <v>0</v>
      </c>
      <c r="EE497" s="5" t="s">
        <v>253</v>
      </c>
      <c r="EF497" s="5">
        <f t="shared" si="1548"/>
        <v>0</v>
      </c>
      <c r="EG497" s="5">
        <f t="shared" si="1549"/>
        <v>0</v>
      </c>
      <c r="EH497" s="5" t="str">
        <f t="shared" si="1550"/>
        <v>Nivel de riesgo bajo</v>
      </c>
      <c r="EI497" s="5" t="s">
        <v>253</v>
      </c>
      <c r="EJ497" s="5">
        <f t="shared" si="1551"/>
        <v>0</v>
      </c>
      <c r="EK497" s="5" t="s">
        <v>248</v>
      </c>
      <c r="EL497" s="5">
        <f t="shared" si="1552"/>
        <v>1</v>
      </c>
      <c r="EM497" s="5" t="s">
        <v>254</v>
      </c>
      <c r="EN497" s="5">
        <f t="shared" si="1553"/>
        <v>4</v>
      </c>
      <c r="EO497" s="5">
        <f t="shared" si="1554"/>
        <v>5</v>
      </c>
      <c r="EP497" s="5" t="str">
        <f t="shared" si="1555"/>
        <v>Nivel de riesgo medio</v>
      </c>
      <c r="EQ497" s="5" t="s">
        <v>254</v>
      </c>
      <c r="ER497" s="5">
        <f t="shared" si="1556"/>
        <v>0</v>
      </c>
      <c r="ES497" s="5" t="s">
        <v>254</v>
      </c>
      <c r="ET497" s="5">
        <f t="shared" si="1557"/>
        <v>0</v>
      </c>
      <c r="EU497" s="5" t="s">
        <v>254</v>
      </c>
      <c r="EV497" s="5">
        <f t="shared" si="1558"/>
        <v>0</v>
      </c>
      <c r="EW497" s="5" t="s">
        <v>254</v>
      </c>
      <c r="EX497" s="5">
        <f t="shared" si="1559"/>
        <v>0</v>
      </c>
      <c r="EY497" s="5">
        <f t="shared" si="1560"/>
        <v>0</v>
      </c>
      <c r="EZ497" s="5" t="str">
        <f t="shared" si="1561"/>
        <v>Nivel de riesgo bajo</v>
      </c>
      <c r="FA497" s="5" t="s">
        <v>253</v>
      </c>
      <c r="FB497" s="5">
        <f t="shared" si="1562"/>
        <v>0</v>
      </c>
      <c r="FC497" s="5" t="s">
        <v>253</v>
      </c>
      <c r="FD497" s="5">
        <f t="shared" si="1563"/>
        <v>0</v>
      </c>
      <c r="FE497" s="5" t="s">
        <v>253</v>
      </c>
      <c r="FF497" s="5">
        <f t="shared" si="1564"/>
        <v>0</v>
      </c>
      <c r="FG497" s="5">
        <f t="shared" si="1565"/>
        <v>0</v>
      </c>
      <c r="FH497" s="5" t="str">
        <f t="shared" si="1566"/>
        <v>Nivel de riesgo bajo</v>
      </c>
      <c r="FI497" s="5" t="s">
        <v>253</v>
      </c>
      <c r="FJ497" s="5">
        <f t="shared" si="1567"/>
        <v>0</v>
      </c>
      <c r="FK497" s="5" t="s">
        <v>253</v>
      </c>
      <c r="FL497" s="5">
        <f t="shared" si="1568"/>
        <v>0</v>
      </c>
      <c r="FM497" s="5" t="s">
        <v>253</v>
      </c>
      <c r="FN497" s="5">
        <f t="shared" si="1569"/>
        <v>0</v>
      </c>
      <c r="FO497" s="5">
        <f t="shared" si="1570"/>
        <v>0</v>
      </c>
      <c r="FP497" s="5" t="str">
        <f t="shared" si="1571"/>
        <v>Nivel de riesgo bajo</v>
      </c>
      <c r="FQ497" s="5" t="s">
        <v>206</v>
      </c>
      <c r="FR497" s="5">
        <f t="shared" si="1572"/>
        <v>0</v>
      </c>
      <c r="FS497" s="5" t="s">
        <v>206</v>
      </c>
      <c r="FT497" s="5">
        <f t="shared" si="1573"/>
        <v>0</v>
      </c>
      <c r="FU497" s="5" t="s">
        <v>206</v>
      </c>
      <c r="FV497" s="5">
        <f t="shared" si="1574"/>
        <v>0</v>
      </c>
      <c r="FW497" s="5" t="s">
        <v>206</v>
      </c>
      <c r="FX497" s="5">
        <f t="shared" si="1575"/>
        <v>0</v>
      </c>
      <c r="FY497" s="5" t="s">
        <v>206</v>
      </c>
      <c r="FZ497" s="5">
        <f t="shared" si="1576"/>
        <v>0</v>
      </c>
      <c r="GA497" s="5" t="s">
        <v>206</v>
      </c>
      <c r="GB497" s="5">
        <f t="shared" si="1577"/>
        <v>0</v>
      </c>
      <c r="GC497" s="5" t="s">
        <v>206</v>
      </c>
      <c r="GD497" s="5">
        <f t="shared" si="1578"/>
        <v>0</v>
      </c>
      <c r="GE497" s="5">
        <f t="shared" si="1579"/>
        <v>0</v>
      </c>
      <c r="GF497" s="5" t="str">
        <f t="shared" si="1580"/>
        <v>Nivel de riesgo bajo</v>
      </c>
      <c r="GG497" s="5" t="s">
        <v>255</v>
      </c>
      <c r="GH497" s="5" t="s">
        <v>255</v>
      </c>
      <c r="GI497" s="5" t="s">
        <v>255</v>
      </c>
      <c r="GJ497" s="5" t="s">
        <v>255</v>
      </c>
      <c r="GK497" s="5" t="s">
        <v>233</v>
      </c>
      <c r="GL497" s="5" t="s">
        <v>233</v>
      </c>
      <c r="GM497" s="5" t="s">
        <v>266</v>
      </c>
      <c r="GN497" s="5" t="s">
        <v>243</v>
      </c>
      <c r="GO497" s="5" t="s">
        <v>234</v>
      </c>
      <c r="GP497" s="5" t="s">
        <v>234</v>
      </c>
      <c r="GQ497" s="5" t="s">
        <v>243</v>
      </c>
      <c r="GR497" s="5" t="s">
        <v>257</v>
      </c>
      <c r="GS497" s="5" t="s">
        <v>257</v>
      </c>
      <c r="GT497" s="5" t="s">
        <v>243</v>
      </c>
      <c r="GU497" s="5" t="s">
        <v>864</v>
      </c>
      <c r="GV497" s="5" t="str">
        <f>TEXT("6290334635075840165","0")</f>
        <v>6290334635075840000</v>
      </c>
    </row>
    <row r="498" spans="1:204" ht="15.75" customHeight="1" x14ac:dyDescent="0.15">
      <c r="A498" s="1">
        <f t="shared" si="1530"/>
        <v>498</v>
      </c>
      <c r="B498" s="4">
        <v>45860.800625000003</v>
      </c>
      <c r="C498" s="5" t="s">
        <v>204</v>
      </c>
      <c r="D498" s="5" t="s">
        <v>206</v>
      </c>
      <c r="F498" s="5" t="s">
        <v>206</v>
      </c>
      <c r="G498" s="5" t="s">
        <v>206</v>
      </c>
      <c r="H498" s="5" t="s">
        <v>206</v>
      </c>
      <c r="K498" s="5" t="s">
        <v>237</v>
      </c>
      <c r="O498" s="5" t="s">
        <v>209</v>
      </c>
      <c r="T498" s="5" t="s">
        <v>209</v>
      </c>
      <c r="X498" s="5" t="s">
        <v>208</v>
      </c>
      <c r="AC498" s="5" t="s">
        <v>208</v>
      </c>
      <c r="AH498" s="5" t="s">
        <v>210</v>
      </c>
      <c r="AI498" s="5">
        <v>2025</v>
      </c>
      <c r="AJ498" s="5" t="s">
        <v>330</v>
      </c>
      <c r="AK498" s="5" t="str">
        <f t="shared" si="1531"/>
        <v>Asalariada</v>
      </c>
      <c r="AQ498" s="5" t="s">
        <v>204</v>
      </c>
      <c r="AR498" s="5" t="s">
        <v>241</v>
      </c>
      <c r="AS498" s="5" t="s">
        <v>241</v>
      </c>
      <c r="AT498" s="5" t="s">
        <v>241</v>
      </c>
      <c r="AU498" s="5" t="s">
        <v>241</v>
      </c>
      <c r="AV498" s="5" t="s">
        <v>269</v>
      </c>
      <c r="AW498" s="5" t="s">
        <v>204</v>
      </c>
      <c r="AX498" s="5" t="s">
        <v>204</v>
      </c>
      <c r="AY498" s="5" t="s">
        <v>214</v>
      </c>
      <c r="AZ498" s="5" t="s">
        <v>204</v>
      </c>
      <c r="BA498" s="5" t="s">
        <v>263</v>
      </c>
      <c r="BF498" s="5" t="s">
        <v>204</v>
      </c>
      <c r="BG498" s="5" t="s">
        <v>242</v>
      </c>
      <c r="BH498" s="5" t="s">
        <v>215</v>
      </c>
      <c r="BI498" s="5" t="s">
        <v>242</v>
      </c>
      <c r="BJ498" s="5" t="s">
        <v>215</v>
      </c>
      <c r="BK498" s="5" t="s">
        <v>244</v>
      </c>
      <c r="BL498" s="5" t="s">
        <v>244</v>
      </c>
      <c r="BM498" s="5" t="s">
        <v>243</v>
      </c>
      <c r="BN498" s="5" t="s">
        <v>244</v>
      </c>
      <c r="BO498" s="5" t="s">
        <v>244</v>
      </c>
      <c r="BP498" s="5" t="s">
        <v>244</v>
      </c>
      <c r="BQ498" s="5" t="s">
        <v>244</v>
      </c>
      <c r="BR498" s="5" t="s">
        <v>216</v>
      </c>
      <c r="BS498" s="5" t="s">
        <v>248</v>
      </c>
      <c r="BT498" s="5" t="s">
        <v>248</v>
      </c>
      <c r="BU498" s="5" t="s">
        <v>248</v>
      </c>
      <c r="BV498" s="5" t="s">
        <v>217</v>
      </c>
      <c r="BW498" s="5" t="s">
        <v>217</v>
      </c>
      <c r="BX498" s="5" t="s">
        <v>217</v>
      </c>
      <c r="BY498" s="5" t="s">
        <v>217</v>
      </c>
      <c r="BZ498" s="5" t="s">
        <v>244</v>
      </c>
      <c r="CA498" s="5" t="s">
        <v>244</v>
      </c>
      <c r="CB498" s="5" t="s">
        <v>244</v>
      </c>
      <c r="CC498" s="5" t="s">
        <v>244</v>
      </c>
      <c r="CD498" s="5" t="s">
        <v>204</v>
      </c>
      <c r="CE498" s="5" t="s">
        <v>286</v>
      </c>
      <c r="CF498" s="5" t="s">
        <v>219</v>
      </c>
      <c r="CG498" s="5" t="s">
        <v>206</v>
      </c>
      <c r="CH498" s="5" t="s">
        <v>206</v>
      </c>
      <c r="CI498" s="5" t="s">
        <v>206</v>
      </c>
      <c r="CJ498" s="5">
        <v>0</v>
      </c>
      <c r="CK498" s="5" t="s">
        <v>223</v>
      </c>
      <c r="CU498" s="5" t="s">
        <v>206</v>
      </c>
      <c r="DA498" s="5" t="s">
        <v>231</v>
      </c>
      <c r="DB498" s="5">
        <f t="shared" si="1532"/>
        <v>2</v>
      </c>
      <c r="DC498" s="5" t="s">
        <v>251</v>
      </c>
      <c r="DD498" s="5">
        <f t="shared" si="1533"/>
        <v>1</v>
      </c>
      <c r="DE498" s="5" t="s">
        <v>251</v>
      </c>
      <c r="DF498" s="5">
        <f t="shared" si="1534"/>
        <v>1</v>
      </c>
      <c r="DG498" s="5" t="s">
        <v>251</v>
      </c>
      <c r="DH498" s="5">
        <f t="shared" si="1535"/>
        <v>1</v>
      </c>
      <c r="DI498" s="5" t="s">
        <v>251</v>
      </c>
      <c r="DJ498" s="5">
        <f t="shared" si="1536"/>
        <v>1</v>
      </c>
      <c r="DK498" s="5" t="s">
        <v>251</v>
      </c>
      <c r="DL498" s="5">
        <f t="shared" si="1537"/>
        <v>1</v>
      </c>
      <c r="DM498" s="5" t="s">
        <v>251</v>
      </c>
      <c r="DN498" s="5">
        <f t="shared" si="1538"/>
        <v>1</v>
      </c>
      <c r="DO498" s="5" t="s">
        <v>281</v>
      </c>
      <c r="DP498" s="5">
        <f t="shared" si="1539"/>
        <v>1</v>
      </c>
      <c r="DQ498" s="5" t="s">
        <v>231</v>
      </c>
      <c r="DR498" s="5">
        <f t="shared" si="1540"/>
        <v>2</v>
      </c>
      <c r="DS498" s="5" t="s">
        <v>281</v>
      </c>
      <c r="DT498" s="5">
        <f t="shared" si="1541"/>
        <v>1</v>
      </c>
      <c r="DU498" s="5" t="s">
        <v>281</v>
      </c>
      <c r="DV498" s="5">
        <f t="shared" si="1542"/>
        <v>1</v>
      </c>
      <c r="DW498" s="5" t="s">
        <v>281</v>
      </c>
      <c r="DX498" s="5">
        <f t="shared" si="1543"/>
        <v>1</v>
      </c>
      <c r="DY498" s="5">
        <f t="shared" si="1544"/>
        <v>14</v>
      </c>
      <c r="DZ498" s="5" t="str">
        <f t="shared" si="1545"/>
        <v>Nivel de riesgo bajo</v>
      </c>
      <c r="EA498" s="5" t="s">
        <v>253</v>
      </c>
      <c r="EB498" s="5">
        <f t="shared" si="1546"/>
        <v>0</v>
      </c>
      <c r="EC498" s="5" t="s">
        <v>253</v>
      </c>
      <c r="ED498" s="5">
        <f t="shared" si="1547"/>
        <v>0</v>
      </c>
      <c r="EE498" s="5" t="s">
        <v>253</v>
      </c>
      <c r="EF498" s="5">
        <f t="shared" si="1548"/>
        <v>0</v>
      </c>
      <c r="EG498" s="5">
        <f t="shared" si="1549"/>
        <v>0</v>
      </c>
      <c r="EH498" s="5" t="str">
        <f t="shared" si="1550"/>
        <v>Nivel de riesgo bajo</v>
      </c>
      <c r="EI498" s="5" t="s">
        <v>253</v>
      </c>
      <c r="EJ498" s="5">
        <f t="shared" si="1551"/>
        <v>0</v>
      </c>
      <c r="EK498" s="5" t="s">
        <v>248</v>
      </c>
      <c r="EL498" s="5">
        <f t="shared" si="1552"/>
        <v>1</v>
      </c>
      <c r="EM498" s="5" t="s">
        <v>253</v>
      </c>
      <c r="EN498" s="5">
        <f t="shared" si="1553"/>
        <v>0</v>
      </c>
      <c r="EO498" s="5">
        <f t="shared" si="1554"/>
        <v>1</v>
      </c>
      <c r="EP498" s="5" t="str">
        <f t="shared" si="1555"/>
        <v>Nivel de riesgo bajo</v>
      </c>
      <c r="EQ498" s="5" t="s">
        <v>254</v>
      </c>
      <c r="ER498" s="5">
        <f t="shared" si="1556"/>
        <v>0</v>
      </c>
      <c r="ES498" s="5" t="s">
        <v>254</v>
      </c>
      <c r="ET498" s="5">
        <f t="shared" si="1557"/>
        <v>0</v>
      </c>
      <c r="EU498" s="5" t="s">
        <v>254</v>
      </c>
      <c r="EV498" s="5">
        <f t="shared" si="1558"/>
        <v>0</v>
      </c>
      <c r="EW498" s="5" t="s">
        <v>254</v>
      </c>
      <c r="EX498" s="5">
        <f t="shared" si="1559"/>
        <v>0</v>
      </c>
      <c r="EY498" s="5">
        <f t="shared" si="1560"/>
        <v>0</v>
      </c>
      <c r="EZ498" s="5" t="str">
        <f t="shared" si="1561"/>
        <v>Nivel de riesgo bajo</v>
      </c>
      <c r="FA498" s="5" t="s">
        <v>253</v>
      </c>
      <c r="FB498" s="5">
        <f t="shared" si="1562"/>
        <v>0</v>
      </c>
      <c r="FC498" s="5" t="s">
        <v>253</v>
      </c>
      <c r="FD498" s="5">
        <f t="shared" si="1563"/>
        <v>0</v>
      </c>
      <c r="FE498" s="5" t="s">
        <v>253</v>
      </c>
      <c r="FF498" s="5">
        <f t="shared" si="1564"/>
        <v>0</v>
      </c>
      <c r="FG498" s="5">
        <f t="shared" si="1565"/>
        <v>0</v>
      </c>
      <c r="FH498" s="5" t="str">
        <f t="shared" si="1566"/>
        <v>Nivel de riesgo bajo</v>
      </c>
      <c r="FI498" s="5" t="s">
        <v>253</v>
      </c>
      <c r="FJ498" s="5">
        <f t="shared" si="1567"/>
        <v>0</v>
      </c>
      <c r="FK498" s="5" t="s">
        <v>253</v>
      </c>
      <c r="FL498" s="5">
        <f t="shared" si="1568"/>
        <v>0</v>
      </c>
      <c r="FM498" s="5" t="s">
        <v>253</v>
      </c>
      <c r="FN498" s="5">
        <f t="shared" si="1569"/>
        <v>0</v>
      </c>
      <c r="FO498" s="5">
        <f t="shared" si="1570"/>
        <v>0</v>
      </c>
      <c r="FP498" s="5" t="str">
        <f t="shared" si="1571"/>
        <v>Nivel de riesgo bajo</v>
      </c>
      <c r="FQ498" s="5" t="s">
        <v>206</v>
      </c>
      <c r="FR498" s="5">
        <f t="shared" si="1572"/>
        <v>0</v>
      </c>
      <c r="FS498" s="5" t="s">
        <v>206</v>
      </c>
      <c r="FT498" s="5">
        <f t="shared" si="1573"/>
        <v>0</v>
      </c>
      <c r="FU498" s="5" t="s">
        <v>206</v>
      </c>
      <c r="FV498" s="5">
        <f t="shared" si="1574"/>
        <v>0</v>
      </c>
      <c r="FW498" s="5" t="s">
        <v>206</v>
      </c>
      <c r="FX498" s="5">
        <f t="shared" si="1575"/>
        <v>0</v>
      </c>
      <c r="FY498" s="5" t="s">
        <v>206</v>
      </c>
      <c r="FZ498" s="5">
        <f t="shared" si="1576"/>
        <v>0</v>
      </c>
      <c r="GA498" s="5" t="s">
        <v>206</v>
      </c>
      <c r="GB498" s="5">
        <f t="shared" si="1577"/>
        <v>0</v>
      </c>
      <c r="GC498" s="5" t="s">
        <v>206</v>
      </c>
      <c r="GD498" s="5">
        <f t="shared" si="1578"/>
        <v>0</v>
      </c>
      <c r="GE498" s="5">
        <f t="shared" si="1579"/>
        <v>0</v>
      </c>
      <c r="GF498" s="5" t="str">
        <f t="shared" si="1580"/>
        <v>Nivel de riesgo bajo</v>
      </c>
      <c r="GG498" s="5" t="s">
        <v>255</v>
      </c>
      <c r="GH498" s="5" t="s">
        <v>255</v>
      </c>
      <c r="GI498" s="5" t="s">
        <v>255</v>
      </c>
      <c r="GJ498" s="5" t="s">
        <v>266</v>
      </c>
      <c r="GK498" s="5" t="s">
        <v>233</v>
      </c>
      <c r="GL498" s="5" t="s">
        <v>266</v>
      </c>
      <c r="GM498" s="5" t="s">
        <v>266</v>
      </c>
      <c r="GN498" s="5" t="s">
        <v>243</v>
      </c>
      <c r="GO498" s="5" t="s">
        <v>243</v>
      </c>
      <c r="GP498" s="5" t="s">
        <v>243</v>
      </c>
      <c r="GQ498" s="5" t="s">
        <v>243</v>
      </c>
      <c r="GR498" s="5" t="s">
        <v>257</v>
      </c>
      <c r="GS498" s="5" t="s">
        <v>257</v>
      </c>
      <c r="GT498" s="5" t="s">
        <v>243</v>
      </c>
      <c r="GU498" s="5" t="s">
        <v>865</v>
      </c>
      <c r="GV498" s="5" t="str">
        <f>TEXT("6290351746226096347","0")</f>
        <v>6290351746226090000</v>
      </c>
    </row>
    <row r="499" spans="1:204" ht="15.75" customHeight="1" x14ac:dyDescent="0.15">
      <c r="A499" s="1">
        <f t="shared" si="1530"/>
        <v>499</v>
      </c>
      <c r="B499" s="4">
        <v>45860.804907407408</v>
      </c>
      <c r="C499" s="5" t="s">
        <v>204</v>
      </c>
      <c r="D499" s="5" t="s">
        <v>206</v>
      </c>
      <c r="F499" s="5" t="s">
        <v>204</v>
      </c>
      <c r="G499" s="5" t="s">
        <v>204</v>
      </c>
      <c r="H499" s="5" t="s">
        <v>206</v>
      </c>
      <c r="J499" s="5" t="s">
        <v>209</v>
      </c>
      <c r="N499" s="5" t="s">
        <v>208</v>
      </c>
      <c r="S499" s="5" t="s">
        <v>208</v>
      </c>
      <c r="X499" s="5" t="s">
        <v>208</v>
      </c>
      <c r="AC499" s="5" t="s">
        <v>208</v>
      </c>
      <c r="AH499" s="5" t="s">
        <v>866</v>
      </c>
      <c r="AI499" s="5">
        <v>2014</v>
      </c>
      <c r="AJ499" s="5" t="s">
        <v>238</v>
      </c>
      <c r="AK499" s="5" t="str">
        <f t="shared" si="1531"/>
        <v>Trabajadora por cuenta propia</v>
      </c>
      <c r="AL499" s="5" t="s">
        <v>239</v>
      </c>
      <c r="AP499" s="5" t="s">
        <v>867</v>
      </c>
      <c r="AR499" s="5" t="s">
        <v>301</v>
      </c>
      <c r="AS499" s="5" t="s">
        <v>301</v>
      </c>
      <c r="AT499" s="5" t="s">
        <v>241</v>
      </c>
      <c r="AU499" s="5" t="s">
        <v>241</v>
      </c>
      <c r="AV499" s="5" t="s">
        <v>285</v>
      </c>
      <c r="AW499" s="5" t="s">
        <v>204</v>
      </c>
      <c r="AX499" s="5" t="s">
        <v>206</v>
      </c>
      <c r="BF499" s="5" t="s">
        <v>206</v>
      </c>
      <c r="CK499" s="5" t="s">
        <v>223</v>
      </c>
      <c r="CU499" s="5" t="s">
        <v>206</v>
      </c>
      <c r="DA499" s="5" t="s">
        <v>272</v>
      </c>
      <c r="DB499" s="5">
        <f t="shared" si="1532"/>
        <v>1</v>
      </c>
      <c r="DC499" s="5" t="s">
        <v>251</v>
      </c>
      <c r="DD499" s="5">
        <f t="shared" si="1533"/>
        <v>1</v>
      </c>
      <c r="DE499" s="5" t="s">
        <v>251</v>
      </c>
      <c r="DF499" s="5">
        <f t="shared" si="1534"/>
        <v>1</v>
      </c>
      <c r="DG499" s="5" t="s">
        <v>251</v>
      </c>
      <c r="DH499" s="5">
        <f t="shared" si="1535"/>
        <v>1</v>
      </c>
      <c r="DI499" s="5" t="s">
        <v>251</v>
      </c>
      <c r="DJ499" s="5">
        <f t="shared" si="1536"/>
        <v>1</v>
      </c>
      <c r="DK499" s="5" t="s">
        <v>251</v>
      </c>
      <c r="DL499" s="5">
        <f t="shared" si="1537"/>
        <v>1</v>
      </c>
      <c r="DM499" s="5" t="s">
        <v>251</v>
      </c>
      <c r="DN499" s="5">
        <f t="shared" si="1538"/>
        <v>1</v>
      </c>
      <c r="DO499" s="5" t="s">
        <v>281</v>
      </c>
      <c r="DP499" s="5">
        <f t="shared" si="1539"/>
        <v>1</v>
      </c>
      <c r="DQ499" s="5" t="s">
        <v>281</v>
      </c>
      <c r="DR499" s="5">
        <f t="shared" si="1540"/>
        <v>1</v>
      </c>
      <c r="DS499" s="5" t="s">
        <v>281</v>
      </c>
      <c r="DT499" s="5">
        <f t="shared" si="1541"/>
        <v>1</v>
      </c>
      <c r="DU499" s="5" t="s">
        <v>281</v>
      </c>
      <c r="DV499" s="5">
        <f t="shared" si="1542"/>
        <v>1</v>
      </c>
      <c r="DW499" s="5" t="s">
        <v>281</v>
      </c>
      <c r="DX499" s="5">
        <f t="shared" si="1543"/>
        <v>1</v>
      </c>
      <c r="DY499" s="5">
        <f t="shared" si="1544"/>
        <v>12</v>
      </c>
      <c r="DZ499" s="5" t="str">
        <f t="shared" si="1545"/>
        <v>Nivel de riesgo bajo</v>
      </c>
      <c r="EA499" s="5" t="s">
        <v>253</v>
      </c>
      <c r="EB499" s="5">
        <f t="shared" si="1546"/>
        <v>0</v>
      </c>
      <c r="EC499" s="5" t="s">
        <v>253</v>
      </c>
      <c r="ED499" s="5">
        <f t="shared" si="1547"/>
        <v>0</v>
      </c>
      <c r="EE499" s="5" t="s">
        <v>253</v>
      </c>
      <c r="EF499" s="5">
        <f t="shared" si="1548"/>
        <v>0</v>
      </c>
      <c r="EG499" s="5">
        <f t="shared" si="1549"/>
        <v>0</v>
      </c>
      <c r="EH499" s="5" t="str">
        <f t="shared" si="1550"/>
        <v>Nivel de riesgo bajo</v>
      </c>
      <c r="EI499" s="5" t="s">
        <v>253</v>
      </c>
      <c r="EJ499" s="5">
        <f t="shared" si="1551"/>
        <v>0</v>
      </c>
      <c r="EK499" s="5" t="s">
        <v>253</v>
      </c>
      <c r="EL499" s="5">
        <f t="shared" si="1552"/>
        <v>0</v>
      </c>
      <c r="EM499" s="5" t="s">
        <v>253</v>
      </c>
      <c r="EN499" s="5">
        <f t="shared" si="1553"/>
        <v>0</v>
      </c>
      <c r="EO499" s="5">
        <f t="shared" si="1554"/>
        <v>0</v>
      </c>
      <c r="EP499" s="5" t="str">
        <f t="shared" si="1555"/>
        <v>Nivel de riesgo bajo</v>
      </c>
      <c r="EQ499" s="5" t="s">
        <v>253</v>
      </c>
      <c r="ER499" s="5">
        <f t="shared" si="1556"/>
        <v>4</v>
      </c>
      <c r="ES499" s="5" t="s">
        <v>253</v>
      </c>
      <c r="ET499" s="5">
        <f t="shared" si="1557"/>
        <v>4</v>
      </c>
      <c r="EU499" s="5" t="s">
        <v>253</v>
      </c>
      <c r="EV499" s="5">
        <f t="shared" si="1558"/>
        <v>4</v>
      </c>
      <c r="EW499" s="5" t="s">
        <v>253</v>
      </c>
      <c r="EX499" s="5">
        <f t="shared" si="1559"/>
        <v>4</v>
      </c>
      <c r="EY499" s="5">
        <f t="shared" si="1560"/>
        <v>16</v>
      </c>
      <c r="EZ499" s="5" t="str">
        <f t="shared" si="1561"/>
        <v>Nivel de riesgo alto</v>
      </c>
      <c r="FA499" s="5" t="s">
        <v>253</v>
      </c>
      <c r="FB499" s="5">
        <f t="shared" si="1562"/>
        <v>0</v>
      </c>
      <c r="FC499" s="5" t="s">
        <v>253</v>
      </c>
      <c r="FD499" s="5">
        <f t="shared" si="1563"/>
        <v>0</v>
      </c>
      <c r="FE499" s="5" t="s">
        <v>253</v>
      </c>
      <c r="FF499" s="5">
        <f t="shared" si="1564"/>
        <v>0</v>
      </c>
      <c r="FG499" s="5">
        <f t="shared" si="1565"/>
        <v>0</v>
      </c>
      <c r="FH499" s="5" t="str">
        <f t="shared" si="1566"/>
        <v>Nivel de riesgo bajo</v>
      </c>
      <c r="FI499" s="5" t="s">
        <v>253</v>
      </c>
      <c r="FJ499" s="5">
        <f t="shared" si="1567"/>
        <v>0</v>
      </c>
      <c r="FK499" s="5" t="s">
        <v>253</v>
      </c>
      <c r="FL499" s="5">
        <f t="shared" si="1568"/>
        <v>0</v>
      </c>
      <c r="FM499" s="5" t="s">
        <v>253</v>
      </c>
      <c r="FN499" s="5">
        <f t="shared" si="1569"/>
        <v>0</v>
      </c>
      <c r="FO499" s="5">
        <f t="shared" si="1570"/>
        <v>0</v>
      </c>
      <c r="FP499" s="5" t="str">
        <f t="shared" si="1571"/>
        <v>Nivel de riesgo bajo</v>
      </c>
      <c r="FQ499" s="5" t="s">
        <v>206</v>
      </c>
      <c r="FR499" s="5">
        <f t="shared" si="1572"/>
        <v>0</v>
      </c>
      <c r="FS499" s="5" t="s">
        <v>206</v>
      </c>
      <c r="FT499" s="5">
        <f t="shared" si="1573"/>
        <v>0</v>
      </c>
      <c r="FU499" s="5" t="s">
        <v>206</v>
      </c>
      <c r="FV499" s="5">
        <f t="shared" si="1574"/>
        <v>0</v>
      </c>
      <c r="FW499" s="5" t="s">
        <v>206</v>
      </c>
      <c r="FX499" s="5">
        <f t="shared" si="1575"/>
        <v>0</v>
      </c>
      <c r="FY499" s="5" t="s">
        <v>206</v>
      </c>
      <c r="FZ499" s="5">
        <f t="shared" si="1576"/>
        <v>0</v>
      </c>
      <c r="GA499" s="5" t="s">
        <v>206</v>
      </c>
      <c r="GB499" s="5">
        <f t="shared" si="1577"/>
        <v>0</v>
      </c>
      <c r="GC499" s="5" t="s">
        <v>206</v>
      </c>
      <c r="GD499" s="5">
        <f t="shared" si="1578"/>
        <v>0</v>
      </c>
      <c r="GE499" s="5">
        <f t="shared" si="1579"/>
        <v>0</v>
      </c>
      <c r="GF499" s="5" t="str">
        <f t="shared" si="1580"/>
        <v>Nivel de riesgo bajo</v>
      </c>
      <c r="GG499" s="5" t="s">
        <v>298</v>
      </c>
      <c r="GH499" s="5" t="s">
        <v>298</v>
      </c>
      <c r="GI499" s="5" t="s">
        <v>298</v>
      </c>
      <c r="GJ499" s="5" t="s">
        <v>298</v>
      </c>
      <c r="GK499" s="5" t="s">
        <v>233</v>
      </c>
      <c r="GL499" s="5" t="s">
        <v>233</v>
      </c>
      <c r="GM499" s="5" t="s">
        <v>298</v>
      </c>
      <c r="GN499" s="5" t="s">
        <v>256</v>
      </c>
      <c r="GO499" s="5" t="s">
        <v>256</v>
      </c>
      <c r="GP499" s="5" t="s">
        <v>256</v>
      </c>
      <c r="GQ499" s="5" t="s">
        <v>256</v>
      </c>
      <c r="GR499" s="5" t="s">
        <v>256</v>
      </c>
      <c r="GS499" s="5" t="s">
        <v>256</v>
      </c>
      <c r="GT499" s="5" t="s">
        <v>256</v>
      </c>
      <c r="GU499" s="5" t="s">
        <v>868</v>
      </c>
      <c r="GV499" s="5" t="str">
        <f>TEXT("6290355444418540672","0")</f>
        <v>6290355444418540000</v>
      </c>
    </row>
    <row r="500" spans="1:204" ht="15.75" customHeight="1" x14ac:dyDescent="0.15">
      <c r="A500" s="1">
        <f t="shared" si="1530"/>
        <v>500</v>
      </c>
      <c r="B500" s="4">
        <v>45860.832094907404</v>
      </c>
      <c r="C500" s="5" t="s">
        <v>204</v>
      </c>
      <c r="D500" s="5" t="s">
        <v>204</v>
      </c>
      <c r="E500" s="5" t="s">
        <v>335</v>
      </c>
      <c r="F500" s="5" t="s">
        <v>204</v>
      </c>
      <c r="G500" s="5" t="s">
        <v>206</v>
      </c>
      <c r="H500" s="5" t="s">
        <v>206</v>
      </c>
      <c r="K500" s="5" t="s">
        <v>237</v>
      </c>
      <c r="O500" s="5" t="s">
        <v>209</v>
      </c>
      <c r="U500" s="5" t="s">
        <v>237</v>
      </c>
      <c r="X500" s="5" t="s">
        <v>208</v>
      </c>
      <c r="AC500" s="5" t="s">
        <v>208</v>
      </c>
      <c r="AH500" s="5" t="s">
        <v>275</v>
      </c>
      <c r="AI500" s="5">
        <v>2022</v>
      </c>
      <c r="AJ500" s="5" t="s">
        <v>238</v>
      </c>
      <c r="AK500" s="5" t="str">
        <f t="shared" si="1531"/>
        <v>Trabajadora por cuenta propia</v>
      </c>
      <c r="AL500" s="5" t="s">
        <v>239</v>
      </c>
      <c r="AP500" s="5" t="s">
        <v>297</v>
      </c>
      <c r="AR500" s="5" t="s">
        <v>294</v>
      </c>
      <c r="AS500" s="5" t="s">
        <v>294</v>
      </c>
      <c r="AT500" s="5" t="s">
        <v>294</v>
      </c>
      <c r="AU500" s="5" t="s">
        <v>294</v>
      </c>
      <c r="AV500" s="5" t="s">
        <v>285</v>
      </c>
      <c r="AW500" s="5" t="s">
        <v>204</v>
      </c>
      <c r="AX500" s="5" t="s">
        <v>206</v>
      </c>
      <c r="BF500" s="5" t="s">
        <v>204</v>
      </c>
      <c r="BG500" s="5" t="s">
        <v>207</v>
      </c>
      <c r="BH500" s="5" t="s">
        <v>278</v>
      </c>
      <c r="BI500" s="5" t="s">
        <v>207</v>
      </c>
      <c r="BJ500" s="5" t="s">
        <v>242</v>
      </c>
      <c r="BK500" s="5" t="s">
        <v>216</v>
      </c>
      <c r="BL500" s="5" t="s">
        <v>216</v>
      </c>
      <c r="BM500" s="5" t="s">
        <v>244</v>
      </c>
      <c r="BN500" s="5" t="s">
        <v>244</v>
      </c>
      <c r="BO500" s="5" t="s">
        <v>216</v>
      </c>
      <c r="BP500" s="5" t="s">
        <v>216</v>
      </c>
      <c r="BQ500" s="5" t="s">
        <v>216</v>
      </c>
      <c r="BR500" s="5" t="s">
        <v>216</v>
      </c>
      <c r="BS500" s="5" t="s">
        <v>254</v>
      </c>
      <c r="BT500" s="5" t="s">
        <v>247</v>
      </c>
      <c r="BU500" s="5" t="s">
        <v>232</v>
      </c>
      <c r="BV500" s="5" t="s">
        <v>248</v>
      </c>
      <c r="BW500" s="5" t="s">
        <v>247</v>
      </c>
      <c r="BX500" s="5" t="s">
        <v>247</v>
      </c>
      <c r="BY500" s="5" t="s">
        <v>247</v>
      </c>
      <c r="BZ500" s="5" t="s">
        <v>216</v>
      </c>
      <c r="CA500" s="5" t="s">
        <v>216</v>
      </c>
      <c r="CB500" s="5" t="s">
        <v>216</v>
      </c>
      <c r="CC500" s="5" t="s">
        <v>216</v>
      </c>
      <c r="CD500" s="5" t="s">
        <v>206</v>
      </c>
      <c r="CH500" s="5" t="s">
        <v>206</v>
      </c>
      <c r="CI500" s="5" t="s">
        <v>383</v>
      </c>
      <c r="CJ500" s="5">
        <v>6</v>
      </c>
      <c r="CK500" s="5" t="s">
        <v>223</v>
      </c>
      <c r="CU500" s="5" t="s">
        <v>206</v>
      </c>
      <c r="DA500" s="5" t="s">
        <v>252</v>
      </c>
      <c r="DB500" s="5">
        <f t="shared" si="1532"/>
        <v>3</v>
      </c>
      <c r="DC500" s="5" t="s">
        <v>280</v>
      </c>
      <c r="DD500" s="5">
        <f t="shared" si="1533"/>
        <v>4</v>
      </c>
      <c r="DE500" s="5" t="s">
        <v>250</v>
      </c>
      <c r="DF500" s="5">
        <f t="shared" si="1534"/>
        <v>3</v>
      </c>
      <c r="DG500" s="5" t="s">
        <v>251</v>
      </c>
      <c r="DH500" s="5">
        <f t="shared" si="1535"/>
        <v>1</v>
      </c>
      <c r="DI500" s="5" t="s">
        <v>251</v>
      </c>
      <c r="DJ500" s="5">
        <f t="shared" si="1536"/>
        <v>1</v>
      </c>
      <c r="DK500" s="5" t="s">
        <v>251</v>
      </c>
      <c r="DL500" s="5">
        <f t="shared" si="1537"/>
        <v>1</v>
      </c>
      <c r="DM500" s="5" t="s">
        <v>251</v>
      </c>
      <c r="DN500" s="5">
        <f t="shared" si="1538"/>
        <v>1</v>
      </c>
      <c r="DO500" s="5" t="s">
        <v>229</v>
      </c>
      <c r="DP500" s="5">
        <f t="shared" si="1539"/>
        <v>4</v>
      </c>
      <c r="DQ500" s="5" t="s">
        <v>229</v>
      </c>
      <c r="DR500" s="5">
        <f t="shared" si="1540"/>
        <v>4</v>
      </c>
      <c r="DS500" s="5" t="s">
        <v>229</v>
      </c>
      <c r="DT500" s="5">
        <f t="shared" si="1541"/>
        <v>4</v>
      </c>
      <c r="DU500" s="5" t="s">
        <v>229</v>
      </c>
      <c r="DV500" s="5">
        <f t="shared" si="1542"/>
        <v>4</v>
      </c>
      <c r="DW500" s="5" t="s">
        <v>229</v>
      </c>
      <c r="DX500" s="5">
        <f t="shared" si="1543"/>
        <v>4</v>
      </c>
      <c r="DY500" s="5">
        <f t="shared" si="1544"/>
        <v>34</v>
      </c>
      <c r="DZ500" s="5" t="str">
        <f t="shared" si="1545"/>
        <v>Nivel de riesgo alto</v>
      </c>
      <c r="EA500" s="5" t="s">
        <v>253</v>
      </c>
      <c r="EB500" s="5">
        <f t="shared" si="1546"/>
        <v>0</v>
      </c>
      <c r="EC500" s="5" t="s">
        <v>253</v>
      </c>
      <c r="ED500" s="5">
        <f t="shared" si="1547"/>
        <v>0</v>
      </c>
      <c r="EE500" s="5" t="s">
        <v>253</v>
      </c>
      <c r="EF500" s="5">
        <f t="shared" si="1548"/>
        <v>0</v>
      </c>
      <c r="EG500" s="5">
        <f t="shared" si="1549"/>
        <v>0</v>
      </c>
      <c r="EH500" s="5" t="str">
        <f t="shared" si="1550"/>
        <v>Nivel de riesgo bajo</v>
      </c>
      <c r="EI500" s="5" t="s">
        <v>254</v>
      </c>
      <c r="EJ500" s="5">
        <f t="shared" si="1551"/>
        <v>4</v>
      </c>
      <c r="EK500" s="5" t="s">
        <v>254</v>
      </c>
      <c r="EL500" s="5">
        <f t="shared" si="1552"/>
        <v>4</v>
      </c>
      <c r="EM500" s="5" t="s">
        <v>254</v>
      </c>
      <c r="EN500" s="5">
        <f t="shared" si="1553"/>
        <v>4</v>
      </c>
      <c r="EO500" s="5">
        <f t="shared" si="1554"/>
        <v>12</v>
      </c>
      <c r="EP500" s="5" t="str">
        <f t="shared" si="1555"/>
        <v>Nivel de riesgo alto</v>
      </c>
      <c r="EQ500" s="5" t="s">
        <v>253</v>
      </c>
      <c r="ER500" s="5">
        <f t="shared" si="1556"/>
        <v>4</v>
      </c>
      <c r="ES500" s="5" t="s">
        <v>253</v>
      </c>
      <c r="ET500" s="5">
        <f t="shared" si="1557"/>
        <v>4</v>
      </c>
      <c r="EU500" s="5" t="s">
        <v>253</v>
      </c>
      <c r="EV500" s="5">
        <f t="shared" si="1558"/>
        <v>4</v>
      </c>
      <c r="EW500" s="5" t="s">
        <v>253</v>
      </c>
      <c r="EX500" s="5">
        <f t="shared" si="1559"/>
        <v>4</v>
      </c>
      <c r="EY500" s="5">
        <f t="shared" si="1560"/>
        <v>16</v>
      </c>
      <c r="EZ500" s="5" t="str">
        <f t="shared" si="1561"/>
        <v>Nivel de riesgo alto</v>
      </c>
      <c r="FA500" s="5" t="s">
        <v>254</v>
      </c>
      <c r="FB500" s="5">
        <f t="shared" si="1562"/>
        <v>4</v>
      </c>
      <c r="FC500" s="5" t="s">
        <v>254</v>
      </c>
      <c r="FD500" s="5">
        <f t="shared" si="1563"/>
        <v>4</v>
      </c>
      <c r="FE500" s="5" t="s">
        <v>254</v>
      </c>
      <c r="FF500" s="5">
        <f t="shared" si="1564"/>
        <v>4</v>
      </c>
      <c r="FG500" s="5">
        <f t="shared" si="1565"/>
        <v>12</v>
      </c>
      <c r="FH500" s="5" t="str">
        <f t="shared" si="1566"/>
        <v>Nivel de riesgo alto</v>
      </c>
      <c r="FI500" s="5" t="s">
        <v>254</v>
      </c>
      <c r="FJ500" s="5">
        <f t="shared" si="1567"/>
        <v>4</v>
      </c>
      <c r="FK500" s="5" t="s">
        <v>247</v>
      </c>
      <c r="FL500" s="5">
        <f t="shared" si="1568"/>
        <v>2</v>
      </c>
      <c r="FM500" s="5" t="s">
        <v>247</v>
      </c>
      <c r="FN500" s="5">
        <f t="shared" si="1569"/>
        <v>2</v>
      </c>
      <c r="FO500" s="5">
        <f t="shared" si="1570"/>
        <v>8</v>
      </c>
      <c r="FP500" s="5" t="str">
        <f t="shared" si="1571"/>
        <v>Nivel de riesgo alto</v>
      </c>
      <c r="FQ500" s="5" t="s">
        <v>265</v>
      </c>
      <c r="FR500" s="5">
        <f t="shared" si="1572"/>
        <v>1</v>
      </c>
      <c r="FS500" s="5" t="s">
        <v>206</v>
      </c>
      <c r="FT500" s="5">
        <f t="shared" si="1573"/>
        <v>0</v>
      </c>
      <c r="FU500" s="5" t="s">
        <v>206</v>
      </c>
      <c r="FV500" s="5">
        <f t="shared" si="1574"/>
        <v>0</v>
      </c>
      <c r="FW500" s="5" t="s">
        <v>206</v>
      </c>
      <c r="FX500" s="5">
        <f t="shared" si="1575"/>
        <v>0</v>
      </c>
      <c r="FY500" s="5" t="s">
        <v>206</v>
      </c>
      <c r="FZ500" s="5">
        <f t="shared" si="1576"/>
        <v>0</v>
      </c>
      <c r="GA500" s="5" t="s">
        <v>206</v>
      </c>
      <c r="GB500" s="5">
        <f t="shared" si="1577"/>
        <v>0</v>
      </c>
      <c r="GC500" s="5" t="s">
        <v>206</v>
      </c>
      <c r="GD500" s="5">
        <f t="shared" si="1578"/>
        <v>0</v>
      </c>
      <c r="GE500" s="5">
        <f t="shared" si="1579"/>
        <v>1</v>
      </c>
      <c r="GF500" s="5" t="str">
        <f t="shared" si="1580"/>
        <v>Nivel de riesgo medio</v>
      </c>
      <c r="GG500" s="5" t="s">
        <v>255</v>
      </c>
      <c r="GH500" s="5" t="s">
        <v>273</v>
      </c>
      <c r="GI500" s="5" t="s">
        <v>273</v>
      </c>
      <c r="GJ500" s="5" t="s">
        <v>233</v>
      </c>
      <c r="GK500" s="5" t="s">
        <v>266</v>
      </c>
      <c r="GL500" s="5" t="s">
        <v>233</v>
      </c>
      <c r="GM500" s="5" t="s">
        <v>233</v>
      </c>
      <c r="GN500" s="5" t="s">
        <v>256</v>
      </c>
      <c r="GO500" s="5" t="s">
        <v>234</v>
      </c>
      <c r="GP500" s="5" t="s">
        <v>234</v>
      </c>
      <c r="GQ500" s="5" t="s">
        <v>234</v>
      </c>
      <c r="GR500" s="5" t="s">
        <v>234</v>
      </c>
      <c r="GS500" s="5" t="s">
        <v>234</v>
      </c>
      <c r="GT500" s="5" t="s">
        <v>234</v>
      </c>
      <c r="GU500" s="5" t="s">
        <v>338</v>
      </c>
      <c r="GV500" s="5" t="str">
        <f>TEXT("6290378934717259790","0")</f>
        <v>6290378934717250000</v>
      </c>
    </row>
    <row r="501" spans="1:204" ht="15.75" customHeight="1" x14ac:dyDescent="0.15">
      <c r="A501" s="1">
        <f t="shared" si="1530"/>
        <v>501</v>
      </c>
      <c r="B501" s="4">
        <v>45860.845625000002</v>
      </c>
      <c r="C501" s="5" t="s">
        <v>204</v>
      </c>
      <c r="D501" s="5" t="s">
        <v>204</v>
      </c>
      <c r="E501" s="5" t="s">
        <v>335</v>
      </c>
      <c r="F501" s="5" t="s">
        <v>204</v>
      </c>
      <c r="G501" s="5" t="s">
        <v>206</v>
      </c>
      <c r="H501" s="5" t="s">
        <v>206</v>
      </c>
      <c r="K501" s="5" t="s">
        <v>237</v>
      </c>
      <c r="P501" s="5" t="s">
        <v>237</v>
      </c>
      <c r="U501" s="5" t="s">
        <v>237</v>
      </c>
      <c r="Z501" s="5" t="s">
        <v>237</v>
      </c>
      <c r="AD501" s="5" t="s">
        <v>209</v>
      </c>
      <c r="AH501" s="5" t="s">
        <v>268</v>
      </c>
      <c r="AI501" s="5">
        <v>2022</v>
      </c>
      <c r="AJ501" s="5" t="s">
        <v>330</v>
      </c>
      <c r="AK501" s="5" t="str">
        <f t="shared" si="1531"/>
        <v>Asalariada</v>
      </c>
      <c r="AQ501" s="5" t="s">
        <v>204</v>
      </c>
      <c r="AR501" s="5" t="s">
        <v>241</v>
      </c>
      <c r="AS501" s="5" t="s">
        <v>301</v>
      </c>
      <c r="AT501" s="5" t="s">
        <v>241</v>
      </c>
      <c r="AU501" s="5" t="s">
        <v>301</v>
      </c>
      <c r="AV501" s="5" t="s">
        <v>213</v>
      </c>
      <c r="AW501" s="5" t="s">
        <v>206</v>
      </c>
      <c r="BF501" s="5" t="s">
        <v>204</v>
      </c>
      <c r="BG501" s="5" t="s">
        <v>242</v>
      </c>
      <c r="BH501" s="5" t="s">
        <v>215</v>
      </c>
      <c r="BI501" s="5" t="s">
        <v>278</v>
      </c>
      <c r="BJ501" s="5" t="s">
        <v>271</v>
      </c>
      <c r="BK501" s="5" t="s">
        <v>243</v>
      </c>
      <c r="BL501" s="5" t="s">
        <v>244</v>
      </c>
      <c r="BM501" s="5" t="s">
        <v>246</v>
      </c>
      <c r="BN501" s="5" t="s">
        <v>244</v>
      </c>
      <c r="BO501" s="5" t="s">
        <v>244</v>
      </c>
      <c r="BP501" s="5" t="s">
        <v>245</v>
      </c>
      <c r="BQ501" s="5" t="s">
        <v>244</v>
      </c>
      <c r="BR501" s="5" t="s">
        <v>244</v>
      </c>
      <c r="BS501" s="5" t="s">
        <v>232</v>
      </c>
      <c r="BT501" s="5" t="s">
        <v>232</v>
      </c>
      <c r="BU501" s="5" t="s">
        <v>232</v>
      </c>
      <c r="BV501" s="5" t="s">
        <v>248</v>
      </c>
      <c r="BW501" s="5" t="s">
        <v>248</v>
      </c>
      <c r="BX501" s="5" t="s">
        <v>247</v>
      </c>
      <c r="BY501" s="5" t="s">
        <v>248</v>
      </c>
      <c r="CD501" s="5" t="s">
        <v>206</v>
      </c>
      <c r="CH501" s="5" t="s">
        <v>206</v>
      </c>
      <c r="CI501" s="5" t="s">
        <v>291</v>
      </c>
      <c r="CJ501" s="5">
        <v>1</v>
      </c>
      <c r="CK501" s="5" t="s">
        <v>223</v>
      </c>
      <c r="CU501" s="5" t="s">
        <v>206</v>
      </c>
      <c r="DA501" s="5" t="s">
        <v>231</v>
      </c>
      <c r="DB501" s="5">
        <f t="shared" si="1532"/>
        <v>2</v>
      </c>
      <c r="DC501" s="5" t="s">
        <v>230</v>
      </c>
      <c r="DD501" s="5">
        <f t="shared" si="1533"/>
        <v>2</v>
      </c>
      <c r="DE501" s="5" t="s">
        <v>230</v>
      </c>
      <c r="DF501" s="5">
        <f t="shared" si="1534"/>
        <v>2</v>
      </c>
      <c r="DG501" s="5" t="s">
        <v>230</v>
      </c>
      <c r="DH501" s="5">
        <f t="shared" si="1535"/>
        <v>2</v>
      </c>
      <c r="DI501" s="5" t="s">
        <v>251</v>
      </c>
      <c r="DJ501" s="5">
        <f t="shared" si="1536"/>
        <v>1</v>
      </c>
      <c r="DK501" s="5" t="s">
        <v>251</v>
      </c>
      <c r="DL501" s="5">
        <f t="shared" si="1537"/>
        <v>1</v>
      </c>
      <c r="DM501" s="5" t="s">
        <v>251</v>
      </c>
      <c r="DN501" s="5">
        <f t="shared" si="1538"/>
        <v>1</v>
      </c>
      <c r="DO501" s="5" t="s">
        <v>231</v>
      </c>
      <c r="DP501" s="5">
        <f t="shared" si="1539"/>
        <v>2</v>
      </c>
      <c r="DQ501" s="5" t="s">
        <v>231</v>
      </c>
      <c r="DR501" s="5">
        <f t="shared" si="1540"/>
        <v>2</v>
      </c>
      <c r="DS501" s="5" t="s">
        <v>231</v>
      </c>
      <c r="DT501" s="5">
        <f t="shared" si="1541"/>
        <v>2</v>
      </c>
      <c r="DU501" s="5" t="s">
        <v>231</v>
      </c>
      <c r="DV501" s="5">
        <f t="shared" si="1542"/>
        <v>2</v>
      </c>
      <c r="DW501" s="5" t="s">
        <v>231</v>
      </c>
      <c r="DX501" s="5">
        <f t="shared" si="1543"/>
        <v>2</v>
      </c>
      <c r="DY501" s="5">
        <f t="shared" si="1544"/>
        <v>21</v>
      </c>
      <c r="DZ501" s="5" t="str">
        <f t="shared" si="1545"/>
        <v>Nivel de riesgo medio</v>
      </c>
      <c r="EA501" s="5" t="s">
        <v>247</v>
      </c>
      <c r="EB501" s="5">
        <f t="shared" si="1546"/>
        <v>2</v>
      </c>
      <c r="EC501" s="5" t="s">
        <v>247</v>
      </c>
      <c r="ED501" s="5">
        <f t="shared" si="1547"/>
        <v>2</v>
      </c>
      <c r="EE501" s="5" t="s">
        <v>248</v>
      </c>
      <c r="EF501" s="5">
        <f t="shared" si="1548"/>
        <v>1</v>
      </c>
      <c r="EG501" s="5">
        <f t="shared" si="1549"/>
        <v>5</v>
      </c>
      <c r="EH501" s="5" t="str">
        <f t="shared" si="1550"/>
        <v>Nivel de riesgo alto</v>
      </c>
      <c r="EI501" s="5" t="s">
        <v>248</v>
      </c>
      <c r="EJ501" s="5">
        <f t="shared" si="1551"/>
        <v>1</v>
      </c>
      <c r="EK501" s="5" t="s">
        <v>232</v>
      </c>
      <c r="EL501" s="5">
        <f t="shared" si="1552"/>
        <v>3</v>
      </c>
      <c r="EM501" s="5" t="s">
        <v>247</v>
      </c>
      <c r="EN501" s="5">
        <f t="shared" si="1553"/>
        <v>2</v>
      </c>
      <c r="EO501" s="5">
        <f t="shared" si="1554"/>
        <v>6</v>
      </c>
      <c r="EP501" s="5" t="str">
        <f t="shared" si="1555"/>
        <v>Nivel de riesgo alto</v>
      </c>
      <c r="EQ501" s="5" t="s">
        <v>232</v>
      </c>
      <c r="ER501" s="5">
        <f t="shared" si="1556"/>
        <v>1</v>
      </c>
      <c r="ES501" s="5" t="s">
        <v>254</v>
      </c>
      <c r="ET501" s="5">
        <f t="shared" si="1557"/>
        <v>0</v>
      </c>
      <c r="EU501" s="5" t="s">
        <v>254</v>
      </c>
      <c r="EV501" s="5">
        <f t="shared" si="1558"/>
        <v>0</v>
      </c>
      <c r="EW501" s="5" t="s">
        <v>254</v>
      </c>
      <c r="EX501" s="5">
        <f t="shared" si="1559"/>
        <v>0</v>
      </c>
      <c r="EY501" s="5">
        <f t="shared" si="1560"/>
        <v>1</v>
      </c>
      <c r="EZ501" s="5" t="str">
        <f t="shared" si="1561"/>
        <v>Nivel de riesgo medio</v>
      </c>
      <c r="FA501" s="5" t="s">
        <v>248</v>
      </c>
      <c r="FB501" s="5">
        <f t="shared" si="1562"/>
        <v>1</v>
      </c>
      <c r="FC501" s="5" t="s">
        <v>253</v>
      </c>
      <c r="FD501" s="5">
        <f t="shared" si="1563"/>
        <v>0</v>
      </c>
      <c r="FE501" s="5" t="s">
        <v>253</v>
      </c>
      <c r="FF501" s="5">
        <f t="shared" si="1564"/>
        <v>0</v>
      </c>
      <c r="FG501" s="5">
        <f t="shared" si="1565"/>
        <v>1</v>
      </c>
      <c r="FH501" s="5" t="str">
        <f t="shared" si="1566"/>
        <v>Nivel de riesgo bajo</v>
      </c>
      <c r="FI501" s="5" t="s">
        <v>247</v>
      </c>
      <c r="FJ501" s="5">
        <f t="shared" si="1567"/>
        <v>2</v>
      </c>
      <c r="FK501" s="5" t="s">
        <v>248</v>
      </c>
      <c r="FL501" s="5">
        <f t="shared" si="1568"/>
        <v>1</v>
      </c>
      <c r="FM501" s="5" t="s">
        <v>248</v>
      </c>
      <c r="FN501" s="5">
        <f t="shared" si="1569"/>
        <v>1</v>
      </c>
      <c r="FO501" s="5">
        <f t="shared" si="1570"/>
        <v>4</v>
      </c>
      <c r="FP501" s="5" t="str">
        <f t="shared" si="1571"/>
        <v>Nivel de riesgo medio</v>
      </c>
      <c r="FQ501" s="5" t="s">
        <v>206</v>
      </c>
      <c r="FR501" s="5">
        <f t="shared" si="1572"/>
        <v>0</v>
      </c>
      <c r="FS501" s="5" t="s">
        <v>206</v>
      </c>
      <c r="FT501" s="5">
        <f t="shared" si="1573"/>
        <v>0</v>
      </c>
      <c r="FU501" s="5" t="s">
        <v>206</v>
      </c>
      <c r="FV501" s="5">
        <f t="shared" si="1574"/>
        <v>0</v>
      </c>
      <c r="FW501" s="5" t="s">
        <v>206</v>
      </c>
      <c r="FX501" s="5">
        <f t="shared" si="1575"/>
        <v>0</v>
      </c>
      <c r="FY501" s="5" t="s">
        <v>206</v>
      </c>
      <c r="FZ501" s="5">
        <f t="shared" si="1576"/>
        <v>0</v>
      </c>
      <c r="GA501" s="5" t="s">
        <v>206</v>
      </c>
      <c r="GB501" s="5">
        <f t="shared" si="1577"/>
        <v>0</v>
      </c>
      <c r="GC501" s="5" t="s">
        <v>206</v>
      </c>
      <c r="GD501" s="5">
        <f t="shared" si="1578"/>
        <v>0</v>
      </c>
      <c r="GE501" s="5">
        <f t="shared" si="1579"/>
        <v>0</v>
      </c>
      <c r="GF501" s="5" t="str">
        <f t="shared" si="1580"/>
        <v>Nivel de riesgo bajo</v>
      </c>
      <c r="GG501" s="5" t="s">
        <v>255</v>
      </c>
      <c r="GH501" s="5" t="s">
        <v>255</v>
      </c>
      <c r="GI501" s="5" t="s">
        <v>255</v>
      </c>
      <c r="GJ501" s="5" t="s">
        <v>255</v>
      </c>
      <c r="GK501" s="5" t="s">
        <v>233</v>
      </c>
      <c r="GL501" s="5" t="s">
        <v>233</v>
      </c>
      <c r="GM501" s="5" t="s">
        <v>255</v>
      </c>
      <c r="GN501" s="5" t="s">
        <v>256</v>
      </c>
      <c r="GO501" s="5" t="s">
        <v>243</v>
      </c>
      <c r="GP501" s="5" t="s">
        <v>243</v>
      </c>
      <c r="GQ501" s="5" t="s">
        <v>257</v>
      </c>
      <c r="GR501" s="5" t="s">
        <v>256</v>
      </c>
      <c r="GS501" s="5" t="s">
        <v>256</v>
      </c>
      <c r="GT501" s="5" t="s">
        <v>256</v>
      </c>
      <c r="GU501" s="5" t="s">
        <v>869</v>
      </c>
      <c r="GV501" s="5" t="str">
        <f>TEXT("6290390629744994059","0")</f>
        <v>6290390629744990000</v>
      </c>
    </row>
    <row r="502" spans="1:204" ht="15.75" customHeight="1" x14ac:dyDescent="0.15">
      <c r="A502" s="1">
        <f t="shared" si="1530"/>
        <v>502</v>
      </c>
      <c r="B502" s="4">
        <v>45860.848425925928</v>
      </c>
      <c r="C502" s="5" t="s">
        <v>204</v>
      </c>
      <c r="D502" s="5" t="s">
        <v>206</v>
      </c>
      <c r="F502" s="5" t="s">
        <v>206</v>
      </c>
      <c r="G502" s="5" t="s">
        <v>206</v>
      </c>
      <c r="H502" s="5" t="s">
        <v>206</v>
      </c>
      <c r="K502" s="5" t="s">
        <v>237</v>
      </c>
      <c r="O502" s="5" t="s">
        <v>209</v>
      </c>
      <c r="T502" s="5" t="s">
        <v>209</v>
      </c>
      <c r="Z502" s="5" t="s">
        <v>237</v>
      </c>
      <c r="AC502" s="5" t="s">
        <v>208</v>
      </c>
      <c r="AH502" s="5" t="s">
        <v>210</v>
      </c>
      <c r="AI502" s="5">
        <v>2024</v>
      </c>
      <c r="AJ502" s="5" t="s">
        <v>238</v>
      </c>
      <c r="AK502" s="5" t="str">
        <f t="shared" si="1531"/>
        <v>Trabajadora por cuenta propia</v>
      </c>
      <c r="AN502" s="5" t="s">
        <v>288</v>
      </c>
      <c r="AP502" s="5" t="s">
        <v>321</v>
      </c>
      <c r="AR502" s="5" t="s">
        <v>261</v>
      </c>
      <c r="AS502" s="5" t="s">
        <v>261</v>
      </c>
      <c r="AT502" s="5" t="s">
        <v>261</v>
      </c>
      <c r="AU502" s="5" t="s">
        <v>261</v>
      </c>
      <c r="AV502" s="5" t="s">
        <v>269</v>
      </c>
      <c r="AW502" s="5" t="s">
        <v>204</v>
      </c>
      <c r="AX502" s="5" t="s">
        <v>206</v>
      </c>
      <c r="BF502" s="5" t="s">
        <v>204</v>
      </c>
      <c r="BG502" s="5" t="s">
        <v>207</v>
      </c>
      <c r="BH502" s="5" t="s">
        <v>242</v>
      </c>
      <c r="BI502" s="5" t="s">
        <v>207</v>
      </c>
      <c r="BJ502" s="5" t="s">
        <v>271</v>
      </c>
      <c r="BK502" s="5" t="s">
        <v>216</v>
      </c>
      <c r="BL502" s="5" t="s">
        <v>246</v>
      </c>
      <c r="BM502" s="5" t="s">
        <v>246</v>
      </c>
      <c r="BN502" s="5" t="s">
        <v>246</v>
      </c>
      <c r="BO502" s="5" t="s">
        <v>246</v>
      </c>
      <c r="BP502" s="5" t="s">
        <v>216</v>
      </c>
      <c r="BQ502" s="5" t="s">
        <v>216</v>
      </c>
      <c r="BR502" s="5" t="s">
        <v>216</v>
      </c>
      <c r="BS502" s="5" t="s">
        <v>248</v>
      </c>
      <c r="BT502" s="5" t="s">
        <v>217</v>
      </c>
      <c r="BU502" s="5" t="s">
        <v>217</v>
      </c>
      <c r="BV502" s="5" t="s">
        <v>217</v>
      </c>
      <c r="BW502" s="5" t="s">
        <v>217</v>
      </c>
      <c r="BX502" s="5" t="s">
        <v>217</v>
      </c>
      <c r="BY502" s="5" t="s">
        <v>217</v>
      </c>
      <c r="BZ502" s="5" t="s">
        <v>244</v>
      </c>
      <c r="CA502" s="5" t="s">
        <v>244</v>
      </c>
      <c r="CB502" s="5" t="s">
        <v>244</v>
      </c>
      <c r="CC502" s="5" t="s">
        <v>244</v>
      </c>
      <c r="CD502" s="5" t="s">
        <v>206</v>
      </c>
      <c r="CH502" s="5" t="s">
        <v>206</v>
      </c>
      <c r="CI502" s="5" t="s">
        <v>318</v>
      </c>
      <c r="CJ502" s="5">
        <v>3</v>
      </c>
      <c r="CK502" s="5" t="s">
        <v>223</v>
      </c>
      <c r="CU502" s="5" t="s">
        <v>206</v>
      </c>
      <c r="DA502" s="5" t="s">
        <v>252</v>
      </c>
      <c r="DB502" s="5">
        <f t="shared" si="1532"/>
        <v>3</v>
      </c>
      <c r="DC502" s="5" t="s">
        <v>230</v>
      </c>
      <c r="DD502" s="5">
        <f t="shared" si="1533"/>
        <v>2</v>
      </c>
      <c r="DE502" s="5" t="s">
        <v>230</v>
      </c>
      <c r="DF502" s="5">
        <f t="shared" si="1534"/>
        <v>2</v>
      </c>
      <c r="DG502" s="5" t="s">
        <v>230</v>
      </c>
      <c r="DH502" s="5">
        <f t="shared" si="1535"/>
        <v>2</v>
      </c>
      <c r="DI502" s="5" t="s">
        <v>230</v>
      </c>
      <c r="DJ502" s="5">
        <f t="shared" si="1536"/>
        <v>2</v>
      </c>
      <c r="DK502" s="5" t="s">
        <v>230</v>
      </c>
      <c r="DL502" s="5">
        <f t="shared" si="1537"/>
        <v>2</v>
      </c>
      <c r="DM502" s="5" t="s">
        <v>230</v>
      </c>
      <c r="DN502" s="5">
        <f t="shared" si="1538"/>
        <v>2</v>
      </c>
      <c r="DO502" s="5" t="s">
        <v>231</v>
      </c>
      <c r="DP502" s="5">
        <f t="shared" si="1539"/>
        <v>2</v>
      </c>
      <c r="DQ502" s="5" t="s">
        <v>231</v>
      </c>
      <c r="DR502" s="5">
        <f t="shared" si="1540"/>
        <v>2</v>
      </c>
      <c r="DS502" s="5" t="s">
        <v>231</v>
      </c>
      <c r="DT502" s="5">
        <f t="shared" si="1541"/>
        <v>2</v>
      </c>
      <c r="DU502" s="5" t="s">
        <v>231</v>
      </c>
      <c r="DV502" s="5">
        <f t="shared" si="1542"/>
        <v>2</v>
      </c>
      <c r="DW502" s="5" t="s">
        <v>231</v>
      </c>
      <c r="DX502" s="5">
        <f t="shared" si="1543"/>
        <v>2</v>
      </c>
      <c r="DY502" s="5">
        <f t="shared" si="1544"/>
        <v>25</v>
      </c>
      <c r="DZ502" s="5" t="str">
        <f t="shared" si="1545"/>
        <v>Nivel de riesgo alto</v>
      </c>
      <c r="EA502" s="5" t="s">
        <v>247</v>
      </c>
      <c r="EB502" s="5">
        <f t="shared" si="1546"/>
        <v>2</v>
      </c>
      <c r="EC502" s="5" t="s">
        <v>247</v>
      </c>
      <c r="ED502" s="5">
        <f t="shared" si="1547"/>
        <v>2</v>
      </c>
      <c r="EE502" s="5" t="s">
        <v>247</v>
      </c>
      <c r="EF502" s="5">
        <f t="shared" si="1548"/>
        <v>2</v>
      </c>
      <c r="EG502" s="5">
        <f t="shared" si="1549"/>
        <v>6</v>
      </c>
      <c r="EH502" s="5" t="str">
        <f t="shared" si="1550"/>
        <v>Nivel de riesgo alto</v>
      </c>
      <c r="EI502" s="5" t="s">
        <v>247</v>
      </c>
      <c r="EJ502" s="5">
        <f t="shared" si="1551"/>
        <v>2</v>
      </c>
      <c r="EK502" s="5" t="s">
        <v>247</v>
      </c>
      <c r="EL502" s="5">
        <f t="shared" si="1552"/>
        <v>2</v>
      </c>
      <c r="EM502" s="5" t="s">
        <v>247</v>
      </c>
      <c r="EN502" s="5">
        <f t="shared" si="1553"/>
        <v>2</v>
      </c>
      <c r="EO502" s="5">
        <f t="shared" si="1554"/>
        <v>6</v>
      </c>
      <c r="EP502" s="5" t="str">
        <f t="shared" si="1555"/>
        <v>Nivel de riesgo alto</v>
      </c>
      <c r="EQ502" s="5" t="s">
        <v>247</v>
      </c>
      <c r="ER502" s="5">
        <f t="shared" si="1556"/>
        <v>2</v>
      </c>
      <c r="ES502" s="5" t="s">
        <v>247</v>
      </c>
      <c r="ET502" s="5">
        <f t="shared" si="1557"/>
        <v>2</v>
      </c>
      <c r="EU502" s="5" t="s">
        <v>247</v>
      </c>
      <c r="EV502" s="5">
        <f t="shared" si="1558"/>
        <v>2</v>
      </c>
      <c r="EW502" s="5" t="s">
        <v>247</v>
      </c>
      <c r="EX502" s="5">
        <f t="shared" si="1559"/>
        <v>2</v>
      </c>
      <c r="EY502" s="5">
        <f t="shared" si="1560"/>
        <v>8</v>
      </c>
      <c r="EZ502" s="5" t="str">
        <f t="shared" si="1561"/>
        <v>Nivel de riesgo alto</v>
      </c>
      <c r="FA502" s="5" t="s">
        <v>247</v>
      </c>
      <c r="FB502" s="5">
        <f t="shared" si="1562"/>
        <v>2</v>
      </c>
      <c r="FC502" s="5" t="s">
        <v>247</v>
      </c>
      <c r="FD502" s="5">
        <f t="shared" si="1563"/>
        <v>2</v>
      </c>
      <c r="FE502" s="5" t="s">
        <v>247</v>
      </c>
      <c r="FF502" s="5">
        <f t="shared" si="1564"/>
        <v>2</v>
      </c>
      <c r="FG502" s="5">
        <f t="shared" si="1565"/>
        <v>6</v>
      </c>
      <c r="FH502" s="5" t="str">
        <f t="shared" si="1566"/>
        <v>Nivel de riesgo alto</v>
      </c>
      <c r="FI502" s="5" t="s">
        <v>247</v>
      </c>
      <c r="FJ502" s="5">
        <f t="shared" si="1567"/>
        <v>2</v>
      </c>
      <c r="FK502" s="5" t="s">
        <v>247</v>
      </c>
      <c r="FL502" s="5">
        <f t="shared" si="1568"/>
        <v>2</v>
      </c>
      <c r="FM502" s="5" t="s">
        <v>247</v>
      </c>
      <c r="FN502" s="5">
        <f t="shared" si="1569"/>
        <v>2</v>
      </c>
      <c r="FO502" s="5">
        <f t="shared" si="1570"/>
        <v>6</v>
      </c>
      <c r="FP502" s="5" t="str">
        <f t="shared" si="1571"/>
        <v>Nivel de riesgo alto</v>
      </c>
      <c r="FQ502" s="5" t="s">
        <v>206</v>
      </c>
      <c r="FR502" s="5">
        <f t="shared" si="1572"/>
        <v>0</v>
      </c>
      <c r="FS502" s="5" t="s">
        <v>206</v>
      </c>
      <c r="FT502" s="5">
        <f t="shared" si="1573"/>
        <v>0</v>
      </c>
      <c r="FU502" s="5" t="s">
        <v>206</v>
      </c>
      <c r="FV502" s="5">
        <f t="shared" si="1574"/>
        <v>0</v>
      </c>
      <c r="FW502" s="5" t="s">
        <v>206</v>
      </c>
      <c r="FX502" s="5">
        <f t="shared" si="1575"/>
        <v>0</v>
      </c>
      <c r="FY502" s="5" t="s">
        <v>206</v>
      </c>
      <c r="FZ502" s="5">
        <f t="shared" si="1576"/>
        <v>0</v>
      </c>
      <c r="GA502" s="5" t="s">
        <v>206</v>
      </c>
      <c r="GB502" s="5">
        <f t="shared" si="1577"/>
        <v>0</v>
      </c>
      <c r="GC502" s="5" t="s">
        <v>206</v>
      </c>
      <c r="GD502" s="5">
        <f t="shared" si="1578"/>
        <v>0</v>
      </c>
      <c r="GE502" s="5">
        <f t="shared" si="1579"/>
        <v>0</v>
      </c>
      <c r="GF502" s="5" t="str">
        <f t="shared" si="1580"/>
        <v>Nivel de riesgo bajo</v>
      </c>
      <c r="GG502" s="5" t="s">
        <v>255</v>
      </c>
      <c r="GH502" s="5" t="s">
        <v>266</v>
      </c>
      <c r="GI502" s="5" t="s">
        <v>266</v>
      </c>
      <c r="GJ502" s="5" t="s">
        <v>298</v>
      </c>
      <c r="GK502" s="5" t="s">
        <v>298</v>
      </c>
      <c r="GL502" s="5" t="s">
        <v>233</v>
      </c>
      <c r="GM502" s="5" t="s">
        <v>233</v>
      </c>
      <c r="GN502" s="5" t="s">
        <v>257</v>
      </c>
      <c r="GO502" s="5" t="s">
        <v>243</v>
      </c>
      <c r="GP502" s="5" t="s">
        <v>243</v>
      </c>
      <c r="GQ502" s="5" t="s">
        <v>243</v>
      </c>
      <c r="GR502" s="5" t="s">
        <v>243</v>
      </c>
      <c r="GS502" s="5" t="s">
        <v>243</v>
      </c>
      <c r="GT502" s="5" t="s">
        <v>243</v>
      </c>
      <c r="GU502" s="5" t="s">
        <v>870</v>
      </c>
      <c r="GV502" s="5" t="str">
        <f>TEXT("6290393048819369871","0")</f>
        <v>6290393048819360000</v>
      </c>
    </row>
    <row r="503" spans="1:204" ht="15.75" hidden="1" customHeight="1" x14ac:dyDescent="0.15">
      <c r="B503" s="4">
        <v>45860.8512962963</v>
      </c>
      <c r="C503" s="5" t="s">
        <v>204</v>
      </c>
      <c r="D503" s="5" t="s">
        <v>206</v>
      </c>
      <c r="F503" s="5" t="s">
        <v>206</v>
      </c>
      <c r="G503" s="5" t="s">
        <v>204</v>
      </c>
      <c r="H503" s="5" t="s">
        <v>206</v>
      </c>
      <c r="K503" s="5" t="s">
        <v>237</v>
      </c>
      <c r="O503" s="5" t="s">
        <v>209</v>
      </c>
      <c r="S503" s="5" t="s">
        <v>208</v>
      </c>
      <c r="X503" s="5" t="s">
        <v>208</v>
      </c>
      <c r="AF503" s="5" t="s">
        <v>236</v>
      </c>
      <c r="AH503" s="5" t="s">
        <v>210</v>
      </c>
      <c r="AI503" s="5">
        <v>2020</v>
      </c>
      <c r="AJ503" s="5" t="s">
        <v>260</v>
      </c>
      <c r="AK503" s="5"/>
      <c r="AR503" s="5" t="s">
        <v>241</v>
      </c>
      <c r="AS503" s="5" t="s">
        <v>241</v>
      </c>
      <c r="AT503" s="5" t="s">
        <v>241</v>
      </c>
      <c r="AU503" s="5" t="s">
        <v>241</v>
      </c>
      <c r="AV503" s="5" t="s">
        <v>302</v>
      </c>
      <c r="AW503" s="5" t="s">
        <v>206</v>
      </c>
      <c r="BF503" s="5" t="s">
        <v>204</v>
      </c>
      <c r="BG503" s="5" t="s">
        <v>242</v>
      </c>
      <c r="BH503" s="5" t="s">
        <v>242</v>
      </c>
      <c r="BI503" s="5" t="s">
        <v>278</v>
      </c>
      <c r="BJ503" s="5" t="s">
        <v>271</v>
      </c>
      <c r="BK503" s="5" t="s">
        <v>244</v>
      </c>
      <c r="BL503" s="5" t="s">
        <v>246</v>
      </c>
      <c r="BM503" s="5" t="s">
        <v>246</v>
      </c>
      <c r="BN503" s="5" t="s">
        <v>246</v>
      </c>
      <c r="BO503" s="5" t="s">
        <v>246</v>
      </c>
      <c r="BP503" s="5" t="s">
        <v>244</v>
      </c>
      <c r="BQ503" s="5" t="s">
        <v>244</v>
      </c>
      <c r="BR503" s="5" t="s">
        <v>244</v>
      </c>
      <c r="BS503" s="5" t="s">
        <v>247</v>
      </c>
      <c r="BT503" s="5" t="s">
        <v>248</v>
      </c>
      <c r="BU503" s="5" t="s">
        <v>247</v>
      </c>
      <c r="BV503" s="5" t="s">
        <v>248</v>
      </c>
      <c r="BW503" s="5" t="s">
        <v>247</v>
      </c>
      <c r="BX503" s="5" t="s">
        <v>247</v>
      </c>
      <c r="BY503" s="5" t="s">
        <v>247</v>
      </c>
      <c r="CD503" s="5" t="s">
        <v>204</v>
      </c>
      <c r="CE503" s="5" t="s">
        <v>286</v>
      </c>
      <c r="CF503" s="5" t="s">
        <v>219</v>
      </c>
      <c r="CG503" s="5" t="s">
        <v>206</v>
      </c>
      <c r="CH503" s="5" t="s">
        <v>206</v>
      </c>
      <c r="CI503" s="5" t="s">
        <v>206</v>
      </c>
      <c r="CJ503" s="5">
        <v>2</v>
      </c>
      <c r="CK503" s="5" t="s">
        <v>223</v>
      </c>
      <c r="CU503" s="5" t="s">
        <v>206</v>
      </c>
      <c r="DA503" s="5" t="s">
        <v>231</v>
      </c>
      <c r="DB503" s="5"/>
      <c r="DC503" s="5" t="s">
        <v>230</v>
      </c>
      <c r="DD503" s="5"/>
      <c r="DE503" s="5" t="s">
        <v>230</v>
      </c>
      <c r="DF503" s="5"/>
      <c r="DG503" s="5" t="s">
        <v>230</v>
      </c>
      <c r="DH503" s="5"/>
      <c r="DI503" s="5" t="s">
        <v>230</v>
      </c>
      <c r="DJ503" s="5"/>
      <c r="DK503" s="5" t="s">
        <v>250</v>
      </c>
      <c r="DL503" s="5"/>
      <c r="DM503" s="5" t="s">
        <v>251</v>
      </c>
      <c r="DN503" s="5"/>
      <c r="DO503" s="5" t="s">
        <v>281</v>
      </c>
      <c r="DP503" s="5"/>
      <c r="DQ503" s="5" t="s">
        <v>231</v>
      </c>
      <c r="DR503" s="5"/>
      <c r="DS503" s="5" t="s">
        <v>231</v>
      </c>
      <c r="DT503" s="5"/>
      <c r="DU503" s="5" t="s">
        <v>231</v>
      </c>
      <c r="DV503" s="5"/>
      <c r="DW503" s="5" t="s">
        <v>231</v>
      </c>
      <c r="DX503" s="5"/>
      <c r="DY503" s="5"/>
      <c r="DZ503" s="5"/>
      <c r="EA503" s="5" t="s">
        <v>247</v>
      </c>
      <c r="EB503" s="5"/>
      <c r="EC503" s="5" t="s">
        <v>248</v>
      </c>
      <c r="ED503" s="5"/>
      <c r="EE503" s="5" t="s">
        <v>253</v>
      </c>
      <c r="EF503" s="5"/>
      <c r="EG503" s="5"/>
      <c r="EH503" s="5"/>
      <c r="EI503" s="5" t="s">
        <v>247</v>
      </c>
      <c r="EJ503" s="5"/>
      <c r="EK503" s="5" t="s">
        <v>247</v>
      </c>
      <c r="EL503" s="5"/>
      <c r="EM503" s="5" t="s">
        <v>247</v>
      </c>
      <c r="EN503" s="5"/>
      <c r="EO503" s="5"/>
      <c r="EP503" s="5"/>
      <c r="EQ503" s="5" t="s">
        <v>247</v>
      </c>
      <c r="ER503" s="5"/>
      <c r="ES503" s="5" t="s">
        <v>247</v>
      </c>
      <c r="ET503" s="5"/>
      <c r="EU503" s="5" t="s">
        <v>232</v>
      </c>
      <c r="EV503" s="5"/>
      <c r="EW503" s="5" t="s">
        <v>254</v>
      </c>
      <c r="EX503" s="5"/>
      <c r="EY503" s="5"/>
      <c r="EZ503" s="5"/>
      <c r="FA503" s="5" t="s">
        <v>247</v>
      </c>
      <c r="FB503" s="5"/>
      <c r="FC503" s="5" t="s">
        <v>253</v>
      </c>
      <c r="FD503" s="5"/>
      <c r="FE503" s="5" t="s">
        <v>253</v>
      </c>
      <c r="FF503" s="5"/>
      <c r="FG503" s="5"/>
      <c r="FH503" s="5"/>
      <c r="FI503" s="5" t="s">
        <v>248</v>
      </c>
      <c r="FJ503" s="5"/>
      <c r="FK503" s="5" t="s">
        <v>248</v>
      </c>
      <c r="FL503" s="5"/>
      <c r="FM503" s="5" t="s">
        <v>248</v>
      </c>
      <c r="FN503" s="5"/>
      <c r="FO503" s="5"/>
      <c r="FP503" s="5"/>
      <c r="FQ503" s="5" t="s">
        <v>206</v>
      </c>
      <c r="FR503" s="5"/>
      <c r="FS503" s="5" t="s">
        <v>206</v>
      </c>
      <c r="FT503" s="5"/>
      <c r="FU503" s="5" t="s">
        <v>206</v>
      </c>
      <c r="FV503" s="5"/>
      <c r="FW503" s="5" t="s">
        <v>206</v>
      </c>
      <c r="FX503" s="5"/>
      <c r="FY503" s="5" t="s">
        <v>206</v>
      </c>
      <c r="FZ503" s="5"/>
      <c r="GA503" s="5" t="s">
        <v>206</v>
      </c>
      <c r="GB503" s="5"/>
      <c r="GC503" s="5" t="s">
        <v>206</v>
      </c>
      <c r="GD503" s="5"/>
      <c r="GE503" s="5"/>
      <c r="GF503" s="5"/>
      <c r="GG503" s="5" t="s">
        <v>273</v>
      </c>
      <c r="GH503" s="5" t="s">
        <v>273</v>
      </c>
      <c r="GI503" s="5" t="s">
        <v>273</v>
      </c>
      <c r="GJ503" s="5" t="s">
        <v>233</v>
      </c>
      <c r="GK503" s="5" t="s">
        <v>233</v>
      </c>
      <c r="GL503" s="5" t="s">
        <v>233</v>
      </c>
      <c r="GM503" s="5" t="s">
        <v>298</v>
      </c>
      <c r="GN503" s="5" t="s">
        <v>256</v>
      </c>
      <c r="GO503" s="5" t="s">
        <v>257</v>
      </c>
      <c r="GP503" s="5" t="s">
        <v>257</v>
      </c>
      <c r="GQ503" s="5" t="s">
        <v>243</v>
      </c>
      <c r="GR503" s="5" t="s">
        <v>243</v>
      </c>
      <c r="GS503" s="5" t="s">
        <v>243</v>
      </c>
      <c r="GT503" s="5" t="s">
        <v>243</v>
      </c>
      <c r="GU503" s="5" t="s">
        <v>871</v>
      </c>
      <c r="GV503" s="5" t="str">
        <f>TEXT("6290395526425968813","0")</f>
        <v>6290395526425960000</v>
      </c>
    </row>
    <row r="504" spans="1:204" ht="15.75" customHeight="1" x14ac:dyDescent="0.15">
      <c r="A504" s="1">
        <f t="shared" ref="A504:A515" si="1581">ROW(A504)</f>
        <v>504</v>
      </c>
      <c r="B504" s="4">
        <v>45860.893634259257</v>
      </c>
      <c r="C504" s="5" t="s">
        <v>204</v>
      </c>
      <c r="D504" s="5" t="s">
        <v>206</v>
      </c>
      <c r="F504" s="5" t="s">
        <v>206</v>
      </c>
      <c r="G504" s="5" t="s">
        <v>206</v>
      </c>
      <c r="H504" s="5" t="s">
        <v>206</v>
      </c>
      <c r="L504" s="5" t="s">
        <v>236</v>
      </c>
      <c r="N504" s="5" t="s">
        <v>208</v>
      </c>
      <c r="S504" s="5" t="s">
        <v>208</v>
      </c>
      <c r="X504" s="5" t="s">
        <v>208</v>
      </c>
      <c r="AC504" s="5" t="s">
        <v>208</v>
      </c>
      <c r="AG504" s="5" t="s">
        <v>207</v>
      </c>
      <c r="AH504" s="5" t="s">
        <v>275</v>
      </c>
      <c r="AI504" s="5">
        <v>2009</v>
      </c>
      <c r="AJ504" s="5" t="s">
        <v>238</v>
      </c>
      <c r="AK504" s="5" t="str">
        <f t="shared" ref="AK504:AK515" si="1582">IF(OR(AJ504="Empleada del sector privado",AJ504="Empleada del sector público"),"Asalariada",
IF(AJ504="Trabajadora por cuenta propia","Trabajadora por cuenta propia",""))</f>
        <v>Trabajadora por cuenta propia</v>
      </c>
      <c r="AL504" s="5" t="s">
        <v>239</v>
      </c>
      <c r="AP504" s="5" t="s">
        <v>297</v>
      </c>
      <c r="AR504" s="5" t="s">
        <v>241</v>
      </c>
      <c r="AS504" s="5" t="s">
        <v>294</v>
      </c>
      <c r="AT504" s="5" t="s">
        <v>294</v>
      </c>
      <c r="AU504" s="5" t="s">
        <v>261</v>
      </c>
      <c r="AV504" s="5" t="s">
        <v>285</v>
      </c>
      <c r="AW504" s="5" t="s">
        <v>204</v>
      </c>
      <c r="AX504" s="5" t="s">
        <v>204</v>
      </c>
      <c r="AY504" s="5" t="s">
        <v>214</v>
      </c>
      <c r="AZ504" s="5" t="s">
        <v>204</v>
      </c>
      <c r="BA504" s="5" t="s">
        <v>344</v>
      </c>
      <c r="BF504" s="5" t="s">
        <v>204</v>
      </c>
      <c r="BG504" s="5" t="s">
        <v>207</v>
      </c>
      <c r="BH504" s="5" t="s">
        <v>264</v>
      </c>
      <c r="BI504" s="5" t="s">
        <v>207</v>
      </c>
      <c r="BJ504" s="5" t="s">
        <v>264</v>
      </c>
      <c r="BK504" s="5" t="s">
        <v>216</v>
      </c>
      <c r="BL504" s="5" t="s">
        <v>244</v>
      </c>
      <c r="BM504" s="5" t="s">
        <v>216</v>
      </c>
      <c r="BN504" s="5" t="s">
        <v>216</v>
      </c>
      <c r="BO504" s="5" t="s">
        <v>216</v>
      </c>
      <c r="BP504" s="5" t="s">
        <v>216</v>
      </c>
      <c r="BQ504" s="5" t="s">
        <v>216</v>
      </c>
      <c r="BR504" s="5" t="s">
        <v>216</v>
      </c>
      <c r="BS504" s="5" t="s">
        <v>248</v>
      </c>
      <c r="BT504" s="5" t="s">
        <v>217</v>
      </c>
      <c r="BU504" s="5" t="s">
        <v>247</v>
      </c>
      <c r="BV504" s="5" t="s">
        <v>217</v>
      </c>
      <c r="BW504" s="5" t="s">
        <v>248</v>
      </c>
      <c r="BX504" s="5" t="s">
        <v>217</v>
      </c>
      <c r="BY504" s="5" t="s">
        <v>217</v>
      </c>
      <c r="BZ504" s="5" t="s">
        <v>216</v>
      </c>
      <c r="CA504" s="5" t="s">
        <v>216</v>
      </c>
      <c r="CB504" s="5" t="s">
        <v>216</v>
      </c>
      <c r="CC504" s="5" t="s">
        <v>216</v>
      </c>
      <c r="CD504" s="5" t="s">
        <v>204</v>
      </c>
      <c r="CE504" s="5" t="s">
        <v>286</v>
      </c>
      <c r="CF504" s="5" t="s">
        <v>279</v>
      </c>
      <c r="CG504" s="5" t="s">
        <v>206</v>
      </c>
      <c r="CH504" s="5" t="s">
        <v>206</v>
      </c>
      <c r="CI504" s="5" t="s">
        <v>206</v>
      </c>
      <c r="CJ504" s="5">
        <v>0</v>
      </c>
      <c r="CK504" s="5" t="s">
        <v>223</v>
      </c>
      <c r="CU504" s="5" t="s">
        <v>206</v>
      </c>
      <c r="DA504" s="5" t="s">
        <v>231</v>
      </c>
      <c r="DB504" s="5">
        <f t="shared" ref="DB504:DB515" si="1583">IF(DA504="Mejor que lo habitual",1,
IF(DA504="Igual que lo habitual",2,
IF(DA504="Menos que lo habitual",3,
IF(DA504="Mucho menos que lo habitual",4,""))))</f>
        <v>2</v>
      </c>
      <c r="DC504" s="5" t="s">
        <v>251</v>
      </c>
      <c r="DD504" s="5">
        <f t="shared" ref="DD504:DD515" si="1584">IF(DC504="No, en absoluto",1,
IF(DC504="No más que lo habitual",2,
IF(DC504="Bastante más que lo habitual",3,
IF(DC504="Mucho más que lo habitual",4,""))))</f>
        <v>1</v>
      </c>
      <c r="DE504" s="5" t="s">
        <v>251</v>
      </c>
      <c r="DF504" s="5">
        <f t="shared" ref="DF504:DF515" si="1585">IF(DE504="No, en absoluto",1,
IF(DE504="No más que lo habitual",2,
IF(DE504="Bastante más que lo habitual",3,
IF(DE504="Mucho más que lo habitual",4,""))))</f>
        <v>1</v>
      </c>
      <c r="DG504" s="5" t="s">
        <v>251</v>
      </c>
      <c r="DH504" s="5">
        <f t="shared" ref="DH504:DH515" si="1586">IF(DG504="No, en absoluto",1,
IF(DG504="No más que lo habitual",2,
IF(DG504="Bastante más que lo habitual",3,
IF(DG504="Mucho más que lo habitual",4,""))))</f>
        <v>1</v>
      </c>
      <c r="DI504" s="5" t="s">
        <v>251</v>
      </c>
      <c r="DJ504" s="5">
        <f t="shared" ref="DJ504:DJ515" si="1587">IF(DI504="No, en absoluto",1,
IF(DI504="No más que lo habitual",2,
IF(DI504="Bastante más que lo habitual",3,
IF(DI504="Mucho más que lo habitual",4,""))))</f>
        <v>1</v>
      </c>
      <c r="DK504" s="5" t="s">
        <v>251</v>
      </c>
      <c r="DL504" s="5">
        <f t="shared" ref="DL504:DL515" si="1588">IF(DK504="No, en absoluto",1,
IF(DK504="No más que lo habitual",2,
IF(DK504="Bastante más que lo habitual",3,
IF(DK504="Mucho más que lo habitual",4,""))))</f>
        <v>1</v>
      </c>
      <c r="DM504" s="5" t="s">
        <v>251</v>
      </c>
      <c r="DN504" s="5">
        <f t="shared" ref="DN504:DN515" si="1589">IF(DM504="No, en absoluto",1,
IF(DM504="No más que lo habitual",2,
IF(DM504="Bastante más que lo habitual",3,
IF(DM504="Mucho más que lo habitual",4,""))))</f>
        <v>1</v>
      </c>
      <c r="DO504" s="5" t="s">
        <v>231</v>
      </c>
      <c r="DP504" s="5">
        <f t="shared" ref="DP504:DP515" si="1590">IF(DO504="Más que lo habitual",1,
IF(DO504="Igual que lo habitual",2,
IF(DO504="Menos que lo habitual",3,
IF(DO504="Mucho menos que lo habitual",4,""))))</f>
        <v>2</v>
      </c>
      <c r="DQ504" s="5" t="s">
        <v>231</v>
      </c>
      <c r="DR504" s="5">
        <f t="shared" ref="DR504:DR515" si="1591">IF(DQ504="Más que lo habitual",1,
IF(DQ504="Igual que lo habitual",2,
IF(DQ504="Menos que lo habitual",3,
IF(DQ504="Mucho menos que lo habitual",4,""))))</f>
        <v>2</v>
      </c>
      <c r="DS504" s="5" t="s">
        <v>231</v>
      </c>
      <c r="DT504" s="5">
        <f t="shared" ref="DT504:DT515" si="1592">IF(DS504="Más que lo habitual",1,
IF(DS504="Igual que lo habitual",2,
IF(DS504="Menos que lo habitual",3,
IF(DS504="Mucho menos que lo habitual",4,""))))</f>
        <v>2</v>
      </c>
      <c r="DU504" s="5" t="s">
        <v>231</v>
      </c>
      <c r="DV504" s="5">
        <f t="shared" ref="DV504:DV515" si="1593">IF(DU504="Más que lo habitual",1,
IF(DU504="Igual que lo habitual",2,
IF(DU504="Menos que lo habitual",3,
IF(DU504="Mucho menos que lo habitual",4,""))))</f>
        <v>2</v>
      </c>
      <c r="DW504" s="5" t="s">
        <v>231</v>
      </c>
      <c r="DX504" s="5">
        <f t="shared" ref="DX504:DX515" si="1594">IF(DW504="Más que lo habitual",1,
IF(DW504="Igual que lo habitual",2,
IF(DW504="Menos que lo habitual",3,
IF(DW504="Mucho menos que lo habitual",4,""))))</f>
        <v>2</v>
      </c>
      <c r="DY504" s="5">
        <f t="shared" ref="DY504:DY515" si="1595">SUM(DB504,DD504,DF504,DH504,DJ504,DL504,DN504,DP504,DR504,DT504,DV504,DX504)</f>
        <v>18</v>
      </c>
      <c r="DZ504" s="5" t="str">
        <f t="shared" ref="DZ504:DZ515" si="1596">IF(DY504&lt;=18,"Nivel de riesgo bajo",
IF(DY504&lt;=23,"Nivel de riesgo medio",
"Nivel de riesgo alto"))</f>
        <v>Nivel de riesgo bajo</v>
      </c>
      <c r="EA504" s="5" t="s">
        <v>253</v>
      </c>
      <c r="EB504" s="5">
        <f t="shared" ref="EB504:EB515" si="1597">IF(EA504="Nunca/ casi nunca",0,
IF(EA504="Rara vez",1,
IF(EA504="A veces",2,
IF(EA504="A menudo",3,
IF(EA504="Siempre",4,"")))))</f>
        <v>0</v>
      </c>
      <c r="EC504" s="5" t="s">
        <v>248</v>
      </c>
      <c r="ED504" s="5">
        <f t="shared" ref="ED504:ED515" si="1598">IF(EC504="Nunca/ casi nunca",0,
IF(EC504="Rara vez",1,
IF(EC504="A veces",2,
IF(EC504="A menudo",3,
IF(EC504="Siempre",4,"")))))</f>
        <v>1</v>
      </c>
      <c r="EE504" s="5" t="s">
        <v>253</v>
      </c>
      <c r="EF504" s="5">
        <f t="shared" ref="EF504:EF515" si="1599">IF(EE504="Nunca/ casi nunca",0,
IF(EE504="Rara vez",1,
IF(EE504="A veces",2,
IF(EE504="A menudo",3,
IF(EE504="Siempre",4,"")))))</f>
        <v>0</v>
      </c>
      <c r="EG504" s="5">
        <f t="shared" ref="EG504:EG515" si="1600">SUM(EB504,ED504,EF504)</f>
        <v>1</v>
      </c>
      <c r="EH504" s="5" t="str">
        <f t="shared" ref="EH504:EH515" si="1601">IF(EG504&lt;=1,"Nivel de riesgo bajo",
IF(EG504&lt;=4,"Nivel de riesgo medio",
"Nivel de riesgo alto"))</f>
        <v>Nivel de riesgo bajo</v>
      </c>
      <c r="EI504" s="5" t="s">
        <v>253</v>
      </c>
      <c r="EJ504" s="5">
        <f t="shared" ref="EJ504:EJ515" si="1602">IF(EI504="Nunca/ casi nunca",0,
IF(EI504="Rara vez",1,
IF(EI504="A veces",2,
IF(EI504="A menudo",3,
IF(EI504="Siempre",4,"")))))</f>
        <v>0</v>
      </c>
      <c r="EK504" s="5" t="s">
        <v>248</v>
      </c>
      <c r="EL504" s="5">
        <f t="shared" ref="EL504:EL515" si="1603">IF(EK504="Nunca/ casi nunca",0,
IF(EK504="Rara vez",1,
IF(EK504="A veces",2,
IF(EK504="A menudo",3,
IF(EK504="Siempre",4,"")))))</f>
        <v>1</v>
      </c>
      <c r="EM504" s="5" t="s">
        <v>253</v>
      </c>
      <c r="EN504" s="5">
        <f t="shared" ref="EN504:EN515" si="1604">IF(EM504="Nunca/ casi nunca",0,
IF(EM504="Rara vez",1,
IF(EM504="A veces",2,
IF(EM504="A menudo",3,
IF(EM504="Siempre",4,"")))))</f>
        <v>0</v>
      </c>
      <c r="EO504" s="5">
        <f t="shared" ref="EO504:EO515" si="1605">SUM(EJ504,EL504,EN504)</f>
        <v>1</v>
      </c>
      <c r="EP504" s="5" t="str">
        <f t="shared" ref="EP504:EP515" si="1606">IF(EO504&lt;=1,"Nivel de riesgo bajo",
IF(EO504&lt;=5,"Nivel de riesgo medio",
"Nivel de riesgo alto"))</f>
        <v>Nivel de riesgo bajo</v>
      </c>
      <c r="EQ504" s="5" t="s">
        <v>247</v>
      </c>
      <c r="ER504" s="5">
        <f t="shared" ref="ER504:ER515" si="1607">IF(EQ504="Nunca/ casi nunca",4,
IF(EQ504="Rara vez",3,
IF(EQ504="A veces",2,
IF(EQ504="A menudo",1,
IF(EQ504="Siempre",0,"")))))</f>
        <v>2</v>
      </c>
      <c r="ES504" s="5" t="s">
        <v>248</v>
      </c>
      <c r="ET504" s="5">
        <f t="shared" ref="ET504:ET515" si="1608">IF(ES504="Nunca/ casi nunca",4,
IF(ES504="Rara vez",3,
IF(ES504="A veces",2,
IF(ES504="A menudo",1,
IF(ES504="Siempre",0,"")))))</f>
        <v>3</v>
      </c>
      <c r="EU504" s="5" t="s">
        <v>254</v>
      </c>
      <c r="EV504" s="5">
        <f t="shared" ref="EV504:EV515" si="1609">IF(EU504="Nunca/ casi nunca",4,
IF(EU504="Rara vez",3,
IF(EU504="A veces",2,
IF(EU504="A menudo",1,
IF(EU504="Siempre",0,"")))))</f>
        <v>0</v>
      </c>
      <c r="EW504" s="5" t="s">
        <v>254</v>
      </c>
      <c r="EX504" s="5">
        <f t="shared" ref="EX504:EX515" si="1610">IF(EW504="Nunca/ casi nunca",4,
IF(EW504="Rara vez",3,
IF(EW504="A veces",2,
IF(EW504="A menudo",1,
IF(EW504="Siempre",0,"")))))</f>
        <v>0</v>
      </c>
      <c r="EY504" s="5">
        <f t="shared" ref="EY504:EY515" si="1611">SUM(ER504,ET504,EV504,EX504)</f>
        <v>5</v>
      </c>
      <c r="EZ504" s="5" t="str">
        <f t="shared" ref="EZ504:EZ515" si="1612">IF(EY504&lt;=0,"Nivel de riesgo bajo",
IF(EY504&lt;=4,"Nivel de riesgo medio",
"Nivel de riesgo alto"))</f>
        <v>Nivel de riesgo alto</v>
      </c>
      <c r="FA504" s="5" t="s">
        <v>253</v>
      </c>
      <c r="FB504" s="5">
        <f t="shared" ref="FB504:FB515" si="1613">IF(FA504="Nunca/ casi nunca",0,
IF(FA504="Rara vez",1,
IF(FA504="A veces",2,
IF(FA504="A menudo",3,
IF(FA504="Siempre",4,"")))))</f>
        <v>0</v>
      </c>
      <c r="FC504" s="5" t="s">
        <v>253</v>
      </c>
      <c r="FD504" s="5">
        <f t="shared" ref="FD504:FD515" si="1614">IF(FC504="Nunca/ casi nunca",0,
IF(FC504="Rara vez",1,
IF(FC504="A veces",2,
IF(FC504="A menudo",3,
IF(FC504="Siempre",4,"")))))</f>
        <v>0</v>
      </c>
      <c r="FE504" s="5" t="s">
        <v>253</v>
      </c>
      <c r="FF504" s="5">
        <f t="shared" ref="FF504:FF515" si="1615">IF(FE504="Nunca/ casi nunca",0,
IF(FE504="Rara vez",1,
IF(FE504="A veces",2,
IF(FE504="A menudo",3,
IF(FE504="Siempre",4,"")))))</f>
        <v>0</v>
      </c>
      <c r="FG504" s="5">
        <f t="shared" ref="FG504:FG515" si="1616">SUM(FB504,FD504,FF504)</f>
        <v>0</v>
      </c>
      <c r="FH504" s="5" t="str">
        <f t="shared" ref="FH504:FH515" si="1617">IF(FG504&lt;=2,"Nivel de riesgo bajo",
IF(FG504&lt;=5,"Nivel de riesgo medio",
"Nivel de riesgo alto"))</f>
        <v>Nivel de riesgo bajo</v>
      </c>
      <c r="FI504" s="5" t="s">
        <v>253</v>
      </c>
      <c r="FJ504" s="5">
        <f t="shared" ref="FJ504:FJ515" si="1618">IF(FI504="Nunca/ casi nunca",0,
IF(FI504="Rara vez",1,
IF(FI504="A veces",2,
IF(FI504="A menudo",3,
IF(FI504="Siempre",4,"")))))</f>
        <v>0</v>
      </c>
      <c r="FK504" s="5" t="s">
        <v>253</v>
      </c>
      <c r="FL504" s="5">
        <f t="shared" ref="FL504:FL515" si="1619">IF(FK504="Nunca/ casi nunca",0,
IF(FK504="Rara vez",1,
IF(FK504="A veces",2,
IF(FK504="A menudo",3,
IF(FK504="Siempre",4,"")))))</f>
        <v>0</v>
      </c>
      <c r="FM504" s="5" t="s">
        <v>253</v>
      </c>
      <c r="FN504" s="5">
        <f t="shared" ref="FN504:FN515" si="1620">IF(FM504="Nunca/ casi nunca",0,
IF(FM504="Rara vez",1,
IF(FM504="A veces",2,
IF(FM504="A menudo",3,
IF(FM504="Siempre",4,"")))))</f>
        <v>0</v>
      </c>
      <c r="FO504" s="5">
        <f t="shared" ref="FO504:FO515" si="1621">SUM(FJ504,FL504,FN504)</f>
        <v>0</v>
      </c>
      <c r="FP504" s="5" t="str">
        <f t="shared" ref="FP504:FP515" si="1622">IF(FO504&lt;=2,"Nivel de riesgo bajo",
IF(FO504&lt;=5,"Nivel de riesgo medio",
"Nivel de riesgo alto"))</f>
        <v>Nivel de riesgo bajo</v>
      </c>
      <c r="FQ504" s="5" t="s">
        <v>206</v>
      </c>
      <c r="FR504" s="5">
        <f t="shared" ref="FR504:FR515" si="1623">IF(FQ504="No",0,
IF(FQ504="Sí, unas pocas veces",1,
IF(FQ504="Sí, mensualmente",2,
IF(FQ504="Sí, semanalmente",3,
IF(FQ504="Sí, diariamente",4,"")))))</f>
        <v>0</v>
      </c>
      <c r="FS504" s="5" t="s">
        <v>206</v>
      </c>
      <c r="FT504" s="5">
        <f t="shared" ref="FT504:FT515" si="1624">IF(FS504="No",0,
IF(FS504="Sí, unas pocas veces",1,
IF(FS504="Sí, mensualmente",2,
IF(FS504="Sí, semanalmente",3,
IF(FS504="Sí, diariamente",4,"")))))</f>
        <v>0</v>
      </c>
      <c r="FU504" s="5" t="s">
        <v>206</v>
      </c>
      <c r="FV504" s="5">
        <f t="shared" ref="FV504:FV515" si="1625">IF(FU504="No",0,
IF(FU504="Sí, unas pocas veces",1,
IF(FU504="Sí, mensualmente",2,
IF(FU504="Sí, semanalmente",3,
IF(FU504="Sí, diariamente",4,"")))))</f>
        <v>0</v>
      </c>
      <c r="FW504" s="5" t="s">
        <v>206</v>
      </c>
      <c r="FX504" s="5">
        <f t="shared" ref="FX504:FX515" si="1626">IF(FW504="No",0,
IF(FW504="Sí, unas pocas veces",1,
IF(FW504="Sí, mensualmente",2,
IF(FW504="Sí, semanalmente",3,
IF(FW504="Sí, diariamente",4,"")))))</f>
        <v>0</v>
      </c>
      <c r="FY504" s="5" t="s">
        <v>206</v>
      </c>
      <c r="FZ504" s="5">
        <f t="shared" ref="FZ504:FZ515" si="1627">IF(FY504="No",0,
IF(FY504="Sí, unas pocas veces",1,
IF(FY504="Sí, mensualmente",2,
IF(FY504="Sí, semanalmente",3,
IF(FY504="Sí, diariamente",4,"")))))</f>
        <v>0</v>
      </c>
      <c r="GA504" s="5" t="s">
        <v>206</v>
      </c>
      <c r="GB504" s="5">
        <f t="shared" ref="GB504:GB515" si="1628">IF(GA504="No",0,
IF(GA504="Sí, unas pocas veces",1,
IF(GA504="Sí, mensualmente",2,
IF(GA504="Sí, semanalmente",3,
IF(GA504="Sí, diariamente",4,"")))))</f>
        <v>0</v>
      </c>
      <c r="GC504" s="5" t="s">
        <v>206</v>
      </c>
      <c r="GD504" s="5">
        <f t="shared" ref="GD504:GD515" si="1629">IF(GC504="No",0,
IF(GC504="Sí, unas pocas veces",1,
IF(GC504="Sí, mensualmente",2,
IF(GC504="Sí, semanalmente",3,
IF(GC504="Sí, diariamente",4,"")))))</f>
        <v>0</v>
      </c>
      <c r="GE504" s="5">
        <f t="shared" ref="GE504:GE515" si="1630">SUM(FR504,FT504,FV504,FX504,FZ504,GB504,GD504)</f>
        <v>0</v>
      </c>
      <c r="GF504" s="5" t="str">
        <f t="shared" ref="GF504:GF515" si="1631">IF(GE504&lt;=0,"Nivel de riesgo bajo",
IF(GE504&lt;=14,"Nivel de riesgo medio",
"Nivel de riesgo alto"))</f>
        <v>Nivel de riesgo bajo</v>
      </c>
      <c r="GG504" s="5" t="s">
        <v>255</v>
      </c>
      <c r="GH504" s="5" t="s">
        <v>255</v>
      </c>
      <c r="GI504" s="5" t="s">
        <v>255</v>
      </c>
      <c r="GJ504" s="5" t="s">
        <v>266</v>
      </c>
      <c r="GK504" s="5" t="s">
        <v>233</v>
      </c>
      <c r="GL504" s="5" t="s">
        <v>273</v>
      </c>
      <c r="GM504" s="5" t="s">
        <v>255</v>
      </c>
      <c r="GN504" s="5" t="s">
        <v>256</v>
      </c>
      <c r="GO504" s="5" t="s">
        <v>243</v>
      </c>
      <c r="GP504" s="5" t="s">
        <v>243</v>
      </c>
      <c r="GQ504" s="5" t="s">
        <v>234</v>
      </c>
      <c r="GR504" s="5" t="s">
        <v>257</v>
      </c>
      <c r="GS504" s="5" t="s">
        <v>234</v>
      </c>
      <c r="GT504" s="5" t="s">
        <v>234</v>
      </c>
      <c r="GU504" s="5" t="s">
        <v>872</v>
      </c>
      <c r="GV504" s="5" t="str">
        <f>TEXT("6290432103025718945","0")</f>
        <v>6290432103025710000</v>
      </c>
    </row>
    <row r="505" spans="1:204" ht="15.75" customHeight="1" x14ac:dyDescent="0.15">
      <c r="A505" s="1">
        <f t="shared" si="1581"/>
        <v>505</v>
      </c>
      <c r="B505" s="4">
        <v>45860.90253472222</v>
      </c>
      <c r="C505" s="5" t="s">
        <v>204</v>
      </c>
      <c r="D505" s="5" t="s">
        <v>206</v>
      </c>
      <c r="F505" s="5" t="s">
        <v>206</v>
      </c>
      <c r="G505" s="5" t="s">
        <v>204</v>
      </c>
      <c r="H505" s="5" t="s">
        <v>204</v>
      </c>
      <c r="J505" s="5" t="s">
        <v>209</v>
      </c>
      <c r="N505" s="5" t="s">
        <v>208</v>
      </c>
      <c r="S505" s="5" t="s">
        <v>208</v>
      </c>
      <c r="X505" s="5" t="s">
        <v>208</v>
      </c>
      <c r="AC505" s="5" t="s">
        <v>208</v>
      </c>
      <c r="AH505" s="5" t="s">
        <v>259</v>
      </c>
      <c r="AI505" s="5">
        <v>2024</v>
      </c>
      <c r="AJ505" s="5" t="s">
        <v>238</v>
      </c>
      <c r="AK505" s="5" t="str">
        <f t="shared" si="1582"/>
        <v>Trabajadora por cuenta propia</v>
      </c>
      <c r="AL505" s="5" t="s">
        <v>239</v>
      </c>
      <c r="AP505" s="5" t="s">
        <v>365</v>
      </c>
      <c r="AR505" s="5" t="s">
        <v>301</v>
      </c>
      <c r="AS505" s="5" t="s">
        <v>241</v>
      </c>
      <c r="AT505" s="5" t="s">
        <v>241</v>
      </c>
      <c r="AU505" s="5" t="s">
        <v>241</v>
      </c>
      <c r="AV505" s="5" t="s">
        <v>269</v>
      </c>
      <c r="AW505" s="5" t="s">
        <v>204</v>
      </c>
      <c r="AX505" s="5" t="s">
        <v>204</v>
      </c>
      <c r="AY505" s="5" t="s">
        <v>406</v>
      </c>
      <c r="AZ505" s="5" t="s">
        <v>204</v>
      </c>
      <c r="BA505" s="5" t="s">
        <v>295</v>
      </c>
      <c r="BB505" s="5" t="s">
        <v>206</v>
      </c>
      <c r="BC505" s="5" t="s">
        <v>206</v>
      </c>
      <c r="BD505" s="5" t="s">
        <v>206</v>
      </c>
      <c r="BE505" s="5" t="s">
        <v>206</v>
      </c>
      <c r="BF505" s="5" t="s">
        <v>204</v>
      </c>
      <c r="BG505" s="5" t="s">
        <v>278</v>
      </c>
      <c r="BH505" s="5" t="s">
        <v>242</v>
      </c>
      <c r="BI505" s="5" t="s">
        <v>278</v>
      </c>
      <c r="BJ505" s="5" t="s">
        <v>215</v>
      </c>
      <c r="BK505" s="5" t="s">
        <v>243</v>
      </c>
      <c r="BL505" s="5" t="s">
        <v>246</v>
      </c>
      <c r="BM505" s="5" t="s">
        <v>246</v>
      </c>
      <c r="BN505" s="5" t="s">
        <v>246</v>
      </c>
      <c r="BO505" s="5" t="s">
        <v>243</v>
      </c>
      <c r="BP505" s="5" t="s">
        <v>246</v>
      </c>
      <c r="BQ505" s="5" t="s">
        <v>243</v>
      </c>
      <c r="BR505" s="5" t="s">
        <v>245</v>
      </c>
      <c r="BS505" s="5" t="s">
        <v>247</v>
      </c>
      <c r="BT505" s="5" t="s">
        <v>232</v>
      </c>
      <c r="BU505" s="5" t="s">
        <v>247</v>
      </c>
      <c r="BV505" s="5" t="s">
        <v>248</v>
      </c>
      <c r="BW505" s="5" t="s">
        <v>248</v>
      </c>
      <c r="BX505" s="5" t="s">
        <v>217</v>
      </c>
      <c r="BY505" s="5" t="s">
        <v>217</v>
      </c>
      <c r="BZ505" s="5" t="s">
        <v>246</v>
      </c>
      <c r="CA505" s="5" t="s">
        <v>243</v>
      </c>
      <c r="CB505" s="5" t="s">
        <v>243</v>
      </c>
      <c r="CC505" s="5" t="s">
        <v>245</v>
      </c>
      <c r="CD505" s="5" t="s">
        <v>206</v>
      </c>
      <c r="CH505" s="5" t="s">
        <v>206</v>
      </c>
      <c r="CI505" s="5" t="s">
        <v>206</v>
      </c>
      <c r="CJ505" s="5">
        <v>2</v>
      </c>
      <c r="CK505" s="5" t="s">
        <v>223</v>
      </c>
      <c r="CU505" s="5" t="s">
        <v>206</v>
      </c>
      <c r="DA505" s="5" t="s">
        <v>231</v>
      </c>
      <c r="DB505" s="5">
        <f t="shared" si="1583"/>
        <v>2</v>
      </c>
      <c r="DC505" s="5" t="s">
        <v>250</v>
      </c>
      <c r="DD505" s="5">
        <f t="shared" si="1584"/>
        <v>3</v>
      </c>
      <c r="DE505" s="5" t="s">
        <v>230</v>
      </c>
      <c r="DF505" s="5">
        <f t="shared" si="1585"/>
        <v>2</v>
      </c>
      <c r="DG505" s="5" t="s">
        <v>251</v>
      </c>
      <c r="DH505" s="5">
        <f t="shared" si="1586"/>
        <v>1</v>
      </c>
      <c r="DI505" s="5" t="s">
        <v>230</v>
      </c>
      <c r="DJ505" s="5">
        <f t="shared" si="1587"/>
        <v>2</v>
      </c>
      <c r="DK505" s="5" t="s">
        <v>230</v>
      </c>
      <c r="DL505" s="5">
        <f t="shared" si="1588"/>
        <v>2</v>
      </c>
      <c r="DM505" s="5" t="s">
        <v>230</v>
      </c>
      <c r="DN505" s="5">
        <f t="shared" si="1589"/>
        <v>2</v>
      </c>
      <c r="DO505" s="5" t="s">
        <v>231</v>
      </c>
      <c r="DP505" s="5">
        <f t="shared" si="1590"/>
        <v>2</v>
      </c>
      <c r="DQ505" s="5" t="s">
        <v>231</v>
      </c>
      <c r="DR505" s="5">
        <f t="shared" si="1591"/>
        <v>2</v>
      </c>
      <c r="DS505" s="5" t="s">
        <v>231</v>
      </c>
      <c r="DT505" s="5">
        <f t="shared" si="1592"/>
        <v>2</v>
      </c>
      <c r="DU505" s="5" t="s">
        <v>281</v>
      </c>
      <c r="DV505" s="5">
        <f t="shared" si="1593"/>
        <v>1</v>
      </c>
      <c r="DW505" s="5" t="s">
        <v>281</v>
      </c>
      <c r="DX505" s="5">
        <f t="shared" si="1594"/>
        <v>1</v>
      </c>
      <c r="DY505" s="5">
        <f t="shared" si="1595"/>
        <v>22</v>
      </c>
      <c r="DZ505" s="5" t="str">
        <f t="shared" si="1596"/>
        <v>Nivel de riesgo medio</v>
      </c>
      <c r="EA505" s="5" t="s">
        <v>247</v>
      </c>
      <c r="EB505" s="5">
        <f t="shared" si="1597"/>
        <v>2</v>
      </c>
      <c r="EC505" s="5" t="s">
        <v>232</v>
      </c>
      <c r="ED505" s="5">
        <f t="shared" si="1598"/>
        <v>3</v>
      </c>
      <c r="EE505" s="5" t="s">
        <v>253</v>
      </c>
      <c r="EF505" s="5">
        <f t="shared" si="1599"/>
        <v>0</v>
      </c>
      <c r="EG505" s="5">
        <f t="shared" si="1600"/>
        <v>5</v>
      </c>
      <c r="EH505" s="5" t="str">
        <f t="shared" si="1601"/>
        <v>Nivel de riesgo alto</v>
      </c>
      <c r="EI505" s="5" t="s">
        <v>253</v>
      </c>
      <c r="EJ505" s="5">
        <f t="shared" si="1602"/>
        <v>0</v>
      </c>
      <c r="EK505" s="5" t="s">
        <v>253</v>
      </c>
      <c r="EL505" s="5">
        <f t="shared" si="1603"/>
        <v>0</v>
      </c>
      <c r="EM505" s="5" t="s">
        <v>253</v>
      </c>
      <c r="EN505" s="5">
        <f t="shared" si="1604"/>
        <v>0</v>
      </c>
      <c r="EO505" s="5">
        <f t="shared" si="1605"/>
        <v>0</v>
      </c>
      <c r="EP505" s="5" t="str">
        <f t="shared" si="1606"/>
        <v>Nivel de riesgo bajo</v>
      </c>
      <c r="EQ505" s="5" t="s">
        <v>247</v>
      </c>
      <c r="ER505" s="5">
        <f t="shared" si="1607"/>
        <v>2</v>
      </c>
      <c r="ES505" s="5" t="s">
        <v>247</v>
      </c>
      <c r="ET505" s="5">
        <f t="shared" si="1608"/>
        <v>2</v>
      </c>
      <c r="EU505" s="5" t="s">
        <v>232</v>
      </c>
      <c r="EV505" s="5">
        <f t="shared" si="1609"/>
        <v>1</v>
      </c>
      <c r="EW505" s="5" t="s">
        <v>232</v>
      </c>
      <c r="EX505" s="5">
        <f t="shared" si="1610"/>
        <v>1</v>
      </c>
      <c r="EY505" s="5">
        <f t="shared" si="1611"/>
        <v>6</v>
      </c>
      <c r="EZ505" s="5" t="str">
        <f t="shared" si="1612"/>
        <v>Nivel de riesgo alto</v>
      </c>
      <c r="FA505" s="5" t="s">
        <v>232</v>
      </c>
      <c r="FB505" s="5">
        <f t="shared" si="1613"/>
        <v>3</v>
      </c>
      <c r="FC505" s="5" t="s">
        <v>253</v>
      </c>
      <c r="FD505" s="5">
        <f t="shared" si="1614"/>
        <v>0</v>
      </c>
      <c r="FE505" s="5" t="s">
        <v>253</v>
      </c>
      <c r="FF505" s="5">
        <f t="shared" si="1615"/>
        <v>0</v>
      </c>
      <c r="FG505" s="5">
        <f t="shared" si="1616"/>
        <v>3</v>
      </c>
      <c r="FH505" s="5" t="str">
        <f t="shared" si="1617"/>
        <v>Nivel de riesgo medio</v>
      </c>
      <c r="FI505" s="5" t="s">
        <v>247</v>
      </c>
      <c r="FJ505" s="5">
        <f t="shared" si="1618"/>
        <v>2</v>
      </c>
      <c r="FK505" s="5" t="s">
        <v>247</v>
      </c>
      <c r="FL505" s="5">
        <f t="shared" si="1619"/>
        <v>2</v>
      </c>
      <c r="FM505" s="5" t="s">
        <v>253</v>
      </c>
      <c r="FN505" s="5">
        <f t="shared" si="1620"/>
        <v>0</v>
      </c>
      <c r="FO505" s="5">
        <f t="shared" si="1621"/>
        <v>4</v>
      </c>
      <c r="FP505" s="5" t="str">
        <f t="shared" si="1622"/>
        <v>Nivel de riesgo medio</v>
      </c>
      <c r="FQ505" s="5" t="s">
        <v>206</v>
      </c>
      <c r="FR505" s="5">
        <f t="shared" si="1623"/>
        <v>0</v>
      </c>
      <c r="FS505" s="5" t="s">
        <v>206</v>
      </c>
      <c r="FT505" s="5">
        <f t="shared" si="1624"/>
        <v>0</v>
      </c>
      <c r="FU505" s="5" t="s">
        <v>206</v>
      </c>
      <c r="FV505" s="5">
        <f t="shared" si="1625"/>
        <v>0</v>
      </c>
      <c r="FW505" s="5" t="s">
        <v>206</v>
      </c>
      <c r="FX505" s="5">
        <f t="shared" si="1626"/>
        <v>0</v>
      </c>
      <c r="FY505" s="5" t="s">
        <v>206</v>
      </c>
      <c r="FZ505" s="5">
        <f t="shared" si="1627"/>
        <v>0</v>
      </c>
      <c r="GA505" s="5" t="s">
        <v>206</v>
      </c>
      <c r="GB505" s="5">
        <f t="shared" si="1628"/>
        <v>0</v>
      </c>
      <c r="GC505" s="5" t="s">
        <v>206</v>
      </c>
      <c r="GD505" s="5">
        <f t="shared" si="1629"/>
        <v>0</v>
      </c>
      <c r="GE505" s="5">
        <f t="shared" si="1630"/>
        <v>0</v>
      </c>
      <c r="GF505" s="5" t="str">
        <f t="shared" si="1631"/>
        <v>Nivel de riesgo bajo</v>
      </c>
      <c r="GG505" s="5" t="s">
        <v>255</v>
      </c>
      <c r="GH505" s="5" t="s">
        <v>255</v>
      </c>
      <c r="GI505" s="5" t="s">
        <v>255</v>
      </c>
      <c r="GJ505" s="5" t="s">
        <v>255</v>
      </c>
      <c r="GK505" s="5" t="s">
        <v>233</v>
      </c>
      <c r="GL505" s="5" t="s">
        <v>233</v>
      </c>
      <c r="GM505" s="5" t="s">
        <v>266</v>
      </c>
      <c r="GN505" s="5" t="s">
        <v>257</v>
      </c>
      <c r="GO505" s="5" t="s">
        <v>257</v>
      </c>
      <c r="GP505" s="5" t="s">
        <v>257</v>
      </c>
      <c r="GQ505" s="5" t="s">
        <v>243</v>
      </c>
      <c r="GR505" s="5" t="s">
        <v>243</v>
      </c>
      <c r="GS505" s="5" t="s">
        <v>257</v>
      </c>
      <c r="GT505" s="5" t="s">
        <v>256</v>
      </c>
      <c r="GU505" s="5" t="s">
        <v>873</v>
      </c>
      <c r="GV505" s="5" t="str">
        <f>TEXT("6290439792029872951","0")</f>
        <v>6290439792029870000</v>
      </c>
    </row>
    <row r="506" spans="1:204" ht="15.75" customHeight="1" x14ac:dyDescent="0.15">
      <c r="A506" s="1">
        <f t="shared" si="1581"/>
        <v>506</v>
      </c>
      <c r="B506" s="4">
        <v>45860.911041666666</v>
      </c>
      <c r="C506" s="5" t="s">
        <v>204</v>
      </c>
      <c r="D506" s="5" t="s">
        <v>206</v>
      </c>
      <c r="F506" s="5" t="s">
        <v>206</v>
      </c>
      <c r="G506" s="5" t="s">
        <v>206</v>
      </c>
      <c r="H506" s="5" t="s">
        <v>206</v>
      </c>
      <c r="K506" s="5" t="s">
        <v>237</v>
      </c>
      <c r="N506" s="5" t="s">
        <v>208</v>
      </c>
      <c r="T506" s="5" t="s">
        <v>209</v>
      </c>
      <c r="X506" s="5" t="s">
        <v>208</v>
      </c>
      <c r="AE506" s="5" t="s">
        <v>237</v>
      </c>
      <c r="AH506" s="5" t="s">
        <v>275</v>
      </c>
      <c r="AI506" s="5">
        <v>2013</v>
      </c>
      <c r="AJ506" s="5" t="s">
        <v>238</v>
      </c>
      <c r="AK506" s="5" t="str">
        <f t="shared" si="1582"/>
        <v>Trabajadora por cuenta propia</v>
      </c>
      <c r="AO506" s="5" t="s">
        <v>323</v>
      </c>
      <c r="AP506" s="5" t="s">
        <v>240</v>
      </c>
      <c r="AR506" s="5" t="s">
        <v>241</v>
      </c>
      <c r="AS506" s="5" t="s">
        <v>241</v>
      </c>
      <c r="AT506" s="5" t="s">
        <v>241</v>
      </c>
      <c r="AU506" s="5" t="s">
        <v>301</v>
      </c>
      <c r="AV506" s="5" t="s">
        <v>302</v>
      </c>
      <c r="AW506" s="5" t="s">
        <v>206</v>
      </c>
      <c r="BF506" s="5" t="s">
        <v>204</v>
      </c>
      <c r="BG506" s="5" t="s">
        <v>215</v>
      </c>
      <c r="BH506" s="5" t="s">
        <v>242</v>
      </c>
      <c r="BI506" s="5" t="s">
        <v>242</v>
      </c>
      <c r="BJ506" s="5" t="s">
        <v>242</v>
      </c>
      <c r="BK506" s="5" t="s">
        <v>245</v>
      </c>
      <c r="BL506" s="5" t="s">
        <v>216</v>
      </c>
      <c r="BM506" s="5" t="s">
        <v>243</v>
      </c>
      <c r="BN506" s="5" t="s">
        <v>243</v>
      </c>
      <c r="BO506" s="5" t="s">
        <v>246</v>
      </c>
      <c r="BP506" s="5" t="s">
        <v>246</v>
      </c>
      <c r="BQ506" s="5" t="s">
        <v>246</v>
      </c>
      <c r="BR506" s="5" t="s">
        <v>244</v>
      </c>
      <c r="BS506" s="5" t="s">
        <v>247</v>
      </c>
      <c r="BT506" s="5" t="s">
        <v>247</v>
      </c>
      <c r="BU506" s="5" t="s">
        <v>248</v>
      </c>
      <c r="BV506" s="5" t="s">
        <v>217</v>
      </c>
      <c r="BW506" s="5" t="s">
        <v>248</v>
      </c>
      <c r="BX506" s="5" t="s">
        <v>248</v>
      </c>
      <c r="BY506" s="5" t="s">
        <v>247</v>
      </c>
      <c r="CD506" s="5" t="s">
        <v>206</v>
      </c>
      <c r="CH506" s="5" t="s">
        <v>206</v>
      </c>
      <c r="CI506" s="5" t="s">
        <v>206</v>
      </c>
      <c r="CJ506" s="5">
        <v>0</v>
      </c>
      <c r="CK506" s="5" t="s">
        <v>223</v>
      </c>
      <c r="CU506" s="5" t="s">
        <v>206</v>
      </c>
      <c r="DA506" s="5" t="s">
        <v>252</v>
      </c>
      <c r="DB506" s="5">
        <f t="shared" si="1583"/>
        <v>3</v>
      </c>
      <c r="DC506" s="5" t="s">
        <v>250</v>
      </c>
      <c r="DD506" s="5">
        <f t="shared" si="1584"/>
        <v>3</v>
      </c>
      <c r="DE506" s="5" t="s">
        <v>250</v>
      </c>
      <c r="DF506" s="5">
        <f t="shared" si="1585"/>
        <v>3</v>
      </c>
      <c r="DG506" s="5" t="s">
        <v>250</v>
      </c>
      <c r="DH506" s="5">
        <f t="shared" si="1586"/>
        <v>3</v>
      </c>
      <c r="DI506" s="5" t="s">
        <v>250</v>
      </c>
      <c r="DJ506" s="5">
        <f t="shared" si="1587"/>
        <v>3</v>
      </c>
      <c r="DK506" s="5" t="s">
        <v>250</v>
      </c>
      <c r="DL506" s="5">
        <f t="shared" si="1588"/>
        <v>3</v>
      </c>
      <c r="DM506" s="5" t="s">
        <v>250</v>
      </c>
      <c r="DN506" s="5">
        <f t="shared" si="1589"/>
        <v>3</v>
      </c>
      <c r="DO506" s="5" t="s">
        <v>229</v>
      </c>
      <c r="DP506" s="5">
        <f t="shared" si="1590"/>
        <v>4</v>
      </c>
      <c r="DQ506" s="5" t="s">
        <v>229</v>
      </c>
      <c r="DR506" s="5">
        <f t="shared" si="1591"/>
        <v>4</v>
      </c>
      <c r="DS506" s="5" t="s">
        <v>252</v>
      </c>
      <c r="DT506" s="5">
        <f t="shared" si="1592"/>
        <v>3</v>
      </c>
      <c r="DU506" s="5" t="s">
        <v>252</v>
      </c>
      <c r="DV506" s="5">
        <f t="shared" si="1593"/>
        <v>3</v>
      </c>
      <c r="DW506" s="5" t="s">
        <v>229</v>
      </c>
      <c r="DX506" s="5">
        <f t="shared" si="1594"/>
        <v>4</v>
      </c>
      <c r="DY506" s="5">
        <f t="shared" si="1595"/>
        <v>39</v>
      </c>
      <c r="DZ506" s="5" t="str">
        <f t="shared" si="1596"/>
        <v>Nivel de riesgo alto</v>
      </c>
      <c r="EA506" s="5" t="s">
        <v>248</v>
      </c>
      <c r="EB506" s="5">
        <f t="shared" si="1597"/>
        <v>1</v>
      </c>
      <c r="EC506" s="5" t="s">
        <v>248</v>
      </c>
      <c r="ED506" s="5">
        <f t="shared" si="1598"/>
        <v>1</v>
      </c>
      <c r="EE506" s="5" t="s">
        <v>248</v>
      </c>
      <c r="EF506" s="5">
        <f t="shared" si="1599"/>
        <v>1</v>
      </c>
      <c r="EG506" s="5">
        <f t="shared" si="1600"/>
        <v>3</v>
      </c>
      <c r="EH506" s="5" t="str">
        <f t="shared" si="1601"/>
        <v>Nivel de riesgo medio</v>
      </c>
      <c r="EI506" s="5" t="s">
        <v>253</v>
      </c>
      <c r="EJ506" s="5">
        <f t="shared" si="1602"/>
        <v>0</v>
      </c>
      <c r="EK506" s="5" t="s">
        <v>232</v>
      </c>
      <c r="EL506" s="5">
        <f t="shared" si="1603"/>
        <v>3</v>
      </c>
      <c r="EM506" s="5" t="s">
        <v>232</v>
      </c>
      <c r="EN506" s="5">
        <f t="shared" si="1604"/>
        <v>3</v>
      </c>
      <c r="EO506" s="5">
        <f t="shared" si="1605"/>
        <v>6</v>
      </c>
      <c r="EP506" s="5" t="str">
        <f t="shared" si="1606"/>
        <v>Nivel de riesgo alto</v>
      </c>
      <c r="EQ506" s="5" t="s">
        <v>248</v>
      </c>
      <c r="ER506" s="5">
        <f t="shared" si="1607"/>
        <v>3</v>
      </c>
      <c r="ES506" s="5" t="s">
        <v>253</v>
      </c>
      <c r="ET506" s="5">
        <f t="shared" si="1608"/>
        <v>4</v>
      </c>
      <c r="EU506" s="5" t="s">
        <v>232</v>
      </c>
      <c r="EV506" s="5">
        <f t="shared" si="1609"/>
        <v>1</v>
      </c>
      <c r="EW506" s="5" t="s">
        <v>247</v>
      </c>
      <c r="EX506" s="5">
        <f t="shared" si="1610"/>
        <v>2</v>
      </c>
      <c r="EY506" s="5">
        <f t="shared" si="1611"/>
        <v>10</v>
      </c>
      <c r="EZ506" s="5" t="str">
        <f t="shared" si="1612"/>
        <v>Nivel de riesgo alto</v>
      </c>
      <c r="FA506" s="5" t="s">
        <v>232</v>
      </c>
      <c r="FB506" s="5">
        <f t="shared" si="1613"/>
        <v>3</v>
      </c>
      <c r="FC506" s="5" t="s">
        <v>232</v>
      </c>
      <c r="FD506" s="5">
        <f t="shared" si="1614"/>
        <v>3</v>
      </c>
      <c r="FE506" s="5" t="s">
        <v>232</v>
      </c>
      <c r="FF506" s="5">
        <f t="shared" si="1615"/>
        <v>3</v>
      </c>
      <c r="FG506" s="5">
        <f t="shared" si="1616"/>
        <v>9</v>
      </c>
      <c r="FH506" s="5" t="str">
        <f t="shared" si="1617"/>
        <v>Nivel de riesgo alto</v>
      </c>
      <c r="FI506" s="5" t="s">
        <v>248</v>
      </c>
      <c r="FJ506" s="5">
        <f t="shared" si="1618"/>
        <v>1</v>
      </c>
      <c r="FK506" s="5" t="s">
        <v>247</v>
      </c>
      <c r="FL506" s="5">
        <f t="shared" si="1619"/>
        <v>2</v>
      </c>
      <c r="FM506" s="5" t="s">
        <v>247</v>
      </c>
      <c r="FN506" s="5">
        <f t="shared" si="1620"/>
        <v>2</v>
      </c>
      <c r="FO506" s="5">
        <f t="shared" si="1621"/>
        <v>5</v>
      </c>
      <c r="FP506" s="5" t="str">
        <f t="shared" si="1622"/>
        <v>Nivel de riesgo medio</v>
      </c>
      <c r="FQ506" s="5" t="s">
        <v>206</v>
      </c>
      <c r="FR506" s="5">
        <f t="shared" si="1623"/>
        <v>0</v>
      </c>
      <c r="FS506" s="5" t="s">
        <v>206</v>
      </c>
      <c r="FT506" s="5">
        <f t="shared" si="1624"/>
        <v>0</v>
      </c>
      <c r="FU506" s="5" t="s">
        <v>206</v>
      </c>
      <c r="FV506" s="5">
        <f t="shared" si="1625"/>
        <v>0</v>
      </c>
      <c r="FW506" s="5" t="s">
        <v>206</v>
      </c>
      <c r="FX506" s="5">
        <f t="shared" si="1626"/>
        <v>0</v>
      </c>
      <c r="FY506" s="5" t="s">
        <v>206</v>
      </c>
      <c r="FZ506" s="5">
        <f t="shared" si="1627"/>
        <v>0</v>
      </c>
      <c r="GA506" s="5" t="s">
        <v>206</v>
      </c>
      <c r="GB506" s="5">
        <f t="shared" si="1628"/>
        <v>0</v>
      </c>
      <c r="GC506" s="5" t="s">
        <v>206</v>
      </c>
      <c r="GD506" s="5">
        <f t="shared" si="1629"/>
        <v>0</v>
      </c>
      <c r="GE506" s="5">
        <f t="shared" si="1630"/>
        <v>0</v>
      </c>
      <c r="GF506" s="5" t="str">
        <f t="shared" si="1631"/>
        <v>Nivel de riesgo bajo</v>
      </c>
      <c r="GG506" s="5" t="s">
        <v>255</v>
      </c>
      <c r="GH506" s="5" t="s">
        <v>255</v>
      </c>
      <c r="GI506" s="5" t="s">
        <v>255</v>
      </c>
      <c r="GJ506" s="5" t="s">
        <v>255</v>
      </c>
      <c r="GK506" s="5" t="s">
        <v>233</v>
      </c>
      <c r="GL506" s="5" t="s">
        <v>233</v>
      </c>
      <c r="GM506" s="5" t="s">
        <v>255</v>
      </c>
      <c r="GN506" s="5" t="s">
        <v>256</v>
      </c>
      <c r="GO506" s="5" t="s">
        <v>244</v>
      </c>
      <c r="GP506" s="5" t="s">
        <v>244</v>
      </c>
      <c r="GQ506" s="5" t="s">
        <v>257</v>
      </c>
      <c r="GR506" s="5" t="s">
        <v>257</v>
      </c>
      <c r="GS506" s="5" t="s">
        <v>243</v>
      </c>
      <c r="GT506" s="5" t="s">
        <v>256</v>
      </c>
      <c r="GU506" s="5" t="s">
        <v>874</v>
      </c>
      <c r="GV506" s="5" t="str">
        <f>TEXT("6290447145219016319","0")</f>
        <v>6290447145219010000</v>
      </c>
    </row>
    <row r="507" spans="1:204" ht="15.75" customHeight="1" x14ac:dyDescent="0.15">
      <c r="A507" s="1">
        <f t="shared" si="1581"/>
        <v>507</v>
      </c>
      <c r="B507" s="4">
        <v>45860.92900462963</v>
      </c>
      <c r="C507" s="5" t="s">
        <v>204</v>
      </c>
      <c r="D507" s="5" t="s">
        <v>206</v>
      </c>
      <c r="F507" s="5" t="s">
        <v>206</v>
      </c>
      <c r="G507" s="5" t="s">
        <v>206</v>
      </c>
      <c r="H507" s="5" t="s">
        <v>206</v>
      </c>
      <c r="K507" s="5" t="s">
        <v>237</v>
      </c>
      <c r="O507" s="5" t="s">
        <v>209</v>
      </c>
      <c r="V507" s="5" t="s">
        <v>236</v>
      </c>
      <c r="Z507" s="5" t="s">
        <v>237</v>
      </c>
      <c r="AE507" s="5" t="s">
        <v>237</v>
      </c>
      <c r="AH507" s="5" t="s">
        <v>268</v>
      </c>
      <c r="AI507" s="5">
        <v>2014</v>
      </c>
      <c r="AJ507" s="5" t="s">
        <v>337</v>
      </c>
      <c r="AK507" s="5" t="str">
        <f t="shared" si="1582"/>
        <v>Asalariada</v>
      </c>
      <c r="AQ507" s="5" t="s">
        <v>204</v>
      </c>
      <c r="AR507" s="5" t="s">
        <v>301</v>
      </c>
      <c r="AS507" s="5" t="s">
        <v>301</v>
      </c>
      <c r="AT507" s="5" t="s">
        <v>301</v>
      </c>
      <c r="AU507" s="5" t="s">
        <v>301</v>
      </c>
      <c r="AV507" s="5" t="s">
        <v>269</v>
      </c>
      <c r="AW507" s="5" t="s">
        <v>204</v>
      </c>
      <c r="AX507" s="5" t="s">
        <v>204</v>
      </c>
      <c r="AY507" s="5" t="s">
        <v>406</v>
      </c>
      <c r="AZ507" s="5" t="s">
        <v>204</v>
      </c>
      <c r="BA507" s="5" t="s">
        <v>348</v>
      </c>
      <c r="BF507" s="5" t="s">
        <v>204</v>
      </c>
      <c r="BG507" s="5" t="s">
        <v>278</v>
      </c>
      <c r="BH507" s="5" t="s">
        <v>278</v>
      </c>
      <c r="BI507" s="5" t="s">
        <v>278</v>
      </c>
      <c r="BJ507" s="5" t="s">
        <v>278</v>
      </c>
      <c r="BK507" s="5" t="s">
        <v>245</v>
      </c>
      <c r="BL507" s="5" t="s">
        <v>245</v>
      </c>
      <c r="BM507" s="5" t="s">
        <v>245</v>
      </c>
      <c r="BN507" s="5" t="s">
        <v>245</v>
      </c>
      <c r="BO507" s="5" t="s">
        <v>245</v>
      </c>
      <c r="BP507" s="5" t="s">
        <v>245</v>
      </c>
      <c r="BQ507" s="5" t="s">
        <v>245</v>
      </c>
      <c r="BR507" s="5" t="s">
        <v>245</v>
      </c>
      <c r="BS507" s="5" t="s">
        <v>254</v>
      </c>
      <c r="BT507" s="5" t="s">
        <v>254</v>
      </c>
      <c r="BU507" s="5" t="s">
        <v>254</v>
      </c>
      <c r="BV507" s="5" t="s">
        <v>254</v>
      </c>
      <c r="BW507" s="5" t="s">
        <v>232</v>
      </c>
      <c r="BX507" s="5" t="s">
        <v>232</v>
      </c>
      <c r="BY507" s="5" t="s">
        <v>232</v>
      </c>
      <c r="BZ507" s="5" t="s">
        <v>245</v>
      </c>
      <c r="CA507" s="5" t="s">
        <v>243</v>
      </c>
      <c r="CB507" s="5" t="s">
        <v>243</v>
      </c>
      <c r="CC507" s="5" t="s">
        <v>243</v>
      </c>
      <c r="CD507" s="5" t="s">
        <v>206</v>
      </c>
      <c r="CH507" s="5" t="s">
        <v>206</v>
      </c>
      <c r="CI507" s="5" t="s">
        <v>249</v>
      </c>
      <c r="CJ507" s="5">
        <v>2</v>
      </c>
      <c r="CK507" s="5" t="s">
        <v>223</v>
      </c>
      <c r="CU507" s="5" t="s">
        <v>206</v>
      </c>
      <c r="DA507" s="5" t="s">
        <v>229</v>
      </c>
      <c r="DB507" s="5">
        <f t="shared" si="1583"/>
        <v>4</v>
      </c>
      <c r="DC507" s="5" t="s">
        <v>280</v>
      </c>
      <c r="DD507" s="5">
        <f t="shared" si="1584"/>
        <v>4</v>
      </c>
      <c r="DE507" s="5" t="s">
        <v>280</v>
      </c>
      <c r="DF507" s="5">
        <f t="shared" si="1585"/>
        <v>4</v>
      </c>
      <c r="DG507" s="5" t="s">
        <v>280</v>
      </c>
      <c r="DH507" s="5">
        <f t="shared" si="1586"/>
        <v>4</v>
      </c>
      <c r="DI507" s="5" t="s">
        <v>280</v>
      </c>
      <c r="DJ507" s="5">
        <f t="shared" si="1587"/>
        <v>4</v>
      </c>
      <c r="DK507" s="5" t="s">
        <v>250</v>
      </c>
      <c r="DL507" s="5">
        <f t="shared" si="1588"/>
        <v>3</v>
      </c>
      <c r="DM507" s="5" t="s">
        <v>280</v>
      </c>
      <c r="DN507" s="5">
        <f t="shared" si="1589"/>
        <v>4</v>
      </c>
      <c r="DO507" s="5" t="s">
        <v>252</v>
      </c>
      <c r="DP507" s="5">
        <f t="shared" si="1590"/>
        <v>3</v>
      </c>
      <c r="DQ507" s="5" t="s">
        <v>252</v>
      </c>
      <c r="DR507" s="5">
        <f t="shared" si="1591"/>
        <v>3</v>
      </c>
      <c r="DS507" s="5" t="s">
        <v>252</v>
      </c>
      <c r="DT507" s="5">
        <f t="shared" si="1592"/>
        <v>3</v>
      </c>
      <c r="DU507" s="5" t="s">
        <v>252</v>
      </c>
      <c r="DV507" s="5">
        <f t="shared" si="1593"/>
        <v>3</v>
      </c>
      <c r="DW507" s="5" t="s">
        <v>252</v>
      </c>
      <c r="DX507" s="5">
        <f t="shared" si="1594"/>
        <v>3</v>
      </c>
      <c r="DY507" s="5">
        <f t="shared" si="1595"/>
        <v>42</v>
      </c>
      <c r="DZ507" s="5" t="str">
        <f t="shared" si="1596"/>
        <v>Nivel de riesgo alto</v>
      </c>
      <c r="EA507" s="5" t="s">
        <v>248</v>
      </c>
      <c r="EB507" s="5">
        <f t="shared" si="1597"/>
        <v>1</v>
      </c>
      <c r="EC507" s="5" t="s">
        <v>253</v>
      </c>
      <c r="ED507" s="5">
        <f t="shared" si="1598"/>
        <v>0</v>
      </c>
      <c r="EE507" s="5" t="s">
        <v>248</v>
      </c>
      <c r="EF507" s="5">
        <f t="shared" si="1599"/>
        <v>1</v>
      </c>
      <c r="EG507" s="5">
        <f t="shared" si="1600"/>
        <v>2</v>
      </c>
      <c r="EH507" s="5" t="str">
        <f t="shared" si="1601"/>
        <v>Nivel de riesgo medio</v>
      </c>
      <c r="EI507" s="5" t="s">
        <v>253</v>
      </c>
      <c r="EJ507" s="5">
        <f t="shared" si="1602"/>
        <v>0</v>
      </c>
      <c r="EK507" s="5" t="s">
        <v>248</v>
      </c>
      <c r="EL507" s="5">
        <f t="shared" si="1603"/>
        <v>1</v>
      </c>
      <c r="EM507" s="5" t="s">
        <v>253</v>
      </c>
      <c r="EN507" s="5">
        <f t="shared" si="1604"/>
        <v>0</v>
      </c>
      <c r="EO507" s="5">
        <f t="shared" si="1605"/>
        <v>1</v>
      </c>
      <c r="EP507" s="5" t="str">
        <f t="shared" si="1606"/>
        <v>Nivel de riesgo bajo</v>
      </c>
      <c r="EQ507" s="5" t="s">
        <v>248</v>
      </c>
      <c r="ER507" s="5">
        <f t="shared" si="1607"/>
        <v>3</v>
      </c>
      <c r="ES507" s="5" t="s">
        <v>253</v>
      </c>
      <c r="ET507" s="5">
        <f t="shared" si="1608"/>
        <v>4</v>
      </c>
      <c r="EU507" s="5" t="s">
        <v>248</v>
      </c>
      <c r="EV507" s="5">
        <f t="shared" si="1609"/>
        <v>3</v>
      </c>
      <c r="EW507" s="5" t="s">
        <v>253</v>
      </c>
      <c r="EX507" s="5">
        <f t="shared" si="1610"/>
        <v>4</v>
      </c>
      <c r="EY507" s="5">
        <f t="shared" si="1611"/>
        <v>14</v>
      </c>
      <c r="EZ507" s="5" t="str">
        <f t="shared" si="1612"/>
        <v>Nivel de riesgo alto</v>
      </c>
      <c r="FA507" s="5" t="s">
        <v>253</v>
      </c>
      <c r="FB507" s="5">
        <f t="shared" si="1613"/>
        <v>0</v>
      </c>
      <c r="FC507" s="5" t="s">
        <v>253</v>
      </c>
      <c r="FD507" s="5">
        <f t="shared" si="1614"/>
        <v>0</v>
      </c>
      <c r="FE507" s="5" t="s">
        <v>253</v>
      </c>
      <c r="FF507" s="5">
        <f t="shared" si="1615"/>
        <v>0</v>
      </c>
      <c r="FG507" s="5">
        <f t="shared" si="1616"/>
        <v>0</v>
      </c>
      <c r="FH507" s="5" t="str">
        <f t="shared" si="1617"/>
        <v>Nivel de riesgo bajo</v>
      </c>
      <c r="FI507" s="5" t="s">
        <v>248</v>
      </c>
      <c r="FJ507" s="5">
        <f t="shared" si="1618"/>
        <v>1</v>
      </c>
      <c r="FK507" s="5" t="s">
        <v>253</v>
      </c>
      <c r="FL507" s="5">
        <f t="shared" si="1619"/>
        <v>0</v>
      </c>
      <c r="FM507" s="5" t="s">
        <v>253</v>
      </c>
      <c r="FN507" s="5">
        <f t="shared" si="1620"/>
        <v>0</v>
      </c>
      <c r="FO507" s="5">
        <f t="shared" si="1621"/>
        <v>1</v>
      </c>
      <c r="FP507" s="5" t="str">
        <f t="shared" si="1622"/>
        <v>Nivel de riesgo bajo</v>
      </c>
      <c r="FQ507" s="5" t="s">
        <v>206</v>
      </c>
      <c r="FR507" s="5">
        <f t="shared" si="1623"/>
        <v>0</v>
      </c>
      <c r="FS507" s="5" t="s">
        <v>206</v>
      </c>
      <c r="FT507" s="5">
        <f t="shared" si="1624"/>
        <v>0</v>
      </c>
      <c r="FU507" s="5" t="s">
        <v>206</v>
      </c>
      <c r="FV507" s="5">
        <f t="shared" si="1625"/>
        <v>0</v>
      </c>
      <c r="FW507" s="5" t="s">
        <v>206</v>
      </c>
      <c r="FX507" s="5">
        <f t="shared" si="1626"/>
        <v>0</v>
      </c>
      <c r="FY507" s="5" t="s">
        <v>206</v>
      </c>
      <c r="FZ507" s="5">
        <f t="shared" si="1627"/>
        <v>0</v>
      </c>
      <c r="GA507" s="5" t="s">
        <v>206</v>
      </c>
      <c r="GB507" s="5">
        <f t="shared" si="1628"/>
        <v>0</v>
      </c>
      <c r="GC507" s="5" t="s">
        <v>206</v>
      </c>
      <c r="GD507" s="5">
        <f t="shared" si="1629"/>
        <v>0</v>
      </c>
      <c r="GE507" s="5">
        <f t="shared" si="1630"/>
        <v>0</v>
      </c>
      <c r="GF507" s="5" t="str">
        <f t="shared" si="1631"/>
        <v>Nivel de riesgo bajo</v>
      </c>
      <c r="GG507" s="5" t="s">
        <v>266</v>
      </c>
      <c r="GH507" s="5" t="s">
        <v>266</v>
      </c>
      <c r="GI507" s="5" t="s">
        <v>266</v>
      </c>
      <c r="GJ507" s="5" t="s">
        <v>266</v>
      </c>
      <c r="GK507" s="5" t="s">
        <v>266</v>
      </c>
      <c r="GL507" s="5" t="s">
        <v>266</v>
      </c>
      <c r="GM507" s="5" t="s">
        <v>266</v>
      </c>
      <c r="GN507" s="5" t="s">
        <v>244</v>
      </c>
      <c r="GO507" s="5" t="s">
        <v>244</v>
      </c>
      <c r="GP507" s="5" t="s">
        <v>244</v>
      </c>
      <c r="GQ507" s="5" t="s">
        <v>244</v>
      </c>
      <c r="GR507" s="5" t="s">
        <v>244</v>
      </c>
      <c r="GS507" s="5" t="s">
        <v>244</v>
      </c>
      <c r="GT507" s="5" t="s">
        <v>244</v>
      </c>
      <c r="GU507" s="5" t="s">
        <v>875</v>
      </c>
      <c r="GV507" s="5" t="str">
        <f>TEXT("6290462660212804163","0")</f>
        <v>6290462660212800000</v>
      </c>
    </row>
    <row r="508" spans="1:204" ht="15.75" customHeight="1" x14ac:dyDescent="0.15">
      <c r="A508" s="1">
        <f t="shared" si="1581"/>
        <v>508</v>
      </c>
      <c r="B508" s="4">
        <v>45860.94121527778</v>
      </c>
      <c r="C508" s="5" t="s">
        <v>204</v>
      </c>
      <c r="D508" s="5" t="s">
        <v>204</v>
      </c>
      <c r="E508" s="5" t="s">
        <v>676</v>
      </c>
      <c r="F508" s="5" t="s">
        <v>206</v>
      </c>
      <c r="G508" s="5" t="s">
        <v>206</v>
      </c>
      <c r="H508" s="5" t="s">
        <v>206</v>
      </c>
      <c r="K508" s="5" t="s">
        <v>237</v>
      </c>
      <c r="P508" s="5" t="s">
        <v>237</v>
      </c>
      <c r="U508" s="5" t="s">
        <v>237</v>
      </c>
      <c r="Z508" s="5" t="s">
        <v>237</v>
      </c>
      <c r="AE508" s="5" t="s">
        <v>237</v>
      </c>
      <c r="AH508" s="5" t="s">
        <v>259</v>
      </c>
      <c r="AI508" s="5">
        <v>1992</v>
      </c>
      <c r="AJ508" s="5" t="s">
        <v>238</v>
      </c>
      <c r="AK508" s="5" t="str">
        <f t="shared" si="1582"/>
        <v>Trabajadora por cuenta propia</v>
      </c>
      <c r="AM508" s="5" t="s">
        <v>309</v>
      </c>
      <c r="AP508" s="5" t="s">
        <v>240</v>
      </c>
      <c r="AR508" s="5" t="s">
        <v>241</v>
      </c>
      <c r="AS508" s="5" t="s">
        <v>241</v>
      </c>
      <c r="AT508" s="5" t="s">
        <v>241</v>
      </c>
      <c r="AU508" s="5" t="s">
        <v>241</v>
      </c>
      <c r="AV508" s="5" t="s">
        <v>269</v>
      </c>
      <c r="AW508" s="5" t="s">
        <v>204</v>
      </c>
      <c r="AX508" s="5" t="s">
        <v>204</v>
      </c>
      <c r="AY508" s="5" t="s">
        <v>270</v>
      </c>
      <c r="AZ508" s="5" t="s">
        <v>204</v>
      </c>
      <c r="BA508" s="5" t="s">
        <v>263</v>
      </c>
      <c r="BF508" s="5" t="s">
        <v>204</v>
      </c>
      <c r="BG508" s="5" t="s">
        <v>264</v>
      </c>
      <c r="BH508" s="5" t="s">
        <v>271</v>
      </c>
      <c r="BI508" s="5" t="s">
        <v>207</v>
      </c>
      <c r="BJ508" s="5" t="s">
        <v>215</v>
      </c>
      <c r="BK508" s="5" t="s">
        <v>216</v>
      </c>
      <c r="BL508" s="5" t="s">
        <v>216</v>
      </c>
      <c r="BM508" s="5" t="s">
        <v>244</v>
      </c>
      <c r="BN508" s="5" t="s">
        <v>244</v>
      </c>
      <c r="BO508" s="5" t="s">
        <v>216</v>
      </c>
      <c r="BP508" s="5" t="s">
        <v>244</v>
      </c>
      <c r="BQ508" s="5" t="s">
        <v>244</v>
      </c>
      <c r="BR508" s="5" t="s">
        <v>244</v>
      </c>
      <c r="BS508" s="5" t="s">
        <v>247</v>
      </c>
      <c r="BT508" s="5" t="s">
        <v>247</v>
      </c>
      <c r="BU508" s="5" t="s">
        <v>247</v>
      </c>
      <c r="BV508" s="5" t="s">
        <v>217</v>
      </c>
      <c r="BW508" s="5" t="s">
        <v>248</v>
      </c>
      <c r="BX508" s="5" t="s">
        <v>217</v>
      </c>
      <c r="BY508" s="5" t="s">
        <v>248</v>
      </c>
      <c r="BZ508" s="5" t="s">
        <v>216</v>
      </c>
      <c r="CA508" s="5" t="s">
        <v>244</v>
      </c>
      <c r="CB508" s="5" t="s">
        <v>216</v>
      </c>
      <c r="CC508" s="5" t="s">
        <v>216</v>
      </c>
      <c r="CD508" s="5" t="s">
        <v>206</v>
      </c>
      <c r="CH508" s="5" t="s">
        <v>206</v>
      </c>
      <c r="CI508" s="5" t="s">
        <v>206</v>
      </c>
      <c r="CJ508" s="5">
        <v>0</v>
      </c>
      <c r="CK508" s="5" t="s">
        <v>223</v>
      </c>
      <c r="CU508" s="5" t="s">
        <v>206</v>
      </c>
      <c r="DA508" s="5" t="s">
        <v>231</v>
      </c>
      <c r="DB508" s="5">
        <f t="shared" si="1583"/>
        <v>2</v>
      </c>
      <c r="DC508" s="5" t="s">
        <v>230</v>
      </c>
      <c r="DD508" s="5">
        <f t="shared" si="1584"/>
        <v>2</v>
      </c>
      <c r="DE508" s="5" t="s">
        <v>230</v>
      </c>
      <c r="DF508" s="5">
        <f t="shared" si="1585"/>
        <v>2</v>
      </c>
      <c r="DG508" s="5" t="s">
        <v>251</v>
      </c>
      <c r="DH508" s="5">
        <f t="shared" si="1586"/>
        <v>1</v>
      </c>
      <c r="DI508" s="5" t="s">
        <v>251</v>
      </c>
      <c r="DJ508" s="5">
        <f t="shared" si="1587"/>
        <v>1</v>
      </c>
      <c r="DK508" s="5" t="s">
        <v>251</v>
      </c>
      <c r="DL508" s="5">
        <f t="shared" si="1588"/>
        <v>1</v>
      </c>
      <c r="DM508" s="5" t="s">
        <v>251</v>
      </c>
      <c r="DN508" s="5">
        <f t="shared" si="1589"/>
        <v>1</v>
      </c>
      <c r="DO508" s="5" t="s">
        <v>231</v>
      </c>
      <c r="DP508" s="5">
        <f t="shared" si="1590"/>
        <v>2</v>
      </c>
      <c r="DQ508" s="5" t="s">
        <v>231</v>
      </c>
      <c r="DR508" s="5">
        <f t="shared" si="1591"/>
        <v>2</v>
      </c>
      <c r="DS508" s="5" t="s">
        <v>231</v>
      </c>
      <c r="DT508" s="5">
        <f t="shared" si="1592"/>
        <v>2</v>
      </c>
      <c r="DU508" s="5" t="s">
        <v>281</v>
      </c>
      <c r="DV508" s="5">
        <f t="shared" si="1593"/>
        <v>1</v>
      </c>
      <c r="DW508" s="5" t="s">
        <v>231</v>
      </c>
      <c r="DX508" s="5">
        <f t="shared" si="1594"/>
        <v>2</v>
      </c>
      <c r="DY508" s="5">
        <f t="shared" si="1595"/>
        <v>19</v>
      </c>
      <c r="DZ508" s="5" t="str">
        <f t="shared" si="1596"/>
        <v>Nivel de riesgo medio</v>
      </c>
      <c r="EA508" s="5" t="s">
        <v>253</v>
      </c>
      <c r="EB508" s="5">
        <f t="shared" si="1597"/>
        <v>0</v>
      </c>
      <c r="EC508" s="5" t="s">
        <v>253</v>
      </c>
      <c r="ED508" s="5">
        <f t="shared" si="1598"/>
        <v>0</v>
      </c>
      <c r="EE508" s="5" t="s">
        <v>253</v>
      </c>
      <c r="EF508" s="5">
        <f t="shared" si="1599"/>
        <v>0</v>
      </c>
      <c r="EG508" s="5">
        <f t="shared" si="1600"/>
        <v>0</v>
      </c>
      <c r="EH508" s="5" t="str">
        <f t="shared" si="1601"/>
        <v>Nivel de riesgo bajo</v>
      </c>
      <c r="EI508" s="5" t="s">
        <v>253</v>
      </c>
      <c r="EJ508" s="5">
        <f t="shared" si="1602"/>
        <v>0</v>
      </c>
      <c r="EK508" s="5" t="s">
        <v>248</v>
      </c>
      <c r="EL508" s="5">
        <f t="shared" si="1603"/>
        <v>1</v>
      </c>
      <c r="EM508" s="5" t="s">
        <v>248</v>
      </c>
      <c r="EN508" s="5">
        <f t="shared" si="1604"/>
        <v>1</v>
      </c>
      <c r="EO508" s="5">
        <f t="shared" si="1605"/>
        <v>2</v>
      </c>
      <c r="EP508" s="5" t="str">
        <f t="shared" si="1606"/>
        <v>Nivel de riesgo medio</v>
      </c>
      <c r="EQ508" s="5" t="s">
        <v>253</v>
      </c>
      <c r="ER508" s="5">
        <f t="shared" si="1607"/>
        <v>4</v>
      </c>
      <c r="ES508" s="5" t="s">
        <v>253</v>
      </c>
      <c r="ET508" s="5">
        <f t="shared" si="1608"/>
        <v>4</v>
      </c>
      <c r="EU508" s="5" t="s">
        <v>254</v>
      </c>
      <c r="EV508" s="5">
        <f t="shared" si="1609"/>
        <v>0</v>
      </c>
      <c r="EW508" s="5" t="s">
        <v>254</v>
      </c>
      <c r="EX508" s="5">
        <f t="shared" si="1610"/>
        <v>0</v>
      </c>
      <c r="EY508" s="5">
        <f t="shared" si="1611"/>
        <v>8</v>
      </c>
      <c r="EZ508" s="5" t="str">
        <f t="shared" si="1612"/>
        <v>Nivel de riesgo alto</v>
      </c>
      <c r="FA508" s="5" t="s">
        <v>253</v>
      </c>
      <c r="FB508" s="5">
        <f t="shared" si="1613"/>
        <v>0</v>
      </c>
      <c r="FC508" s="5" t="s">
        <v>253</v>
      </c>
      <c r="FD508" s="5">
        <f t="shared" si="1614"/>
        <v>0</v>
      </c>
      <c r="FE508" s="5" t="s">
        <v>253</v>
      </c>
      <c r="FF508" s="5">
        <f t="shared" si="1615"/>
        <v>0</v>
      </c>
      <c r="FG508" s="5">
        <f t="shared" si="1616"/>
        <v>0</v>
      </c>
      <c r="FH508" s="5" t="str">
        <f t="shared" si="1617"/>
        <v>Nivel de riesgo bajo</v>
      </c>
      <c r="FI508" s="5" t="s">
        <v>253</v>
      </c>
      <c r="FJ508" s="5">
        <f t="shared" si="1618"/>
        <v>0</v>
      </c>
      <c r="FK508" s="5" t="s">
        <v>253</v>
      </c>
      <c r="FL508" s="5">
        <f t="shared" si="1619"/>
        <v>0</v>
      </c>
      <c r="FM508" s="5" t="s">
        <v>253</v>
      </c>
      <c r="FN508" s="5">
        <f t="shared" si="1620"/>
        <v>0</v>
      </c>
      <c r="FO508" s="5">
        <f t="shared" si="1621"/>
        <v>0</v>
      </c>
      <c r="FP508" s="5" t="str">
        <f t="shared" si="1622"/>
        <v>Nivel de riesgo bajo</v>
      </c>
      <c r="FQ508" s="5" t="s">
        <v>206</v>
      </c>
      <c r="FR508" s="5">
        <f t="shared" si="1623"/>
        <v>0</v>
      </c>
      <c r="FS508" s="5" t="s">
        <v>206</v>
      </c>
      <c r="FT508" s="5">
        <f t="shared" si="1624"/>
        <v>0</v>
      </c>
      <c r="FU508" s="5" t="s">
        <v>206</v>
      </c>
      <c r="FV508" s="5">
        <f t="shared" si="1625"/>
        <v>0</v>
      </c>
      <c r="FW508" s="5" t="s">
        <v>206</v>
      </c>
      <c r="FX508" s="5">
        <f t="shared" si="1626"/>
        <v>0</v>
      </c>
      <c r="FY508" s="5" t="s">
        <v>206</v>
      </c>
      <c r="FZ508" s="5">
        <f t="shared" si="1627"/>
        <v>0</v>
      </c>
      <c r="GA508" s="5" t="s">
        <v>206</v>
      </c>
      <c r="GB508" s="5">
        <f t="shared" si="1628"/>
        <v>0</v>
      </c>
      <c r="GC508" s="5" t="s">
        <v>206</v>
      </c>
      <c r="GD508" s="5">
        <f t="shared" si="1629"/>
        <v>0</v>
      </c>
      <c r="GE508" s="5">
        <f t="shared" si="1630"/>
        <v>0</v>
      </c>
      <c r="GF508" s="5" t="str">
        <f t="shared" si="1631"/>
        <v>Nivel de riesgo bajo</v>
      </c>
      <c r="GG508" s="5" t="s">
        <v>298</v>
      </c>
      <c r="GH508" s="5" t="s">
        <v>233</v>
      </c>
      <c r="GI508" s="5" t="s">
        <v>266</v>
      </c>
      <c r="GJ508" s="5" t="s">
        <v>233</v>
      </c>
      <c r="GK508" s="5" t="s">
        <v>298</v>
      </c>
      <c r="GL508" s="5" t="s">
        <v>233</v>
      </c>
      <c r="GM508" s="5" t="s">
        <v>233</v>
      </c>
      <c r="GN508" s="5" t="s">
        <v>243</v>
      </c>
      <c r="GO508" s="5" t="s">
        <v>257</v>
      </c>
      <c r="GP508" s="5" t="s">
        <v>257</v>
      </c>
      <c r="GQ508" s="5" t="s">
        <v>257</v>
      </c>
      <c r="GR508" s="5" t="s">
        <v>244</v>
      </c>
      <c r="GS508" s="5" t="s">
        <v>257</v>
      </c>
      <c r="GT508" s="5" t="s">
        <v>243</v>
      </c>
      <c r="GU508" s="5" t="s">
        <v>876</v>
      </c>
      <c r="GV508" s="5" t="str">
        <f>TEXT("6290473210218180188","0")</f>
        <v>6290473210218180000</v>
      </c>
    </row>
    <row r="509" spans="1:204" ht="15.75" customHeight="1" x14ac:dyDescent="0.15">
      <c r="A509" s="1">
        <f t="shared" si="1581"/>
        <v>509</v>
      </c>
      <c r="B509" s="4">
        <v>45860.943287037036</v>
      </c>
      <c r="C509" s="5" t="s">
        <v>204</v>
      </c>
      <c r="D509" s="5" t="s">
        <v>206</v>
      </c>
      <c r="F509" s="5" t="s">
        <v>206</v>
      </c>
      <c r="G509" s="5" t="s">
        <v>204</v>
      </c>
      <c r="H509" s="5" t="s">
        <v>206</v>
      </c>
      <c r="L509" s="5" t="s">
        <v>236</v>
      </c>
      <c r="O509" s="5" t="s">
        <v>209</v>
      </c>
      <c r="S509" s="5" t="s">
        <v>208</v>
      </c>
      <c r="Y509" s="5" t="s">
        <v>209</v>
      </c>
      <c r="AD509" s="5" t="s">
        <v>209</v>
      </c>
      <c r="AH509" s="5" t="s">
        <v>210</v>
      </c>
      <c r="AI509" s="5">
        <v>2020</v>
      </c>
      <c r="AJ509" s="5" t="s">
        <v>238</v>
      </c>
      <c r="AK509" s="5" t="str">
        <f t="shared" si="1582"/>
        <v>Trabajadora por cuenta propia</v>
      </c>
      <c r="AL509" s="5" t="s">
        <v>239</v>
      </c>
      <c r="AP509" s="5" t="s">
        <v>240</v>
      </c>
      <c r="AR509" s="5" t="s">
        <v>261</v>
      </c>
      <c r="AS509" s="5" t="s">
        <v>261</v>
      </c>
      <c r="AT509" s="5" t="s">
        <v>276</v>
      </c>
      <c r="AU509" s="5" t="s">
        <v>294</v>
      </c>
      <c r="AV509" s="5" t="s">
        <v>213</v>
      </c>
      <c r="AW509" s="5" t="s">
        <v>206</v>
      </c>
      <c r="BF509" s="5" t="s">
        <v>204</v>
      </c>
      <c r="BG509" s="5" t="s">
        <v>215</v>
      </c>
      <c r="BH509" s="5" t="s">
        <v>215</v>
      </c>
      <c r="BI509" s="5" t="s">
        <v>278</v>
      </c>
      <c r="BJ509" s="5" t="s">
        <v>278</v>
      </c>
      <c r="BK509" s="5" t="s">
        <v>246</v>
      </c>
      <c r="BL509" s="5" t="s">
        <v>245</v>
      </c>
      <c r="BM509" s="5" t="s">
        <v>246</v>
      </c>
      <c r="BN509" s="5" t="s">
        <v>246</v>
      </c>
      <c r="BO509" s="5" t="s">
        <v>244</v>
      </c>
      <c r="BP509" s="5" t="s">
        <v>243</v>
      </c>
      <c r="BQ509" s="5" t="s">
        <v>243</v>
      </c>
      <c r="BR509" s="5" t="s">
        <v>243</v>
      </c>
      <c r="BS509" s="5" t="s">
        <v>232</v>
      </c>
      <c r="BT509" s="5" t="s">
        <v>254</v>
      </c>
      <c r="BU509" s="5" t="s">
        <v>232</v>
      </c>
      <c r="BV509" s="5" t="s">
        <v>247</v>
      </c>
      <c r="BW509" s="5" t="s">
        <v>247</v>
      </c>
      <c r="BX509" s="5" t="s">
        <v>247</v>
      </c>
      <c r="BY509" s="5" t="s">
        <v>248</v>
      </c>
      <c r="CD509" s="5" t="s">
        <v>206</v>
      </c>
      <c r="CH509" s="5" t="s">
        <v>331</v>
      </c>
      <c r="CI509" s="5" t="s">
        <v>291</v>
      </c>
      <c r="CJ509" s="5">
        <v>0</v>
      </c>
      <c r="CK509" s="5" t="s">
        <v>223</v>
      </c>
      <c r="CU509" s="5" t="s">
        <v>206</v>
      </c>
      <c r="DA509" s="5" t="s">
        <v>231</v>
      </c>
      <c r="DB509" s="5">
        <f t="shared" si="1583"/>
        <v>2</v>
      </c>
      <c r="DC509" s="5" t="s">
        <v>230</v>
      </c>
      <c r="DD509" s="5">
        <f t="shared" si="1584"/>
        <v>2</v>
      </c>
      <c r="DE509" s="5" t="s">
        <v>230</v>
      </c>
      <c r="DF509" s="5">
        <f t="shared" si="1585"/>
        <v>2</v>
      </c>
      <c r="DG509" s="5" t="s">
        <v>230</v>
      </c>
      <c r="DH509" s="5">
        <f t="shared" si="1586"/>
        <v>2</v>
      </c>
      <c r="DI509" s="5" t="s">
        <v>251</v>
      </c>
      <c r="DJ509" s="5">
        <f t="shared" si="1587"/>
        <v>1</v>
      </c>
      <c r="DK509" s="5" t="s">
        <v>251</v>
      </c>
      <c r="DL509" s="5">
        <f t="shared" si="1588"/>
        <v>1</v>
      </c>
      <c r="DM509" s="5" t="s">
        <v>251</v>
      </c>
      <c r="DN509" s="5">
        <f t="shared" si="1589"/>
        <v>1</v>
      </c>
      <c r="DO509" s="5" t="s">
        <v>281</v>
      </c>
      <c r="DP509" s="5">
        <f t="shared" si="1590"/>
        <v>1</v>
      </c>
      <c r="DQ509" s="5" t="s">
        <v>281</v>
      </c>
      <c r="DR509" s="5">
        <f t="shared" si="1591"/>
        <v>1</v>
      </c>
      <c r="DS509" s="5" t="s">
        <v>231</v>
      </c>
      <c r="DT509" s="5">
        <f t="shared" si="1592"/>
        <v>2</v>
      </c>
      <c r="DU509" s="5" t="s">
        <v>281</v>
      </c>
      <c r="DV509" s="5">
        <f t="shared" si="1593"/>
        <v>1</v>
      </c>
      <c r="DW509" s="5" t="s">
        <v>281</v>
      </c>
      <c r="DX509" s="5">
        <f t="shared" si="1594"/>
        <v>1</v>
      </c>
      <c r="DY509" s="5">
        <f t="shared" si="1595"/>
        <v>17</v>
      </c>
      <c r="DZ509" s="5" t="str">
        <f t="shared" si="1596"/>
        <v>Nivel de riesgo bajo</v>
      </c>
      <c r="EA509" s="5" t="s">
        <v>253</v>
      </c>
      <c r="EB509" s="5">
        <f t="shared" si="1597"/>
        <v>0</v>
      </c>
      <c r="EC509" s="5" t="s">
        <v>247</v>
      </c>
      <c r="ED509" s="5">
        <f t="shared" si="1598"/>
        <v>2</v>
      </c>
      <c r="EE509" s="5" t="s">
        <v>253</v>
      </c>
      <c r="EF509" s="5">
        <f t="shared" si="1599"/>
        <v>0</v>
      </c>
      <c r="EG509" s="5">
        <f t="shared" si="1600"/>
        <v>2</v>
      </c>
      <c r="EH509" s="5" t="str">
        <f t="shared" si="1601"/>
        <v>Nivel de riesgo medio</v>
      </c>
      <c r="EI509" s="5" t="s">
        <v>248</v>
      </c>
      <c r="EJ509" s="5">
        <f t="shared" si="1602"/>
        <v>1</v>
      </c>
      <c r="EK509" s="5" t="s">
        <v>253</v>
      </c>
      <c r="EL509" s="5">
        <f t="shared" si="1603"/>
        <v>0</v>
      </c>
      <c r="EM509" s="5" t="s">
        <v>253</v>
      </c>
      <c r="EN509" s="5">
        <f t="shared" si="1604"/>
        <v>0</v>
      </c>
      <c r="EO509" s="5">
        <f t="shared" si="1605"/>
        <v>1</v>
      </c>
      <c r="EP509" s="5" t="str">
        <f t="shared" si="1606"/>
        <v>Nivel de riesgo bajo</v>
      </c>
      <c r="EQ509" s="5" t="s">
        <v>232</v>
      </c>
      <c r="ER509" s="5">
        <f t="shared" si="1607"/>
        <v>1</v>
      </c>
      <c r="ES509" s="5" t="s">
        <v>254</v>
      </c>
      <c r="ET509" s="5">
        <f t="shared" si="1608"/>
        <v>0</v>
      </c>
      <c r="EU509" s="5" t="s">
        <v>254</v>
      </c>
      <c r="EV509" s="5">
        <f t="shared" si="1609"/>
        <v>0</v>
      </c>
      <c r="EW509" s="5" t="s">
        <v>254</v>
      </c>
      <c r="EX509" s="5">
        <f t="shared" si="1610"/>
        <v>0</v>
      </c>
      <c r="EY509" s="5">
        <f t="shared" si="1611"/>
        <v>1</v>
      </c>
      <c r="EZ509" s="5" t="str">
        <f t="shared" si="1612"/>
        <v>Nivel de riesgo medio</v>
      </c>
      <c r="FA509" s="5" t="s">
        <v>253</v>
      </c>
      <c r="FB509" s="5">
        <f t="shared" si="1613"/>
        <v>0</v>
      </c>
      <c r="FC509" s="5" t="s">
        <v>253</v>
      </c>
      <c r="FD509" s="5">
        <f t="shared" si="1614"/>
        <v>0</v>
      </c>
      <c r="FE509" s="5" t="s">
        <v>253</v>
      </c>
      <c r="FF509" s="5">
        <f t="shared" si="1615"/>
        <v>0</v>
      </c>
      <c r="FG509" s="5">
        <f t="shared" si="1616"/>
        <v>0</v>
      </c>
      <c r="FH509" s="5" t="str">
        <f t="shared" si="1617"/>
        <v>Nivel de riesgo bajo</v>
      </c>
      <c r="FI509" s="5" t="s">
        <v>248</v>
      </c>
      <c r="FJ509" s="5">
        <f t="shared" si="1618"/>
        <v>1</v>
      </c>
      <c r="FK509" s="5" t="s">
        <v>248</v>
      </c>
      <c r="FL509" s="5">
        <f t="shared" si="1619"/>
        <v>1</v>
      </c>
      <c r="FM509" s="5" t="s">
        <v>253</v>
      </c>
      <c r="FN509" s="5">
        <f t="shared" si="1620"/>
        <v>0</v>
      </c>
      <c r="FO509" s="5">
        <f t="shared" si="1621"/>
        <v>2</v>
      </c>
      <c r="FP509" s="5" t="str">
        <f t="shared" si="1622"/>
        <v>Nivel de riesgo bajo</v>
      </c>
      <c r="FQ509" s="5" t="s">
        <v>206</v>
      </c>
      <c r="FR509" s="5">
        <f t="shared" si="1623"/>
        <v>0</v>
      </c>
      <c r="FS509" s="5" t="s">
        <v>206</v>
      </c>
      <c r="FT509" s="5">
        <f t="shared" si="1624"/>
        <v>0</v>
      </c>
      <c r="FU509" s="5" t="s">
        <v>206</v>
      </c>
      <c r="FV509" s="5">
        <f t="shared" si="1625"/>
        <v>0</v>
      </c>
      <c r="FW509" s="5" t="s">
        <v>206</v>
      </c>
      <c r="FX509" s="5">
        <f t="shared" si="1626"/>
        <v>0</v>
      </c>
      <c r="FY509" s="5" t="s">
        <v>206</v>
      </c>
      <c r="FZ509" s="5">
        <f t="shared" si="1627"/>
        <v>0</v>
      </c>
      <c r="GA509" s="5" t="s">
        <v>206</v>
      </c>
      <c r="GB509" s="5">
        <f t="shared" si="1628"/>
        <v>0</v>
      </c>
      <c r="GC509" s="5" t="s">
        <v>206</v>
      </c>
      <c r="GD509" s="5">
        <f t="shared" si="1629"/>
        <v>0</v>
      </c>
      <c r="GE509" s="5">
        <f t="shared" si="1630"/>
        <v>0</v>
      </c>
      <c r="GF509" s="5" t="str">
        <f t="shared" si="1631"/>
        <v>Nivel de riesgo bajo</v>
      </c>
      <c r="GG509" s="5" t="s">
        <v>255</v>
      </c>
      <c r="GH509" s="5" t="s">
        <v>266</v>
      </c>
      <c r="GI509" s="5" t="s">
        <v>255</v>
      </c>
      <c r="GJ509" s="5" t="s">
        <v>266</v>
      </c>
      <c r="GK509" s="5" t="s">
        <v>233</v>
      </c>
      <c r="GL509" s="5" t="s">
        <v>266</v>
      </c>
      <c r="GM509" s="5" t="s">
        <v>233</v>
      </c>
      <c r="GN509" s="5" t="s">
        <v>243</v>
      </c>
      <c r="GO509" s="5" t="s">
        <v>244</v>
      </c>
      <c r="GP509" s="5" t="s">
        <v>257</v>
      </c>
      <c r="GQ509" s="5" t="s">
        <v>257</v>
      </c>
      <c r="GR509" s="5" t="s">
        <v>257</v>
      </c>
      <c r="GS509" s="5" t="s">
        <v>257</v>
      </c>
      <c r="GT509" s="5" t="s">
        <v>257</v>
      </c>
      <c r="GU509" s="5" t="s">
        <v>877</v>
      </c>
      <c r="GV509" s="5" t="str">
        <f>TEXT("6290475006112392898","0")</f>
        <v>6290475006112390000</v>
      </c>
    </row>
    <row r="510" spans="1:204" ht="15.75" customHeight="1" x14ac:dyDescent="0.15">
      <c r="A510" s="1">
        <f t="shared" si="1581"/>
        <v>510</v>
      </c>
      <c r="B510" s="4">
        <v>45860.969629629632</v>
      </c>
      <c r="C510" s="5" t="s">
        <v>204</v>
      </c>
      <c r="D510" s="5" t="s">
        <v>206</v>
      </c>
      <c r="F510" s="5" t="s">
        <v>206</v>
      </c>
      <c r="G510" s="5" t="s">
        <v>206</v>
      </c>
      <c r="H510" s="5" t="s">
        <v>206</v>
      </c>
      <c r="L510" s="5" t="s">
        <v>236</v>
      </c>
      <c r="P510" s="5" t="s">
        <v>237</v>
      </c>
      <c r="U510" s="5" t="s">
        <v>237</v>
      </c>
      <c r="V510" s="5" t="s">
        <v>236</v>
      </c>
      <c r="Y510" s="5" t="s">
        <v>209</v>
      </c>
      <c r="AD510" s="5" t="s">
        <v>209</v>
      </c>
      <c r="AH510" s="5" t="s">
        <v>268</v>
      </c>
      <c r="AI510" s="5">
        <v>2016</v>
      </c>
      <c r="AJ510" s="5" t="s">
        <v>337</v>
      </c>
      <c r="AK510" s="5" t="str">
        <f t="shared" si="1582"/>
        <v>Asalariada</v>
      </c>
      <c r="AQ510" s="5" t="s">
        <v>204</v>
      </c>
      <c r="AR510" s="5" t="s">
        <v>294</v>
      </c>
      <c r="AS510" s="5" t="s">
        <v>241</v>
      </c>
      <c r="AT510" s="5" t="s">
        <v>294</v>
      </c>
      <c r="AU510" s="5" t="s">
        <v>294</v>
      </c>
      <c r="AV510" s="5" t="s">
        <v>269</v>
      </c>
      <c r="AW510" s="5" t="s">
        <v>204</v>
      </c>
      <c r="AX510" s="5" t="s">
        <v>204</v>
      </c>
      <c r="AY510" s="5" t="s">
        <v>214</v>
      </c>
      <c r="AZ510" s="5" t="s">
        <v>204</v>
      </c>
      <c r="BA510" s="5" t="s">
        <v>263</v>
      </c>
      <c r="BF510" s="5" t="s">
        <v>204</v>
      </c>
      <c r="BG510" s="5" t="s">
        <v>242</v>
      </c>
      <c r="BH510" s="5" t="s">
        <v>242</v>
      </c>
      <c r="BI510" s="5" t="s">
        <v>278</v>
      </c>
      <c r="BJ510" s="5" t="s">
        <v>278</v>
      </c>
      <c r="BK510" s="5" t="s">
        <v>245</v>
      </c>
      <c r="BL510" s="5" t="s">
        <v>243</v>
      </c>
      <c r="BM510" s="5" t="s">
        <v>245</v>
      </c>
      <c r="BN510" s="5" t="s">
        <v>245</v>
      </c>
      <c r="BO510" s="5" t="s">
        <v>245</v>
      </c>
      <c r="BP510" s="5" t="s">
        <v>245</v>
      </c>
      <c r="BQ510" s="5" t="s">
        <v>243</v>
      </c>
      <c r="BR510" s="5" t="s">
        <v>243</v>
      </c>
      <c r="BS510" s="5" t="s">
        <v>232</v>
      </c>
      <c r="BT510" s="5" t="s">
        <v>232</v>
      </c>
      <c r="BU510" s="5" t="s">
        <v>254</v>
      </c>
      <c r="BV510" s="5" t="s">
        <v>248</v>
      </c>
      <c r="BW510" s="5" t="s">
        <v>232</v>
      </c>
      <c r="BX510" s="5" t="s">
        <v>232</v>
      </c>
      <c r="BY510" s="5" t="s">
        <v>232</v>
      </c>
      <c r="BZ510" s="5" t="s">
        <v>244</v>
      </c>
      <c r="CA510" s="5" t="s">
        <v>246</v>
      </c>
      <c r="CB510" s="5" t="s">
        <v>216</v>
      </c>
      <c r="CC510" s="5" t="s">
        <v>244</v>
      </c>
      <c r="CD510" s="5" t="s">
        <v>206</v>
      </c>
      <c r="CH510" s="5" t="s">
        <v>206</v>
      </c>
      <c r="CI510" s="5" t="s">
        <v>206</v>
      </c>
      <c r="CJ510" s="5">
        <v>0</v>
      </c>
      <c r="CK510" s="5" t="s">
        <v>223</v>
      </c>
      <c r="CU510" s="5" t="s">
        <v>206</v>
      </c>
      <c r="DA510" s="5" t="s">
        <v>252</v>
      </c>
      <c r="DB510" s="5">
        <f t="shared" si="1583"/>
        <v>3</v>
      </c>
      <c r="DC510" s="5" t="s">
        <v>251</v>
      </c>
      <c r="DD510" s="5">
        <f t="shared" si="1584"/>
        <v>1</v>
      </c>
      <c r="DE510" s="5" t="s">
        <v>250</v>
      </c>
      <c r="DF510" s="5">
        <f t="shared" si="1585"/>
        <v>3</v>
      </c>
      <c r="DG510" s="5" t="s">
        <v>230</v>
      </c>
      <c r="DH510" s="5">
        <f t="shared" si="1586"/>
        <v>2</v>
      </c>
      <c r="DI510" s="5" t="s">
        <v>251</v>
      </c>
      <c r="DJ510" s="5">
        <f t="shared" si="1587"/>
        <v>1</v>
      </c>
      <c r="DK510" s="5" t="s">
        <v>251</v>
      </c>
      <c r="DL510" s="5">
        <f t="shared" si="1588"/>
        <v>1</v>
      </c>
      <c r="DM510" s="5" t="s">
        <v>251</v>
      </c>
      <c r="DN510" s="5">
        <f t="shared" si="1589"/>
        <v>1</v>
      </c>
      <c r="DO510" s="5" t="s">
        <v>281</v>
      </c>
      <c r="DP510" s="5">
        <f t="shared" si="1590"/>
        <v>1</v>
      </c>
      <c r="DQ510" s="5" t="s">
        <v>281</v>
      </c>
      <c r="DR510" s="5">
        <f t="shared" si="1591"/>
        <v>1</v>
      </c>
      <c r="DS510" s="5" t="s">
        <v>281</v>
      </c>
      <c r="DT510" s="5">
        <f t="shared" si="1592"/>
        <v>1</v>
      </c>
      <c r="DU510" s="5" t="s">
        <v>281</v>
      </c>
      <c r="DV510" s="5">
        <f t="shared" si="1593"/>
        <v>1</v>
      </c>
      <c r="DW510" s="5" t="s">
        <v>281</v>
      </c>
      <c r="DX510" s="5">
        <f t="shared" si="1594"/>
        <v>1</v>
      </c>
      <c r="DY510" s="5">
        <f t="shared" si="1595"/>
        <v>17</v>
      </c>
      <c r="DZ510" s="5" t="str">
        <f t="shared" si="1596"/>
        <v>Nivel de riesgo bajo</v>
      </c>
      <c r="EA510" s="5" t="s">
        <v>232</v>
      </c>
      <c r="EB510" s="5">
        <f t="shared" si="1597"/>
        <v>3</v>
      </c>
      <c r="EC510" s="5" t="s">
        <v>254</v>
      </c>
      <c r="ED510" s="5">
        <f t="shared" si="1598"/>
        <v>4</v>
      </c>
      <c r="EE510" s="5" t="s">
        <v>247</v>
      </c>
      <c r="EF510" s="5">
        <f t="shared" si="1599"/>
        <v>2</v>
      </c>
      <c r="EG510" s="5">
        <f t="shared" si="1600"/>
        <v>9</v>
      </c>
      <c r="EH510" s="5" t="str">
        <f t="shared" si="1601"/>
        <v>Nivel de riesgo alto</v>
      </c>
      <c r="EI510" s="5" t="s">
        <v>232</v>
      </c>
      <c r="EJ510" s="5">
        <f t="shared" si="1602"/>
        <v>3</v>
      </c>
      <c r="EK510" s="5" t="s">
        <v>232</v>
      </c>
      <c r="EL510" s="5">
        <f t="shared" si="1603"/>
        <v>3</v>
      </c>
      <c r="EM510" s="5" t="s">
        <v>247</v>
      </c>
      <c r="EN510" s="5">
        <f t="shared" si="1604"/>
        <v>2</v>
      </c>
      <c r="EO510" s="5">
        <f t="shared" si="1605"/>
        <v>8</v>
      </c>
      <c r="EP510" s="5" t="str">
        <f t="shared" si="1606"/>
        <v>Nivel de riesgo alto</v>
      </c>
      <c r="EQ510" s="5" t="s">
        <v>254</v>
      </c>
      <c r="ER510" s="5">
        <f t="shared" si="1607"/>
        <v>0</v>
      </c>
      <c r="ES510" s="5" t="s">
        <v>254</v>
      </c>
      <c r="ET510" s="5">
        <f t="shared" si="1608"/>
        <v>0</v>
      </c>
      <c r="EU510" s="5" t="s">
        <v>254</v>
      </c>
      <c r="EV510" s="5">
        <f t="shared" si="1609"/>
        <v>0</v>
      </c>
      <c r="EW510" s="5" t="s">
        <v>254</v>
      </c>
      <c r="EX510" s="5">
        <f t="shared" si="1610"/>
        <v>0</v>
      </c>
      <c r="EY510" s="5">
        <f t="shared" si="1611"/>
        <v>0</v>
      </c>
      <c r="EZ510" s="5" t="str">
        <f t="shared" si="1612"/>
        <v>Nivel de riesgo bajo</v>
      </c>
      <c r="FA510" s="5" t="s">
        <v>254</v>
      </c>
      <c r="FB510" s="5">
        <f t="shared" si="1613"/>
        <v>4</v>
      </c>
      <c r="FC510" s="5" t="s">
        <v>254</v>
      </c>
      <c r="FD510" s="5">
        <f t="shared" si="1614"/>
        <v>4</v>
      </c>
      <c r="FE510" s="5" t="s">
        <v>248</v>
      </c>
      <c r="FF510" s="5">
        <f t="shared" si="1615"/>
        <v>1</v>
      </c>
      <c r="FG510" s="5">
        <f t="shared" si="1616"/>
        <v>9</v>
      </c>
      <c r="FH510" s="5" t="str">
        <f t="shared" si="1617"/>
        <v>Nivel de riesgo alto</v>
      </c>
      <c r="FI510" s="5" t="s">
        <v>254</v>
      </c>
      <c r="FJ510" s="5">
        <f t="shared" si="1618"/>
        <v>4</v>
      </c>
      <c r="FK510" s="5" t="s">
        <v>254</v>
      </c>
      <c r="FL510" s="5">
        <f t="shared" si="1619"/>
        <v>4</v>
      </c>
      <c r="FM510" s="5" t="s">
        <v>254</v>
      </c>
      <c r="FN510" s="5">
        <f t="shared" si="1620"/>
        <v>4</v>
      </c>
      <c r="FO510" s="5">
        <f t="shared" si="1621"/>
        <v>12</v>
      </c>
      <c r="FP510" s="5" t="str">
        <f t="shared" si="1622"/>
        <v>Nivel de riesgo alto</v>
      </c>
      <c r="FQ510" s="5" t="s">
        <v>265</v>
      </c>
      <c r="FR510" s="5">
        <f t="shared" si="1623"/>
        <v>1</v>
      </c>
      <c r="FS510" s="5" t="s">
        <v>206</v>
      </c>
      <c r="FT510" s="5">
        <f t="shared" si="1624"/>
        <v>0</v>
      </c>
      <c r="FU510" s="5" t="s">
        <v>206</v>
      </c>
      <c r="FV510" s="5">
        <f t="shared" si="1625"/>
        <v>0</v>
      </c>
      <c r="FW510" s="5" t="s">
        <v>206</v>
      </c>
      <c r="FX510" s="5">
        <f t="shared" si="1626"/>
        <v>0</v>
      </c>
      <c r="FY510" s="5" t="s">
        <v>206</v>
      </c>
      <c r="FZ510" s="5">
        <f t="shared" si="1627"/>
        <v>0</v>
      </c>
      <c r="GA510" s="5" t="s">
        <v>206</v>
      </c>
      <c r="GB510" s="5">
        <f t="shared" si="1628"/>
        <v>0</v>
      </c>
      <c r="GC510" s="5" t="s">
        <v>206</v>
      </c>
      <c r="GD510" s="5">
        <f t="shared" si="1629"/>
        <v>0</v>
      </c>
      <c r="GE510" s="5">
        <f t="shared" si="1630"/>
        <v>1</v>
      </c>
      <c r="GF510" s="5" t="str">
        <f t="shared" si="1631"/>
        <v>Nivel de riesgo medio</v>
      </c>
      <c r="GG510" s="5" t="s">
        <v>255</v>
      </c>
      <c r="GH510" s="5" t="s">
        <v>255</v>
      </c>
      <c r="GI510" s="5" t="s">
        <v>255</v>
      </c>
      <c r="GJ510" s="5" t="s">
        <v>255</v>
      </c>
      <c r="GK510" s="5" t="s">
        <v>255</v>
      </c>
      <c r="GL510" s="5" t="s">
        <v>255</v>
      </c>
      <c r="GM510" s="5" t="s">
        <v>255</v>
      </c>
      <c r="GN510" s="5" t="s">
        <v>256</v>
      </c>
      <c r="GO510" s="5" t="s">
        <v>257</v>
      </c>
      <c r="GP510" s="5" t="s">
        <v>256</v>
      </c>
      <c r="GQ510" s="5" t="s">
        <v>256</v>
      </c>
      <c r="GR510" s="5" t="s">
        <v>243</v>
      </c>
      <c r="GS510" s="5" t="s">
        <v>256</v>
      </c>
      <c r="GT510" s="5" t="s">
        <v>256</v>
      </c>
      <c r="GU510" s="5" t="s">
        <v>878</v>
      </c>
      <c r="GV510" s="5" t="str">
        <f>TEXT("6290497765319805827","0")</f>
        <v>6290497765319800000</v>
      </c>
    </row>
    <row r="511" spans="1:204" ht="15.75" customHeight="1" x14ac:dyDescent="0.15">
      <c r="A511" s="1">
        <f t="shared" si="1581"/>
        <v>511</v>
      </c>
      <c r="B511" s="4">
        <v>45860.97556712963</v>
      </c>
      <c r="C511" s="5" t="s">
        <v>204</v>
      </c>
      <c r="D511" s="5" t="s">
        <v>206</v>
      </c>
      <c r="F511" s="5" t="s">
        <v>206</v>
      </c>
      <c r="G511" s="5" t="s">
        <v>206</v>
      </c>
      <c r="H511" s="5" t="s">
        <v>206</v>
      </c>
      <c r="K511" s="5" t="s">
        <v>237</v>
      </c>
      <c r="O511" s="5" t="s">
        <v>209</v>
      </c>
      <c r="U511" s="5" t="s">
        <v>237</v>
      </c>
      <c r="Y511" s="5" t="s">
        <v>209</v>
      </c>
      <c r="AE511" s="5" t="s">
        <v>237</v>
      </c>
      <c r="AH511" s="5" t="s">
        <v>210</v>
      </c>
      <c r="AI511" s="5">
        <v>2010</v>
      </c>
      <c r="AJ511" s="5" t="s">
        <v>238</v>
      </c>
      <c r="AK511" s="5" t="str">
        <f t="shared" si="1582"/>
        <v>Trabajadora por cuenta propia</v>
      </c>
      <c r="AM511" s="5" t="s">
        <v>309</v>
      </c>
      <c r="AP511" s="5" t="s">
        <v>240</v>
      </c>
      <c r="AR511" s="5" t="s">
        <v>241</v>
      </c>
      <c r="AS511" s="5" t="s">
        <v>276</v>
      </c>
      <c r="AT511" s="5" t="s">
        <v>276</v>
      </c>
      <c r="AU511" s="5" t="s">
        <v>301</v>
      </c>
      <c r="AV511" s="5" t="s">
        <v>269</v>
      </c>
      <c r="AW511" s="5" t="s">
        <v>204</v>
      </c>
      <c r="AX511" s="5" t="s">
        <v>206</v>
      </c>
      <c r="BF511" s="5" t="s">
        <v>206</v>
      </c>
      <c r="CK511" s="5" t="s">
        <v>223</v>
      </c>
      <c r="CU511" s="5" t="s">
        <v>206</v>
      </c>
      <c r="DA511" s="5" t="s">
        <v>231</v>
      </c>
      <c r="DB511" s="5">
        <f t="shared" si="1583"/>
        <v>2</v>
      </c>
      <c r="DC511" s="5" t="s">
        <v>251</v>
      </c>
      <c r="DD511" s="5">
        <f t="shared" si="1584"/>
        <v>1</v>
      </c>
      <c r="DE511" s="5" t="s">
        <v>230</v>
      </c>
      <c r="DF511" s="5">
        <f t="shared" si="1585"/>
        <v>2</v>
      </c>
      <c r="DG511" s="5" t="s">
        <v>251</v>
      </c>
      <c r="DH511" s="5">
        <f t="shared" si="1586"/>
        <v>1</v>
      </c>
      <c r="DI511" s="5" t="s">
        <v>251</v>
      </c>
      <c r="DJ511" s="5">
        <f t="shared" si="1587"/>
        <v>1</v>
      </c>
      <c r="DK511" s="5" t="s">
        <v>251</v>
      </c>
      <c r="DL511" s="5">
        <f t="shared" si="1588"/>
        <v>1</v>
      </c>
      <c r="DM511" s="5" t="s">
        <v>251</v>
      </c>
      <c r="DN511" s="5">
        <f t="shared" si="1589"/>
        <v>1</v>
      </c>
      <c r="DO511" s="5" t="s">
        <v>231</v>
      </c>
      <c r="DP511" s="5">
        <f t="shared" si="1590"/>
        <v>2</v>
      </c>
      <c r="DQ511" s="5" t="s">
        <v>281</v>
      </c>
      <c r="DR511" s="5">
        <f t="shared" si="1591"/>
        <v>1</v>
      </c>
      <c r="DS511" s="5" t="s">
        <v>231</v>
      </c>
      <c r="DT511" s="5">
        <f t="shared" si="1592"/>
        <v>2</v>
      </c>
      <c r="DU511" s="5" t="s">
        <v>281</v>
      </c>
      <c r="DV511" s="5">
        <f t="shared" si="1593"/>
        <v>1</v>
      </c>
      <c r="DW511" s="5" t="s">
        <v>281</v>
      </c>
      <c r="DX511" s="5">
        <f t="shared" si="1594"/>
        <v>1</v>
      </c>
      <c r="DY511" s="5">
        <f t="shared" si="1595"/>
        <v>16</v>
      </c>
      <c r="DZ511" s="5" t="str">
        <f t="shared" si="1596"/>
        <v>Nivel de riesgo bajo</v>
      </c>
      <c r="EA511" s="5" t="s">
        <v>247</v>
      </c>
      <c r="EB511" s="5">
        <f t="shared" si="1597"/>
        <v>2</v>
      </c>
      <c r="EC511" s="5" t="s">
        <v>232</v>
      </c>
      <c r="ED511" s="5">
        <f t="shared" si="1598"/>
        <v>3</v>
      </c>
      <c r="EE511" s="5" t="s">
        <v>247</v>
      </c>
      <c r="EF511" s="5">
        <f t="shared" si="1599"/>
        <v>2</v>
      </c>
      <c r="EG511" s="5">
        <f t="shared" si="1600"/>
        <v>7</v>
      </c>
      <c r="EH511" s="5" t="str">
        <f t="shared" si="1601"/>
        <v>Nivel de riesgo alto</v>
      </c>
      <c r="EI511" s="5" t="s">
        <v>248</v>
      </c>
      <c r="EJ511" s="5">
        <f t="shared" si="1602"/>
        <v>1</v>
      </c>
      <c r="EK511" s="5" t="s">
        <v>247</v>
      </c>
      <c r="EL511" s="5">
        <f t="shared" si="1603"/>
        <v>2</v>
      </c>
      <c r="EM511" s="5" t="s">
        <v>248</v>
      </c>
      <c r="EN511" s="5">
        <f t="shared" si="1604"/>
        <v>1</v>
      </c>
      <c r="EO511" s="5">
        <f t="shared" si="1605"/>
        <v>4</v>
      </c>
      <c r="EP511" s="5" t="str">
        <f t="shared" si="1606"/>
        <v>Nivel de riesgo medio</v>
      </c>
      <c r="EQ511" s="5" t="s">
        <v>253</v>
      </c>
      <c r="ER511" s="5">
        <f t="shared" si="1607"/>
        <v>4</v>
      </c>
      <c r="ES511" s="5" t="s">
        <v>253</v>
      </c>
      <c r="ET511" s="5">
        <f t="shared" si="1608"/>
        <v>4</v>
      </c>
      <c r="EU511" s="5" t="s">
        <v>254</v>
      </c>
      <c r="EV511" s="5">
        <f t="shared" si="1609"/>
        <v>0</v>
      </c>
      <c r="EW511" s="5" t="s">
        <v>254</v>
      </c>
      <c r="EX511" s="5">
        <f t="shared" si="1610"/>
        <v>0</v>
      </c>
      <c r="EY511" s="5">
        <f t="shared" si="1611"/>
        <v>8</v>
      </c>
      <c r="EZ511" s="5" t="str">
        <f t="shared" si="1612"/>
        <v>Nivel de riesgo alto</v>
      </c>
      <c r="FA511" s="5" t="s">
        <v>253</v>
      </c>
      <c r="FB511" s="5">
        <f t="shared" si="1613"/>
        <v>0</v>
      </c>
      <c r="FC511" s="5" t="s">
        <v>253</v>
      </c>
      <c r="FD511" s="5">
        <f t="shared" si="1614"/>
        <v>0</v>
      </c>
      <c r="FE511" s="5" t="s">
        <v>253</v>
      </c>
      <c r="FF511" s="5">
        <f t="shared" si="1615"/>
        <v>0</v>
      </c>
      <c r="FG511" s="5">
        <f t="shared" si="1616"/>
        <v>0</v>
      </c>
      <c r="FH511" s="5" t="str">
        <f t="shared" si="1617"/>
        <v>Nivel de riesgo bajo</v>
      </c>
      <c r="FI511" s="5" t="s">
        <v>248</v>
      </c>
      <c r="FJ511" s="5">
        <f t="shared" si="1618"/>
        <v>1</v>
      </c>
      <c r="FK511" s="5" t="s">
        <v>253</v>
      </c>
      <c r="FL511" s="5">
        <f t="shared" si="1619"/>
        <v>0</v>
      </c>
      <c r="FM511" s="5" t="s">
        <v>253</v>
      </c>
      <c r="FN511" s="5">
        <f t="shared" si="1620"/>
        <v>0</v>
      </c>
      <c r="FO511" s="5">
        <f t="shared" si="1621"/>
        <v>1</v>
      </c>
      <c r="FP511" s="5" t="str">
        <f t="shared" si="1622"/>
        <v>Nivel de riesgo bajo</v>
      </c>
      <c r="FQ511" s="5" t="s">
        <v>206</v>
      </c>
      <c r="FR511" s="5">
        <f t="shared" si="1623"/>
        <v>0</v>
      </c>
      <c r="FS511" s="5" t="s">
        <v>206</v>
      </c>
      <c r="FT511" s="5">
        <f t="shared" si="1624"/>
        <v>0</v>
      </c>
      <c r="FU511" s="5" t="s">
        <v>206</v>
      </c>
      <c r="FV511" s="5">
        <f t="shared" si="1625"/>
        <v>0</v>
      </c>
      <c r="FW511" s="5" t="s">
        <v>206</v>
      </c>
      <c r="FX511" s="5">
        <f t="shared" si="1626"/>
        <v>0</v>
      </c>
      <c r="FY511" s="5" t="s">
        <v>206</v>
      </c>
      <c r="FZ511" s="5">
        <f t="shared" si="1627"/>
        <v>0</v>
      </c>
      <c r="GA511" s="5" t="s">
        <v>206</v>
      </c>
      <c r="GB511" s="5">
        <f t="shared" si="1628"/>
        <v>0</v>
      </c>
      <c r="GC511" s="5" t="s">
        <v>206</v>
      </c>
      <c r="GD511" s="5">
        <f t="shared" si="1629"/>
        <v>0</v>
      </c>
      <c r="GE511" s="5">
        <f t="shared" si="1630"/>
        <v>0</v>
      </c>
      <c r="GF511" s="5" t="str">
        <f t="shared" si="1631"/>
        <v>Nivel de riesgo bajo</v>
      </c>
      <c r="GG511" s="5" t="s">
        <v>255</v>
      </c>
      <c r="GH511" s="5" t="s">
        <v>298</v>
      </c>
      <c r="GI511" s="5" t="s">
        <v>255</v>
      </c>
      <c r="GJ511" s="5" t="s">
        <v>273</v>
      </c>
      <c r="GK511" s="5" t="s">
        <v>233</v>
      </c>
      <c r="GL511" s="5" t="s">
        <v>233</v>
      </c>
      <c r="GM511" s="5" t="s">
        <v>233</v>
      </c>
      <c r="GN511" s="5" t="s">
        <v>256</v>
      </c>
      <c r="GO511" s="5" t="s">
        <v>256</v>
      </c>
      <c r="GP511" s="5" t="s">
        <v>256</v>
      </c>
      <c r="GQ511" s="5" t="s">
        <v>243</v>
      </c>
      <c r="GR511" s="5" t="s">
        <v>243</v>
      </c>
      <c r="GS511" s="5" t="s">
        <v>244</v>
      </c>
      <c r="GT511" s="5" t="s">
        <v>257</v>
      </c>
      <c r="GU511" s="5" t="s">
        <v>303</v>
      </c>
      <c r="GV511" s="5" t="str">
        <f>TEXT("6290502890505544057","0")</f>
        <v>6290502890505540000</v>
      </c>
    </row>
    <row r="512" spans="1:204" ht="15.75" customHeight="1" x14ac:dyDescent="0.15">
      <c r="A512" s="1">
        <f t="shared" si="1581"/>
        <v>512</v>
      </c>
      <c r="B512" s="4">
        <v>45860.984166666669</v>
      </c>
      <c r="C512" s="5" t="s">
        <v>204</v>
      </c>
      <c r="D512" s="5" t="s">
        <v>206</v>
      </c>
      <c r="F512" s="5" t="s">
        <v>206</v>
      </c>
      <c r="G512" s="5" t="s">
        <v>206</v>
      </c>
      <c r="H512" s="5" t="s">
        <v>206</v>
      </c>
      <c r="L512" s="5" t="s">
        <v>236</v>
      </c>
      <c r="P512" s="5" t="s">
        <v>237</v>
      </c>
      <c r="T512" s="5" t="s">
        <v>209</v>
      </c>
      <c r="Z512" s="5" t="s">
        <v>237</v>
      </c>
      <c r="AE512" s="5" t="s">
        <v>237</v>
      </c>
      <c r="AH512" s="5" t="s">
        <v>268</v>
      </c>
      <c r="AI512" s="5">
        <v>2018</v>
      </c>
      <c r="AJ512" s="5" t="s">
        <v>337</v>
      </c>
      <c r="AK512" s="5" t="str">
        <f t="shared" si="1582"/>
        <v>Asalariada</v>
      </c>
      <c r="AQ512" s="5" t="s">
        <v>204</v>
      </c>
      <c r="AR512" s="5" t="s">
        <v>261</v>
      </c>
      <c r="AS512" s="5" t="s">
        <v>241</v>
      </c>
      <c r="AT512" s="5" t="s">
        <v>294</v>
      </c>
      <c r="AU512" s="5" t="s">
        <v>276</v>
      </c>
      <c r="AV512" s="5" t="s">
        <v>213</v>
      </c>
      <c r="AW512" s="5" t="s">
        <v>204</v>
      </c>
      <c r="AX512" s="5" t="s">
        <v>206</v>
      </c>
      <c r="BF512" s="5" t="s">
        <v>204</v>
      </c>
      <c r="BG512" s="5" t="s">
        <v>278</v>
      </c>
      <c r="BH512" s="5" t="s">
        <v>278</v>
      </c>
      <c r="BI512" s="5" t="s">
        <v>278</v>
      </c>
      <c r="BJ512" s="5" t="s">
        <v>278</v>
      </c>
      <c r="BK512" s="5" t="s">
        <v>245</v>
      </c>
      <c r="BL512" s="5" t="s">
        <v>243</v>
      </c>
      <c r="BM512" s="5" t="s">
        <v>245</v>
      </c>
      <c r="BN512" s="5" t="s">
        <v>243</v>
      </c>
      <c r="BO512" s="5" t="s">
        <v>243</v>
      </c>
      <c r="BP512" s="5" t="s">
        <v>243</v>
      </c>
      <c r="BQ512" s="5" t="s">
        <v>245</v>
      </c>
      <c r="BR512" s="5" t="s">
        <v>245</v>
      </c>
      <c r="BS512" s="5" t="s">
        <v>254</v>
      </c>
      <c r="BT512" s="5" t="s">
        <v>232</v>
      </c>
      <c r="BU512" s="5" t="s">
        <v>248</v>
      </c>
      <c r="BV512" s="5" t="s">
        <v>217</v>
      </c>
      <c r="BW512" s="5" t="s">
        <v>254</v>
      </c>
      <c r="BX512" s="5" t="s">
        <v>254</v>
      </c>
      <c r="BY512" s="5" t="s">
        <v>254</v>
      </c>
      <c r="BZ512" s="5" t="s">
        <v>243</v>
      </c>
      <c r="CA512" s="5" t="s">
        <v>245</v>
      </c>
      <c r="CB512" s="5" t="s">
        <v>245</v>
      </c>
      <c r="CC512" s="5" t="s">
        <v>245</v>
      </c>
      <c r="CD512" s="5" t="s">
        <v>204</v>
      </c>
      <c r="CE512" s="5" t="s">
        <v>218</v>
      </c>
      <c r="CF512" s="5" t="s">
        <v>219</v>
      </c>
      <c r="CG512" s="5" t="s">
        <v>206</v>
      </c>
      <c r="CH512" s="5" t="s">
        <v>206</v>
      </c>
      <c r="CI512" s="5" t="s">
        <v>206</v>
      </c>
      <c r="CJ512" s="5">
        <v>3</v>
      </c>
      <c r="CK512" s="5" t="s">
        <v>223</v>
      </c>
      <c r="CU512" s="5" t="s">
        <v>206</v>
      </c>
      <c r="DA512" s="5" t="s">
        <v>229</v>
      </c>
      <c r="DB512" s="5">
        <f t="shared" si="1583"/>
        <v>4</v>
      </c>
      <c r="DC512" s="5" t="s">
        <v>280</v>
      </c>
      <c r="DD512" s="5">
        <f t="shared" si="1584"/>
        <v>4</v>
      </c>
      <c r="DE512" s="5" t="s">
        <v>280</v>
      </c>
      <c r="DF512" s="5">
        <f t="shared" si="1585"/>
        <v>4</v>
      </c>
      <c r="DG512" s="5" t="s">
        <v>280</v>
      </c>
      <c r="DH512" s="5">
        <f t="shared" si="1586"/>
        <v>4</v>
      </c>
      <c r="DI512" s="5" t="s">
        <v>280</v>
      </c>
      <c r="DJ512" s="5">
        <f t="shared" si="1587"/>
        <v>4</v>
      </c>
      <c r="DK512" s="5" t="s">
        <v>280</v>
      </c>
      <c r="DL512" s="5">
        <f t="shared" si="1588"/>
        <v>4</v>
      </c>
      <c r="DM512" s="5" t="s">
        <v>280</v>
      </c>
      <c r="DN512" s="5">
        <f t="shared" si="1589"/>
        <v>4</v>
      </c>
      <c r="DO512" s="5" t="s">
        <v>229</v>
      </c>
      <c r="DP512" s="5">
        <f t="shared" si="1590"/>
        <v>4</v>
      </c>
      <c r="DQ512" s="5" t="s">
        <v>252</v>
      </c>
      <c r="DR512" s="5">
        <f t="shared" si="1591"/>
        <v>3</v>
      </c>
      <c r="DS512" s="5" t="s">
        <v>229</v>
      </c>
      <c r="DT512" s="5">
        <f t="shared" si="1592"/>
        <v>4</v>
      </c>
      <c r="DU512" s="5" t="s">
        <v>229</v>
      </c>
      <c r="DV512" s="5">
        <f t="shared" si="1593"/>
        <v>4</v>
      </c>
      <c r="DW512" s="5" t="s">
        <v>252</v>
      </c>
      <c r="DX512" s="5">
        <f t="shared" si="1594"/>
        <v>3</v>
      </c>
      <c r="DY512" s="5">
        <f t="shared" si="1595"/>
        <v>46</v>
      </c>
      <c r="DZ512" s="5" t="str">
        <f t="shared" si="1596"/>
        <v>Nivel de riesgo alto</v>
      </c>
      <c r="EA512" s="5" t="s">
        <v>232</v>
      </c>
      <c r="EB512" s="5">
        <f t="shared" si="1597"/>
        <v>3</v>
      </c>
      <c r="EC512" s="5" t="s">
        <v>232</v>
      </c>
      <c r="ED512" s="5">
        <f t="shared" si="1598"/>
        <v>3</v>
      </c>
      <c r="EE512" s="5" t="s">
        <v>253</v>
      </c>
      <c r="EF512" s="5">
        <f t="shared" si="1599"/>
        <v>0</v>
      </c>
      <c r="EG512" s="5">
        <f t="shared" si="1600"/>
        <v>6</v>
      </c>
      <c r="EH512" s="5" t="str">
        <f t="shared" si="1601"/>
        <v>Nivel de riesgo alto</v>
      </c>
      <c r="EI512" s="5" t="s">
        <v>254</v>
      </c>
      <c r="EJ512" s="5">
        <f t="shared" si="1602"/>
        <v>4</v>
      </c>
      <c r="EK512" s="5" t="s">
        <v>247</v>
      </c>
      <c r="EL512" s="5">
        <f t="shared" si="1603"/>
        <v>2</v>
      </c>
      <c r="EM512" s="5" t="s">
        <v>248</v>
      </c>
      <c r="EN512" s="5">
        <f t="shared" si="1604"/>
        <v>1</v>
      </c>
      <c r="EO512" s="5">
        <f t="shared" si="1605"/>
        <v>7</v>
      </c>
      <c r="EP512" s="5" t="str">
        <f t="shared" si="1606"/>
        <v>Nivel de riesgo alto</v>
      </c>
      <c r="EQ512" s="5" t="s">
        <v>247</v>
      </c>
      <c r="ER512" s="5">
        <f t="shared" si="1607"/>
        <v>2</v>
      </c>
      <c r="ES512" s="5" t="s">
        <v>232</v>
      </c>
      <c r="ET512" s="5">
        <f t="shared" si="1608"/>
        <v>1</v>
      </c>
      <c r="EU512" s="5" t="s">
        <v>253</v>
      </c>
      <c r="EV512" s="5">
        <f t="shared" si="1609"/>
        <v>4</v>
      </c>
      <c r="EW512" s="5" t="s">
        <v>248</v>
      </c>
      <c r="EX512" s="5">
        <f t="shared" si="1610"/>
        <v>3</v>
      </c>
      <c r="EY512" s="5">
        <f t="shared" si="1611"/>
        <v>10</v>
      </c>
      <c r="EZ512" s="5" t="str">
        <f t="shared" si="1612"/>
        <v>Nivel de riesgo alto</v>
      </c>
      <c r="FA512" s="5" t="s">
        <v>248</v>
      </c>
      <c r="FB512" s="5">
        <f t="shared" si="1613"/>
        <v>1</v>
      </c>
      <c r="FC512" s="5" t="s">
        <v>253</v>
      </c>
      <c r="FD512" s="5">
        <f t="shared" si="1614"/>
        <v>0</v>
      </c>
      <c r="FE512" s="5" t="s">
        <v>253</v>
      </c>
      <c r="FF512" s="5">
        <f t="shared" si="1615"/>
        <v>0</v>
      </c>
      <c r="FG512" s="5">
        <f t="shared" si="1616"/>
        <v>1</v>
      </c>
      <c r="FH512" s="5" t="str">
        <f t="shared" si="1617"/>
        <v>Nivel de riesgo bajo</v>
      </c>
      <c r="FI512" s="5" t="s">
        <v>254</v>
      </c>
      <c r="FJ512" s="5">
        <f t="shared" si="1618"/>
        <v>4</v>
      </c>
      <c r="FK512" s="5" t="s">
        <v>254</v>
      </c>
      <c r="FL512" s="5">
        <f t="shared" si="1619"/>
        <v>4</v>
      </c>
      <c r="FM512" s="5" t="s">
        <v>254</v>
      </c>
      <c r="FN512" s="5">
        <f t="shared" si="1620"/>
        <v>4</v>
      </c>
      <c r="FO512" s="5">
        <f t="shared" si="1621"/>
        <v>12</v>
      </c>
      <c r="FP512" s="5" t="str">
        <f t="shared" si="1622"/>
        <v>Nivel de riesgo alto</v>
      </c>
      <c r="FQ512" s="5" t="s">
        <v>206</v>
      </c>
      <c r="FR512" s="5">
        <f t="shared" si="1623"/>
        <v>0</v>
      </c>
      <c r="FS512" s="5" t="s">
        <v>206</v>
      </c>
      <c r="FT512" s="5">
        <f t="shared" si="1624"/>
        <v>0</v>
      </c>
      <c r="FU512" s="5" t="s">
        <v>206</v>
      </c>
      <c r="FV512" s="5">
        <f t="shared" si="1625"/>
        <v>0</v>
      </c>
      <c r="FW512" s="5" t="s">
        <v>206</v>
      </c>
      <c r="FX512" s="5">
        <f t="shared" si="1626"/>
        <v>0</v>
      </c>
      <c r="FY512" s="5" t="s">
        <v>206</v>
      </c>
      <c r="FZ512" s="5">
        <f t="shared" si="1627"/>
        <v>0</v>
      </c>
      <c r="GA512" s="5" t="s">
        <v>206</v>
      </c>
      <c r="GB512" s="5">
        <f t="shared" si="1628"/>
        <v>0</v>
      </c>
      <c r="GC512" s="5" t="s">
        <v>265</v>
      </c>
      <c r="GD512" s="5">
        <f t="shared" si="1629"/>
        <v>1</v>
      </c>
      <c r="GE512" s="5">
        <f t="shared" si="1630"/>
        <v>1</v>
      </c>
      <c r="GF512" s="5" t="str">
        <f t="shared" si="1631"/>
        <v>Nivel de riesgo medio</v>
      </c>
      <c r="GG512" s="5" t="s">
        <v>255</v>
      </c>
      <c r="GH512" s="5" t="s">
        <v>255</v>
      </c>
      <c r="GI512" s="5" t="s">
        <v>255</v>
      </c>
      <c r="GJ512" s="5" t="s">
        <v>255</v>
      </c>
      <c r="GK512" s="5" t="s">
        <v>233</v>
      </c>
      <c r="GL512" s="5" t="s">
        <v>255</v>
      </c>
      <c r="GM512" s="5" t="s">
        <v>233</v>
      </c>
      <c r="GN512" s="5" t="s">
        <v>256</v>
      </c>
      <c r="GO512" s="5" t="s">
        <v>243</v>
      </c>
      <c r="GP512" s="5" t="s">
        <v>257</v>
      </c>
      <c r="GQ512" s="5" t="s">
        <v>243</v>
      </c>
      <c r="GR512" s="5" t="s">
        <v>243</v>
      </c>
      <c r="GS512" s="5" t="s">
        <v>243</v>
      </c>
      <c r="GT512" s="5" t="s">
        <v>243</v>
      </c>
      <c r="GU512" s="5" t="s">
        <v>879</v>
      </c>
      <c r="GV512" s="5" t="str">
        <f>TEXT("6290510328622794540","0")</f>
        <v>6290510328622790000</v>
      </c>
    </row>
    <row r="513" spans="1:204" ht="15.75" customHeight="1" x14ac:dyDescent="0.15">
      <c r="A513" s="1">
        <f t="shared" si="1581"/>
        <v>513</v>
      </c>
      <c r="B513" s="4">
        <v>45861.017696759256</v>
      </c>
      <c r="C513" s="5" t="s">
        <v>204</v>
      </c>
      <c r="D513" s="5" t="s">
        <v>204</v>
      </c>
      <c r="E513" s="5" t="s">
        <v>335</v>
      </c>
      <c r="F513" s="5" t="s">
        <v>206</v>
      </c>
      <c r="G513" s="5" t="s">
        <v>204</v>
      </c>
      <c r="H513" s="5" t="s">
        <v>206</v>
      </c>
      <c r="K513" s="5" t="s">
        <v>237</v>
      </c>
      <c r="O513" s="5" t="s">
        <v>209</v>
      </c>
      <c r="S513" s="5" t="s">
        <v>208</v>
      </c>
      <c r="X513" s="5" t="s">
        <v>208</v>
      </c>
      <c r="AC513" s="5" t="s">
        <v>208</v>
      </c>
      <c r="AH513" s="5" t="s">
        <v>268</v>
      </c>
      <c r="AI513" s="5">
        <v>2003</v>
      </c>
      <c r="AJ513" s="5" t="s">
        <v>238</v>
      </c>
      <c r="AK513" s="5" t="str">
        <f t="shared" si="1582"/>
        <v>Trabajadora por cuenta propia</v>
      </c>
      <c r="AL513" s="5" t="s">
        <v>239</v>
      </c>
      <c r="AP513" s="5" t="s">
        <v>240</v>
      </c>
      <c r="AR513" s="5" t="s">
        <v>301</v>
      </c>
      <c r="AS513" s="5" t="s">
        <v>301</v>
      </c>
      <c r="AT513" s="5" t="s">
        <v>301</v>
      </c>
      <c r="AU513" s="5" t="s">
        <v>301</v>
      </c>
      <c r="AV513" s="5" t="s">
        <v>285</v>
      </c>
      <c r="AW513" s="5" t="s">
        <v>204</v>
      </c>
      <c r="AX513" s="5" t="s">
        <v>206</v>
      </c>
      <c r="BF513" s="5" t="s">
        <v>204</v>
      </c>
      <c r="BG513" s="5" t="s">
        <v>207</v>
      </c>
      <c r="BH513" s="5" t="s">
        <v>215</v>
      </c>
      <c r="BI513" s="5" t="s">
        <v>207</v>
      </c>
      <c r="BJ513" s="5" t="s">
        <v>215</v>
      </c>
      <c r="BK513" s="5" t="s">
        <v>246</v>
      </c>
      <c r="BL513" s="5" t="s">
        <v>243</v>
      </c>
      <c r="BM513" s="5" t="s">
        <v>244</v>
      </c>
      <c r="BN513" s="5" t="s">
        <v>244</v>
      </c>
      <c r="BO513" s="5" t="s">
        <v>244</v>
      </c>
      <c r="BP513" s="5" t="s">
        <v>244</v>
      </c>
      <c r="BQ513" s="5" t="s">
        <v>244</v>
      </c>
      <c r="BR513" s="5" t="s">
        <v>243</v>
      </c>
      <c r="BS513" s="5" t="s">
        <v>254</v>
      </c>
      <c r="BT513" s="5" t="s">
        <v>247</v>
      </c>
      <c r="BU513" s="5" t="s">
        <v>217</v>
      </c>
      <c r="BV513" s="5" t="s">
        <v>217</v>
      </c>
      <c r="BW513" s="5" t="s">
        <v>217</v>
      </c>
      <c r="BX513" s="5" t="s">
        <v>217</v>
      </c>
      <c r="BY513" s="5" t="s">
        <v>217</v>
      </c>
      <c r="BZ513" s="5" t="s">
        <v>244</v>
      </c>
      <c r="CA513" s="5" t="s">
        <v>244</v>
      </c>
      <c r="CB513" s="5" t="s">
        <v>216</v>
      </c>
      <c r="CC513" s="5" t="s">
        <v>244</v>
      </c>
      <c r="CD513" s="5" t="s">
        <v>206</v>
      </c>
      <c r="CH513" s="5" t="s">
        <v>206</v>
      </c>
      <c r="CI513" s="5" t="s">
        <v>307</v>
      </c>
      <c r="CJ513" s="5">
        <v>2</v>
      </c>
      <c r="CK513" s="5" t="s">
        <v>223</v>
      </c>
      <c r="CU513" s="5" t="s">
        <v>206</v>
      </c>
      <c r="DA513" s="5" t="s">
        <v>231</v>
      </c>
      <c r="DB513" s="5">
        <f t="shared" si="1583"/>
        <v>2</v>
      </c>
      <c r="DC513" s="5" t="s">
        <v>251</v>
      </c>
      <c r="DD513" s="5">
        <f t="shared" si="1584"/>
        <v>1</v>
      </c>
      <c r="DE513" s="5" t="s">
        <v>251</v>
      </c>
      <c r="DF513" s="5">
        <f t="shared" si="1585"/>
        <v>1</v>
      </c>
      <c r="DG513" s="5" t="s">
        <v>251</v>
      </c>
      <c r="DH513" s="5">
        <f t="shared" si="1586"/>
        <v>1</v>
      </c>
      <c r="DI513" s="5" t="s">
        <v>251</v>
      </c>
      <c r="DJ513" s="5">
        <f t="shared" si="1587"/>
        <v>1</v>
      </c>
      <c r="DK513" s="5" t="s">
        <v>251</v>
      </c>
      <c r="DL513" s="5">
        <f t="shared" si="1588"/>
        <v>1</v>
      </c>
      <c r="DM513" s="5" t="s">
        <v>251</v>
      </c>
      <c r="DN513" s="5">
        <f t="shared" si="1589"/>
        <v>1</v>
      </c>
      <c r="DO513" s="5" t="s">
        <v>281</v>
      </c>
      <c r="DP513" s="5">
        <f t="shared" si="1590"/>
        <v>1</v>
      </c>
      <c r="DQ513" s="5" t="s">
        <v>281</v>
      </c>
      <c r="DR513" s="5">
        <f t="shared" si="1591"/>
        <v>1</v>
      </c>
      <c r="DS513" s="5" t="s">
        <v>281</v>
      </c>
      <c r="DT513" s="5">
        <f t="shared" si="1592"/>
        <v>1</v>
      </c>
      <c r="DU513" s="5" t="s">
        <v>281</v>
      </c>
      <c r="DV513" s="5">
        <f t="shared" si="1593"/>
        <v>1</v>
      </c>
      <c r="DW513" s="5" t="s">
        <v>281</v>
      </c>
      <c r="DX513" s="5">
        <f t="shared" si="1594"/>
        <v>1</v>
      </c>
      <c r="DY513" s="5">
        <f t="shared" si="1595"/>
        <v>13</v>
      </c>
      <c r="DZ513" s="5" t="str">
        <f t="shared" si="1596"/>
        <v>Nivel de riesgo bajo</v>
      </c>
      <c r="EA513" s="5" t="s">
        <v>248</v>
      </c>
      <c r="EB513" s="5">
        <f t="shared" si="1597"/>
        <v>1</v>
      </c>
      <c r="EC513" s="5" t="s">
        <v>248</v>
      </c>
      <c r="ED513" s="5">
        <f t="shared" si="1598"/>
        <v>1</v>
      </c>
      <c r="EE513" s="5" t="s">
        <v>248</v>
      </c>
      <c r="EF513" s="5">
        <f t="shared" si="1599"/>
        <v>1</v>
      </c>
      <c r="EG513" s="5">
        <f t="shared" si="1600"/>
        <v>3</v>
      </c>
      <c r="EH513" s="5" t="str">
        <f t="shared" si="1601"/>
        <v>Nivel de riesgo medio</v>
      </c>
      <c r="EI513" s="5" t="s">
        <v>253</v>
      </c>
      <c r="EJ513" s="5">
        <f t="shared" si="1602"/>
        <v>0</v>
      </c>
      <c r="EK513" s="5" t="s">
        <v>253</v>
      </c>
      <c r="EL513" s="5">
        <f t="shared" si="1603"/>
        <v>0</v>
      </c>
      <c r="EM513" s="5" t="s">
        <v>253</v>
      </c>
      <c r="EN513" s="5">
        <f t="shared" si="1604"/>
        <v>0</v>
      </c>
      <c r="EO513" s="5">
        <f t="shared" si="1605"/>
        <v>0</v>
      </c>
      <c r="EP513" s="5" t="str">
        <f t="shared" si="1606"/>
        <v>Nivel de riesgo bajo</v>
      </c>
      <c r="EQ513" s="5" t="s">
        <v>248</v>
      </c>
      <c r="ER513" s="5">
        <f t="shared" si="1607"/>
        <v>3</v>
      </c>
      <c r="ES513" s="5" t="s">
        <v>254</v>
      </c>
      <c r="ET513" s="5">
        <f t="shared" si="1608"/>
        <v>0</v>
      </c>
      <c r="EU513" s="5" t="s">
        <v>254</v>
      </c>
      <c r="EV513" s="5">
        <f t="shared" si="1609"/>
        <v>0</v>
      </c>
      <c r="EW513" s="5" t="s">
        <v>253</v>
      </c>
      <c r="EX513" s="5">
        <f t="shared" si="1610"/>
        <v>4</v>
      </c>
      <c r="EY513" s="5">
        <f t="shared" si="1611"/>
        <v>7</v>
      </c>
      <c r="EZ513" s="5" t="str">
        <f t="shared" si="1612"/>
        <v>Nivel de riesgo alto</v>
      </c>
      <c r="FA513" s="5" t="s">
        <v>253</v>
      </c>
      <c r="FB513" s="5">
        <f t="shared" si="1613"/>
        <v>0</v>
      </c>
      <c r="FC513" s="5" t="s">
        <v>253</v>
      </c>
      <c r="FD513" s="5">
        <f t="shared" si="1614"/>
        <v>0</v>
      </c>
      <c r="FE513" s="5" t="s">
        <v>247</v>
      </c>
      <c r="FF513" s="5">
        <f t="shared" si="1615"/>
        <v>2</v>
      </c>
      <c r="FG513" s="5">
        <f t="shared" si="1616"/>
        <v>2</v>
      </c>
      <c r="FH513" s="5" t="str">
        <f t="shared" si="1617"/>
        <v>Nivel de riesgo bajo</v>
      </c>
      <c r="FI513" s="5" t="s">
        <v>247</v>
      </c>
      <c r="FJ513" s="5">
        <f t="shared" si="1618"/>
        <v>2</v>
      </c>
      <c r="FK513" s="5" t="s">
        <v>247</v>
      </c>
      <c r="FL513" s="5">
        <f t="shared" si="1619"/>
        <v>2</v>
      </c>
      <c r="FM513" s="5" t="s">
        <v>253</v>
      </c>
      <c r="FN513" s="5">
        <f t="shared" si="1620"/>
        <v>0</v>
      </c>
      <c r="FO513" s="5">
        <f t="shared" si="1621"/>
        <v>4</v>
      </c>
      <c r="FP513" s="5" t="str">
        <f t="shared" si="1622"/>
        <v>Nivel de riesgo medio</v>
      </c>
      <c r="FQ513" s="5" t="s">
        <v>206</v>
      </c>
      <c r="FR513" s="5">
        <f t="shared" si="1623"/>
        <v>0</v>
      </c>
      <c r="FS513" s="5" t="s">
        <v>206</v>
      </c>
      <c r="FT513" s="5">
        <f t="shared" si="1624"/>
        <v>0</v>
      </c>
      <c r="FU513" s="5" t="s">
        <v>206</v>
      </c>
      <c r="FV513" s="5">
        <f t="shared" si="1625"/>
        <v>0</v>
      </c>
      <c r="FW513" s="5" t="s">
        <v>206</v>
      </c>
      <c r="FX513" s="5">
        <f t="shared" si="1626"/>
        <v>0</v>
      </c>
      <c r="FY513" s="5" t="s">
        <v>206</v>
      </c>
      <c r="FZ513" s="5">
        <f t="shared" si="1627"/>
        <v>0</v>
      </c>
      <c r="GA513" s="5" t="s">
        <v>206</v>
      </c>
      <c r="GB513" s="5">
        <f t="shared" si="1628"/>
        <v>0</v>
      </c>
      <c r="GC513" s="5" t="s">
        <v>206</v>
      </c>
      <c r="GD513" s="5">
        <f t="shared" si="1629"/>
        <v>0</v>
      </c>
      <c r="GE513" s="5">
        <f t="shared" si="1630"/>
        <v>0</v>
      </c>
      <c r="GF513" s="5" t="str">
        <f t="shared" si="1631"/>
        <v>Nivel de riesgo bajo</v>
      </c>
      <c r="GG513" s="5" t="s">
        <v>255</v>
      </c>
      <c r="GH513" s="5" t="s">
        <v>255</v>
      </c>
      <c r="GI513" s="5" t="s">
        <v>255</v>
      </c>
      <c r="GJ513" s="5" t="s">
        <v>233</v>
      </c>
      <c r="GK513" s="5" t="s">
        <v>233</v>
      </c>
      <c r="GL513" s="5" t="s">
        <v>255</v>
      </c>
      <c r="GM513" s="5" t="s">
        <v>233</v>
      </c>
      <c r="GN513" s="5" t="s">
        <v>256</v>
      </c>
      <c r="GO513" s="5" t="s">
        <v>256</v>
      </c>
      <c r="GP513" s="5" t="s">
        <v>256</v>
      </c>
      <c r="GQ513" s="5" t="s">
        <v>243</v>
      </c>
      <c r="GR513" s="5" t="s">
        <v>243</v>
      </c>
      <c r="GS513" s="5" t="s">
        <v>243</v>
      </c>
      <c r="GT513" s="5" t="s">
        <v>256</v>
      </c>
      <c r="GU513" s="5" t="s">
        <v>880</v>
      </c>
      <c r="GV513" s="5" t="str">
        <f>TEXT("6290539291632537802","0")</f>
        <v>6290539291632530000</v>
      </c>
    </row>
    <row r="514" spans="1:204" ht="15.75" customHeight="1" x14ac:dyDescent="0.15">
      <c r="A514" s="1">
        <f t="shared" si="1581"/>
        <v>514</v>
      </c>
      <c r="B514" s="4">
        <v>45861.020787037036</v>
      </c>
      <c r="C514" s="5" t="s">
        <v>204</v>
      </c>
      <c r="D514" s="5" t="s">
        <v>206</v>
      </c>
      <c r="F514" s="5" t="s">
        <v>206</v>
      </c>
      <c r="G514" s="5" t="s">
        <v>204</v>
      </c>
      <c r="H514" s="5" t="s">
        <v>206</v>
      </c>
      <c r="K514" s="5" t="s">
        <v>237</v>
      </c>
      <c r="N514" s="5" t="s">
        <v>208</v>
      </c>
      <c r="T514" s="5" t="s">
        <v>209</v>
      </c>
      <c r="X514" s="5" t="s">
        <v>208</v>
      </c>
      <c r="AD514" s="5" t="s">
        <v>209</v>
      </c>
      <c r="AH514" s="5" t="s">
        <v>275</v>
      </c>
      <c r="AI514" s="5">
        <v>2020</v>
      </c>
      <c r="AJ514" s="5" t="s">
        <v>238</v>
      </c>
      <c r="AK514" s="5" t="str">
        <f t="shared" si="1582"/>
        <v>Trabajadora por cuenta propia</v>
      </c>
      <c r="AM514" s="5" t="s">
        <v>309</v>
      </c>
      <c r="AP514" s="5" t="s">
        <v>240</v>
      </c>
      <c r="AR514" s="5" t="s">
        <v>261</v>
      </c>
      <c r="AS514" s="5" t="s">
        <v>261</v>
      </c>
      <c r="AT514" s="5" t="s">
        <v>241</v>
      </c>
      <c r="AU514" s="5" t="s">
        <v>261</v>
      </c>
      <c r="AV514" s="5" t="s">
        <v>269</v>
      </c>
      <c r="AW514" s="5" t="s">
        <v>204</v>
      </c>
      <c r="AX514" s="5" t="s">
        <v>204</v>
      </c>
      <c r="AY514" s="5" t="s">
        <v>366</v>
      </c>
      <c r="AZ514" s="5" t="s">
        <v>204</v>
      </c>
      <c r="BA514" s="5" t="s">
        <v>295</v>
      </c>
      <c r="BB514" s="5" t="s">
        <v>206</v>
      </c>
      <c r="BC514" s="5" t="s">
        <v>206</v>
      </c>
      <c r="BD514" s="5" t="s">
        <v>306</v>
      </c>
      <c r="BE514" s="5" t="s">
        <v>206</v>
      </c>
      <c r="BF514" s="5" t="s">
        <v>204</v>
      </c>
      <c r="BG514" s="5" t="s">
        <v>278</v>
      </c>
      <c r="BH514" s="5" t="s">
        <v>278</v>
      </c>
      <c r="BI514" s="5" t="s">
        <v>278</v>
      </c>
      <c r="BJ514" s="5" t="s">
        <v>278</v>
      </c>
      <c r="BK514" s="5" t="s">
        <v>246</v>
      </c>
      <c r="BL514" s="5" t="s">
        <v>244</v>
      </c>
      <c r="BM514" s="5" t="s">
        <v>243</v>
      </c>
      <c r="BN514" s="5" t="s">
        <v>244</v>
      </c>
      <c r="BO514" s="5" t="s">
        <v>244</v>
      </c>
      <c r="BP514" s="5" t="s">
        <v>244</v>
      </c>
      <c r="BQ514" s="5" t="s">
        <v>244</v>
      </c>
      <c r="BR514" s="5" t="s">
        <v>244</v>
      </c>
      <c r="BS514" s="5" t="s">
        <v>247</v>
      </c>
      <c r="BT514" s="5" t="s">
        <v>247</v>
      </c>
      <c r="BU514" s="5" t="s">
        <v>247</v>
      </c>
      <c r="BV514" s="5" t="s">
        <v>247</v>
      </c>
      <c r="BW514" s="5" t="s">
        <v>247</v>
      </c>
      <c r="BX514" s="5" t="s">
        <v>247</v>
      </c>
      <c r="BY514" s="5" t="s">
        <v>248</v>
      </c>
      <c r="BZ514" s="5" t="s">
        <v>244</v>
      </c>
      <c r="CA514" s="5" t="s">
        <v>243</v>
      </c>
      <c r="CB514" s="5" t="s">
        <v>244</v>
      </c>
      <c r="CC514" s="5" t="s">
        <v>244</v>
      </c>
      <c r="CD514" s="5" t="s">
        <v>206</v>
      </c>
      <c r="CH514" s="5" t="s">
        <v>206</v>
      </c>
      <c r="CI514" s="5" t="s">
        <v>206</v>
      </c>
      <c r="CJ514" s="5">
        <v>3</v>
      </c>
      <c r="CK514" s="5" t="s">
        <v>223</v>
      </c>
      <c r="CU514" s="5" t="s">
        <v>206</v>
      </c>
      <c r="DA514" s="5" t="s">
        <v>272</v>
      </c>
      <c r="DB514" s="5">
        <f t="shared" si="1583"/>
        <v>1</v>
      </c>
      <c r="DC514" s="5" t="s">
        <v>230</v>
      </c>
      <c r="DD514" s="5">
        <f t="shared" si="1584"/>
        <v>2</v>
      </c>
      <c r="DE514" s="5" t="s">
        <v>230</v>
      </c>
      <c r="DF514" s="5">
        <f t="shared" si="1585"/>
        <v>2</v>
      </c>
      <c r="DG514" s="5" t="s">
        <v>230</v>
      </c>
      <c r="DH514" s="5">
        <f t="shared" si="1586"/>
        <v>2</v>
      </c>
      <c r="DI514" s="5" t="s">
        <v>230</v>
      </c>
      <c r="DJ514" s="5">
        <f t="shared" si="1587"/>
        <v>2</v>
      </c>
      <c r="DK514" s="5" t="s">
        <v>230</v>
      </c>
      <c r="DL514" s="5">
        <f t="shared" si="1588"/>
        <v>2</v>
      </c>
      <c r="DM514" s="5" t="s">
        <v>230</v>
      </c>
      <c r="DN514" s="5">
        <f t="shared" si="1589"/>
        <v>2</v>
      </c>
      <c r="DO514" s="5" t="s">
        <v>252</v>
      </c>
      <c r="DP514" s="5">
        <f t="shared" si="1590"/>
        <v>3</v>
      </c>
      <c r="DQ514" s="5" t="s">
        <v>252</v>
      </c>
      <c r="DR514" s="5">
        <f t="shared" si="1591"/>
        <v>3</v>
      </c>
      <c r="DS514" s="5" t="s">
        <v>252</v>
      </c>
      <c r="DT514" s="5">
        <f t="shared" si="1592"/>
        <v>3</v>
      </c>
      <c r="DU514" s="5" t="s">
        <v>252</v>
      </c>
      <c r="DV514" s="5">
        <f t="shared" si="1593"/>
        <v>3</v>
      </c>
      <c r="DW514" s="5" t="s">
        <v>252</v>
      </c>
      <c r="DX514" s="5">
        <f t="shared" si="1594"/>
        <v>3</v>
      </c>
      <c r="DY514" s="5">
        <f t="shared" si="1595"/>
        <v>28</v>
      </c>
      <c r="DZ514" s="5" t="str">
        <f t="shared" si="1596"/>
        <v>Nivel de riesgo alto</v>
      </c>
      <c r="EA514" s="5" t="s">
        <v>247</v>
      </c>
      <c r="EB514" s="5">
        <f t="shared" si="1597"/>
        <v>2</v>
      </c>
      <c r="EC514" s="5" t="s">
        <v>247</v>
      </c>
      <c r="ED514" s="5">
        <f t="shared" si="1598"/>
        <v>2</v>
      </c>
      <c r="EE514" s="5" t="s">
        <v>247</v>
      </c>
      <c r="EF514" s="5">
        <f t="shared" si="1599"/>
        <v>2</v>
      </c>
      <c r="EG514" s="5">
        <f t="shared" si="1600"/>
        <v>6</v>
      </c>
      <c r="EH514" s="5" t="str">
        <f t="shared" si="1601"/>
        <v>Nivel de riesgo alto</v>
      </c>
      <c r="EI514" s="5" t="s">
        <v>247</v>
      </c>
      <c r="EJ514" s="5">
        <f t="shared" si="1602"/>
        <v>2</v>
      </c>
      <c r="EK514" s="5" t="s">
        <v>247</v>
      </c>
      <c r="EL514" s="5">
        <f t="shared" si="1603"/>
        <v>2</v>
      </c>
      <c r="EM514" s="5" t="s">
        <v>247</v>
      </c>
      <c r="EN514" s="5">
        <f t="shared" si="1604"/>
        <v>2</v>
      </c>
      <c r="EO514" s="5">
        <f t="shared" si="1605"/>
        <v>6</v>
      </c>
      <c r="EP514" s="5" t="str">
        <f t="shared" si="1606"/>
        <v>Nivel de riesgo alto</v>
      </c>
      <c r="EQ514" s="5" t="s">
        <v>247</v>
      </c>
      <c r="ER514" s="5">
        <f t="shared" si="1607"/>
        <v>2</v>
      </c>
      <c r="ES514" s="5" t="s">
        <v>247</v>
      </c>
      <c r="ET514" s="5">
        <f t="shared" si="1608"/>
        <v>2</v>
      </c>
      <c r="EU514" s="5" t="s">
        <v>247</v>
      </c>
      <c r="EV514" s="5">
        <f t="shared" si="1609"/>
        <v>2</v>
      </c>
      <c r="EW514" s="5" t="s">
        <v>247</v>
      </c>
      <c r="EX514" s="5">
        <f t="shared" si="1610"/>
        <v>2</v>
      </c>
      <c r="EY514" s="5">
        <f t="shared" si="1611"/>
        <v>8</v>
      </c>
      <c r="EZ514" s="5" t="str">
        <f t="shared" si="1612"/>
        <v>Nivel de riesgo alto</v>
      </c>
      <c r="FA514" s="5" t="s">
        <v>247</v>
      </c>
      <c r="FB514" s="5">
        <f t="shared" si="1613"/>
        <v>2</v>
      </c>
      <c r="FC514" s="5" t="s">
        <v>247</v>
      </c>
      <c r="FD514" s="5">
        <f t="shared" si="1614"/>
        <v>2</v>
      </c>
      <c r="FE514" s="5" t="s">
        <v>247</v>
      </c>
      <c r="FF514" s="5">
        <f t="shared" si="1615"/>
        <v>2</v>
      </c>
      <c r="FG514" s="5">
        <f t="shared" si="1616"/>
        <v>6</v>
      </c>
      <c r="FH514" s="5" t="str">
        <f t="shared" si="1617"/>
        <v>Nivel de riesgo alto</v>
      </c>
      <c r="FI514" s="5" t="s">
        <v>247</v>
      </c>
      <c r="FJ514" s="5">
        <f t="shared" si="1618"/>
        <v>2</v>
      </c>
      <c r="FK514" s="5" t="s">
        <v>247</v>
      </c>
      <c r="FL514" s="5">
        <f t="shared" si="1619"/>
        <v>2</v>
      </c>
      <c r="FM514" s="5" t="s">
        <v>247</v>
      </c>
      <c r="FN514" s="5">
        <f t="shared" si="1620"/>
        <v>2</v>
      </c>
      <c r="FO514" s="5">
        <f t="shared" si="1621"/>
        <v>6</v>
      </c>
      <c r="FP514" s="5" t="str">
        <f t="shared" si="1622"/>
        <v>Nivel de riesgo alto</v>
      </c>
      <c r="FQ514" s="5" t="s">
        <v>206</v>
      </c>
      <c r="FR514" s="5">
        <f t="shared" si="1623"/>
        <v>0</v>
      </c>
      <c r="FS514" s="5" t="s">
        <v>206</v>
      </c>
      <c r="FT514" s="5">
        <f t="shared" si="1624"/>
        <v>0</v>
      </c>
      <c r="FU514" s="5" t="s">
        <v>206</v>
      </c>
      <c r="FV514" s="5">
        <f t="shared" si="1625"/>
        <v>0</v>
      </c>
      <c r="FW514" s="5" t="s">
        <v>206</v>
      </c>
      <c r="FX514" s="5">
        <f t="shared" si="1626"/>
        <v>0</v>
      </c>
      <c r="FY514" s="5" t="s">
        <v>206</v>
      </c>
      <c r="FZ514" s="5">
        <f t="shared" si="1627"/>
        <v>0</v>
      </c>
      <c r="GA514" s="5" t="s">
        <v>206</v>
      </c>
      <c r="GB514" s="5">
        <f t="shared" si="1628"/>
        <v>0</v>
      </c>
      <c r="GC514" s="5" t="s">
        <v>206</v>
      </c>
      <c r="GD514" s="5">
        <f t="shared" si="1629"/>
        <v>0</v>
      </c>
      <c r="GE514" s="5">
        <f t="shared" si="1630"/>
        <v>0</v>
      </c>
      <c r="GF514" s="5" t="str">
        <f t="shared" si="1631"/>
        <v>Nivel de riesgo bajo</v>
      </c>
      <c r="GG514" s="5" t="s">
        <v>255</v>
      </c>
      <c r="GH514" s="5" t="s">
        <v>273</v>
      </c>
      <c r="GI514" s="5" t="s">
        <v>255</v>
      </c>
      <c r="GJ514" s="5" t="s">
        <v>266</v>
      </c>
      <c r="GK514" s="5" t="s">
        <v>266</v>
      </c>
      <c r="GL514" s="5" t="s">
        <v>266</v>
      </c>
      <c r="GM514" s="5" t="s">
        <v>266</v>
      </c>
      <c r="GN514" s="5" t="s">
        <v>257</v>
      </c>
      <c r="GO514" s="5" t="s">
        <v>244</v>
      </c>
      <c r="GP514" s="5" t="s">
        <v>244</v>
      </c>
      <c r="GQ514" s="5" t="s">
        <v>243</v>
      </c>
      <c r="GR514" s="5" t="s">
        <v>243</v>
      </c>
      <c r="GS514" s="5" t="s">
        <v>257</v>
      </c>
      <c r="GT514" s="5" t="s">
        <v>243</v>
      </c>
      <c r="GU514" s="5" t="s">
        <v>881</v>
      </c>
      <c r="GV514" s="5" t="str">
        <f>TEXT("6290541968012359830","0")</f>
        <v>6290541968012350000</v>
      </c>
    </row>
    <row r="515" spans="1:204" ht="15.75" customHeight="1" x14ac:dyDescent="0.15">
      <c r="A515" s="1">
        <f t="shared" si="1581"/>
        <v>515</v>
      </c>
      <c r="B515" s="4">
        <v>45861.044722222221</v>
      </c>
      <c r="C515" s="5" t="s">
        <v>204</v>
      </c>
      <c r="D515" s="5" t="s">
        <v>206</v>
      </c>
      <c r="F515" s="5" t="s">
        <v>206</v>
      </c>
      <c r="G515" s="5" t="s">
        <v>204</v>
      </c>
      <c r="H515" s="5" t="s">
        <v>206</v>
      </c>
      <c r="K515" s="5" t="s">
        <v>237</v>
      </c>
      <c r="P515" s="5" t="s">
        <v>237</v>
      </c>
      <c r="T515" s="5" t="s">
        <v>209</v>
      </c>
      <c r="Z515" s="5" t="s">
        <v>237</v>
      </c>
      <c r="AE515" s="5" t="s">
        <v>237</v>
      </c>
      <c r="AH515" s="5" t="s">
        <v>268</v>
      </c>
      <c r="AI515" s="5">
        <v>2000</v>
      </c>
      <c r="AJ515" s="5" t="s">
        <v>238</v>
      </c>
      <c r="AK515" s="5" t="str">
        <f t="shared" si="1582"/>
        <v>Trabajadora por cuenta propia</v>
      </c>
      <c r="AN515" s="5" t="s">
        <v>288</v>
      </c>
      <c r="AP515" s="5" t="s">
        <v>321</v>
      </c>
      <c r="AR515" s="5" t="s">
        <v>241</v>
      </c>
      <c r="AS515" s="5" t="s">
        <v>261</v>
      </c>
      <c r="AT515" s="5" t="s">
        <v>261</v>
      </c>
      <c r="AU515" s="5" t="s">
        <v>294</v>
      </c>
      <c r="AV515" s="5" t="s">
        <v>269</v>
      </c>
      <c r="AW515" s="5" t="s">
        <v>204</v>
      </c>
      <c r="AX515" s="5" t="s">
        <v>204</v>
      </c>
      <c r="AY515" s="5" t="s">
        <v>214</v>
      </c>
      <c r="AZ515" s="5" t="s">
        <v>204</v>
      </c>
      <c r="BA515" s="5" t="s">
        <v>344</v>
      </c>
      <c r="BF515" s="5" t="s">
        <v>204</v>
      </c>
      <c r="BG515" s="5" t="s">
        <v>207</v>
      </c>
      <c r="BH515" s="5" t="s">
        <v>242</v>
      </c>
      <c r="BI515" s="5" t="s">
        <v>207</v>
      </c>
      <c r="BJ515" s="5" t="s">
        <v>242</v>
      </c>
      <c r="BK515" s="5" t="s">
        <v>243</v>
      </c>
      <c r="BL515" s="5" t="s">
        <v>243</v>
      </c>
      <c r="BM515" s="5" t="s">
        <v>243</v>
      </c>
      <c r="BN515" s="5" t="s">
        <v>243</v>
      </c>
      <c r="BO515" s="5" t="s">
        <v>243</v>
      </c>
      <c r="BP515" s="5" t="s">
        <v>243</v>
      </c>
      <c r="BQ515" s="5" t="s">
        <v>243</v>
      </c>
      <c r="BR515" s="5" t="s">
        <v>243</v>
      </c>
      <c r="BS515" s="5" t="s">
        <v>217</v>
      </c>
      <c r="BT515" s="5" t="s">
        <v>248</v>
      </c>
      <c r="BU515" s="5" t="s">
        <v>248</v>
      </c>
      <c r="BV515" s="5" t="s">
        <v>248</v>
      </c>
      <c r="BW515" s="5" t="s">
        <v>248</v>
      </c>
      <c r="BX515" s="5" t="s">
        <v>248</v>
      </c>
      <c r="BY515" s="5" t="s">
        <v>247</v>
      </c>
      <c r="BZ515" s="5" t="s">
        <v>216</v>
      </c>
      <c r="CA515" s="5" t="s">
        <v>244</v>
      </c>
      <c r="CB515" s="5" t="s">
        <v>243</v>
      </c>
      <c r="CC515" s="5" t="s">
        <v>216</v>
      </c>
      <c r="CD515" s="5" t="s">
        <v>206</v>
      </c>
      <c r="CH515" s="5" t="s">
        <v>310</v>
      </c>
      <c r="CI515" s="5" t="s">
        <v>206</v>
      </c>
      <c r="CJ515" s="5">
        <v>5</v>
      </c>
      <c r="CK515" s="5" t="s">
        <v>223</v>
      </c>
      <c r="CU515" s="5" t="s">
        <v>206</v>
      </c>
      <c r="DA515" s="5" t="s">
        <v>252</v>
      </c>
      <c r="DB515" s="5">
        <f t="shared" si="1583"/>
        <v>3</v>
      </c>
      <c r="DC515" s="5" t="s">
        <v>250</v>
      </c>
      <c r="DD515" s="5">
        <f t="shared" si="1584"/>
        <v>3</v>
      </c>
      <c r="DE515" s="5" t="s">
        <v>250</v>
      </c>
      <c r="DF515" s="5">
        <f t="shared" si="1585"/>
        <v>3</v>
      </c>
      <c r="DG515" s="5" t="s">
        <v>250</v>
      </c>
      <c r="DH515" s="5">
        <f t="shared" si="1586"/>
        <v>3</v>
      </c>
      <c r="DI515" s="5" t="s">
        <v>230</v>
      </c>
      <c r="DJ515" s="5">
        <f t="shared" si="1587"/>
        <v>2</v>
      </c>
      <c r="DK515" s="5" t="s">
        <v>250</v>
      </c>
      <c r="DL515" s="5">
        <f t="shared" si="1588"/>
        <v>3</v>
      </c>
      <c r="DM515" s="5" t="s">
        <v>230</v>
      </c>
      <c r="DN515" s="5">
        <f t="shared" si="1589"/>
        <v>2</v>
      </c>
      <c r="DO515" s="5" t="s">
        <v>281</v>
      </c>
      <c r="DP515" s="5">
        <f t="shared" si="1590"/>
        <v>1</v>
      </c>
      <c r="DQ515" s="5" t="s">
        <v>231</v>
      </c>
      <c r="DR515" s="5">
        <f t="shared" si="1591"/>
        <v>2</v>
      </c>
      <c r="DS515" s="5" t="s">
        <v>252</v>
      </c>
      <c r="DT515" s="5">
        <f t="shared" si="1592"/>
        <v>3</v>
      </c>
      <c r="DU515" s="5" t="s">
        <v>231</v>
      </c>
      <c r="DV515" s="5">
        <f t="shared" si="1593"/>
        <v>2</v>
      </c>
      <c r="DW515" s="5" t="s">
        <v>231</v>
      </c>
      <c r="DX515" s="5">
        <f t="shared" si="1594"/>
        <v>2</v>
      </c>
      <c r="DY515" s="5">
        <f t="shared" si="1595"/>
        <v>29</v>
      </c>
      <c r="DZ515" s="5" t="str">
        <f t="shared" si="1596"/>
        <v>Nivel de riesgo alto</v>
      </c>
      <c r="EA515" s="5" t="s">
        <v>232</v>
      </c>
      <c r="EB515" s="5">
        <f t="shared" si="1597"/>
        <v>3</v>
      </c>
      <c r="EC515" s="5" t="s">
        <v>247</v>
      </c>
      <c r="ED515" s="5">
        <f t="shared" si="1598"/>
        <v>2</v>
      </c>
      <c r="EE515" s="5" t="s">
        <v>248</v>
      </c>
      <c r="EF515" s="5">
        <f t="shared" si="1599"/>
        <v>1</v>
      </c>
      <c r="EG515" s="5">
        <f t="shared" si="1600"/>
        <v>6</v>
      </c>
      <c r="EH515" s="5" t="str">
        <f t="shared" si="1601"/>
        <v>Nivel de riesgo alto</v>
      </c>
      <c r="EI515" s="5" t="s">
        <v>254</v>
      </c>
      <c r="EJ515" s="5">
        <f t="shared" si="1602"/>
        <v>4</v>
      </c>
      <c r="EK515" s="5" t="s">
        <v>232</v>
      </c>
      <c r="EL515" s="5">
        <f t="shared" si="1603"/>
        <v>3</v>
      </c>
      <c r="EM515" s="5" t="s">
        <v>247</v>
      </c>
      <c r="EN515" s="5">
        <f t="shared" si="1604"/>
        <v>2</v>
      </c>
      <c r="EO515" s="5">
        <f t="shared" si="1605"/>
        <v>9</v>
      </c>
      <c r="EP515" s="5" t="str">
        <f t="shared" si="1606"/>
        <v>Nivel de riesgo alto</v>
      </c>
      <c r="EQ515" s="5" t="s">
        <v>232</v>
      </c>
      <c r="ER515" s="5">
        <f t="shared" si="1607"/>
        <v>1</v>
      </c>
      <c r="ES515" s="5" t="s">
        <v>232</v>
      </c>
      <c r="ET515" s="5">
        <f t="shared" si="1608"/>
        <v>1</v>
      </c>
      <c r="EU515" s="5" t="s">
        <v>247</v>
      </c>
      <c r="EV515" s="5">
        <f t="shared" si="1609"/>
        <v>2</v>
      </c>
      <c r="EW515" s="5" t="s">
        <v>254</v>
      </c>
      <c r="EX515" s="5">
        <f t="shared" si="1610"/>
        <v>0</v>
      </c>
      <c r="EY515" s="5">
        <f t="shared" si="1611"/>
        <v>4</v>
      </c>
      <c r="EZ515" s="5" t="str">
        <f t="shared" si="1612"/>
        <v>Nivel de riesgo medio</v>
      </c>
      <c r="FA515" s="5" t="s">
        <v>247</v>
      </c>
      <c r="FB515" s="5">
        <f t="shared" si="1613"/>
        <v>2</v>
      </c>
      <c r="FC515" s="5" t="s">
        <v>232</v>
      </c>
      <c r="FD515" s="5">
        <f t="shared" si="1614"/>
        <v>3</v>
      </c>
      <c r="FE515" s="5" t="s">
        <v>254</v>
      </c>
      <c r="FF515" s="5">
        <f t="shared" si="1615"/>
        <v>4</v>
      </c>
      <c r="FG515" s="5">
        <f t="shared" si="1616"/>
        <v>9</v>
      </c>
      <c r="FH515" s="5" t="str">
        <f t="shared" si="1617"/>
        <v>Nivel de riesgo alto</v>
      </c>
      <c r="FI515" s="5" t="s">
        <v>232</v>
      </c>
      <c r="FJ515" s="5">
        <f t="shared" si="1618"/>
        <v>3</v>
      </c>
      <c r="FK515" s="5" t="s">
        <v>232</v>
      </c>
      <c r="FL515" s="5">
        <f t="shared" si="1619"/>
        <v>3</v>
      </c>
      <c r="FM515" s="5" t="s">
        <v>232</v>
      </c>
      <c r="FN515" s="5">
        <f t="shared" si="1620"/>
        <v>3</v>
      </c>
      <c r="FO515" s="5">
        <f t="shared" si="1621"/>
        <v>9</v>
      </c>
      <c r="FP515" s="5" t="str">
        <f t="shared" si="1622"/>
        <v>Nivel de riesgo alto</v>
      </c>
      <c r="FQ515" s="5" t="s">
        <v>361</v>
      </c>
      <c r="FR515" s="5">
        <f t="shared" si="1623"/>
        <v>3</v>
      </c>
      <c r="FS515" s="5" t="s">
        <v>325</v>
      </c>
      <c r="FT515" s="5">
        <f t="shared" si="1624"/>
        <v>2</v>
      </c>
      <c r="FU515" s="5" t="s">
        <v>325</v>
      </c>
      <c r="FV515" s="5">
        <f t="shared" si="1625"/>
        <v>2</v>
      </c>
      <c r="FW515" s="5" t="s">
        <v>265</v>
      </c>
      <c r="FX515" s="5">
        <f t="shared" si="1626"/>
        <v>1</v>
      </c>
      <c r="FY515" s="5" t="s">
        <v>325</v>
      </c>
      <c r="FZ515" s="5">
        <f t="shared" si="1627"/>
        <v>2</v>
      </c>
      <c r="GA515" s="5" t="s">
        <v>325</v>
      </c>
      <c r="GB515" s="5">
        <f t="shared" si="1628"/>
        <v>2</v>
      </c>
      <c r="GC515" s="5" t="s">
        <v>206</v>
      </c>
      <c r="GD515" s="5">
        <f t="shared" si="1629"/>
        <v>0</v>
      </c>
      <c r="GE515" s="5">
        <f t="shared" si="1630"/>
        <v>12</v>
      </c>
      <c r="GF515" s="5" t="str">
        <f t="shared" si="1631"/>
        <v>Nivel de riesgo medio</v>
      </c>
      <c r="GG515" s="5" t="s">
        <v>233</v>
      </c>
      <c r="GH515" s="5" t="s">
        <v>266</v>
      </c>
      <c r="GI515" s="5" t="s">
        <v>266</v>
      </c>
      <c r="GJ515" s="5" t="s">
        <v>233</v>
      </c>
      <c r="GK515" s="5" t="s">
        <v>266</v>
      </c>
      <c r="GL515" s="5" t="s">
        <v>298</v>
      </c>
      <c r="GM515" s="5" t="s">
        <v>266</v>
      </c>
      <c r="GN515" s="5" t="s">
        <v>234</v>
      </c>
      <c r="GO515" s="5" t="s">
        <v>244</v>
      </c>
      <c r="GP515" s="5" t="s">
        <v>244</v>
      </c>
      <c r="GQ515" s="5" t="s">
        <v>257</v>
      </c>
      <c r="GR515" s="5" t="s">
        <v>244</v>
      </c>
      <c r="GS515" s="5" t="s">
        <v>244</v>
      </c>
      <c r="GT515" s="5" t="s">
        <v>244</v>
      </c>
      <c r="GU515" s="5" t="s">
        <v>882</v>
      </c>
      <c r="GV515" s="5" t="str">
        <f>TEXT("6290562642238800804","0")</f>
        <v>6290562642238800000</v>
      </c>
    </row>
    <row r="516" spans="1:204" ht="15.75" hidden="1" customHeight="1" x14ac:dyDescent="0.15">
      <c r="B516" s="4">
        <v>45861.068310185183</v>
      </c>
      <c r="C516" s="5" t="s">
        <v>204</v>
      </c>
      <c r="D516" s="5" t="s">
        <v>206</v>
      </c>
      <c r="F516" s="5" t="s">
        <v>206</v>
      </c>
      <c r="G516" s="5" t="s">
        <v>206</v>
      </c>
      <c r="H516" s="5" t="s">
        <v>206</v>
      </c>
      <c r="K516" s="5" t="s">
        <v>237</v>
      </c>
      <c r="P516" s="5" t="s">
        <v>237</v>
      </c>
      <c r="T516" s="5" t="s">
        <v>209</v>
      </c>
      <c r="X516" s="5" t="s">
        <v>208</v>
      </c>
      <c r="AD516" s="5" t="s">
        <v>209</v>
      </c>
      <c r="AH516" s="5" t="s">
        <v>275</v>
      </c>
      <c r="AI516" s="5">
        <v>2021</v>
      </c>
      <c r="AJ516" s="5" t="s">
        <v>304</v>
      </c>
      <c r="AK516" s="5"/>
      <c r="AR516" s="5" t="s">
        <v>241</v>
      </c>
      <c r="AS516" s="5" t="s">
        <v>241</v>
      </c>
      <c r="AT516" s="5" t="s">
        <v>241</v>
      </c>
      <c r="AU516" s="5" t="s">
        <v>241</v>
      </c>
      <c r="AV516" s="5" t="s">
        <v>285</v>
      </c>
      <c r="AW516" s="5" t="s">
        <v>204</v>
      </c>
      <c r="AX516" s="5" t="s">
        <v>206</v>
      </c>
      <c r="BF516" s="5" t="s">
        <v>204</v>
      </c>
      <c r="BG516" s="5" t="s">
        <v>278</v>
      </c>
      <c r="BH516" s="5" t="s">
        <v>278</v>
      </c>
      <c r="BI516" s="5" t="s">
        <v>278</v>
      </c>
      <c r="BJ516" s="5" t="s">
        <v>278</v>
      </c>
      <c r="BK516" s="5" t="s">
        <v>243</v>
      </c>
      <c r="BL516" s="5" t="s">
        <v>244</v>
      </c>
      <c r="BM516" s="5" t="s">
        <v>246</v>
      </c>
      <c r="BN516" s="5" t="s">
        <v>245</v>
      </c>
      <c r="BO516" s="5" t="s">
        <v>245</v>
      </c>
      <c r="BP516" s="5" t="s">
        <v>243</v>
      </c>
      <c r="BQ516" s="5" t="s">
        <v>244</v>
      </c>
      <c r="BR516" s="5" t="s">
        <v>246</v>
      </c>
      <c r="BS516" s="5" t="s">
        <v>254</v>
      </c>
      <c r="BT516" s="5" t="s">
        <v>254</v>
      </c>
      <c r="BU516" s="5" t="s">
        <v>247</v>
      </c>
      <c r="BV516" s="5" t="s">
        <v>247</v>
      </c>
      <c r="BW516" s="5" t="s">
        <v>247</v>
      </c>
      <c r="BX516" s="5" t="s">
        <v>247</v>
      </c>
      <c r="BY516" s="5" t="s">
        <v>247</v>
      </c>
      <c r="BZ516" s="5" t="s">
        <v>244</v>
      </c>
      <c r="CA516" s="5" t="s">
        <v>246</v>
      </c>
      <c r="CB516" s="5" t="s">
        <v>244</v>
      </c>
      <c r="CC516" s="5" t="s">
        <v>245</v>
      </c>
      <c r="CD516" s="5" t="s">
        <v>206</v>
      </c>
      <c r="CH516" s="5" t="s">
        <v>206</v>
      </c>
      <c r="CI516" s="5" t="s">
        <v>307</v>
      </c>
      <c r="CJ516" s="5">
        <v>2</v>
      </c>
      <c r="CK516" s="5" t="s">
        <v>223</v>
      </c>
      <c r="CU516" s="5" t="s">
        <v>206</v>
      </c>
      <c r="DA516" s="5" t="s">
        <v>231</v>
      </c>
      <c r="DB516" s="5"/>
      <c r="DC516" s="5" t="s">
        <v>230</v>
      </c>
      <c r="DD516" s="5"/>
      <c r="DE516" s="5" t="s">
        <v>230</v>
      </c>
      <c r="DF516" s="5"/>
      <c r="DG516" s="5" t="s">
        <v>251</v>
      </c>
      <c r="DH516" s="5"/>
      <c r="DI516" s="5" t="s">
        <v>251</v>
      </c>
      <c r="DJ516" s="5"/>
      <c r="DK516" s="5" t="s">
        <v>251</v>
      </c>
      <c r="DL516" s="5"/>
      <c r="DM516" s="5" t="s">
        <v>251</v>
      </c>
      <c r="DN516" s="5"/>
      <c r="DO516" s="5" t="s">
        <v>281</v>
      </c>
      <c r="DP516" s="5"/>
      <c r="DQ516" s="5" t="s">
        <v>281</v>
      </c>
      <c r="DR516" s="5"/>
      <c r="DS516" s="5" t="s">
        <v>231</v>
      </c>
      <c r="DT516" s="5"/>
      <c r="DU516" s="5" t="s">
        <v>231</v>
      </c>
      <c r="DV516" s="5"/>
      <c r="DW516" s="5" t="s">
        <v>281</v>
      </c>
      <c r="DX516" s="5"/>
      <c r="DY516" s="5"/>
      <c r="DZ516" s="5"/>
      <c r="EA516" s="5" t="s">
        <v>247</v>
      </c>
      <c r="EB516" s="5"/>
      <c r="EC516" s="5" t="s">
        <v>247</v>
      </c>
      <c r="ED516" s="5"/>
      <c r="EE516" s="5" t="s">
        <v>248</v>
      </c>
      <c r="EF516" s="5"/>
      <c r="EG516" s="5"/>
      <c r="EH516" s="5"/>
      <c r="EI516" s="5" t="s">
        <v>253</v>
      </c>
      <c r="EJ516" s="5"/>
      <c r="EK516" s="5" t="s">
        <v>248</v>
      </c>
      <c r="EL516" s="5"/>
      <c r="EM516" s="5" t="s">
        <v>253</v>
      </c>
      <c r="EN516" s="5"/>
      <c r="EO516" s="5"/>
      <c r="EP516" s="5"/>
      <c r="EQ516" s="5" t="s">
        <v>248</v>
      </c>
      <c r="ER516" s="5"/>
      <c r="ES516" s="5" t="s">
        <v>253</v>
      </c>
      <c r="ET516" s="5"/>
      <c r="EU516" s="5" t="s">
        <v>253</v>
      </c>
      <c r="EV516" s="5"/>
      <c r="EW516" s="5" t="s">
        <v>253</v>
      </c>
      <c r="EX516" s="5"/>
      <c r="EY516" s="5"/>
      <c r="EZ516" s="5"/>
      <c r="FA516" s="5" t="s">
        <v>253</v>
      </c>
      <c r="FB516" s="5"/>
      <c r="FC516" s="5" t="s">
        <v>253</v>
      </c>
      <c r="FD516" s="5"/>
      <c r="FE516" s="5" t="s">
        <v>253</v>
      </c>
      <c r="FF516" s="5"/>
      <c r="FG516" s="5"/>
      <c r="FH516" s="5"/>
      <c r="FI516" s="5" t="s">
        <v>248</v>
      </c>
      <c r="FJ516" s="5"/>
      <c r="FK516" s="5" t="s">
        <v>248</v>
      </c>
      <c r="FL516" s="5"/>
      <c r="FM516" s="5" t="s">
        <v>248</v>
      </c>
      <c r="FN516" s="5"/>
      <c r="FO516" s="5"/>
      <c r="FP516" s="5"/>
      <c r="FQ516" s="5" t="s">
        <v>206</v>
      </c>
      <c r="FR516" s="5"/>
      <c r="FS516" s="5" t="s">
        <v>206</v>
      </c>
      <c r="FT516" s="5"/>
      <c r="FU516" s="5" t="s">
        <v>206</v>
      </c>
      <c r="FV516" s="5"/>
      <c r="FW516" s="5" t="s">
        <v>206</v>
      </c>
      <c r="FX516" s="5"/>
      <c r="FY516" s="5" t="s">
        <v>206</v>
      </c>
      <c r="FZ516" s="5"/>
      <c r="GA516" s="5" t="s">
        <v>206</v>
      </c>
      <c r="GB516" s="5"/>
      <c r="GC516" s="5" t="s">
        <v>206</v>
      </c>
      <c r="GD516" s="5"/>
      <c r="GE516" s="5"/>
      <c r="GF516" s="5"/>
      <c r="GG516" s="5" t="s">
        <v>255</v>
      </c>
      <c r="GH516" s="5" t="s">
        <v>255</v>
      </c>
      <c r="GI516" s="5" t="s">
        <v>255</v>
      </c>
      <c r="GJ516" s="5" t="s">
        <v>266</v>
      </c>
      <c r="GK516" s="5" t="s">
        <v>233</v>
      </c>
      <c r="GL516" s="5" t="s">
        <v>273</v>
      </c>
      <c r="GM516" s="5" t="s">
        <v>273</v>
      </c>
      <c r="GN516" s="5" t="s">
        <v>256</v>
      </c>
      <c r="GO516" s="5" t="s">
        <v>256</v>
      </c>
      <c r="GP516" s="5" t="s">
        <v>256</v>
      </c>
      <c r="GQ516" s="5" t="s">
        <v>256</v>
      </c>
      <c r="GR516" s="5" t="s">
        <v>243</v>
      </c>
      <c r="GS516" s="5" t="s">
        <v>243</v>
      </c>
      <c r="GT516" s="5" t="s">
        <v>243</v>
      </c>
      <c r="GU516" s="5" t="s">
        <v>883</v>
      </c>
      <c r="GV516" s="5" t="str">
        <f>TEXT("6290583028753867622","0")</f>
        <v>6290583028753860000</v>
      </c>
    </row>
    <row r="517" spans="1:204" ht="15.75" customHeight="1" x14ac:dyDescent="0.15">
      <c r="A517" s="1">
        <f>ROW(A517)</f>
        <v>517</v>
      </c>
      <c r="B517" s="4">
        <v>45861.078356481485</v>
      </c>
      <c r="C517" s="5" t="s">
        <v>204</v>
      </c>
      <c r="D517" s="5" t="s">
        <v>206</v>
      </c>
      <c r="F517" s="5" t="s">
        <v>206</v>
      </c>
      <c r="G517" s="5" t="s">
        <v>204</v>
      </c>
      <c r="H517" s="5" t="s">
        <v>206</v>
      </c>
      <c r="K517" s="5" t="s">
        <v>237</v>
      </c>
      <c r="P517" s="5" t="s">
        <v>237</v>
      </c>
      <c r="T517" s="5" t="s">
        <v>209</v>
      </c>
      <c r="AB517" s="5" t="s">
        <v>207</v>
      </c>
      <c r="AG517" s="5" t="s">
        <v>207</v>
      </c>
      <c r="AH517" s="5" t="s">
        <v>275</v>
      </c>
      <c r="AI517" s="5">
        <v>2018</v>
      </c>
      <c r="AJ517" s="5" t="s">
        <v>238</v>
      </c>
      <c r="AK517" s="5" t="str">
        <f>IF(OR(AJ517="Empleada del sector privado",AJ517="Empleada del sector público"),"Asalariada",
IF(AJ517="Trabajadora por cuenta propia","Trabajadora por cuenta propia",""))</f>
        <v>Trabajadora por cuenta propia</v>
      </c>
      <c r="AL517" s="5" t="s">
        <v>239</v>
      </c>
      <c r="AP517" s="5" t="s">
        <v>297</v>
      </c>
      <c r="AR517" s="5" t="s">
        <v>301</v>
      </c>
      <c r="AS517" s="5" t="s">
        <v>301</v>
      </c>
      <c r="AT517" s="5" t="s">
        <v>301</v>
      </c>
      <c r="AU517" s="5" t="s">
        <v>301</v>
      </c>
      <c r="AV517" s="5" t="s">
        <v>213</v>
      </c>
      <c r="AW517" s="5" t="s">
        <v>204</v>
      </c>
      <c r="AX517" s="5" t="s">
        <v>206</v>
      </c>
      <c r="BF517" s="5" t="s">
        <v>204</v>
      </c>
      <c r="BG517" s="5" t="s">
        <v>207</v>
      </c>
      <c r="BH517" s="5" t="s">
        <v>264</v>
      </c>
      <c r="BI517" s="5" t="s">
        <v>207</v>
      </c>
      <c r="BJ517" s="5" t="s">
        <v>264</v>
      </c>
      <c r="BK517" s="5" t="s">
        <v>244</v>
      </c>
      <c r="BL517" s="5" t="s">
        <v>244</v>
      </c>
      <c r="BM517" s="5" t="s">
        <v>216</v>
      </c>
      <c r="BN517" s="5" t="s">
        <v>216</v>
      </c>
      <c r="BO517" s="5" t="s">
        <v>216</v>
      </c>
      <c r="BP517" s="5" t="s">
        <v>245</v>
      </c>
      <c r="BQ517" s="5" t="s">
        <v>245</v>
      </c>
      <c r="BR517" s="5" t="s">
        <v>244</v>
      </c>
      <c r="BS517" s="5" t="s">
        <v>247</v>
      </c>
      <c r="BT517" s="5" t="s">
        <v>232</v>
      </c>
      <c r="BU517" s="5" t="s">
        <v>247</v>
      </c>
      <c r="BV517" s="5" t="s">
        <v>248</v>
      </c>
      <c r="BW517" s="5" t="s">
        <v>232</v>
      </c>
      <c r="BX517" s="5" t="s">
        <v>247</v>
      </c>
      <c r="BY517" s="5" t="s">
        <v>247</v>
      </c>
      <c r="BZ517" s="5" t="s">
        <v>244</v>
      </c>
      <c r="CA517" s="5" t="s">
        <v>244</v>
      </c>
      <c r="CB517" s="5" t="s">
        <v>244</v>
      </c>
      <c r="CC517" s="5" t="s">
        <v>243</v>
      </c>
      <c r="CD517" s="5" t="s">
        <v>206</v>
      </c>
      <c r="CH517" s="5" t="s">
        <v>206</v>
      </c>
      <c r="CI517" s="5" t="s">
        <v>307</v>
      </c>
      <c r="CJ517" s="5">
        <v>8</v>
      </c>
      <c r="CK517" s="5" t="s">
        <v>223</v>
      </c>
      <c r="CU517" s="5" t="s">
        <v>206</v>
      </c>
      <c r="DA517" s="5" t="s">
        <v>231</v>
      </c>
      <c r="DB517" s="5">
        <f>IF(DA517="Mejor que lo habitual",1,
IF(DA517="Igual que lo habitual",2,
IF(DA517="Menos que lo habitual",3,
IF(DA517="Mucho menos que lo habitual",4,""))))</f>
        <v>2</v>
      </c>
      <c r="DC517" s="5" t="s">
        <v>230</v>
      </c>
      <c r="DD517" s="5">
        <f>IF(DC517="No, en absoluto",1,
IF(DC517="No más que lo habitual",2,
IF(DC517="Bastante más que lo habitual",3,
IF(DC517="Mucho más que lo habitual",4,""))))</f>
        <v>2</v>
      </c>
      <c r="DE517" s="5" t="s">
        <v>250</v>
      </c>
      <c r="DF517" s="5">
        <f>IF(DE517="No, en absoluto",1,
IF(DE517="No más que lo habitual",2,
IF(DE517="Bastante más que lo habitual",3,
IF(DE517="Mucho más que lo habitual",4,""))))</f>
        <v>3</v>
      </c>
      <c r="DG517" s="5" t="s">
        <v>280</v>
      </c>
      <c r="DH517" s="5">
        <f>IF(DG517="No, en absoluto",1,
IF(DG517="No más que lo habitual",2,
IF(DG517="Bastante más que lo habitual",3,
IF(DG517="Mucho más que lo habitual",4,""))))</f>
        <v>4</v>
      </c>
      <c r="DI517" s="5" t="s">
        <v>280</v>
      </c>
      <c r="DJ517" s="5">
        <f>IF(DI517="No, en absoluto",1,
IF(DI517="No más que lo habitual",2,
IF(DI517="Bastante más que lo habitual",3,
IF(DI517="Mucho más que lo habitual",4,""))))</f>
        <v>4</v>
      </c>
      <c r="DK517" s="5" t="s">
        <v>280</v>
      </c>
      <c r="DL517" s="5">
        <f>IF(DK517="No, en absoluto",1,
IF(DK517="No más que lo habitual",2,
IF(DK517="Bastante más que lo habitual",3,
IF(DK517="Mucho más que lo habitual",4,""))))</f>
        <v>4</v>
      </c>
      <c r="DM517" s="5" t="s">
        <v>230</v>
      </c>
      <c r="DN517" s="5">
        <f>IF(DM517="No, en absoluto",1,
IF(DM517="No más que lo habitual",2,
IF(DM517="Bastante más que lo habitual",3,
IF(DM517="Mucho más que lo habitual",4,""))))</f>
        <v>2</v>
      </c>
      <c r="DO517" s="5" t="s">
        <v>281</v>
      </c>
      <c r="DP517" s="5">
        <f>IF(DO517="Más que lo habitual",1,
IF(DO517="Igual que lo habitual",2,
IF(DO517="Menos que lo habitual",3,
IF(DO517="Mucho menos que lo habitual",4,""))))</f>
        <v>1</v>
      </c>
      <c r="DQ517" s="5" t="s">
        <v>281</v>
      </c>
      <c r="DR517" s="5">
        <f>IF(DQ517="Más que lo habitual",1,
IF(DQ517="Igual que lo habitual",2,
IF(DQ517="Menos que lo habitual",3,
IF(DQ517="Mucho menos que lo habitual",4,""))))</f>
        <v>1</v>
      </c>
      <c r="DS517" s="5" t="s">
        <v>231</v>
      </c>
      <c r="DT517" s="5">
        <f>IF(DS517="Más que lo habitual",1,
IF(DS517="Igual que lo habitual",2,
IF(DS517="Menos que lo habitual",3,
IF(DS517="Mucho menos que lo habitual",4,""))))</f>
        <v>2</v>
      </c>
      <c r="DU517" s="5" t="s">
        <v>252</v>
      </c>
      <c r="DV517" s="5">
        <f>IF(DU517="Más que lo habitual",1,
IF(DU517="Igual que lo habitual",2,
IF(DU517="Menos que lo habitual",3,
IF(DU517="Mucho menos que lo habitual",4,""))))</f>
        <v>3</v>
      </c>
      <c r="DW517" s="5" t="s">
        <v>231</v>
      </c>
      <c r="DX517" s="5">
        <f>IF(DW517="Más que lo habitual",1,
IF(DW517="Igual que lo habitual",2,
IF(DW517="Menos que lo habitual",3,
IF(DW517="Mucho menos que lo habitual",4,""))))</f>
        <v>2</v>
      </c>
      <c r="DY517" s="5">
        <f>SUM(DB517,DD517,DF517,DH517,DJ517,DL517,DN517,DP517,DR517,DT517,DV517,DX517)</f>
        <v>30</v>
      </c>
      <c r="DZ517" s="5" t="str">
        <f>IF(DY517&lt;=18,"Nivel de riesgo bajo",
IF(DY517&lt;=23,"Nivel de riesgo medio",
"Nivel de riesgo alto"))</f>
        <v>Nivel de riesgo alto</v>
      </c>
      <c r="EA517" s="5" t="s">
        <v>248</v>
      </c>
      <c r="EB517" s="5">
        <f>IF(EA517="Nunca/ casi nunca",0,
IF(EA517="Rara vez",1,
IF(EA517="A veces",2,
IF(EA517="A menudo",3,
IF(EA517="Siempre",4,"")))))</f>
        <v>1</v>
      </c>
      <c r="EC517" s="5" t="s">
        <v>253</v>
      </c>
      <c r="ED517" s="5">
        <f>IF(EC517="Nunca/ casi nunca",0,
IF(EC517="Rara vez",1,
IF(EC517="A veces",2,
IF(EC517="A menudo",3,
IF(EC517="Siempre",4,"")))))</f>
        <v>0</v>
      </c>
      <c r="EE517" s="5" t="s">
        <v>248</v>
      </c>
      <c r="EF517" s="5">
        <f>IF(EE517="Nunca/ casi nunca",0,
IF(EE517="Rara vez",1,
IF(EE517="A veces",2,
IF(EE517="A menudo",3,
IF(EE517="Siempre",4,"")))))</f>
        <v>1</v>
      </c>
      <c r="EG517" s="5">
        <f>SUM(EB517,ED517,EF517)</f>
        <v>2</v>
      </c>
      <c r="EH517" s="5" t="str">
        <f>IF(EG517&lt;=1,"Nivel de riesgo bajo",
IF(EG517&lt;=4,"Nivel de riesgo medio",
"Nivel de riesgo alto"))</f>
        <v>Nivel de riesgo medio</v>
      </c>
      <c r="EI517" s="5" t="s">
        <v>253</v>
      </c>
      <c r="EJ517" s="5">
        <f>IF(EI517="Nunca/ casi nunca",0,
IF(EI517="Rara vez",1,
IF(EI517="A veces",2,
IF(EI517="A menudo",3,
IF(EI517="Siempre",4,"")))))</f>
        <v>0</v>
      </c>
      <c r="EK517" s="5" t="s">
        <v>254</v>
      </c>
      <c r="EL517" s="5">
        <f>IF(EK517="Nunca/ casi nunca",0,
IF(EK517="Rara vez",1,
IF(EK517="A veces",2,
IF(EK517="A menudo",3,
IF(EK517="Siempre",4,"")))))</f>
        <v>4</v>
      </c>
      <c r="EM517" s="5" t="s">
        <v>247</v>
      </c>
      <c r="EN517" s="5">
        <f>IF(EM517="Nunca/ casi nunca",0,
IF(EM517="Rara vez",1,
IF(EM517="A veces",2,
IF(EM517="A menudo",3,
IF(EM517="Siempre",4,"")))))</f>
        <v>2</v>
      </c>
      <c r="EO517" s="5">
        <f>SUM(EJ517,EL517,EN517)</f>
        <v>6</v>
      </c>
      <c r="EP517" s="5" t="str">
        <f>IF(EO517&lt;=1,"Nivel de riesgo bajo",
IF(EO517&lt;=5,"Nivel de riesgo medio",
"Nivel de riesgo alto"))</f>
        <v>Nivel de riesgo alto</v>
      </c>
      <c r="EQ517" s="5" t="s">
        <v>253</v>
      </c>
      <c r="ER517" s="5">
        <f>IF(EQ517="Nunca/ casi nunca",4,
IF(EQ517="Rara vez",3,
IF(EQ517="A veces",2,
IF(EQ517="A menudo",1,
IF(EQ517="Siempre",0,"")))))</f>
        <v>4</v>
      </c>
      <c r="ES517" s="5" t="s">
        <v>253</v>
      </c>
      <c r="ET517" s="5">
        <f>IF(ES517="Nunca/ casi nunca",4,
IF(ES517="Rara vez",3,
IF(ES517="A veces",2,
IF(ES517="A menudo",1,
IF(ES517="Siempre",0,"")))))</f>
        <v>4</v>
      </c>
      <c r="EU517" s="5" t="s">
        <v>254</v>
      </c>
      <c r="EV517" s="5">
        <f>IF(EU517="Nunca/ casi nunca",4,
IF(EU517="Rara vez",3,
IF(EU517="A veces",2,
IF(EU517="A menudo",1,
IF(EU517="Siempre",0,"")))))</f>
        <v>0</v>
      </c>
      <c r="EW517" s="5" t="s">
        <v>254</v>
      </c>
      <c r="EX517" s="5">
        <f>IF(EW517="Nunca/ casi nunca",4,
IF(EW517="Rara vez",3,
IF(EW517="A veces",2,
IF(EW517="A menudo",1,
IF(EW517="Siempre",0,"")))))</f>
        <v>0</v>
      </c>
      <c r="EY517" s="5">
        <f>SUM(ER517,ET517,EV517,EX517)</f>
        <v>8</v>
      </c>
      <c r="EZ517" s="5" t="str">
        <f>IF(EY517&lt;=0,"Nivel de riesgo bajo",
IF(EY517&lt;=4,"Nivel de riesgo medio",
"Nivel de riesgo alto"))</f>
        <v>Nivel de riesgo alto</v>
      </c>
      <c r="FA517" s="5" t="s">
        <v>232</v>
      </c>
      <c r="FB517" s="5">
        <f>IF(FA517="Nunca/ casi nunca",0,
IF(FA517="Rara vez",1,
IF(FA517="A veces",2,
IF(FA517="A menudo",3,
IF(FA517="Siempre",4,"")))))</f>
        <v>3</v>
      </c>
      <c r="FC517" s="5" t="s">
        <v>253</v>
      </c>
      <c r="FD517" s="5">
        <f>IF(FC517="Nunca/ casi nunca",0,
IF(FC517="Rara vez",1,
IF(FC517="A veces",2,
IF(FC517="A menudo",3,
IF(FC517="Siempre",4,"")))))</f>
        <v>0</v>
      </c>
      <c r="FE517" s="5" t="s">
        <v>253</v>
      </c>
      <c r="FF517" s="5">
        <f>IF(FE517="Nunca/ casi nunca",0,
IF(FE517="Rara vez",1,
IF(FE517="A veces",2,
IF(FE517="A menudo",3,
IF(FE517="Siempre",4,"")))))</f>
        <v>0</v>
      </c>
      <c r="FG517" s="5">
        <f>SUM(FB517,FD517,FF517)</f>
        <v>3</v>
      </c>
      <c r="FH517" s="5" t="str">
        <f>IF(FG517&lt;=2,"Nivel de riesgo bajo",
IF(FG517&lt;=5,"Nivel de riesgo medio",
"Nivel de riesgo alto"))</f>
        <v>Nivel de riesgo medio</v>
      </c>
      <c r="FI517" s="5" t="s">
        <v>253</v>
      </c>
      <c r="FJ517" s="5">
        <f>IF(FI517="Nunca/ casi nunca",0,
IF(FI517="Rara vez",1,
IF(FI517="A veces",2,
IF(FI517="A menudo",3,
IF(FI517="Siempre",4,"")))))</f>
        <v>0</v>
      </c>
      <c r="FK517" s="5" t="s">
        <v>253</v>
      </c>
      <c r="FL517" s="5">
        <f>IF(FK517="Nunca/ casi nunca",0,
IF(FK517="Rara vez",1,
IF(FK517="A veces",2,
IF(FK517="A menudo",3,
IF(FK517="Siempre",4,"")))))</f>
        <v>0</v>
      </c>
      <c r="FM517" s="5" t="s">
        <v>253</v>
      </c>
      <c r="FN517" s="5">
        <f>IF(FM517="Nunca/ casi nunca",0,
IF(FM517="Rara vez",1,
IF(FM517="A veces",2,
IF(FM517="A menudo",3,
IF(FM517="Siempre",4,"")))))</f>
        <v>0</v>
      </c>
      <c r="FO517" s="5">
        <f>SUM(FJ517,FL517,FN517)</f>
        <v>0</v>
      </c>
      <c r="FP517" s="5" t="str">
        <f>IF(FO517&lt;=2,"Nivel de riesgo bajo",
IF(FO517&lt;=5,"Nivel de riesgo medio",
"Nivel de riesgo alto"))</f>
        <v>Nivel de riesgo bajo</v>
      </c>
      <c r="FQ517" s="5" t="s">
        <v>206</v>
      </c>
      <c r="FR517" s="5">
        <f>IF(FQ517="No",0,
IF(FQ517="Sí, unas pocas veces",1,
IF(FQ517="Sí, mensualmente",2,
IF(FQ517="Sí, semanalmente",3,
IF(FQ517="Sí, diariamente",4,"")))))</f>
        <v>0</v>
      </c>
      <c r="FS517" s="5" t="s">
        <v>206</v>
      </c>
      <c r="FT517" s="5">
        <f>IF(FS517="No",0,
IF(FS517="Sí, unas pocas veces",1,
IF(FS517="Sí, mensualmente",2,
IF(FS517="Sí, semanalmente",3,
IF(FS517="Sí, diariamente",4,"")))))</f>
        <v>0</v>
      </c>
      <c r="FU517" s="5" t="s">
        <v>206</v>
      </c>
      <c r="FV517" s="5">
        <f>IF(FU517="No",0,
IF(FU517="Sí, unas pocas veces",1,
IF(FU517="Sí, mensualmente",2,
IF(FU517="Sí, semanalmente",3,
IF(FU517="Sí, diariamente",4,"")))))</f>
        <v>0</v>
      </c>
      <c r="FW517" s="5" t="s">
        <v>206</v>
      </c>
      <c r="FX517" s="5">
        <f>IF(FW517="No",0,
IF(FW517="Sí, unas pocas veces",1,
IF(FW517="Sí, mensualmente",2,
IF(FW517="Sí, semanalmente",3,
IF(FW517="Sí, diariamente",4,"")))))</f>
        <v>0</v>
      </c>
      <c r="FY517" s="5" t="s">
        <v>206</v>
      </c>
      <c r="FZ517" s="5">
        <f>IF(FY517="No",0,
IF(FY517="Sí, unas pocas veces",1,
IF(FY517="Sí, mensualmente",2,
IF(FY517="Sí, semanalmente",3,
IF(FY517="Sí, diariamente",4,"")))))</f>
        <v>0</v>
      </c>
      <c r="GA517" s="5" t="s">
        <v>206</v>
      </c>
      <c r="GB517" s="5">
        <f>IF(GA517="No",0,
IF(GA517="Sí, unas pocas veces",1,
IF(GA517="Sí, mensualmente",2,
IF(GA517="Sí, semanalmente",3,
IF(GA517="Sí, diariamente",4,"")))))</f>
        <v>0</v>
      </c>
      <c r="GC517" s="5" t="s">
        <v>206</v>
      </c>
      <c r="GD517" s="5">
        <f>IF(GC517="No",0,
IF(GC517="Sí, unas pocas veces",1,
IF(GC517="Sí, mensualmente",2,
IF(GC517="Sí, semanalmente",3,
IF(GC517="Sí, diariamente",4,"")))))</f>
        <v>0</v>
      </c>
      <c r="GE517" s="5">
        <f>SUM(FR517,FT517,FV517,FX517,FZ517,GB517,GD517)</f>
        <v>0</v>
      </c>
      <c r="GF517" s="5" t="str">
        <f>IF(GE517&lt;=0,"Nivel de riesgo bajo",
IF(GE517&lt;=14,"Nivel de riesgo medio",
"Nivel de riesgo alto"))</f>
        <v>Nivel de riesgo bajo</v>
      </c>
      <c r="GG517" s="5" t="s">
        <v>255</v>
      </c>
      <c r="GH517" s="5" t="s">
        <v>255</v>
      </c>
      <c r="GI517" s="5" t="s">
        <v>255</v>
      </c>
      <c r="GJ517" s="5" t="s">
        <v>255</v>
      </c>
      <c r="GK517" s="5" t="s">
        <v>233</v>
      </c>
      <c r="GL517" s="5" t="s">
        <v>255</v>
      </c>
      <c r="GM517" s="5" t="s">
        <v>255</v>
      </c>
      <c r="GN517" s="5" t="s">
        <v>256</v>
      </c>
      <c r="GO517" s="5" t="s">
        <v>256</v>
      </c>
      <c r="GP517" s="5" t="s">
        <v>256</v>
      </c>
      <c r="GQ517" s="5" t="s">
        <v>243</v>
      </c>
      <c r="GR517" s="5" t="s">
        <v>244</v>
      </c>
      <c r="GS517" s="5" t="s">
        <v>243</v>
      </c>
      <c r="GT517" s="5" t="s">
        <v>256</v>
      </c>
      <c r="GU517" s="5" t="s">
        <v>884</v>
      </c>
      <c r="GV517" s="5" t="str">
        <f>TEXT("6290591701822057485","0")</f>
        <v>6290591701822050000</v>
      </c>
    </row>
    <row r="518" spans="1:204" ht="15.75" hidden="1" customHeight="1" x14ac:dyDescent="0.15">
      <c r="B518" s="4">
        <v>45861.279097222221</v>
      </c>
      <c r="C518" s="5" t="s">
        <v>206</v>
      </c>
      <c r="GV518" s="5" t="str">
        <f>TEXT("6290765142948464508","0")</f>
        <v>6290765142948460000</v>
      </c>
    </row>
    <row r="519" spans="1:204" ht="15.75" customHeight="1" x14ac:dyDescent="0.15">
      <c r="A519" s="1">
        <f>ROW(A519)</f>
        <v>519</v>
      </c>
      <c r="B519" s="4">
        <v>45861.316608796296</v>
      </c>
      <c r="C519" s="5" t="s">
        <v>204</v>
      </c>
      <c r="D519" s="5" t="s">
        <v>206</v>
      </c>
      <c r="F519" s="5" t="s">
        <v>206</v>
      </c>
      <c r="G519" s="5" t="s">
        <v>206</v>
      </c>
      <c r="H519" s="5" t="s">
        <v>206</v>
      </c>
      <c r="J519" s="5" t="s">
        <v>209</v>
      </c>
      <c r="N519" s="5" t="s">
        <v>208</v>
      </c>
      <c r="S519" s="5" t="s">
        <v>208</v>
      </c>
      <c r="X519" s="5" t="s">
        <v>208</v>
      </c>
      <c r="AC519" s="5" t="s">
        <v>208</v>
      </c>
      <c r="AH519" s="5" t="s">
        <v>268</v>
      </c>
      <c r="AI519" s="5">
        <v>2018</v>
      </c>
      <c r="AJ519" s="5" t="s">
        <v>238</v>
      </c>
      <c r="AK519" s="5" t="str">
        <f>IF(OR(AJ519="Empleada del sector privado",AJ519="Empleada del sector público"),"Asalariada",
IF(AJ519="Trabajadora por cuenta propia","Trabajadora por cuenta propia",""))</f>
        <v>Trabajadora por cuenta propia</v>
      </c>
      <c r="AL519" s="5" t="s">
        <v>239</v>
      </c>
      <c r="AP519" s="5" t="s">
        <v>365</v>
      </c>
      <c r="AR519" s="5" t="s">
        <v>276</v>
      </c>
      <c r="AS519" s="5" t="s">
        <v>276</v>
      </c>
      <c r="AT519" s="5" t="s">
        <v>276</v>
      </c>
      <c r="AU519" s="5" t="s">
        <v>276</v>
      </c>
      <c r="AV519" s="5" t="s">
        <v>302</v>
      </c>
      <c r="AW519" s="5" t="s">
        <v>206</v>
      </c>
      <c r="BF519" s="5" t="s">
        <v>204</v>
      </c>
      <c r="BG519" s="5" t="s">
        <v>242</v>
      </c>
      <c r="BH519" s="5" t="s">
        <v>215</v>
      </c>
      <c r="BI519" s="5" t="s">
        <v>242</v>
      </c>
      <c r="BJ519" s="5" t="s">
        <v>242</v>
      </c>
      <c r="BK519" s="5" t="s">
        <v>244</v>
      </c>
      <c r="BL519" s="5" t="s">
        <v>244</v>
      </c>
      <c r="BM519" s="5" t="s">
        <v>244</v>
      </c>
      <c r="BN519" s="5" t="s">
        <v>244</v>
      </c>
      <c r="BO519" s="5" t="s">
        <v>244</v>
      </c>
      <c r="BP519" s="5" t="s">
        <v>244</v>
      </c>
      <c r="BQ519" s="5" t="s">
        <v>244</v>
      </c>
      <c r="BR519" s="5" t="s">
        <v>244</v>
      </c>
      <c r="BS519" s="5" t="s">
        <v>247</v>
      </c>
      <c r="BT519" s="5" t="s">
        <v>247</v>
      </c>
      <c r="BU519" s="5" t="s">
        <v>247</v>
      </c>
      <c r="BV519" s="5" t="s">
        <v>247</v>
      </c>
      <c r="BW519" s="5" t="s">
        <v>247</v>
      </c>
      <c r="BX519" s="5" t="s">
        <v>247</v>
      </c>
      <c r="BY519" s="5" t="s">
        <v>247</v>
      </c>
      <c r="CD519" s="5" t="s">
        <v>206</v>
      </c>
      <c r="CH519" s="5" t="s">
        <v>206</v>
      </c>
      <c r="CI519" s="5" t="s">
        <v>206</v>
      </c>
      <c r="CJ519" s="5">
        <v>2</v>
      </c>
      <c r="CK519" s="5" t="s">
        <v>223</v>
      </c>
      <c r="CU519" s="5" t="s">
        <v>206</v>
      </c>
      <c r="DA519" s="5" t="s">
        <v>231</v>
      </c>
      <c r="DB519" s="5">
        <f>IF(DA519="Mejor que lo habitual",1,
IF(DA519="Igual que lo habitual",2,
IF(DA519="Menos que lo habitual",3,
IF(DA519="Mucho menos que lo habitual",4,""))))</f>
        <v>2</v>
      </c>
      <c r="DC519" s="5" t="s">
        <v>250</v>
      </c>
      <c r="DD519" s="5">
        <f>IF(DC519="No, en absoluto",1,
IF(DC519="No más que lo habitual",2,
IF(DC519="Bastante más que lo habitual",3,
IF(DC519="Mucho más que lo habitual",4,""))))</f>
        <v>3</v>
      </c>
      <c r="DE519" s="5" t="s">
        <v>250</v>
      </c>
      <c r="DF519" s="5">
        <f>IF(DE519="No, en absoluto",1,
IF(DE519="No más que lo habitual",2,
IF(DE519="Bastante más que lo habitual",3,
IF(DE519="Mucho más que lo habitual",4,""))))</f>
        <v>3</v>
      </c>
      <c r="DG519" s="5" t="s">
        <v>250</v>
      </c>
      <c r="DH519" s="5">
        <f>IF(DG519="No, en absoluto",1,
IF(DG519="No más que lo habitual",2,
IF(DG519="Bastante más que lo habitual",3,
IF(DG519="Mucho más que lo habitual",4,""))))</f>
        <v>3</v>
      </c>
      <c r="DI519" s="5" t="s">
        <v>250</v>
      </c>
      <c r="DJ519" s="5">
        <f>IF(DI519="No, en absoluto",1,
IF(DI519="No más que lo habitual",2,
IF(DI519="Bastante más que lo habitual",3,
IF(DI519="Mucho más que lo habitual",4,""))))</f>
        <v>3</v>
      </c>
      <c r="DK519" s="5" t="s">
        <v>250</v>
      </c>
      <c r="DL519" s="5">
        <f>IF(DK519="No, en absoluto",1,
IF(DK519="No más que lo habitual",2,
IF(DK519="Bastante más que lo habitual",3,
IF(DK519="Mucho más que lo habitual",4,""))))</f>
        <v>3</v>
      </c>
      <c r="DM519" s="5" t="s">
        <v>250</v>
      </c>
      <c r="DN519" s="5">
        <f>IF(DM519="No, en absoluto",1,
IF(DM519="No más que lo habitual",2,
IF(DM519="Bastante más que lo habitual",3,
IF(DM519="Mucho más que lo habitual",4,""))))</f>
        <v>3</v>
      </c>
      <c r="DO519" s="5" t="s">
        <v>281</v>
      </c>
      <c r="DP519" s="5">
        <f>IF(DO519="Más que lo habitual",1,
IF(DO519="Igual que lo habitual",2,
IF(DO519="Menos que lo habitual",3,
IF(DO519="Mucho menos que lo habitual",4,""))))</f>
        <v>1</v>
      </c>
      <c r="DQ519" s="5" t="s">
        <v>281</v>
      </c>
      <c r="DR519" s="5">
        <f>IF(DQ519="Más que lo habitual",1,
IF(DQ519="Igual que lo habitual",2,
IF(DQ519="Menos que lo habitual",3,
IF(DQ519="Mucho menos que lo habitual",4,""))))</f>
        <v>1</v>
      </c>
      <c r="DS519" s="5" t="s">
        <v>281</v>
      </c>
      <c r="DT519" s="5">
        <f>IF(DS519="Más que lo habitual",1,
IF(DS519="Igual que lo habitual",2,
IF(DS519="Menos que lo habitual",3,
IF(DS519="Mucho menos que lo habitual",4,""))))</f>
        <v>1</v>
      </c>
      <c r="DU519" s="5" t="s">
        <v>281</v>
      </c>
      <c r="DV519" s="5">
        <f>IF(DU519="Más que lo habitual",1,
IF(DU519="Igual que lo habitual",2,
IF(DU519="Menos que lo habitual",3,
IF(DU519="Mucho menos que lo habitual",4,""))))</f>
        <v>1</v>
      </c>
      <c r="DW519" s="5" t="s">
        <v>281</v>
      </c>
      <c r="DX519" s="5">
        <f>IF(DW519="Más que lo habitual",1,
IF(DW519="Igual que lo habitual",2,
IF(DW519="Menos que lo habitual",3,
IF(DW519="Mucho menos que lo habitual",4,""))))</f>
        <v>1</v>
      </c>
      <c r="DY519" s="5">
        <f>SUM(DB519,DD519,DF519,DH519,DJ519,DL519,DN519,DP519,DR519,DT519,DV519,DX519)</f>
        <v>25</v>
      </c>
      <c r="DZ519" s="5" t="str">
        <f>IF(DY519&lt;=18,"Nivel de riesgo bajo",
IF(DY519&lt;=23,"Nivel de riesgo medio",
"Nivel de riesgo alto"))</f>
        <v>Nivel de riesgo alto</v>
      </c>
      <c r="EA519" s="5" t="s">
        <v>247</v>
      </c>
      <c r="EB519" s="5">
        <f>IF(EA519="Nunca/ casi nunca",0,
IF(EA519="Rara vez",1,
IF(EA519="A veces",2,
IF(EA519="A menudo",3,
IF(EA519="Siempre",4,"")))))</f>
        <v>2</v>
      </c>
      <c r="EC519" s="5" t="s">
        <v>247</v>
      </c>
      <c r="ED519" s="5">
        <f>IF(EC519="Nunca/ casi nunca",0,
IF(EC519="Rara vez",1,
IF(EC519="A veces",2,
IF(EC519="A menudo",3,
IF(EC519="Siempre",4,"")))))</f>
        <v>2</v>
      </c>
      <c r="EE519" s="5" t="s">
        <v>247</v>
      </c>
      <c r="EF519" s="5">
        <f>IF(EE519="Nunca/ casi nunca",0,
IF(EE519="Rara vez",1,
IF(EE519="A veces",2,
IF(EE519="A menudo",3,
IF(EE519="Siempre",4,"")))))</f>
        <v>2</v>
      </c>
      <c r="EG519" s="5">
        <f>SUM(EB519,ED519,EF519)</f>
        <v>6</v>
      </c>
      <c r="EH519" s="5" t="str">
        <f>IF(EG519&lt;=1,"Nivel de riesgo bajo",
IF(EG519&lt;=4,"Nivel de riesgo medio",
"Nivel de riesgo alto"))</f>
        <v>Nivel de riesgo alto</v>
      </c>
      <c r="EI519" s="5" t="s">
        <v>247</v>
      </c>
      <c r="EJ519" s="5">
        <f>IF(EI519="Nunca/ casi nunca",0,
IF(EI519="Rara vez",1,
IF(EI519="A veces",2,
IF(EI519="A menudo",3,
IF(EI519="Siempre",4,"")))))</f>
        <v>2</v>
      </c>
      <c r="EK519" s="5" t="s">
        <v>247</v>
      </c>
      <c r="EL519" s="5">
        <f>IF(EK519="Nunca/ casi nunca",0,
IF(EK519="Rara vez",1,
IF(EK519="A veces",2,
IF(EK519="A menudo",3,
IF(EK519="Siempre",4,"")))))</f>
        <v>2</v>
      </c>
      <c r="EM519" s="5" t="s">
        <v>247</v>
      </c>
      <c r="EN519" s="5">
        <f>IF(EM519="Nunca/ casi nunca",0,
IF(EM519="Rara vez",1,
IF(EM519="A veces",2,
IF(EM519="A menudo",3,
IF(EM519="Siempre",4,"")))))</f>
        <v>2</v>
      </c>
      <c r="EO519" s="5">
        <f>SUM(EJ519,EL519,EN519)</f>
        <v>6</v>
      </c>
      <c r="EP519" s="5" t="str">
        <f>IF(EO519&lt;=1,"Nivel de riesgo bajo",
IF(EO519&lt;=5,"Nivel de riesgo medio",
"Nivel de riesgo alto"))</f>
        <v>Nivel de riesgo alto</v>
      </c>
      <c r="EQ519" s="5" t="s">
        <v>247</v>
      </c>
      <c r="ER519" s="5">
        <f>IF(EQ519="Nunca/ casi nunca",4,
IF(EQ519="Rara vez",3,
IF(EQ519="A veces",2,
IF(EQ519="A menudo",1,
IF(EQ519="Siempre",0,"")))))</f>
        <v>2</v>
      </c>
      <c r="ES519" s="5" t="s">
        <v>247</v>
      </c>
      <c r="ET519" s="5">
        <f>IF(ES519="Nunca/ casi nunca",4,
IF(ES519="Rara vez",3,
IF(ES519="A veces",2,
IF(ES519="A menudo",1,
IF(ES519="Siempre",0,"")))))</f>
        <v>2</v>
      </c>
      <c r="EU519" s="5" t="s">
        <v>247</v>
      </c>
      <c r="EV519" s="5">
        <f>IF(EU519="Nunca/ casi nunca",4,
IF(EU519="Rara vez",3,
IF(EU519="A veces",2,
IF(EU519="A menudo",1,
IF(EU519="Siempre",0,"")))))</f>
        <v>2</v>
      </c>
      <c r="EW519" s="5" t="s">
        <v>247</v>
      </c>
      <c r="EX519" s="5">
        <f>IF(EW519="Nunca/ casi nunca",4,
IF(EW519="Rara vez",3,
IF(EW519="A veces",2,
IF(EW519="A menudo",1,
IF(EW519="Siempre",0,"")))))</f>
        <v>2</v>
      </c>
      <c r="EY519" s="5">
        <f>SUM(ER519,ET519,EV519,EX519)</f>
        <v>8</v>
      </c>
      <c r="EZ519" s="5" t="str">
        <f>IF(EY519&lt;=0,"Nivel de riesgo bajo",
IF(EY519&lt;=4,"Nivel de riesgo medio",
"Nivel de riesgo alto"))</f>
        <v>Nivel de riesgo alto</v>
      </c>
      <c r="FA519" s="5" t="s">
        <v>247</v>
      </c>
      <c r="FB519" s="5">
        <f>IF(FA519="Nunca/ casi nunca",0,
IF(FA519="Rara vez",1,
IF(FA519="A veces",2,
IF(FA519="A menudo",3,
IF(FA519="Siempre",4,"")))))</f>
        <v>2</v>
      </c>
      <c r="FC519" s="5" t="s">
        <v>247</v>
      </c>
      <c r="FD519" s="5">
        <f>IF(FC519="Nunca/ casi nunca",0,
IF(FC519="Rara vez",1,
IF(FC519="A veces",2,
IF(FC519="A menudo",3,
IF(FC519="Siempre",4,"")))))</f>
        <v>2</v>
      </c>
      <c r="FE519" s="5" t="s">
        <v>247</v>
      </c>
      <c r="FF519" s="5">
        <f>IF(FE519="Nunca/ casi nunca",0,
IF(FE519="Rara vez",1,
IF(FE519="A veces",2,
IF(FE519="A menudo",3,
IF(FE519="Siempre",4,"")))))</f>
        <v>2</v>
      </c>
      <c r="FG519" s="5">
        <f>SUM(FB519,FD519,FF519)</f>
        <v>6</v>
      </c>
      <c r="FH519" s="5" t="str">
        <f>IF(FG519&lt;=2,"Nivel de riesgo bajo",
IF(FG519&lt;=5,"Nivel de riesgo medio",
"Nivel de riesgo alto"))</f>
        <v>Nivel de riesgo alto</v>
      </c>
      <c r="FI519" s="5" t="s">
        <v>247</v>
      </c>
      <c r="FJ519" s="5">
        <f>IF(FI519="Nunca/ casi nunca",0,
IF(FI519="Rara vez",1,
IF(FI519="A veces",2,
IF(FI519="A menudo",3,
IF(FI519="Siempre",4,"")))))</f>
        <v>2</v>
      </c>
      <c r="FK519" s="5" t="s">
        <v>247</v>
      </c>
      <c r="FL519" s="5">
        <f>IF(FK519="Nunca/ casi nunca",0,
IF(FK519="Rara vez",1,
IF(FK519="A veces",2,
IF(FK519="A menudo",3,
IF(FK519="Siempre",4,"")))))</f>
        <v>2</v>
      </c>
      <c r="FM519" s="5" t="s">
        <v>247</v>
      </c>
      <c r="FN519" s="5">
        <f>IF(FM519="Nunca/ casi nunca",0,
IF(FM519="Rara vez",1,
IF(FM519="A veces",2,
IF(FM519="A menudo",3,
IF(FM519="Siempre",4,"")))))</f>
        <v>2</v>
      </c>
      <c r="FO519" s="5">
        <f>SUM(FJ519,FL519,FN519)</f>
        <v>6</v>
      </c>
      <c r="FP519" s="5" t="str">
        <f>IF(FO519&lt;=2,"Nivel de riesgo bajo",
IF(FO519&lt;=5,"Nivel de riesgo medio",
"Nivel de riesgo alto"))</f>
        <v>Nivel de riesgo alto</v>
      </c>
      <c r="FQ519" s="5" t="s">
        <v>206</v>
      </c>
      <c r="FR519" s="5">
        <f>IF(FQ519="No",0,
IF(FQ519="Sí, unas pocas veces",1,
IF(FQ519="Sí, mensualmente",2,
IF(FQ519="Sí, semanalmente",3,
IF(FQ519="Sí, diariamente",4,"")))))</f>
        <v>0</v>
      </c>
      <c r="FS519" s="5" t="s">
        <v>206</v>
      </c>
      <c r="FT519" s="5">
        <f>IF(FS519="No",0,
IF(FS519="Sí, unas pocas veces",1,
IF(FS519="Sí, mensualmente",2,
IF(FS519="Sí, semanalmente",3,
IF(FS519="Sí, diariamente",4,"")))))</f>
        <v>0</v>
      </c>
      <c r="FU519" s="5" t="s">
        <v>206</v>
      </c>
      <c r="FV519" s="5">
        <f>IF(FU519="No",0,
IF(FU519="Sí, unas pocas veces",1,
IF(FU519="Sí, mensualmente",2,
IF(FU519="Sí, semanalmente",3,
IF(FU519="Sí, diariamente",4,"")))))</f>
        <v>0</v>
      </c>
      <c r="FW519" s="5" t="s">
        <v>206</v>
      </c>
      <c r="FX519" s="5">
        <f>IF(FW519="No",0,
IF(FW519="Sí, unas pocas veces",1,
IF(FW519="Sí, mensualmente",2,
IF(FW519="Sí, semanalmente",3,
IF(FW519="Sí, diariamente",4,"")))))</f>
        <v>0</v>
      </c>
      <c r="FY519" s="5" t="s">
        <v>206</v>
      </c>
      <c r="FZ519" s="5">
        <f>IF(FY519="No",0,
IF(FY519="Sí, unas pocas veces",1,
IF(FY519="Sí, mensualmente",2,
IF(FY519="Sí, semanalmente",3,
IF(FY519="Sí, diariamente",4,"")))))</f>
        <v>0</v>
      </c>
      <c r="GA519" s="5" t="s">
        <v>206</v>
      </c>
      <c r="GB519" s="5">
        <f>IF(GA519="No",0,
IF(GA519="Sí, unas pocas veces",1,
IF(GA519="Sí, mensualmente",2,
IF(GA519="Sí, semanalmente",3,
IF(GA519="Sí, diariamente",4,"")))))</f>
        <v>0</v>
      </c>
      <c r="GC519" s="5" t="s">
        <v>206</v>
      </c>
      <c r="GD519" s="5">
        <f>IF(GC519="No",0,
IF(GC519="Sí, unas pocas veces",1,
IF(GC519="Sí, mensualmente",2,
IF(GC519="Sí, semanalmente",3,
IF(GC519="Sí, diariamente",4,"")))))</f>
        <v>0</v>
      </c>
      <c r="GE519" s="5">
        <f>SUM(FR519,FT519,FV519,FX519,FZ519,GB519,GD519)</f>
        <v>0</v>
      </c>
      <c r="GF519" s="5" t="str">
        <f>IF(GE519&lt;=0,"Nivel de riesgo bajo",
IF(GE519&lt;=14,"Nivel de riesgo medio",
"Nivel de riesgo alto"))</f>
        <v>Nivel de riesgo bajo</v>
      </c>
      <c r="GG519" s="5" t="s">
        <v>273</v>
      </c>
      <c r="GH519" s="5" t="s">
        <v>273</v>
      </c>
      <c r="GI519" s="5" t="s">
        <v>273</v>
      </c>
      <c r="GJ519" s="5" t="s">
        <v>273</v>
      </c>
      <c r="GK519" s="5" t="s">
        <v>273</v>
      </c>
      <c r="GL519" s="5" t="s">
        <v>273</v>
      </c>
      <c r="GM519" s="5" t="s">
        <v>273</v>
      </c>
      <c r="GN519" s="5" t="s">
        <v>257</v>
      </c>
      <c r="GO519" s="5" t="s">
        <v>257</v>
      </c>
      <c r="GP519" s="5" t="s">
        <v>257</v>
      </c>
      <c r="GQ519" s="5" t="s">
        <v>257</v>
      </c>
      <c r="GR519" s="5" t="s">
        <v>257</v>
      </c>
      <c r="GS519" s="5" t="s">
        <v>257</v>
      </c>
      <c r="GT519" s="5" t="s">
        <v>257</v>
      </c>
      <c r="GU519" s="5" t="s">
        <v>885</v>
      </c>
      <c r="GV519" s="5" t="str">
        <f>TEXT("6290797556237285133","0")</f>
        <v>6290797556237280000</v>
      </c>
    </row>
    <row r="520" spans="1:204" ht="15.75" customHeight="1" x14ac:dyDescent="0.15">
      <c r="A520" s="1">
        <f>ROW(A520)</f>
        <v>520</v>
      </c>
      <c r="B520" s="4">
        <v>45861.344317129631</v>
      </c>
      <c r="C520" s="5" t="s">
        <v>204</v>
      </c>
      <c r="D520" s="5" t="s">
        <v>206</v>
      </c>
      <c r="F520" s="5" t="s">
        <v>206</v>
      </c>
      <c r="G520" s="5" t="s">
        <v>204</v>
      </c>
      <c r="H520" s="5" t="s">
        <v>206</v>
      </c>
      <c r="L520" s="5" t="s">
        <v>236</v>
      </c>
      <c r="N520" s="5" t="s">
        <v>208</v>
      </c>
      <c r="T520" s="5" t="s">
        <v>209</v>
      </c>
      <c r="Y520" s="5" t="s">
        <v>209</v>
      </c>
      <c r="AD520" s="5" t="s">
        <v>209</v>
      </c>
      <c r="AH520" s="5" t="s">
        <v>275</v>
      </c>
      <c r="AI520" s="5">
        <v>2019</v>
      </c>
      <c r="AJ520" s="5" t="s">
        <v>238</v>
      </c>
      <c r="AK520" s="5" t="str">
        <f>IF(OR(AJ520="Empleada del sector privado",AJ520="Empleada del sector público"),"Asalariada",
IF(AJ520="Trabajadora por cuenta propia","Trabajadora por cuenta propia",""))</f>
        <v>Trabajadora por cuenta propia</v>
      </c>
      <c r="AN520" s="5" t="s">
        <v>288</v>
      </c>
      <c r="AP520" s="5" t="s">
        <v>321</v>
      </c>
      <c r="AR520" s="5" t="s">
        <v>276</v>
      </c>
      <c r="AS520" s="5" t="s">
        <v>276</v>
      </c>
      <c r="AT520" s="5" t="s">
        <v>276</v>
      </c>
      <c r="AU520" s="5" t="s">
        <v>276</v>
      </c>
      <c r="AV520" s="5" t="s">
        <v>269</v>
      </c>
      <c r="AW520" s="5" t="s">
        <v>204</v>
      </c>
      <c r="AX520" s="5" t="s">
        <v>204</v>
      </c>
      <c r="AY520" s="5" t="s">
        <v>214</v>
      </c>
      <c r="AZ520" s="5" t="s">
        <v>204</v>
      </c>
      <c r="BA520" s="5" t="s">
        <v>263</v>
      </c>
      <c r="BF520" s="5" t="s">
        <v>204</v>
      </c>
      <c r="BG520" s="5" t="s">
        <v>215</v>
      </c>
      <c r="BH520" s="5" t="s">
        <v>264</v>
      </c>
      <c r="BI520" s="5" t="s">
        <v>242</v>
      </c>
      <c r="BJ520" s="5" t="s">
        <v>264</v>
      </c>
      <c r="BK520" s="5" t="s">
        <v>216</v>
      </c>
      <c r="BL520" s="5" t="s">
        <v>216</v>
      </c>
      <c r="BM520" s="5" t="s">
        <v>216</v>
      </c>
      <c r="BN520" s="5" t="s">
        <v>216</v>
      </c>
      <c r="BO520" s="5" t="s">
        <v>216</v>
      </c>
      <c r="BP520" s="5" t="s">
        <v>216</v>
      </c>
      <c r="BQ520" s="5" t="s">
        <v>216</v>
      </c>
      <c r="BR520" s="5" t="s">
        <v>216</v>
      </c>
      <c r="BS520" s="5" t="s">
        <v>247</v>
      </c>
      <c r="BT520" s="5" t="s">
        <v>247</v>
      </c>
      <c r="BU520" s="5" t="s">
        <v>217</v>
      </c>
      <c r="BV520" s="5" t="s">
        <v>248</v>
      </c>
      <c r="BW520" s="5" t="s">
        <v>247</v>
      </c>
      <c r="BX520" s="5" t="s">
        <v>247</v>
      </c>
      <c r="BY520" s="5" t="s">
        <v>247</v>
      </c>
      <c r="BZ520" s="5" t="s">
        <v>216</v>
      </c>
      <c r="CA520" s="5" t="s">
        <v>216</v>
      </c>
      <c r="CB520" s="5" t="s">
        <v>216</v>
      </c>
      <c r="CC520" s="5" t="s">
        <v>216</v>
      </c>
      <c r="CD520" s="5" t="s">
        <v>204</v>
      </c>
      <c r="CE520" s="5" t="s">
        <v>286</v>
      </c>
      <c r="CF520" s="5" t="s">
        <v>219</v>
      </c>
      <c r="CG520" s="5" t="s">
        <v>220</v>
      </c>
      <c r="CH520" s="5" t="s">
        <v>206</v>
      </c>
      <c r="CI520" s="5" t="s">
        <v>206</v>
      </c>
      <c r="CJ520" s="5">
        <v>1</v>
      </c>
      <c r="CM520" s="5" t="s">
        <v>358</v>
      </c>
      <c r="CU520" s="5" t="s">
        <v>204</v>
      </c>
      <c r="CV520" s="5" t="s">
        <v>224</v>
      </c>
      <c r="CW520" s="5" t="s">
        <v>351</v>
      </c>
      <c r="CX520" s="5" t="s">
        <v>752</v>
      </c>
      <c r="CY520" s="5" t="s">
        <v>353</v>
      </c>
      <c r="CZ520" s="5" t="s">
        <v>228</v>
      </c>
      <c r="DA520" s="5" t="s">
        <v>272</v>
      </c>
      <c r="DB520" s="5">
        <f>IF(DA520="Mejor que lo habitual",1,
IF(DA520="Igual que lo habitual",2,
IF(DA520="Menos que lo habitual",3,
IF(DA520="Mucho menos que lo habitual",4,""))))</f>
        <v>1</v>
      </c>
      <c r="DC520" s="5" t="s">
        <v>230</v>
      </c>
      <c r="DD520" s="5">
        <f>IF(DC520="No, en absoluto",1,
IF(DC520="No más que lo habitual",2,
IF(DC520="Bastante más que lo habitual",3,
IF(DC520="Mucho más que lo habitual",4,""))))</f>
        <v>2</v>
      </c>
      <c r="DE520" s="5" t="s">
        <v>251</v>
      </c>
      <c r="DF520" s="5">
        <f>IF(DE520="No, en absoluto",1,
IF(DE520="No más que lo habitual",2,
IF(DE520="Bastante más que lo habitual",3,
IF(DE520="Mucho más que lo habitual",4,""))))</f>
        <v>1</v>
      </c>
      <c r="DG520" s="5" t="s">
        <v>251</v>
      </c>
      <c r="DH520" s="5">
        <f>IF(DG520="No, en absoluto",1,
IF(DG520="No más que lo habitual",2,
IF(DG520="Bastante más que lo habitual",3,
IF(DG520="Mucho más que lo habitual",4,""))))</f>
        <v>1</v>
      </c>
      <c r="DI520" s="5" t="s">
        <v>251</v>
      </c>
      <c r="DJ520" s="5">
        <f>IF(DI520="No, en absoluto",1,
IF(DI520="No más que lo habitual",2,
IF(DI520="Bastante más que lo habitual",3,
IF(DI520="Mucho más que lo habitual",4,""))))</f>
        <v>1</v>
      </c>
      <c r="DK520" s="5" t="s">
        <v>251</v>
      </c>
      <c r="DL520" s="5">
        <f>IF(DK520="No, en absoluto",1,
IF(DK520="No más que lo habitual",2,
IF(DK520="Bastante más que lo habitual",3,
IF(DK520="Mucho más que lo habitual",4,""))))</f>
        <v>1</v>
      </c>
      <c r="DM520" s="5" t="s">
        <v>251</v>
      </c>
      <c r="DN520" s="5">
        <f>IF(DM520="No, en absoluto",1,
IF(DM520="No más que lo habitual",2,
IF(DM520="Bastante más que lo habitual",3,
IF(DM520="Mucho más que lo habitual",4,""))))</f>
        <v>1</v>
      </c>
      <c r="DO520" s="5" t="s">
        <v>281</v>
      </c>
      <c r="DP520" s="5">
        <f>IF(DO520="Más que lo habitual",1,
IF(DO520="Igual que lo habitual",2,
IF(DO520="Menos que lo habitual",3,
IF(DO520="Mucho menos que lo habitual",4,""))))</f>
        <v>1</v>
      </c>
      <c r="DQ520" s="5" t="s">
        <v>281</v>
      </c>
      <c r="DR520" s="5">
        <f>IF(DQ520="Más que lo habitual",1,
IF(DQ520="Igual que lo habitual",2,
IF(DQ520="Menos que lo habitual",3,
IF(DQ520="Mucho menos que lo habitual",4,""))))</f>
        <v>1</v>
      </c>
      <c r="DS520" s="5" t="s">
        <v>281</v>
      </c>
      <c r="DT520" s="5">
        <f>IF(DS520="Más que lo habitual",1,
IF(DS520="Igual que lo habitual",2,
IF(DS520="Menos que lo habitual",3,
IF(DS520="Mucho menos que lo habitual",4,""))))</f>
        <v>1</v>
      </c>
      <c r="DU520" s="5" t="s">
        <v>281</v>
      </c>
      <c r="DV520" s="5">
        <f>IF(DU520="Más que lo habitual",1,
IF(DU520="Igual que lo habitual",2,
IF(DU520="Menos que lo habitual",3,
IF(DU520="Mucho menos que lo habitual",4,""))))</f>
        <v>1</v>
      </c>
      <c r="DW520" s="5" t="s">
        <v>281</v>
      </c>
      <c r="DX520" s="5">
        <f>IF(DW520="Más que lo habitual",1,
IF(DW520="Igual que lo habitual",2,
IF(DW520="Menos que lo habitual",3,
IF(DW520="Mucho menos que lo habitual",4,""))))</f>
        <v>1</v>
      </c>
      <c r="DY520" s="5">
        <f>SUM(DB520,DD520,DF520,DH520,DJ520,DL520,DN520,DP520,DR520,DT520,DV520,DX520)</f>
        <v>13</v>
      </c>
      <c r="DZ520" s="5" t="str">
        <f>IF(DY520&lt;=18,"Nivel de riesgo bajo",
IF(DY520&lt;=23,"Nivel de riesgo medio",
"Nivel de riesgo alto"))</f>
        <v>Nivel de riesgo bajo</v>
      </c>
      <c r="EA520" s="5" t="s">
        <v>248</v>
      </c>
      <c r="EB520" s="5">
        <f>IF(EA520="Nunca/ casi nunca",0,
IF(EA520="Rara vez",1,
IF(EA520="A veces",2,
IF(EA520="A menudo",3,
IF(EA520="Siempre",4,"")))))</f>
        <v>1</v>
      </c>
      <c r="EC520" s="5" t="s">
        <v>248</v>
      </c>
      <c r="ED520" s="5">
        <f>IF(EC520="Nunca/ casi nunca",0,
IF(EC520="Rara vez",1,
IF(EC520="A veces",2,
IF(EC520="A menudo",3,
IF(EC520="Siempre",4,"")))))</f>
        <v>1</v>
      </c>
      <c r="EE520" s="5" t="s">
        <v>248</v>
      </c>
      <c r="EF520" s="5">
        <f>IF(EE520="Nunca/ casi nunca",0,
IF(EE520="Rara vez",1,
IF(EE520="A veces",2,
IF(EE520="A menudo",3,
IF(EE520="Siempre",4,"")))))</f>
        <v>1</v>
      </c>
      <c r="EG520" s="5">
        <f>SUM(EB520,ED520,EF520)</f>
        <v>3</v>
      </c>
      <c r="EH520" s="5" t="str">
        <f>IF(EG520&lt;=1,"Nivel de riesgo bajo",
IF(EG520&lt;=4,"Nivel de riesgo medio",
"Nivel de riesgo alto"))</f>
        <v>Nivel de riesgo medio</v>
      </c>
      <c r="EI520" s="5" t="s">
        <v>253</v>
      </c>
      <c r="EJ520" s="5">
        <f>IF(EI520="Nunca/ casi nunca",0,
IF(EI520="Rara vez",1,
IF(EI520="A veces",2,
IF(EI520="A menudo",3,
IF(EI520="Siempre",4,"")))))</f>
        <v>0</v>
      </c>
      <c r="EK520" s="5" t="s">
        <v>253</v>
      </c>
      <c r="EL520" s="5">
        <f>IF(EK520="Nunca/ casi nunca",0,
IF(EK520="Rara vez",1,
IF(EK520="A veces",2,
IF(EK520="A menudo",3,
IF(EK520="Siempre",4,"")))))</f>
        <v>0</v>
      </c>
      <c r="EM520" s="5" t="s">
        <v>248</v>
      </c>
      <c r="EN520" s="5">
        <f>IF(EM520="Nunca/ casi nunca",0,
IF(EM520="Rara vez",1,
IF(EM520="A veces",2,
IF(EM520="A menudo",3,
IF(EM520="Siempre",4,"")))))</f>
        <v>1</v>
      </c>
      <c r="EO520" s="5">
        <f>SUM(EJ520,EL520,EN520)</f>
        <v>1</v>
      </c>
      <c r="EP520" s="5" t="str">
        <f>IF(EO520&lt;=1,"Nivel de riesgo bajo",
IF(EO520&lt;=5,"Nivel de riesgo medio",
"Nivel de riesgo alto"))</f>
        <v>Nivel de riesgo bajo</v>
      </c>
      <c r="EQ520" s="5" t="s">
        <v>248</v>
      </c>
      <c r="ER520" s="5">
        <f>IF(EQ520="Nunca/ casi nunca",4,
IF(EQ520="Rara vez",3,
IF(EQ520="A veces",2,
IF(EQ520="A menudo",1,
IF(EQ520="Siempre",0,"")))))</f>
        <v>3</v>
      </c>
      <c r="ES520" s="5" t="s">
        <v>253</v>
      </c>
      <c r="ET520" s="5">
        <f>IF(ES520="Nunca/ casi nunca",4,
IF(ES520="Rara vez",3,
IF(ES520="A veces",2,
IF(ES520="A menudo",1,
IF(ES520="Siempre",0,"")))))</f>
        <v>4</v>
      </c>
      <c r="EU520" s="5" t="s">
        <v>247</v>
      </c>
      <c r="EV520" s="5">
        <f>IF(EU520="Nunca/ casi nunca",4,
IF(EU520="Rara vez",3,
IF(EU520="A veces",2,
IF(EU520="A menudo",1,
IF(EU520="Siempre",0,"")))))</f>
        <v>2</v>
      </c>
      <c r="EW520" s="5" t="s">
        <v>247</v>
      </c>
      <c r="EX520" s="5">
        <f>IF(EW520="Nunca/ casi nunca",4,
IF(EW520="Rara vez",3,
IF(EW520="A veces",2,
IF(EW520="A menudo",1,
IF(EW520="Siempre",0,"")))))</f>
        <v>2</v>
      </c>
      <c r="EY520" s="5">
        <f>SUM(ER520,ET520,EV520,EX520)</f>
        <v>11</v>
      </c>
      <c r="EZ520" s="5" t="str">
        <f>IF(EY520&lt;=0,"Nivel de riesgo bajo",
IF(EY520&lt;=4,"Nivel de riesgo medio",
"Nivel de riesgo alto"))</f>
        <v>Nivel de riesgo alto</v>
      </c>
      <c r="FA520" s="5" t="s">
        <v>248</v>
      </c>
      <c r="FB520" s="5">
        <f>IF(FA520="Nunca/ casi nunca",0,
IF(FA520="Rara vez",1,
IF(FA520="A veces",2,
IF(FA520="A menudo",3,
IF(FA520="Siempre",4,"")))))</f>
        <v>1</v>
      </c>
      <c r="FC520" s="5" t="s">
        <v>248</v>
      </c>
      <c r="FD520" s="5">
        <f>IF(FC520="Nunca/ casi nunca",0,
IF(FC520="Rara vez",1,
IF(FC520="A veces",2,
IF(FC520="A menudo",3,
IF(FC520="Siempre",4,"")))))</f>
        <v>1</v>
      </c>
      <c r="FE520" s="5" t="s">
        <v>248</v>
      </c>
      <c r="FF520" s="5">
        <f>IF(FE520="Nunca/ casi nunca",0,
IF(FE520="Rara vez",1,
IF(FE520="A veces",2,
IF(FE520="A menudo",3,
IF(FE520="Siempre",4,"")))))</f>
        <v>1</v>
      </c>
      <c r="FG520" s="5">
        <f>SUM(FB520,FD520,FF520)</f>
        <v>3</v>
      </c>
      <c r="FH520" s="5" t="str">
        <f>IF(FG520&lt;=2,"Nivel de riesgo bajo",
IF(FG520&lt;=5,"Nivel de riesgo medio",
"Nivel de riesgo alto"))</f>
        <v>Nivel de riesgo medio</v>
      </c>
      <c r="FI520" s="5" t="s">
        <v>248</v>
      </c>
      <c r="FJ520" s="5">
        <f>IF(FI520="Nunca/ casi nunca",0,
IF(FI520="Rara vez",1,
IF(FI520="A veces",2,
IF(FI520="A menudo",3,
IF(FI520="Siempre",4,"")))))</f>
        <v>1</v>
      </c>
      <c r="FK520" s="5" t="s">
        <v>248</v>
      </c>
      <c r="FL520" s="5">
        <f>IF(FK520="Nunca/ casi nunca",0,
IF(FK520="Rara vez",1,
IF(FK520="A veces",2,
IF(FK520="A menudo",3,
IF(FK520="Siempre",4,"")))))</f>
        <v>1</v>
      </c>
      <c r="FM520" s="5" t="s">
        <v>248</v>
      </c>
      <c r="FN520" s="5">
        <f>IF(FM520="Nunca/ casi nunca",0,
IF(FM520="Rara vez",1,
IF(FM520="A veces",2,
IF(FM520="A menudo",3,
IF(FM520="Siempre",4,"")))))</f>
        <v>1</v>
      </c>
      <c r="FO520" s="5">
        <f>SUM(FJ520,FL520,FN520)</f>
        <v>3</v>
      </c>
      <c r="FP520" s="5" t="str">
        <f>IF(FO520&lt;=2,"Nivel de riesgo bajo",
IF(FO520&lt;=5,"Nivel de riesgo medio",
"Nivel de riesgo alto"))</f>
        <v>Nivel de riesgo medio</v>
      </c>
      <c r="FQ520" s="5" t="s">
        <v>206</v>
      </c>
      <c r="FR520" s="5">
        <f>IF(FQ520="No",0,
IF(FQ520="Sí, unas pocas veces",1,
IF(FQ520="Sí, mensualmente",2,
IF(FQ520="Sí, semanalmente",3,
IF(FQ520="Sí, diariamente",4,"")))))</f>
        <v>0</v>
      </c>
      <c r="FS520" s="5" t="s">
        <v>206</v>
      </c>
      <c r="FT520" s="5">
        <f>IF(FS520="No",0,
IF(FS520="Sí, unas pocas veces",1,
IF(FS520="Sí, mensualmente",2,
IF(FS520="Sí, semanalmente",3,
IF(FS520="Sí, diariamente",4,"")))))</f>
        <v>0</v>
      </c>
      <c r="FU520" s="5" t="s">
        <v>206</v>
      </c>
      <c r="FV520" s="5">
        <f>IF(FU520="No",0,
IF(FU520="Sí, unas pocas veces",1,
IF(FU520="Sí, mensualmente",2,
IF(FU520="Sí, semanalmente",3,
IF(FU520="Sí, diariamente",4,"")))))</f>
        <v>0</v>
      </c>
      <c r="FW520" s="5" t="s">
        <v>206</v>
      </c>
      <c r="FX520" s="5">
        <f>IF(FW520="No",0,
IF(FW520="Sí, unas pocas veces",1,
IF(FW520="Sí, mensualmente",2,
IF(FW520="Sí, semanalmente",3,
IF(FW520="Sí, diariamente",4,"")))))</f>
        <v>0</v>
      </c>
      <c r="FY520" s="5" t="s">
        <v>206</v>
      </c>
      <c r="FZ520" s="5">
        <f>IF(FY520="No",0,
IF(FY520="Sí, unas pocas veces",1,
IF(FY520="Sí, mensualmente",2,
IF(FY520="Sí, semanalmente",3,
IF(FY520="Sí, diariamente",4,"")))))</f>
        <v>0</v>
      </c>
      <c r="GA520" s="5" t="s">
        <v>206</v>
      </c>
      <c r="GB520" s="5">
        <f>IF(GA520="No",0,
IF(GA520="Sí, unas pocas veces",1,
IF(GA520="Sí, mensualmente",2,
IF(GA520="Sí, semanalmente",3,
IF(GA520="Sí, diariamente",4,"")))))</f>
        <v>0</v>
      </c>
      <c r="GC520" s="5" t="s">
        <v>206</v>
      </c>
      <c r="GD520" s="5">
        <f>IF(GC520="No",0,
IF(GC520="Sí, unas pocas veces",1,
IF(GC520="Sí, mensualmente",2,
IF(GC520="Sí, semanalmente",3,
IF(GC520="Sí, diariamente",4,"")))))</f>
        <v>0</v>
      </c>
      <c r="GE520" s="5">
        <f>SUM(FR520,FT520,FV520,FX520,FZ520,GB520,GD520)</f>
        <v>0</v>
      </c>
      <c r="GF520" s="5" t="str">
        <f>IF(GE520&lt;=0,"Nivel de riesgo bajo",
IF(GE520&lt;=14,"Nivel de riesgo medio",
"Nivel de riesgo alto"))</f>
        <v>Nivel de riesgo bajo</v>
      </c>
      <c r="GG520" s="5" t="s">
        <v>255</v>
      </c>
      <c r="GH520" s="5" t="s">
        <v>255</v>
      </c>
      <c r="GI520" s="5" t="s">
        <v>255</v>
      </c>
      <c r="GJ520" s="5" t="s">
        <v>255</v>
      </c>
      <c r="GK520" s="5" t="s">
        <v>233</v>
      </c>
      <c r="GL520" s="5" t="s">
        <v>233</v>
      </c>
      <c r="GM520" s="5" t="s">
        <v>266</v>
      </c>
      <c r="GN520" s="5" t="s">
        <v>257</v>
      </c>
      <c r="GO520" s="5" t="s">
        <v>257</v>
      </c>
      <c r="GP520" s="5" t="s">
        <v>257</v>
      </c>
      <c r="GQ520" s="5" t="s">
        <v>257</v>
      </c>
      <c r="GR520" s="5" t="s">
        <v>257</v>
      </c>
      <c r="GS520" s="5" t="s">
        <v>257</v>
      </c>
      <c r="GT520" s="5" t="s">
        <v>257</v>
      </c>
      <c r="GU520" s="5" t="s">
        <v>886</v>
      </c>
      <c r="GV520" s="5" t="str">
        <f>TEXT("6290821493427905111","0")</f>
        <v>6290821493427900000</v>
      </c>
    </row>
    <row r="521" spans="1:204" ht="15.75" customHeight="1" x14ac:dyDescent="0.15">
      <c r="A521" s="1">
        <f>ROW(A521)</f>
        <v>521</v>
      </c>
      <c r="B521" s="4">
        <v>45861.345023148147</v>
      </c>
      <c r="C521" s="5" t="s">
        <v>204</v>
      </c>
      <c r="D521" s="5" t="s">
        <v>204</v>
      </c>
      <c r="E521" s="5" t="s">
        <v>335</v>
      </c>
      <c r="F521" s="5" t="s">
        <v>204</v>
      </c>
      <c r="G521" s="5" t="s">
        <v>206</v>
      </c>
      <c r="H521" s="5" t="s">
        <v>206</v>
      </c>
      <c r="K521" s="5" t="s">
        <v>237</v>
      </c>
      <c r="O521" s="5" t="s">
        <v>209</v>
      </c>
      <c r="T521" s="5" t="s">
        <v>209</v>
      </c>
      <c r="Y521" s="5" t="s">
        <v>209</v>
      </c>
      <c r="AC521" s="5" t="s">
        <v>208</v>
      </c>
      <c r="AH521" s="5" t="s">
        <v>275</v>
      </c>
      <c r="AI521" s="5">
        <v>2020</v>
      </c>
      <c r="AJ521" s="5" t="s">
        <v>238</v>
      </c>
      <c r="AK521" s="5" t="str">
        <f>IF(OR(AJ521="Empleada del sector privado",AJ521="Empleada del sector público"),"Asalariada",
IF(AJ521="Trabajadora por cuenta propia","Trabajadora por cuenta propia",""))</f>
        <v>Trabajadora por cuenta propia</v>
      </c>
      <c r="AL521" s="5" t="s">
        <v>239</v>
      </c>
      <c r="AP521" s="5" t="s">
        <v>284</v>
      </c>
      <c r="AR521" s="5" t="s">
        <v>241</v>
      </c>
      <c r="AS521" s="5" t="s">
        <v>241</v>
      </c>
      <c r="AT521" s="5" t="s">
        <v>241</v>
      </c>
      <c r="AU521" s="5" t="s">
        <v>241</v>
      </c>
      <c r="AV521" s="5" t="s">
        <v>285</v>
      </c>
      <c r="AW521" s="5" t="s">
        <v>206</v>
      </c>
      <c r="BF521" s="5" t="s">
        <v>204</v>
      </c>
      <c r="BG521" s="5" t="s">
        <v>207</v>
      </c>
      <c r="BH521" s="5" t="s">
        <v>215</v>
      </c>
      <c r="BI521" s="5" t="s">
        <v>207</v>
      </c>
      <c r="BJ521" s="5" t="s">
        <v>215</v>
      </c>
      <c r="BK521" s="5" t="s">
        <v>244</v>
      </c>
      <c r="BL521" s="5" t="s">
        <v>244</v>
      </c>
      <c r="BM521" s="5" t="s">
        <v>244</v>
      </c>
      <c r="BN521" s="5" t="s">
        <v>244</v>
      </c>
      <c r="BO521" s="5" t="s">
        <v>244</v>
      </c>
      <c r="BP521" s="5" t="s">
        <v>244</v>
      </c>
      <c r="BQ521" s="5" t="s">
        <v>244</v>
      </c>
      <c r="BR521" s="5" t="s">
        <v>246</v>
      </c>
      <c r="BS521" s="5" t="s">
        <v>247</v>
      </c>
      <c r="BT521" s="5" t="s">
        <v>217</v>
      </c>
      <c r="BU521" s="5" t="s">
        <v>217</v>
      </c>
      <c r="BV521" s="5" t="s">
        <v>248</v>
      </c>
      <c r="BW521" s="5" t="s">
        <v>247</v>
      </c>
      <c r="BX521" s="5" t="s">
        <v>247</v>
      </c>
      <c r="BY521" s="5" t="s">
        <v>217</v>
      </c>
      <c r="CD521" s="5" t="s">
        <v>206</v>
      </c>
      <c r="CH521" s="5" t="s">
        <v>206</v>
      </c>
      <c r="CI521" s="5" t="s">
        <v>249</v>
      </c>
      <c r="CJ521" s="5">
        <v>4</v>
      </c>
      <c r="CK521" s="5" t="s">
        <v>223</v>
      </c>
      <c r="CU521" s="5" t="s">
        <v>206</v>
      </c>
      <c r="DA521" s="5" t="s">
        <v>231</v>
      </c>
      <c r="DB521" s="5">
        <f>IF(DA521="Mejor que lo habitual",1,
IF(DA521="Igual que lo habitual",2,
IF(DA521="Menos que lo habitual",3,
IF(DA521="Mucho menos que lo habitual",4,""))))</f>
        <v>2</v>
      </c>
      <c r="DC521" s="5" t="s">
        <v>230</v>
      </c>
      <c r="DD521" s="5">
        <f>IF(DC521="No, en absoluto",1,
IF(DC521="No más que lo habitual",2,
IF(DC521="Bastante más que lo habitual",3,
IF(DC521="Mucho más que lo habitual",4,""))))</f>
        <v>2</v>
      </c>
      <c r="DE521" s="5" t="s">
        <v>251</v>
      </c>
      <c r="DF521" s="5">
        <f>IF(DE521="No, en absoluto",1,
IF(DE521="No más que lo habitual",2,
IF(DE521="Bastante más que lo habitual",3,
IF(DE521="Mucho más que lo habitual",4,""))))</f>
        <v>1</v>
      </c>
      <c r="DG521" s="5" t="s">
        <v>251</v>
      </c>
      <c r="DH521" s="5">
        <f>IF(DG521="No, en absoluto",1,
IF(DG521="No más que lo habitual",2,
IF(DG521="Bastante más que lo habitual",3,
IF(DG521="Mucho más que lo habitual",4,""))))</f>
        <v>1</v>
      </c>
      <c r="DI521" s="5" t="s">
        <v>251</v>
      </c>
      <c r="DJ521" s="5">
        <f>IF(DI521="No, en absoluto",1,
IF(DI521="No más que lo habitual",2,
IF(DI521="Bastante más que lo habitual",3,
IF(DI521="Mucho más que lo habitual",4,""))))</f>
        <v>1</v>
      </c>
      <c r="DK521" s="5" t="s">
        <v>251</v>
      </c>
      <c r="DL521" s="5">
        <f>IF(DK521="No, en absoluto",1,
IF(DK521="No más que lo habitual",2,
IF(DK521="Bastante más que lo habitual",3,
IF(DK521="Mucho más que lo habitual",4,""))))</f>
        <v>1</v>
      </c>
      <c r="DM521" s="5" t="s">
        <v>251</v>
      </c>
      <c r="DN521" s="5">
        <f>IF(DM521="No, en absoluto",1,
IF(DM521="No más que lo habitual",2,
IF(DM521="Bastante más que lo habitual",3,
IF(DM521="Mucho más que lo habitual",4,""))))</f>
        <v>1</v>
      </c>
      <c r="DO521" s="5" t="s">
        <v>231</v>
      </c>
      <c r="DP521" s="5">
        <f>IF(DO521="Más que lo habitual",1,
IF(DO521="Igual que lo habitual",2,
IF(DO521="Menos que lo habitual",3,
IF(DO521="Mucho menos que lo habitual",4,""))))</f>
        <v>2</v>
      </c>
      <c r="DQ521" s="5" t="s">
        <v>281</v>
      </c>
      <c r="DR521" s="5">
        <f>IF(DQ521="Más que lo habitual",1,
IF(DQ521="Igual que lo habitual",2,
IF(DQ521="Menos que lo habitual",3,
IF(DQ521="Mucho menos que lo habitual",4,""))))</f>
        <v>1</v>
      </c>
      <c r="DS521" s="5" t="s">
        <v>231</v>
      </c>
      <c r="DT521" s="5">
        <f>IF(DS521="Más que lo habitual",1,
IF(DS521="Igual que lo habitual",2,
IF(DS521="Menos que lo habitual",3,
IF(DS521="Mucho menos que lo habitual",4,""))))</f>
        <v>2</v>
      </c>
      <c r="DU521" s="5" t="s">
        <v>281</v>
      </c>
      <c r="DV521" s="5">
        <f>IF(DU521="Más que lo habitual",1,
IF(DU521="Igual que lo habitual",2,
IF(DU521="Menos que lo habitual",3,
IF(DU521="Mucho menos que lo habitual",4,""))))</f>
        <v>1</v>
      </c>
      <c r="DW521" s="5" t="s">
        <v>281</v>
      </c>
      <c r="DX521" s="5">
        <f>IF(DW521="Más que lo habitual",1,
IF(DW521="Igual que lo habitual",2,
IF(DW521="Menos que lo habitual",3,
IF(DW521="Mucho menos que lo habitual",4,""))))</f>
        <v>1</v>
      </c>
      <c r="DY521" s="5">
        <f>SUM(DB521,DD521,DF521,DH521,DJ521,DL521,DN521,DP521,DR521,DT521,DV521,DX521)</f>
        <v>16</v>
      </c>
      <c r="DZ521" s="5" t="str">
        <f>IF(DY521&lt;=18,"Nivel de riesgo bajo",
IF(DY521&lt;=23,"Nivel de riesgo medio",
"Nivel de riesgo alto"))</f>
        <v>Nivel de riesgo bajo</v>
      </c>
      <c r="EA521" s="5" t="s">
        <v>247</v>
      </c>
      <c r="EB521" s="5">
        <f>IF(EA521="Nunca/ casi nunca",0,
IF(EA521="Rara vez",1,
IF(EA521="A veces",2,
IF(EA521="A menudo",3,
IF(EA521="Siempre",4,"")))))</f>
        <v>2</v>
      </c>
      <c r="EC521" s="5" t="s">
        <v>248</v>
      </c>
      <c r="ED521" s="5">
        <f>IF(EC521="Nunca/ casi nunca",0,
IF(EC521="Rara vez",1,
IF(EC521="A veces",2,
IF(EC521="A menudo",3,
IF(EC521="Siempre",4,"")))))</f>
        <v>1</v>
      </c>
      <c r="EE521" s="5" t="s">
        <v>253</v>
      </c>
      <c r="EF521" s="5">
        <f>IF(EE521="Nunca/ casi nunca",0,
IF(EE521="Rara vez",1,
IF(EE521="A veces",2,
IF(EE521="A menudo",3,
IF(EE521="Siempre",4,"")))))</f>
        <v>0</v>
      </c>
      <c r="EG521" s="5">
        <f>SUM(EB521,ED521,EF521)</f>
        <v>3</v>
      </c>
      <c r="EH521" s="5" t="str">
        <f>IF(EG521&lt;=1,"Nivel de riesgo bajo",
IF(EG521&lt;=4,"Nivel de riesgo medio",
"Nivel de riesgo alto"))</f>
        <v>Nivel de riesgo medio</v>
      </c>
      <c r="EI521" s="5" t="s">
        <v>253</v>
      </c>
      <c r="EJ521" s="5">
        <f>IF(EI521="Nunca/ casi nunca",0,
IF(EI521="Rara vez",1,
IF(EI521="A veces",2,
IF(EI521="A menudo",3,
IF(EI521="Siempre",4,"")))))</f>
        <v>0</v>
      </c>
      <c r="EK521" s="5" t="s">
        <v>248</v>
      </c>
      <c r="EL521" s="5">
        <f>IF(EK521="Nunca/ casi nunca",0,
IF(EK521="Rara vez",1,
IF(EK521="A veces",2,
IF(EK521="A menudo",3,
IF(EK521="Siempre",4,"")))))</f>
        <v>1</v>
      </c>
      <c r="EM521" s="5" t="s">
        <v>254</v>
      </c>
      <c r="EN521" s="5">
        <f>IF(EM521="Nunca/ casi nunca",0,
IF(EM521="Rara vez",1,
IF(EM521="A veces",2,
IF(EM521="A menudo",3,
IF(EM521="Siempre",4,"")))))</f>
        <v>4</v>
      </c>
      <c r="EO521" s="5">
        <f>SUM(EJ521,EL521,EN521)</f>
        <v>5</v>
      </c>
      <c r="EP521" s="5" t="str">
        <f>IF(EO521&lt;=1,"Nivel de riesgo bajo",
IF(EO521&lt;=5,"Nivel de riesgo medio",
"Nivel de riesgo alto"))</f>
        <v>Nivel de riesgo medio</v>
      </c>
      <c r="EQ521" s="5" t="s">
        <v>253</v>
      </c>
      <c r="ER521" s="5">
        <f>IF(EQ521="Nunca/ casi nunca",4,
IF(EQ521="Rara vez",3,
IF(EQ521="A veces",2,
IF(EQ521="A menudo",1,
IF(EQ521="Siempre",0,"")))))</f>
        <v>4</v>
      </c>
      <c r="ES521" s="5" t="s">
        <v>254</v>
      </c>
      <c r="ET521" s="5">
        <f>IF(ES521="Nunca/ casi nunca",4,
IF(ES521="Rara vez",3,
IF(ES521="A veces",2,
IF(ES521="A menudo",1,
IF(ES521="Siempre",0,"")))))</f>
        <v>0</v>
      </c>
      <c r="EU521" s="5" t="s">
        <v>254</v>
      </c>
      <c r="EV521" s="5">
        <f>IF(EU521="Nunca/ casi nunca",4,
IF(EU521="Rara vez",3,
IF(EU521="A veces",2,
IF(EU521="A menudo",1,
IF(EU521="Siempre",0,"")))))</f>
        <v>0</v>
      </c>
      <c r="EW521" s="5" t="s">
        <v>254</v>
      </c>
      <c r="EX521" s="5">
        <f>IF(EW521="Nunca/ casi nunca",4,
IF(EW521="Rara vez",3,
IF(EW521="A veces",2,
IF(EW521="A menudo",1,
IF(EW521="Siempre",0,"")))))</f>
        <v>0</v>
      </c>
      <c r="EY521" s="5">
        <f>SUM(ER521,ET521,EV521,EX521)</f>
        <v>4</v>
      </c>
      <c r="EZ521" s="5" t="str">
        <f>IF(EY521&lt;=0,"Nivel de riesgo bajo",
IF(EY521&lt;=4,"Nivel de riesgo medio",
"Nivel de riesgo alto"))</f>
        <v>Nivel de riesgo medio</v>
      </c>
      <c r="FA521" s="5" t="s">
        <v>248</v>
      </c>
      <c r="FB521" s="5">
        <f>IF(FA521="Nunca/ casi nunca",0,
IF(FA521="Rara vez",1,
IF(FA521="A veces",2,
IF(FA521="A menudo",3,
IF(FA521="Siempre",4,"")))))</f>
        <v>1</v>
      </c>
      <c r="FC521" s="5" t="s">
        <v>253</v>
      </c>
      <c r="FD521" s="5">
        <f>IF(FC521="Nunca/ casi nunca",0,
IF(FC521="Rara vez",1,
IF(FC521="A veces",2,
IF(FC521="A menudo",3,
IF(FC521="Siempre",4,"")))))</f>
        <v>0</v>
      </c>
      <c r="FE521" s="5" t="s">
        <v>253</v>
      </c>
      <c r="FF521" s="5">
        <f>IF(FE521="Nunca/ casi nunca",0,
IF(FE521="Rara vez",1,
IF(FE521="A veces",2,
IF(FE521="A menudo",3,
IF(FE521="Siempre",4,"")))))</f>
        <v>0</v>
      </c>
      <c r="FG521" s="5">
        <f>SUM(FB521,FD521,FF521)</f>
        <v>1</v>
      </c>
      <c r="FH521" s="5" t="str">
        <f>IF(FG521&lt;=2,"Nivel de riesgo bajo",
IF(FG521&lt;=5,"Nivel de riesgo medio",
"Nivel de riesgo alto"))</f>
        <v>Nivel de riesgo bajo</v>
      </c>
      <c r="FI521" s="5" t="s">
        <v>253</v>
      </c>
      <c r="FJ521" s="5">
        <f>IF(FI521="Nunca/ casi nunca",0,
IF(FI521="Rara vez",1,
IF(FI521="A veces",2,
IF(FI521="A menudo",3,
IF(FI521="Siempre",4,"")))))</f>
        <v>0</v>
      </c>
      <c r="FK521" s="5" t="s">
        <v>253</v>
      </c>
      <c r="FL521" s="5">
        <f>IF(FK521="Nunca/ casi nunca",0,
IF(FK521="Rara vez",1,
IF(FK521="A veces",2,
IF(FK521="A menudo",3,
IF(FK521="Siempre",4,"")))))</f>
        <v>0</v>
      </c>
      <c r="FM521" s="5" t="s">
        <v>253</v>
      </c>
      <c r="FN521" s="5">
        <f>IF(FM521="Nunca/ casi nunca",0,
IF(FM521="Rara vez",1,
IF(FM521="A veces",2,
IF(FM521="A menudo",3,
IF(FM521="Siempre",4,"")))))</f>
        <v>0</v>
      </c>
      <c r="FO521" s="5">
        <f>SUM(FJ521,FL521,FN521)</f>
        <v>0</v>
      </c>
      <c r="FP521" s="5" t="str">
        <f>IF(FO521&lt;=2,"Nivel de riesgo bajo",
IF(FO521&lt;=5,"Nivel de riesgo medio",
"Nivel de riesgo alto"))</f>
        <v>Nivel de riesgo bajo</v>
      </c>
      <c r="FQ521" s="5" t="s">
        <v>206</v>
      </c>
      <c r="FR521" s="5">
        <f>IF(FQ521="No",0,
IF(FQ521="Sí, unas pocas veces",1,
IF(FQ521="Sí, mensualmente",2,
IF(FQ521="Sí, semanalmente",3,
IF(FQ521="Sí, diariamente",4,"")))))</f>
        <v>0</v>
      </c>
      <c r="FS521" s="5" t="s">
        <v>206</v>
      </c>
      <c r="FT521" s="5">
        <f>IF(FS521="No",0,
IF(FS521="Sí, unas pocas veces",1,
IF(FS521="Sí, mensualmente",2,
IF(FS521="Sí, semanalmente",3,
IF(FS521="Sí, diariamente",4,"")))))</f>
        <v>0</v>
      </c>
      <c r="FU521" s="5" t="s">
        <v>206</v>
      </c>
      <c r="FV521" s="5">
        <f>IF(FU521="No",0,
IF(FU521="Sí, unas pocas veces",1,
IF(FU521="Sí, mensualmente",2,
IF(FU521="Sí, semanalmente",3,
IF(FU521="Sí, diariamente",4,"")))))</f>
        <v>0</v>
      </c>
      <c r="FW521" s="5" t="s">
        <v>206</v>
      </c>
      <c r="FX521" s="5">
        <f>IF(FW521="No",0,
IF(FW521="Sí, unas pocas veces",1,
IF(FW521="Sí, mensualmente",2,
IF(FW521="Sí, semanalmente",3,
IF(FW521="Sí, diariamente",4,"")))))</f>
        <v>0</v>
      </c>
      <c r="FY521" s="5" t="s">
        <v>206</v>
      </c>
      <c r="FZ521" s="5">
        <f>IF(FY521="No",0,
IF(FY521="Sí, unas pocas veces",1,
IF(FY521="Sí, mensualmente",2,
IF(FY521="Sí, semanalmente",3,
IF(FY521="Sí, diariamente",4,"")))))</f>
        <v>0</v>
      </c>
      <c r="GA521" s="5" t="s">
        <v>206</v>
      </c>
      <c r="GB521" s="5">
        <f>IF(GA521="No",0,
IF(GA521="Sí, unas pocas veces",1,
IF(GA521="Sí, mensualmente",2,
IF(GA521="Sí, semanalmente",3,
IF(GA521="Sí, diariamente",4,"")))))</f>
        <v>0</v>
      </c>
      <c r="GC521" s="5" t="s">
        <v>206</v>
      </c>
      <c r="GD521" s="5">
        <f>IF(GC521="No",0,
IF(GC521="Sí, unas pocas veces",1,
IF(GC521="Sí, mensualmente",2,
IF(GC521="Sí, semanalmente",3,
IF(GC521="Sí, diariamente",4,"")))))</f>
        <v>0</v>
      </c>
      <c r="GE521" s="5">
        <f>SUM(FR521,FT521,FV521,FX521,FZ521,GB521,GD521)</f>
        <v>0</v>
      </c>
      <c r="GF521" s="5" t="str">
        <f>IF(GE521&lt;=0,"Nivel de riesgo bajo",
IF(GE521&lt;=14,"Nivel de riesgo medio",
"Nivel de riesgo alto"))</f>
        <v>Nivel de riesgo bajo</v>
      </c>
      <c r="GG521" s="5" t="s">
        <v>255</v>
      </c>
      <c r="GH521" s="5" t="s">
        <v>233</v>
      </c>
      <c r="GI521" s="5" t="s">
        <v>255</v>
      </c>
      <c r="GJ521" s="5" t="s">
        <v>255</v>
      </c>
      <c r="GK521" s="5" t="s">
        <v>233</v>
      </c>
      <c r="GL521" s="5" t="s">
        <v>273</v>
      </c>
      <c r="GM521" s="5" t="s">
        <v>273</v>
      </c>
      <c r="GN521" s="5" t="s">
        <v>234</v>
      </c>
      <c r="GO521" s="5" t="s">
        <v>243</v>
      </c>
      <c r="GP521" s="5" t="s">
        <v>243</v>
      </c>
      <c r="GQ521" s="5" t="s">
        <v>243</v>
      </c>
      <c r="GR521" s="5" t="s">
        <v>243</v>
      </c>
      <c r="GS521" s="5" t="s">
        <v>243</v>
      </c>
      <c r="GT521" s="5" t="s">
        <v>243</v>
      </c>
      <c r="GU521" s="5" t="s">
        <v>887</v>
      </c>
      <c r="GV521" s="5" t="str">
        <f>TEXT("6290822100358681992","0")</f>
        <v>6290822100358680000</v>
      </c>
    </row>
    <row r="522" spans="1:204" ht="15.75" hidden="1" customHeight="1" x14ac:dyDescent="0.15">
      <c r="B522" s="4">
        <v>45861.395925925928</v>
      </c>
      <c r="C522" s="5" t="s">
        <v>206</v>
      </c>
      <c r="GV522" s="5" t="str">
        <f>TEXT("6290866083011368287","0")</f>
        <v>6290866083011360000</v>
      </c>
    </row>
    <row r="523" spans="1:204" ht="15.75" customHeight="1" x14ac:dyDescent="0.15">
      <c r="A523" s="1">
        <f t="shared" ref="A523:A532" si="1632">ROW(A523)</f>
        <v>523</v>
      </c>
      <c r="B523" s="4">
        <v>45861.404143518521</v>
      </c>
      <c r="C523" s="5" t="s">
        <v>204</v>
      </c>
      <c r="D523" s="5" t="s">
        <v>204</v>
      </c>
      <c r="E523" s="5" t="s">
        <v>335</v>
      </c>
      <c r="F523" s="5" t="s">
        <v>206</v>
      </c>
      <c r="G523" s="5" t="s">
        <v>206</v>
      </c>
      <c r="H523" s="5" t="s">
        <v>206</v>
      </c>
      <c r="J523" s="5" t="s">
        <v>209</v>
      </c>
      <c r="N523" s="5" t="s">
        <v>208</v>
      </c>
      <c r="S523" s="5" t="s">
        <v>208</v>
      </c>
      <c r="Y523" s="5" t="s">
        <v>209</v>
      </c>
      <c r="AD523" s="5" t="s">
        <v>209</v>
      </c>
      <c r="AH523" s="5" t="s">
        <v>888</v>
      </c>
      <c r="AI523" s="5">
        <v>2020</v>
      </c>
      <c r="AJ523" s="5" t="s">
        <v>238</v>
      </c>
      <c r="AK523" s="5" t="str">
        <f t="shared" ref="AK523:AK532" si="1633">IF(OR(AJ523="Empleada del sector privado",AJ523="Empleada del sector público"),"Asalariada",
IF(AJ523="Trabajadora por cuenta propia","Trabajadora por cuenta propia",""))</f>
        <v>Trabajadora por cuenta propia</v>
      </c>
      <c r="AL523" s="5" t="s">
        <v>239</v>
      </c>
      <c r="AP523" s="5" t="s">
        <v>240</v>
      </c>
      <c r="AR523" s="5" t="s">
        <v>276</v>
      </c>
      <c r="AS523" s="5" t="s">
        <v>276</v>
      </c>
      <c r="AT523" s="5" t="s">
        <v>276</v>
      </c>
      <c r="AU523" s="5" t="s">
        <v>276</v>
      </c>
      <c r="AV523" s="5" t="s">
        <v>285</v>
      </c>
      <c r="AW523" s="5" t="s">
        <v>204</v>
      </c>
      <c r="AX523" s="5" t="s">
        <v>204</v>
      </c>
      <c r="AY523" s="5" t="s">
        <v>366</v>
      </c>
      <c r="AZ523" s="5" t="s">
        <v>204</v>
      </c>
      <c r="BA523" s="5" t="s">
        <v>295</v>
      </c>
      <c r="BB523" s="5" t="s">
        <v>206</v>
      </c>
      <c r="BC523" s="5" t="s">
        <v>206</v>
      </c>
      <c r="BD523" s="5" t="s">
        <v>206</v>
      </c>
      <c r="BE523" s="5" t="s">
        <v>206</v>
      </c>
      <c r="BF523" s="5" t="s">
        <v>204</v>
      </c>
      <c r="BG523" s="5" t="s">
        <v>242</v>
      </c>
      <c r="BH523" s="5" t="s">
        <v>242</v>
      </c>
      <c r="BI523" s="5" t="s">
        <v>242</v>
      </c>
      <c r="BJ523" s="5" t="s">
        <v>242</v>
      </c>
      <c r="BK523" s="5" t="s">
        <v>246</v>
      </c>
      <c r="BL523" s="5" t="s">
        <v>243</v>
      </c>
      <c r="BM523" s="5" t="s">
        <v>243</v>
      </c>
      <c r="BN523" s="5" t="s">
        <v>244</v>
      </c>
      <c r="BO523" s="5" t="s">
        <v>216</v>
      </c>
      <c r="BP523" s="5" t="s">
        <v>246</v>
      </c>
      <c r="BQ523" s="5" t="s">
        <v>244</v>
      </c>
      <c r="BR523" s="5" t="s">
        <v>243</v>
      </c>
      <c r="BS523" s="5" t="s">
        <v>247</v>
      </c>
      <c r="BT523" s="5" t="s">
        <v>232</v>
      </c>
      <c r="BU523" s="5" t="s">
        <v>254</v>
      </c>
      <c r="BV523" s="5" t="s">
        <v>248</v>
      </c>
      <c r="BW523" s="5" t="s">
        <v>254</v>
      </c>
      <c r="BX523" s="5" t="s">
        <v>254</v>
      </c>
      <c r="BY523" s="5" t="s">
        <v>254</v>
      </c>
      <c r="BZ523" s="5" t="s">
        <v>243</v>
      </c>
      <c r="CA523" s="5" t="s">
        <v>244</v>
      </c>
      <c r="CB523" s="5" t="s">
        <v>216</v>
      </c>
      <c r="CC523" s="5" t="s">
        <v>216</v>
      </c>
      <c r="CD523" s="5" t="s">
        <v>206</v>
      </c>
      <c r="CH523" s="5" t="s">
        <v>420</v>
      </c>
      <c r="CI523" s="5" t="s">
        <v>291</v>
      </c>
      <c r="CJ523" s="5">
        <v>2</v>
      </c>
      <c r="CK523" s="5" t="s">
        <v>223</v>
      </c>
      <c r="CU523" s="5" t="s">
        <v>206</v>
      </c>
      <c r="DA523" s="5" t="s">
        <v>252</v>
      </c>
      <c r="DB523" s="5">
        <f t="shared" ref="DB523:DB532" si="1634">IF(DA523="Mejor que lo habitual",1,
IF(DA523="Igual que lo habitual",2,
IF(DA523="Menos que lo habitual",3,
IF(DA523="Mucho menos que lo habitual",4,""))))</f>
        <v>3</v>
      </c>
      <c r="DC523" s="5" t="s">
        <v>230</v>
      </c>
      <c r="DD523" s="5">
        <f t="shared" ref="DD523:DD532" si="1635">IF(DC523="No, en absoluto",1,
IF(DC523="No más que lo habitual",2,
IF(DC523="Bastante más que lo habitual",3,
IF(DC523="Mucho más que lo habitual",4,""))))</f>
        <v>2</v>
      </c>
      <c r="DE523" s="5" t="s">
        <v>230</v>
      </c>
      <c r="DF523" s="5">
        <f t="shared" ref="DF523:DF532" si="1636">IF(DE523="No, en absoluto",1,
IF(DE523="No más que lo habitual",2,
IF(DE523="Bastante más que lo habitual",3,
IF(DE523="Mucho más que lo habitual",4,""))))</f>
        <v>2</v>
      </c>
      <c r="DG523" s="5" t="s">
        <v>230</v>
      </c>
      <c r="DH523" s="5">
        <f t="shared" ref="DH523:DH532" si="1637">IF(DG523="No, en absoluto",1,
IF(DG523="No más que lo habitual",2,
IF(DG523="Bastante más que lo habitual",3,
IF(DG523="Mucho más que lo habitual",4,""))))</f>
        <v>2</v>
      </c>
      <c r="DI523" s="5" t="s">
        <v>230</v>
      </c>
      <c r="DJ523" s="5">
        <f t="shared" ref="DJ523:DJ532" si="1638">IF(DI523="No, en absoluto",1,
IF(DI523="No más que lo habitual",2,
IF(DI523="Bastante más que lo habitual",3,
IF(DI523="Mucho más que lo habitual",4,""))))</f>
        <v>2</v>
      </c>
      <c r="DK523" s="5" t="s">
        <v>230</v>
      </c>
      <c r="DL523" s="5">
        <f t="shared" ref="DL523:DL532" si="1639">IF(DK523="No, en absoluto",1,
IF(DK523="No más que lo habitual",2,
IF(DK523="Bastante más que lo habitual",3,
IF(DK523="Mucho más que lo habitual",4,""))))</f>
        <v>2</v>
      </c>
      <c r="DM523" s="5" t="s">
        <v>251</v>
      </c>
      <c r="DN523" s="5">
        <f t="shared" ref="DN523:DN532" si="1640">IF(DM523="No, en absoluto",1,
IF(DM523="No más que lo habitual",2,
IF(DM523="Bastante más que lo habitual",3,
IF(DM523="Mucho más que lo habitual",4,""))))</f>
        <v>1</v>
      </c>
      <c r="DO523" s="5" t="s">
        <v>231</v>
      </c>
      <c r="DP523" s="5">
        <f t="shared" ref="DP523:DP532" si="1641">IF(DO523="Más que lo habitual",1,
IF(DO523="Igual que lo habitual",2,
IF(DO523="Menos que lo habitual",3,
IF(DO523="Mucho menos que lo habitual",4,""))))</f>
        <v>2</v>
      </c>
      <c r="DQ523" s="5" t="s">
        <v>281</v>
      </c>
      <c r="DR523" s="5">
        <f t="shared" ref="DR523:DR532" si="1642">IF(DQ523="Más que lo habitual",1,
IF(DQ523="Igual que lo habitual",2,
IF(DQ523="Menos que lo habitual",3,
IF(DQ523="Mucho menos que lo habitual",4,""))))</f>
        <v>1</v>
      </c>
      <c r="DS523" s="5" t="s">
        <v>231</v>
      </c>
      <c r="DT523" s="5">
        <f t="shared" ref="DT523:DT532" si="1643">IF(DS523="Más que lo habitual",1,
IF(DS523="Igual que lo habitual",2,
IF(DS523="Menos que lo habitual",3,
IF(DS523="Mucho menos que lo habitual",4,""))))</f>
        <v>2</v>
      </c>
      <c r="DU523" s="5" t="s">
        <v>231</v>
      </c>
      <c r="DV523" s="5">
        <f t="shared" ref="DV523:DV532" si="1644">IF(DU523="Más que lo habitual",1,
IF(DU523="Igual que lo habitual",2,
IF(DU523="Menos que lo habitual",3,
IF(DU523="Mucho menos que lo habitual",4,""))))</f>
        <v>2</v>
      </c>
      <c r="DW523" s="5" t="s">
        <v>231</v>
      </c>
      <c r="DX523" s="5">
        <f t="shared" ref="DX523:DX532" si="1645">IF(DW523="Más que lo habitual",1,
IF(DW523="Igual que lo habitual",2,
IF(DW523="Menos que lo habitual",3,
IF(DW523="Mucho menos que lo habitual",4,""))))</f>
        <v>2</v>
      </c>
      <c r="DY523" s="5">
        <f t="shared" ref="DY523:DY532" si="1646">SUM(DB523,DD523,DF523,DH523,DJ523,DL523,DN523,DP523,DR523,DT523,DV523,DX523)</f>
        <v>23</v>
      </c>
      <c r="DZ523" s="5" t="str">
        <f t="shared" ref="DZ523:DZ532" si="1647">IF(DY523&lt;=18,"Nivel de riesgo bajo",
IF(DY523&lt;=23,"Nivel de riesgo medio",
"Nivel de riesgo alto"))</f>
        <v>Nivel de riesgo medio</v>
      </c>
      <c r="EA523" s="5" t="s">
        <v>254</v>
      </c>
      <c r="EB523" s="5">
        <f t="shared" ref="EB523:EB532" si="1648">IF(EA523="Nunca/ casi nunca",0,
IF(EA523="Rara vez",1,
IF(EA523="A veces",2,
IF(EA523="A menudo",3,
IF(EA523="Siempre",4,"")))))</f>
        <v>4</v>
      </c>
      <c r="EC523" s="5" t="s">
        <v>254</v>
      </c>
      <c r="ED523" s="5">
        <f t="shared" ref="ED523:ED532" si="1649">IF(EC523="Nunca/ casi nunca",0,
IF(EC523="Rara vez",1,
IF(EC523="A veces",2,
IF(EC523="A menudo",3,
IF(EC523="Siempre",4,"")))))</f>
        <v>4</v>
      </c>
      <c r="EE523" s="5" t="s">
        <v>254</v>
      </c>
      <c r="EF523" s="5">
        <f t="shared" ref="EF523:EF532" si="1650">IF(EE523="Nunca/ casi nunca",0,
IF(EE523="Rara vez",1,
IF(EE523="A veces",2,
IF(EE523="A menudo",3,
IF(EE523="Siempre",4,"")))))</f>
        <v>4</v>
      </c>
      <c r="EG523" s="5">
        <f t="shared" ref="EG523:EG532" si="1651">SUM(EB523,ED523,EF523)</f>
        <v>12</v>
      </c>
      <c r="EH523" s="5" t="str">
        <f t="shared" ref="EH523:EH532" si="1652">IF(EG523&lt;=1,"Nivel de riesgo bajo",
IF(EG523&lt;=4,"Nivel de riesgo medio",
"Nivel de riesgo alto"))</f>
        <v>Nivel de riesgo alto</v>
      </c>
      <c r="EI523" s="5" t="s">
        <v>247</v>
      </c>
      <c r="EJ523" s="5">
        <f t="shared" ref="EJ523:EJ532" si="1653">IF(EI523="Nunca/ casi nunca",0,
IF(EI523="Rara vez",1,
IF(EI523="A veces",2,
IF(EI523="A menudo",3,
IF(EI523="Siempre",4,"")))))</f>
        <v>2</v>
      </c>
      <c r="EK523" s="5" t="s">
        <v>247</v>
      </c>
      <c r="EL523" s="5">
        <f t="shared" ref="EL523:EL532" si="1654">IF(EK523="Nunca/ casi nunca",0,
IF(EK523="Rara vez",1,
IF(EK523="A veces",2,
IF(EK523="A menudo",3,
IF(EK523="Siempre",4,"")))))</f>
        <v>2</v>
      </c>
      <c r="EM523" s="5" t="s">
        <v>247</v>
      </c>
      <c r="EN523" s="5">
        <f t="shared" ref="EN523:EN532" si="1655">IF(EM523="Nunca/ casi nunca",0,
IF(EM523="Rara vez",1,
IF(EM523="A veces",2,
IF(EM523="A menudo",3,
IF(EM523="Siempre",4,"")))))</f>
        <v>2</v>
      </c>
      <c r="EO523" s="5">
        <f t="shared" ref="EO523:EO532" si="1656">SUM(EJ523,EL523,EN523)</f>
        <v>6</v>
      </c>
      <c r="EP523" s="5" t="str">
        <f t="shared" ref="EP523:EP532" si="1657">IF(EO523&lt;=1,"Nivel de riesgo bajo",
IF(EO523&lt;=5,"Nivel de riesgo medio",
"Nivel de riesgo alto"))</f>
        <v>Nivel de riesgo alto</v>
      </c>
      <c r="EQ523" s="5" t="s">
        <v>253</v>
      </c>
      <c r="ER523" s="5">
        <f t="shared" ref="ER523:ER532" si="1658">IF(EQ523="Nunca/ casi nunca",4,
IF(EQ523="Rara vez",3,
IF(EQ523="A veces",2,
IF(EQ523="A menudo",1,
IF(EQ523="Siempre",0,"")))))</f>
        <v>4</v>
      </c>
      <c r="ES523" s="5" t="s">
        <v>247</v>
      </c>
      <c r="ET523" s="5">
        <f t="shared" ref="ET523:ET532" si="1659">IF(ES523="Nunca/ casi nunca",4,
IF(ES523="Rara vez",3,
IF(ES523="A veces",2,
IF(ES523="A menudo",1,
IF(ES523="Siempre",0,"")))))</f>
        <v>2</v>
      </c>
      <c r="EU523" s="5" t="s">
        <v>232</v>
      </c>
      <c r="EV523" s="5">
        <f t="shared" ref="EV523:EV532" si="1660">IF(EU523="Nunca/ casi nunca",4,
IF(EU523="Rara vez",3,
IF(EU523="A veces",2,
IF(EU523="A menudo",1,
IF(EU523="Siempre",0,"")))))</f>
        <v>1</v>
      </c>
      <c r="EW523" s="5" t="s">
        <v>253</v>
      </c>
      <c r="EX523" s="5">
        <f t="shared" ref="EX523:EX532" si="1661">IF(EW523="Nunca/ casi nunca",4,
IF(EW523="Rara vez",3,
IF(EW523="A veces",2,
IF(EW523="A menudo",1,
IF(EW523="Siempre",0,"")))))</f>
        <v>4</v>
      </c>
      <c r="EY523" s="5">
        <f t="shared" ref="EY523:EY532" si="1662">SUM(ER523,ET523,EV523,EX523)</f>
        <v>11</v>
      </c>
      <c r="EZ523" s="5" t="str">
        <f t="shared" ref="EZ523:EZ532" si="1663">IF(EY523&lt;=0,"Nivel de riesgo bajo",
IF(EY523&lt;=4,"Nivel de riesgo medio",
"Nivel de riesgo alto"))</f>
        <v>Nivel de riesgo alto</v>
      </c>
      <c r="FA523" s="5" t="s">
        <v>253</v>
      </c>
      <c r="FB523" s="5">
        <f t="shared" ref="FB523:FB532" si="1664">IF(FA523="Nunca/ casi nunca",0,
IF(FA523="Rara vez",1,
IF(FA523="A veces",2,
IF(FA523="A menudo",3,
IF(FA523="Siempre",4,"")))))</f>
        <v>0</v>
      </c>
      <c r="FC523" s="5" t="s">
        <v>253</v>
      </c>
      <c r="FD523" s="5">
        <f t="shared" ref="FD523:FD532" si="1665">IF(FC523="Nunca/ casi nunca",0,
IF(FC523="Rara vez",1,
IF(FC523="A veces",2,
IF(FC523="A menudo",3,
IF(FC523="Siempre",4,"")))))</f>
        <v>0</v>
      </c>
      <c r="FE523" s="5" t="s">
        <v>248</v>
      </c>
      <c r="FF523" s="5">
        <f t="shared" ref="FF523:FF532" si="1666">IF(FE523="Nunca/ casi nunca",0,
IF(FE523="Rara vez",1,
IF(FE523="A veces",2,
IF(FE523="A menudo",3,
IF(FE523="Siempre",4,"")))))</f>
        <v>1</v>
      </c>
      <c r="FG523" s="5">
        <f t="shared" ref="FG523:FG532" si="1667">SUM(FB523,FD523,FF523)</f>
        <v>1</v>
      </c>
      <c r="FH523" s="5" t="str">
        <f t="shared" ref="FH523:FH532" si="1668">IF(FG523&lt;=2,"Nivel de riesgo bajo",
IF(FG523&lt;=5,"Nivel de riesgo medio",
"Nivel de riesgo alto"))</f>
        <v>Nivel de riesgo bajo</v>
      </c>
      <c r="FI523" s="5" t="s">
        <v>254</v>
      </c>
      <c r="FJ523" s="5">
        <f t="shared" ref="FJ523:FJ532" si="1669">IF(FI523="Nunca/ casi nunca",0,
IF(FI523="Rara vez",1,
IF(FI523="A veces",2,
IF(FI523="A menudo",3,
IF(FI523="Siempre",4,"")))))</f>
        <v>4</v>
      </c>
      <c r="FK523" s="5" t="s">
        <v>232</v>
      </c>
      <c r="FL523" s="5">
        <f t="shared" ref="FL523:FL532" si="1670">IF(FK523="Nunca/ casi nunca",0,
IF(FK523="Rara vez",1,
IF(FK523="A veces",2,
IF(FK523="A menudo",3,
IF(FK523="Siempre",4,"")))))</f>
        <v>3</v>
      </c>
      <c r="FM523" s="5" t="s">
        <v>254</v>
      </c>
      <c r="FN523" s="5">
        <f t="shared" ref="FN523:FN532" si="1671">IF(FM523="Nunca/ casi nunca",0,
IF(FM523="Rara vez",1,
IF(FM523="A veces",2,
IF(FM523="A menudo",3,
IF(FM523="Siempre",4,"")))))</f>
        <v>4</v>
      </c>
      <c r="FO523" s="5">
        <f t="shared" ref="FO523:FO532" si="1672">SUM(FJ523,FL523,FN523)</f>
        <v>11</v>
      </c>
      <c r="FP523" s="5" t="str">
        <f t="shared" ref="FP523:FP532" si="1673">IF(FO523&lt;=2,"Nivel de riesgo bajo",
IF(FO523&lt;=5,"Nivel de riesgo medio",
"Nivel de riesgo alto"))</f>
        <v>Nivel de riesgo alto</v>
      </c>
      <c r="FQ523" s="5" t="s">
        <v>206</v>
      </c>
      <c r="FR523" s="5">
        <f t="shared" ref="FR523:FR532" si="1674">IF(FQ523="No",0,
IF(FQ523="Sí, unas pocas veces",1,
IF(FQ523="Sí, mensualmente",2,
IF(FQ523="Sí, semanalmente",3,
IF(FQ523="Sí, diariamente",4,"")))))</f>
        <v>0</v>
      </c>
      <c r="FS523" s="5" t="s">
        <v>206</v>
      </c>
      <c r="FT523" s="5">
        <f t="shared" ref="FT523:FT532" si="1675">IF(FS523="No",0,
IF(FS523="Sí, unas pocas veces",1,
IF(FS523="Sí, mensualmente",2,
IF(FS523="Sí, semanalmente",3,
IF(FS523="Sí, diariamente",4,"")))))</f>
        <v>0</v>
      </c>
      <c r="FU523" s="5" t="s">
        <v>206</v>
      </c>
      <c r="FV523" s="5">
        <f t="shared" ref="FV523:FV532" si="1676">IF(FU523="No",0,
IF(FU523="Sí, unas pocas veces",1,
IF(FU523="Sí, mensualmente",2,
IF(FU523="Sí, semanalmente",3,
IF(FU523="Sí, diariamente",4,"")))))</f>
        <v>0</v>
      </c>
      <c r="FW523" s="5" t="s">
        <v>206</v>
      </c>
      <c r="FX523" s="5">
        <f t="shared" ref="FX523:FX532" si="1677">IF(FW523="No",0,
IF(FW523="Sí, unas pocas veces",1,
IF(FW523="Sí, mensualmente",2,
IF(FW523="Sí, semanalmente",3,
IF(FW523="Sí, diariamente",4,"")))))</f>
        <v>0</v>
      </c>
      <c r="FY523" s="5" t="s">
        <v>206</v>
      </c>
      <c r="FZ523" s="5">
        <f t="shared" ref="FZ523:FZ532" si="1678">IF(FY523="No",0,
IF(FY523="Sí, unas pocas veces",1,
IF(FY523="Sí, mensualmente",2,
IF(FY523="Sí, semanalmente",3,
IF(FY523="Sí, diariamente",4,"")))))</f>
        <v>0</v>
      </c>
      <c r="GA523" s="5" t="s">
        <v>206</v>
      </c>
      <c r="GB523" s="5">
        <f t="shared" ref="GB523:GB532" si="1679">IF(GA523="No",0,
IF(GA523="Sí, unas pocas veces",1,
IF(GA523="Sí, mensualmente",2,
IF(GA523="Sí, semanalmente",3,
IF(GA523="Sí, diariamente",4,"")))))</f>
        <v>0</v>
      </c>
      <c r="GC523" s="5" t="s">
        <v>206</v>
      </c>
      <c r="GD523" s="5">
        <f t="shared" ref="GD523:GD532" si="1680">IF(GC523="No",0,
IF(GC523="Sí, unas pocas veces",1,
IF(GC523="Sí, mensualmente",2,
IF(GC523="Sí, semanalmente",3,
IF(GC523="Sí, diariamente",4,"")))))</f>
        <v>0</v>
      </c>
      <c r="GE523" s="5">
        <f t="shared" ref="GE523:GE532" si="1681">SUM(FR523,FT523,FV523,FX523,FZ523,GB523,GD523)</f>
        <v>0</v>
      </c>
      <c r="GF523" s="5" t="str">
        <f t="shared" ref="GF523:GF532" si="1682">IF(GE523&lt;=0,"Nivel de riesgo bajo",
IF(GE523&lt;=14,"Nivel de riesgo medio",
"Nivel de riesgo alto"))</f>
        <v>Nivel de riesgo bajo</v>
      </c>
      <c r="GG523" s="5" t="s">
        <v>255</v>
      </c>
      <c r="GH523" s="5" t="s">
        <v>255</v>
      </c>
      <c r="GI523" s="5" t="s">
        <v>255</v>
      </c>
      <c r="GJ523" s="5" t="s">
        <v>255</v>
      </c>
      <c r="GK523" s="5" t="s">
        <v>273</v>
      </c>
      <c r="GL523" s="5" t="s">
        <v>273</v>
      </c>
      <c r="GM523" s="5" t="s">
        <v>273</v>
      </c>
      <c r="GN523" s="5" t="s">
        <v>256</v>
      </c>
      <c r="GO523" s="5" t="s">
        <v>256</v>
      </c>
      <c r="GP523" s="5" t="s">
        <v>256</v>
      </c>
      <c r="GQ523" s="5" t="s">
        <v>256</v>
      </c>
      <c r="GR523" s="5" t="s">
        <v>256</v>
      </c>
      <c r="GS523" s="5" t="s">
        <v>256</v>
      </c>
      <c r="GT523" s="5" t="s">
        <v>256</v>
      </c>
      <c r="GU523" s="5" t="s">
        <v>889</v>
      </c>
      <c r="GV523" s="5" t="str">
        <f>TEXT("6290873184221842772","0")</f>
        <v>6290873184221840000</v>
      </c>
    </row>
    <row r="524" spans="1:204" ht="15.75" customHeight="1" x14ac:dyDescent="0.15">
      <c r="A524" s="1">
        <f t="shared" si="1632"/>
        <v>524</v>
      </c>
      <c r="B524" s="4">
        <v>45861.435219907406</v>
      </c>
      <c r="C524" s="5" t="s">
        <v>204</v>
      </c>
      <c r="D524" s="5" t="s">
        <v>206</v>
      </c>
      <c r="F524" s="5" t="s">
        <v>206</v>
      </c>
      <c r="G524" s="5" t="s">
        <v>204</v>
      </c>
      <c r="H524" s="5" t="s">
        <v>206</v>
      </c>
      <c r="K524" s="5" t="s">
        <v>237</v>
      </c>
      <c r="O524" s="5" t="s">
        <v>209</v>
      </c>
      <c r="T524" s="5" t="s">
        <v>209</v>
      </c>
      <c r="X524" s="5" t="s">
        <v>208</v>
      </c>
      <c r="AC524" s="5" t="s">
        <v>208</v>
      </c>
      <c r="AH524" s="5" t="s">
        <v>259</v>
      </c>
      <c r="AI524" s="5">
        <v>2000</v>
      </c>
      <c r="AJ524" s="5" t="s">
        <v>238</v>
      </c>
      <c r="AK524" s="5" t="str">
        <f t="shared" si="1633"/>
        <v>Trabajadora por cuenta propia</v>
      </c>
      <c r="AM524" s="5" t="s">
        <v>309</v>
      </c>
      <c r="AP524" s="5" t="s">
        <v>297</v>
      </c>
      <c r="AR524" s="5" t="s">
        <v>241</v>
      </c>
      <c r="AS524" s="5" t="s">
        <v>241</v>
      </c>
      <c r="AT524" s="5" t="s">
        <v>301</v>
      </c>
      <c r="AU524" s="5" t="s">
        <v>301</v>
      </c>
      <c r="AV524" s="5" t="s">
        <v>285</v>
      </c>
      <c r="AW524" s="5" t="s">
        <v>204</v>
      </c>
      <c r="AX524" s="5" t="s">
        <v>206</v>
      </c>
      <c r="BF524" s="5" t="s">
        <v>204</v>
      </c>
      <c r="BG524" s="5" t="s">
        <v>278</v>
      </c>
      <c r="BH524" s="5" t="s">
        <v>271</v>
      </c>
      <c r="BI524" s="5" t="s">
        <v>264</v>
      </c>
      <c r="BJ524" s="5" t="s">
        <v>264</v>
      </c>
      <c r="BK524" s="5" t="s">
        <v>246</v>
      </c>
      <c r="BL524" s="5" t="s">
        <v>246</v>
      </c>
      <c r="BM524" s="5" t="s">
        <v>246</v>
      </c>
      <c r="BN524" s="5" t="s">
        <v>246</v>
      </c>
      <c r="BO524" s="5" t="s">
        <v>246</v>
      </c>
      <c r="BP524" s="5" t="s">
        <v>246</v>
      </c>
      <c r="BQ524" s="5" t="s">
        <v>246</v>
      </c>
      <c r="BR524" s="5" t="s">
        <v>246</v>
      </c>
      <c r="BS524" s="5" t="s">
        <v>254</v>
      </c>
      <c r="BT524" s="5" t="s">
        <v>254</v>
      </c>
      <c r="BU524" s="5" t="s">
        <v>254</v>
      </c>
      <c r="BV524" s="5" t="s">
        <v>247</v>
      </c>
      <c r="BW524" s="5" t="s">
        <v>254</v>
      </c>
      <c r="BX524" s="5" t="s">
        <v>247</v>
      </c>
      <c r="BY524" s="5" t="s">
        <v>247</v>
      </c>
      <c r="BZ524" s="5" t="s">
        <v>246</v>
      </c>
      <c r="CA524" s="5" t="s">
        <v>246</v>
      </c>
      <c r="CB524" s="5" t="s">
        <v>246</v>
      </c>
      <c r="CC524" s="5" t="s">
        <v>246</v>
      </c>
      <c r="CD524" s="5" t="s">
        <v>206</v>
      </c>
      <c r="CH524" s="5" t="s">
        <v>206</v>
      </c>
      <c r="CI524" s="5" t="s">
        <v>318</v>
      </c>
      <c r="CJ524" s="5">
        <v>3</v>
      </c>
      <c r="CK524" s="5" t="s">
        <v>223</v>
      </c>
      <c r="CU524" s="5" t="s">
        <v>206</v>
      </c>
      <c r="DA524" s="5" t="s">
        <v>231</v>
      </c>
      <c r="DB524" s="5">
        <f t="shared" si="1634"/>
        <v>2</v>
      </c>
      <c r="DC524" s="5" t="s">
        <v>230</v>
      </c>
      <c r="DD524" s="5">
        <f t="shared" si="1635"/>
        <v>2</v>
      </c>
      <c r="DE524" s="5" t="s">
        <v>230</v>
      </c>
      <c r="DF524" s="5">
        <f t="shared" si="1636"/>
        <v>2</v>
      </c>
      <c r="DG524" s="5" t="s">
        <v>230</v>
      </c>
      <c r="DH524" s="5">
        <f t="shared" si="1637"/>
        <v>2</v>
      </c>
      <c r="DI524" s="5" t="s">
        <v>230</v>
      </c>
      <c r="DJ524" s="5">
        <f t="shared" si="1638"/>
        <v>2</v>
      </c>
      <c r="DK524" s="5" t="s">
        <v>251</v>
      </c>
      <c r="DL524" s="5">
        <f t="shared" si="1639"/>
        <v>1</v>
      </c>
      <c r="DM524" s="5" t="s">
        <v>251</v>
      </c>
      <c r="DN524" s="5">
        <f t="shared" si="1640"/>
        <v>1</v>
      </c>
      <c r="DO524" s="5" t="s">
        <v>231</v>
      </c>
      <c r="DP524" s="5">
        <f t="shared" si="1641"/>
        <v>2</v>
      </c>
      <c r="DQ524" s="5" t="s">
        <v>231</v>
      </c>
      <c r="DR524" s="5">
        <f t="shared" si="1642"/>
        <v>2</v>
      </c>
      <c r="DS524" s="5" t="s">
        <v>231</v>
      </c>
      <c r="DT524" s="5">
        <f t="shared" si="1643"/>
        <v>2</v>
      </c>
      <c r="DU524" s="5" t="s">
        <v>231</v>
      </c>
      <c r="DV524" s="5">
        <f t="shared" si="1644"/>
        <v>2</v>
      </c>
      <c r="DW524" s="5" t="s">
        <v>231</v>
      </c>
      <c r="DX524" s="5">
        <f t="shared" si="1645"/>
        <v>2</v>
      </c>
      <c r="DY524" s="5">
        <f t="shared" si="1646"/>
        <v>22</v>
      </c>
      <c r="DZ524" s="5" t="str">
        <f t="shared" si="1647"/>
        <v>Nivel de riesgo medio</v>
      </c>
      <c r="EA524" s="5" t="s">
        <v>247</v>
      </c>
      <c r="EB524" s="5">
        <f t="shared" si="1648"/>
        <v>2</v>
      </c>
      <c r="EC524" s="5" t="s">
        <v>247</v>
      </c>
      <c r="ED524" s="5">
        <f t="shared" si="1649"/>
        <v>2</v>
      </c>
      <c r="EE524" s="5" t="s">
        <v>247</v>
      </c>
      <c r="EF524" s="5">
        <f t="shared" si="1650"/>
        <v>2</v>
      </c>
      <c r="EG524" s="5">
        <f t="shared" si="1651"/>
        <v>6</v>
      </c>
      <c r="EH524" s="5" t="str">
        <f t="shared" si="1652"/>
        <v>Nivel de riesgo alto</v>
      </c>
      <c r="EI524" s="5" t="s">
        <v>247</v>
      </c>
      <c r="EJ524" s="5">
        <f t="shared" si="1653"/>
        <v>2</v>
      </c>
      <c r="EK524" s="5" t="s">
        <v>247</v>
      </c>
      <c r="EL524" s="5">
        <f t="shared" si="1654"/>
        <v>2</v>
      </c>
      <c r="EM524" s="5" t="s">
        <v>247</v>
      </c>
      <c r="EN524" s="5">
        <f t="shared" si="1655"/>
        <v>2</v>
      </c>
      <c r="EO524" s="5">
        <f t="shared" si="1656"/>
        <v>6</v>
      </c>
      <c r="EP524" s="5" t="str">
        <f t="shared" si="1657"/>
        <v>Nivel de riesgo alto</v>
      </c>
      <c r="EQ524" s="5" t="s">
        <v>247</v>
      </c>
      <c r="ER524" s="5">
        <f t="shared" si="1658"/>
        <v>2</v>
      </c>
      <c r="ES524" s="5" t="s">
        <v>247</v>
      </c>
      <c r="ET524" s="5">
        <f t="shared" si="1659"/>
        <v>2</v>
      </c>
      <c r="EU524" s="5" t="s">
        <v>247</v>
      </c>
      <c r="EV524" s="5">
        <f t="shared" si="1660"/>
        <v>2</v>
      </c>
      <c r="EW524" s="5" t="s">
        <v>247</v>
      </c>
      <c r="EX524" s="5">
        <f t="shared" si="1661"/>
        <v>2</v>
      </c>
      <c r="EY524" s="5">
        <f t="shared" si="1662"/>
        <v>8</v>
      </c>
      <c r="EZ524" s="5" t="str">
        <f t="shared" si="1663"/>
        <v>Nivel de riesgo alto</v>
      </c>
      <c r="FA524" s="5" t="s">
        <v>247</v>
      </c>
      <c r="FB524" s="5">
        <f t="shared" si="1664"/>
        <v>2</v>
      </c>
      <c r="FC524" s="5" t="s">
        <v>247</v>
      </c>
      <c r="FD524" s="5">
        <f t="shared" si="1665"/>
        <v>2</v>
      </c>
      <c r="FE524" s="5" t="s">
        <v>247</v>
      </c>
      <c r="FF524" s="5">
        <f t="shared" si="1666"/>
        <v>2</v>
      </c>
      <c r="FG524" s="5">
        <f t="shared" si="1667"/>
        <v>6</v>
      </c>
      <c r="FH524" s="5" t="str">
        <f t="shared" si="1668"/>
        <v>Nivel de riesgo alto</v>
      </c>
      <c r="FI524" s="5" t="s">
        <v>247</v>
      </c>
      <c r="FJ524" s="5">
        <f t="shared" si="1669"/>
        <v>2</v>
      </c>
      <c r="FK524" s="5" t="s">
        <v>247</v>
      </c>
      <c r="FL524" s="5">
        <f t="shared" si="1670"/>
        <v>2</v>
      </c>
      <c r="FM524" s="5" t="s">
        <v>247</v>
      </c>
      <c r="FN524" s="5">
        <f t="shared" si="1671"/>
        <v>2</v>
      </c>
      <c r="FO524" s="5">
        <f t="shared" si="1672"/>
        <v>6</v>
      </c>
      <c r="FP524" s="5" t="str">
        <f t="shared" si="1673"/>
        <v>Nivel de riesgo alto</v>
      </c>
      <c r="FQ524" s="5" t="s">
        <v>206</v>
      </c>
      <c r="FR524" s="5">
        <f t="shared" si="1674"/>
        <v>0</v>
      </c>
      <c r="FS524" s="5" t="s">
        <v>206</v>
      </c>
      <c r="FT524" s="5">
        <f t="shared" si="1675"/>
        <v>0</v>
      </c>
      <c r="FU524" s="5" t="s">
        <v>206</v>
      </c>
      <c r="FV524" s="5">
        <f t="shared" si="1676"/>
        <v>0</v>
      </c>
      <c r="FW524" s="5" t="s">
        <v>206</v>
      </c>
      <c r="FX524" s="5">
        <f t="shared" si="1677"/>
        <v>0</v>
      </c>
      <c r="FY524" s="5" t="s">
        <v>206</v>
      </c>
      <c r="FZ524" s="5">
        <f t="shared" si="1678"/>
        <v>0</v>
      </c>
      <c r="GA524" s="5" t="s">
        <v>206</v>
      </c>
      <c r="GB524" s="5">
        <f t="shared" si="1679"/>
        <v>0</v>
      </c>
      <c r="GC524" s="5" t="s">
        <v>206</v>
      </c>
      <c r="GD524" s="5">
        <f t="shared" si="1680"/>
        <v>0</v>
      </c>
      <c r="GE524" s="5">
        <f t="shared" si="1681"/>
        <v>0</v>
      </c>
      <c r="GF524" s="5" t="str">
        <f t="shared" si="1682"/>
        <v>Nivel de riesgo bajo</v>
      </c>
      <c r="GG524" s="5" t="s">
        <v>255</v>
      </c>
      <c r="GH524" s="5" t="s">
        <v>255</v>
      </c>
      <c r="GI524" s="5" t="s">
        <v>255</v>
      </c>
      <c r="GJ524" s="5" t="s">
        <v>233</v>
      </c>
      <c r="GK524" s="5" t="s">
        <v>233</v>
      </c>
      <c r="GL524" s="5" t="s">
        <v>233</v>
      </c>
      <c r="GM524" s="5" t="s">
        <v>233</v>
      </c>
      <c r="GN524" s="5" t="s">
        <v>243</v>
      </c>
      <c r="GO524" s="5" t="s">
        <v>243</v>
      </c>
      <c r="GP524" s="5" t="s">
        <v>243</v>
      </c>
      <c r="GQ524" s="5" t="s">
        <v>243</v>
      </c>
      <c r="GR524" s="5" t="s">
        <v>243</v>
      </c>
      <c r="GS524" s="5" t="s">
        <v>243</v>
      </c>
      <c r="GT524" s="5" t="s">
        <v>243</v>
      </c>
      <c r="GU524" s="5" t="s">
        <v>890</v>
      </c>
      <c r="GV524" s="5" t="str">
        <f>TEXT("6290900035391905684","0")</f>
        <v>6290900035391900000</v>
      </c>
    </row>
    <row r="525" spans="1:204" ht="15.75" customHeight="1" x14ac:dyDescent="0.15">
      <c r="A525" s="1">
        <f t="shared" si="1632"/>
        <v>525</v>
      </c>
      <c r="B525" s="4">
        <v>45861.456956018519</v>
      </c>
      <c r="C525" s="5" t="s">
        <v>204</v>
      </c>
      <c r="D525" s="5" t="s">
        <v>206</v>
      </c>
      <c r="F525" s="5" t="s">
        <v>206</v>
      </c>
      <c r="G525" s="5" t="s">
        <v>206</v>
      </c>
      <c r="H525" s="5" t="s">
        <v>204</v>
      </c>
      <c r="K525" s="5" t="s">
        <v>237</v>
      </c>
      <c r="O525" s="5" t="s">
        <v>209</v>
      </c>
      <c r="S525" s="5" t="s">
        <v>208</v>
      </c>
      <c r="Y525" s="5" t="s">
        <v>209</v>
      </c>
      <c r="AE525" s="5" t="s">
        <v>237</v>
      </c>
      <c r="AH525" s="5" t="s">
        <v>259</v>
      </c>
      <c r="AI525" s="5">
        <v>2024</v>
      </c>
      <c r="AJ525" s="5" t="s">
        <v>238</v>
      </c>
      <c r="AK525" s="5" t="str">
        <f t="shared" si="1633"/>
        <v>Trabajadora por cuenta propia</v>
      </c>
      <c r="AL525" s="5" t="s">
        <v>239</v>
      </c>
      <c r="AP525" s="5" t="s">
        <v>240</v>
      </c>
      <c r="AR525" s="5" t="s">
        <v>241</v>
      </c>
      <c r="AS525" s="5" t="s">
        <v>241</v>
      </c>
      <c r="AT525" s="5" t="s">
        <v>241</v>
      </c>
      <c r="AU525" s="5" t="s">
        <v>301</v>
      </c>
      <c r="AV525" s="5" t="s">
        <v>302</v>
      </c>
      <c r="AW525" s="5" t="s">
        <v>204</v>
      </c>
      <c r="AX525" s="5" t="s">
        <v>204</v>
      </c>
      <c r="AY525" s="5" t="s">
        <v>270</v>
      </c>
      <c r="AZ525" s="5" t="s">
        <v>204</v>
      </c>
      <c r="BA525" s="5" t="s">
        <v>263</v>
      </c>
      <c r="BF525" s="5" t="s">
        <v>204</v>
      </c>
      <c r="BG525" s="5" t="s">
        <v>207</v>
      </c>
      <c r="BH525" s="5" t="s">
        <v>242</v>
      </c>
      <c r="BI525" s="5" t="s">
        <v>207</v>
      </c>
      <c r="BJ525" s="5" t="s">
        <v>242</v>
      </c>
      <c r="BK525" s="5" t="s">
        <v>246</v>
      </c>
      <c r="BL525" s="5" t="s">
        <v>244</v>
      </c>
      <c r="BM525" s="5" t="s">
        <v>243</v>
      </c>
      <c r="BN525" s="5" t="s">
        <v>246</v>
      </c>
      <c r="BO525" s="5" t="s">
        <v>244</v>
      </c>
      <c r="BP525" s="5" t="s">
        <v>244</v>
      </c>
      <c r="BQ525" s="5" t="s">
        <v>244</v>
      </c>
      <c r="BR525" s="5" t="s">
        <v>244</v>
      </c>
      <c r="BS525" s="5" t="s">
        <v>248</v>
      </c>
      <c r="BT525" s="5" t="s">
        <v>247</v>
      </c>
      <c r="BU525" s="5" t="s">
        <v>248</v>
      </c>
      <c r="BV525" s="5" t="s">
        <v>248</v>
      </c>
      <c r="BW525" s="5" t="s">
        <v>248</v>
      </c>
      <c r="BX525" s="5" t="s">
        <v>248</v>
      </c>
      <c r="BY525" s="5" t="s">
        <v>217</v>
      </c>
      <c r="BZ525" s="5" t="s">
        <v>246</v>
      </c>
      <c r="CA525" s="5" t="s">
        <v>246</v>
      </c>
      <c r="CB525" s="5" t="s">
        <v>244</v>
      </c>
      <c r="CC525" s="5" t="s">
        <v>216</v>
      </c>
      <c r="CD525" s="5" t="s">
        <v>206</v>
      </c>
      <c r="CH525" s="5" t="s">
        <v>206</v>
      </c>
      <c r="CI525" s="5" t="s">
        <v>383</v>
      </c>
      <c r="CJ525" s="5">
        <v>9</v>
      </c>
      <c r="CK525" s="5" t="s">
        <v>223</v>
      </c>
      <c r="CU525" s="5" t="s">
        <v>206</v>
      </c>
      <c r="DA525" s="5" t="s">
        <v>231</v>
      </c>
      <c r="DB525" s="5">
        <f t="shared" si="1634"/>
        <v>2</v>
      </c>
      <c r="DC525" s="5" t="s">
        <v>251</v>
      </c>
      <c r="DD525" s="5">
        <f t="shared" si="1635"/>
        <v>1</v>
      </c>
      <c r="DE525" s="5" t="s">
        <v>251</v>
      </c>
      <c r="DF525" s="5">
        <f t="shared" si="1636"/>
        <v>1</v>
      </c>
      <c r="DG525" s="5" t="s">
        <v>251</v>
      </c>
      <c r="DH525" s="5">
        <f t="shared" si="1637"/>
        <v>1</v>
      </c>
      <c r="DI525" s="5" t="s">
        <v>251</v>
      </c>
      <c r="DJ525" s="5">
        <f t="shared" si="1638"/>
        <v>1</v>
      </c>
      <c r="DK525" s="5" t="s">
        <v>251</v>
      </c>
      <c r="DL525" s="5">
        <f t="shared" si="1639"/>
        <v>1</v>
      </c>
      <c r="DM525" s="5" t="s">
        <v>251</v>
      </c>
      <c r="DN525" s="5">
        <f t="shared" si="1640"/>
        <v>1</v>
      </c>
      <c r="DO525" s="5" t="s">
        <v>281</v>
      </c>
      <c r="DP525" s="5">
        <f t="shared" si="1641"/>
        <v>1</v>
      </c>
      <c r="DQ525" s="5" t="s">
        <v>231</v>
      </c>
      <c r="DR525" s="5">
        <f t="shared" si="1642"/>
        <v>2</v>
      </c>
      <c r="DS525" s="5" t="s">
        <v>231</v>
      </c>
      <c r="DT525" s="5">
        <f t="shared" si="1643"/>
        <v>2</v>
      </c>
      <c r="DU525" s="5" t="s">
        <v>231</v>
      </c>
      <c r="DV525" s="5">
        <f t="shared" si="1644"/>
        <v>2</v>
      </c>
      <c r="DW525" s="5" t="s">
        <v>231</v>
      </c>
      <c r="DX525" s="5">
        <f t="shared" si="1645"/>
        <v>2</v>
      </c>
      <c r="DY525" s="5">
        <f t="shared" si="1646"/>
        <v>17</v>
      </c>
      <c r="DZ525" s="5" t="str">
        <f t="shared" si="1647"/>
        <v>Nivel de riesgo bajo</v>
      </c>
      <c r="EA525" s="5" t="s">
        <v>248</v>
      </c>
      <c r="EB525" s="5">
        <f t="shared" si="1648"/>
        <v>1</v>
      </c>
      <c r="EC525" s="5" t="s">
        <v>248</v>
      </c>
      <c r="ED525" s="5">
        <f t="shared" si="1649"/>
        <v>1</v>
      </c>
      <c r="EE525" s="5" t="s">
        <v>248</v>
      </c>
      <c r="EF525" s="5">
        <f t="shared" si="1650"/>
        <v>1</v>
      </c>
      <c r="EG525" s="5">
        <f t="shared" si="1651"/>
        <v>3</v>
      </c>
      <c r="EH525" s="5" t="str">
        <f t="shared" si="1652"/>
        <v>Nivel de riesgo medio</v>
      </c>
      <c r="EI525" s="5" t="s">
        <v>248</v>
      </c>
      <c r="EJ525" s="5">
        <f t="shared" si="1653"/>
        <v>1</v>
      </c>
      <c r="EK525" s="5" t="s">
        <v>247</v>
      </c>
      <c r="EL525" s="5">
        <f t="shared" si="1654"/>
        <v>2</v>
      </c>
      <c r="EM525" s="5" t="s">
        <v>248</v>
      </c>
      <c r="EN525" s="5">
        <f t="shared" si="1655"/>
        <v>1</v>
      </c>
      <c r="EO525" s="5">
        <f t="shared" si="1656"/>
        <v>4</v>
      </c>
      <c r="EP525" s="5" t="str">
        <f t="shared" si="1657"/>
        <v>Nivel de riesgo medio</v>
      </c>
      <c r="EQ525" s="5" t="s">
        <v>247</v>
      </c>
      <c r="ER525" s="5">
        <f t="shared" si="1658"/>
        <v>2</v>
      </c>
      <c r="ES525" s="5" t="s">
        <v>232</v>
      </c>
      <c r="ET525" s="5">
        <f t="shared" si="1659"/>
        <v>1</v>
      </c>
      <c r="EU525" s="5" t="s">
        <v>254</v>
      </c>
      <c r="EV525" s="5">
        <f t="shared" si="1660"/>
        <v>0</v>
      </c>
      <c r="EW525" s="5" t="s">
        <v>254</v>
      </c>
      <c r="EX525" s="5">
        <f t="shared" si="1661"/>
        <v>0</v>
      </c>
      <c r="EY525" s="5">
        <f t="shared" si="1662"/>
        <v>3</v>
      </c>
      <c r="EZ525" s="5" t="str">
        <f t="shared" si="1663"/>
        <v>Nivel de riesgo medio</v>
      </c>
      <c r="FA525" s="5" t="s">
        <v>248</v>
      </c>
      <c r="FB525" s="5">
        <f t="shared" si="1664"/>
        <v>1</v>
      </c>
      <c r="FC525" s="5" t="s">
        <v>253</v>
      </c>
      <c r="FD525" s="5">
        <f t="shared" si="1665"/>
        <v>0</v>
      </c>
      <c r="FE525" s="5" t="s">
        <v>253</v>
      </c>
      <c r="FF525" s="5">
        <f t="shared" si="1666"/>
        <v>0</v>
      </c>
      <c r="FG525" s="5">
        <f t="shared" si="1667"/>
        <v>1</v>
      </c>
      <c r="FH525" s="5" t="str">
        <f t="shared" si="1668"/>
        <v>Nivel de riesgo bajo</v>
      </c>
      <c r="FI525" s="5" t="s">
        <v>253</v>
      </c>
      <c r="FJ525" s="5">
        <f t="shared" si="1669"/>
        <v>0</v>
      </c>
      <c r="FK525" s="5" t="s">
        <v>253</v>
      </c>
      <c r="FL525" s="5">
        <f t="shared" si="1670"/>
        <v>0</v>
      </c>
      <c r="FM525" s="5" t="s">
        <v>253</v>
      </c>
      <c r="FN525" s="5">
        <f t="shared" si="1671"/>
        <v>0</v>
      </c>
      <c r="FO525" s="5">
        <f t="shared" si="1672"/>
        <v>0</v>
      </c>
      <c r="FP525" s="5" t="str">
        <f t="shared" si="1673"/>
        <v>Nivel de riesgo bajo</v>
      </c>
      <c r="FQ525" s="5" t="s">
        <v>206</v>
      </c>
      <c r="FR525" s="5">
        <f t="shared" si="1674"/>
        <v>0</v>
      </c>
      <c r="FS525" s="5" t="s">
        <v>206</v>
      </c>
      <c r="FT525" s="5">
        <f t="shared" si="1675"/>
        <v>0</v>
      </c>
      <c r="FU525" s="5" t="s">
        <v>206</v>
      </c>
      <c r="FV525" s="5">
        <f t="shared" si="1676"/>
        <v>0</v>
      </c>
      <c r="FW525" s="5" t="s">
        <v>206</v>
      </c>
      <c r="FX525" s="5">
        <f t="shared" si="1677"/>
        <v>0</v>
      </c>
      <c r="FY525" s="5" t="s">
        <v>206</v>
      </c>
      <c r="FZ525" s="5">
        <f t="shared" si="1678"/>
        <v>0</v>
      </c>
      <c r="GA525" s="5" t="s">
        <v>206</v>
      </c>
      <c r="GB525" s="5">
        <f t="shared" si="1679"/>
        <v>0</v>
      </c>
      <c r="GC525" s="5" t="s">
        <v>206</v>
      </c>
      <c r="GD525" s="5">
        <f t="shared" si="1680"/>
        <v>0</v>
      </c>
      <c r="GE525" s="5">
        <f t="shared" si="1681"/>
        <v>0</v>
      </c>
      <c r="GF525" s="5" t="str">
        <f t="shared" si="1682"/>
        <v>Nivel de riesgo bajo</v>
      </c>
      <c r="GG525" s="5" t="s">
        <v>255</v>
      </c>
      <c r="GH525" s="5" t="s">
        <v>255</v>
      </c>
      <c r="GI525" s="5" t="s">
        <v>255</v>
      </c>
      <c r="GJ525" s="5" t="s">
        <v>233</v>
      </c>
      <c r="GK525" s="5" t="s">
        <v>233</v>
      </c>
      <c r="GL525" s="5" t="s">
        <v>266</v>
      </c>
      <c r="GM525" s="5" t="s">
        <v>266</v>
      </c>
      <c r="GN525" s="5" t="s">
        <v>243</v>
      </c>
      <c r="GO525" s="5" t="s">
        <v>257</v>
      </c>
      <c r="GP525" s="5" t="s">
        <v>257</v>
      </c>
      <c r="GQ525" s="5" t="s">
        <v>243</v>
      </c>
      <c r="GR525" s="5" t="s">
        <v>257</v>
      </c>
      <c r="GS525" s="5" t="s">
        <v>257</v>
      </c>
      <c r="GT525" s="5" t="s">
        <v>243</v>
      </c>
      <c r="GU525" s="5" t="s">
        <v>891</v>
      </c>
      <c r="GV525" s="5" t="str">
        <f>TEXT("6290918813811758927","0")</f>
        <v>6290918813811750000</v>
      </c>
    </row>
    <row r="526" spans="1:204" ht="15.75" customHeight="1" x14ac:dyDescent="0.15">
      <c r="A526" s="1">
        <f t="shared" si="1632"/>
        <v>526</v>
      </c>
      <c r="B526" s="4">
        <v>45861.457812499997</v>
      </c>
      <c r="C526" s="5" t="s">
        <v>204</v>
      </c>
      <c r="D526" s="5" t="s">
        <v>206</v>
      </c>
      <c r="F526" s="5" t="s">
        <v>206</v>
      </c>
      <c r="G526" s="5" t="s">
        <v>206</v>
      </c>
      <c r="H526" s="5" t="s">
        <v>206</v>
      </c>
      <c r="K526" s="5" t="s">
        <v>237</v>
      </c>
      <c r="O526" s="5" t="s">
        <v>209</v>
      </c>
      <c r="S526" s="5" t="s">
        <v>208</v>
      </c>
      <c r="Y526" s="5" t="s">
        <v>209</v>
      </c>
      <c r="AC526" s="5" t="s">
        <v>208</v>
      </c>
      <c r="AH526" s="5" t="s">
        <v>210</v>
      </c>
      <c r="AI526" s="5">
        <v>2019</v>
      </c>
      <c r="AJ526" s="5" t="s">
        <v>337</v>
      </c>
      <c r="AK526" s="5" t="str">
        <f t="shared" si="1633"/>
        <v>Asalariada</v>
      </c>
      <c r="AQ526" s="5" t="s">
        <v>204</v>
      </c>
      <c r="AR526" s="5" t="s">
        <v>241</v>
      </c>
      <c r="AS526" s="5" t="s">
        <v>241</v>
      </c>
      <c r="AT526" s="5" t="s">
        <v>241</v>
      </c>
      <c r="AU526" s="5" t="s">
        <v>241</v>
      </c>
      <c r="AV526" s="5" t="s">
        <v>213</v>
      </c>
      <c r="AW526" s="5" t="s">
        <v>204</v>
      </c>
      <c r="AX526" s="5" t="s">
        <v>204</v>
      </c>
      <c r="AY526" s="5" t="s">
        <v>214</v>
      </c>
      <c r="AZ526" s="5" t="s">
        <v>206</v>
      </c>
      <c r="BA526" s="5" t="s">
        <v>263</v>
      </c>
      <c r="BF526" s="5" t="s">
        <v>204</v>
      </c>
      <c r="BG526" s="5" t="s">
        <v>207</v>
      </c>
      <c r="BH526" s="5" t="s">
        <v>271</v>
      </c>
      <c r="BI526" s="5" t="s">
        <v>207</v>
      </c>
      <c r="BJ526" s="5" t="s">
        <v>242</v>
      </c>
      <c r="BK526" s="5" t="s">
        <v>246</v>
      </c>
      <c r="BL526" s="5" t="s">
        <v>246</v>
      </c>
      <c r="BM526" s="5" t="s">
        <v>243</v>
      </c>
      <c r="BN526" s="5" t="s">
        <v>246</v>
      </c>
      <c r="BO526" s="5" t="s">
        <v>216</v>
      </c>
      <c r="BP526" s="5" t="s">
        <v>246</v>
      </c>
      <c r="BQ526" s="5" t="s">
        <v>243</v>
      </c>
      <c r="BR526" s="5" t="s">
        <v>246</v>
      </c>
      <c r="BS526" s="5" t="s">
        <v>254</v>
      </c>
      <c r="BT526" s="5" t="s">
        <v>248</v>
      </c>
      <c r="BU526" s="5" t="s">
        <v>217</v>
      </c>
      <c r="BV526" s="5" t="s">
        <v>248</v>
      </c>
      <c r="BW526" s="5" t="s">
        <v>248</v>
      </c>
      <c r="BX526" s="5" t="s">
        <v>217</v>
      </c>
      <c r="BY526" s="5" t="s">
        <v>217</v>
      </c>
      <c r="BZ526" s="5" t="s">
        <v>216</v>
      </c>
      <c r="CA526" s="5" t="s">
        <v>216</v>
      </c>
      <c r="CB526" s="5" t="s">
        <v>216</v>
      </c>
      <c r="CC526" s="5" t="s">
        <v>216</v>
      </c>
      <c r="CD526" s="5" t="s">
        <v>204</v>
      </c>
      <c r="CE526" s="5" t="s">
        <v>218</v>
      </c>
      <c r="CF526" s="5" t="s">
        <v>279</v>
      </c>
      <c r="CG526" s="5" t="s">
        <v>206</v>
      </c>
      <c r="CH526" s="5" t="s">
        <v>221</v>
      </c>
      <c r="CI526" s="5" t="s">
        <v>249</v>
      </c>
      <c r="CJ526" s="5">
        <v>2</v>
      </c>
      <c r="CK526" s="5" t="s">
        <v>223</v>
      </c>
      <c r="CU526" s="5" t="s">
        <v>206</v>
      </c>
      <c r="DA526" s="5" t="s">
        <v>252</v>
      </c>
      <c r="DB526" s="5">
        <f t="shared" si="1634"/>
        <v>3</v>
      </c>
      <c r="DC526" s="5" t="s">
        <v>250</v>
      </c>
      <c r="DD526" s="5">
        <f t="shared" si="1635"/>
        <v>3</v>
      </c>
      <c r="DE526" s="5" t="s">
        <v>250</v>
      </c>
      <c r="DF526" s="5">
        <f t="shared" si="1636"/>
        <v>3</v>
      </c>
      <c r="DG526" s="5" t="s">
        <v>280</v>
      </c>
      <c r="DH526" s="5">
        <f t="shared" si="1637"/>
        <v>4</v>
      </c>
      <c r="DI526" s="5" t="s">
        <v>280</v>
      </c>
      <c r="DJ526" s="5">
        <f t="shared" si="1638"/>
        <v>4</v>
      </c>
      <c r="DK526" s="5" t="s">
        <v>250</v>
      </c>
      <c r="DL526" s="5">
        <f t="shared" si="1639"/>
        <v>3</v>
      </c>
      <c r="DM526" s="5" t="s">
        <v>251</v>
      </c>
      <c r="DN526" s="5">
        <f t="shared" si="1640"/>
        <v>1</v>
      </c>
      <c r="DO526" s="5" t="s">
        <v>231</v>
      </c>
      <c r="DP526" s="5">
        <f t="shared" si="1641"/>
        <v>2</v>
      </c>
      <c r="DQ526" s="5" t="s">
        <v>281</v>
      </c>
      <c r="DR526" s="5">
        <f t="shared" si="1642"/>
        <v>1</v>
      </c>
      <c r="DS526" s="5" t="s">
        <v>231</v>
      </c>
      <c r="DT526" s="5">
        <f t="shared" si="1643"/>
        <v>2</v>
      </c>
      <c r="DU526" s="5" t="s">
        <v>281</v>
      </c>
      <c r="DV526" s="5">
        <f t="shared" si="1644"/>
        <v>1</v>
      </c>
      <c r="DW526" s="5" t="s">
        <v>231</v>
      </c>
      <c r="DX526" s="5">
        <f t="shared" si="1645"/>
        <v>2</v>
      </c>
      <c r="DY526" s="5">
        <f t="shared" si="1646"/>
        <v>29</v>
      </c>
      <c r="DZ526" s="5" t="str">
        <f t="shared" si="1647"/>
        <v>Nivel de riesgo alto</v>
      </c>
      <c r="EA526" s="5" t="s">
        <v>253</v>
      </c>
      <c r="EB526" s="5">
        <f t="shared" si="1648"/>
        <v>0</v>
      </c>
      <c r="EC526" s="5" t="s">
        <v>253</v>
      </c>
      <c r="ED526" s="5">
        <f t="shared" si="1649"/>
        <v>0</v>
      </c>
      <c r="EE526" s="5" t="s">
        <v>253</v>
      </c>
      <c r="EF526" s="5">
        <f t="shared" si="1650"/>
        <v>0</v>
      </c>
      <c r="EG526" s="5">
        <f t="shared" si="1651"/>
        <v>0</v>
      </c>
      <c r="EH526" s="5" t="str">
        <f t="shared" si="1652"/>
        <v>Nivel de riesgo bajo</v>
      </c>
      <c r="EI526" s="5" t="s">
        <v>248</v>
      </c>
      <c r="EJ526" s="5">
        <f t="shared" si="1653"/>
        <v>1</v>
      </c>
      <c r="EK526" s="5" t="s">
        <v>253</v>
      </c>
      <c r="EL526" s="5">
        <f t="shared" si="1654"/>
        <v>0</v>
      </c>
      <c r="EM526" s="5" t="s">
        <v>254</v>
      </c>
      <c r="EN526" s="5">
        <f t="shared" si="1655"/>
        <v>4</v>
      </c>
      <c r="EO526" s="5">
        <f t="shared" si="1656"/>
        <v>5</v>
      </c>
      <c r="EP526" s="5" t="str">
        <f t="shared" si="1657"/>
        <v>Nivel de riesgo medio</v>
      </c>
      <c r="EQ526" s="5" t="s">
        <v>248</v>
      </c>
      <c r="ER526" s="5">
        <f t="shared" si="1658"/>
        <v>3</v>
      </c>
      <c r="ES526" s="5" t="s">
        <v>248</v>
      </c>
      <c r="ET526" s="5">
        <f t="shared" si="1659"/>
        <v>3</v>
      </c>
      <c r="EU526" s="5" t="s">
        <v>254</v>
      </c>
      <c r="EV526" s="5">
        <f t="shared" si="1660"/>
        <v>0</v>
      </c>
      <c r="EW526" s="5" t="s">
        <v>248</v>
      </c>
      <c r="EX526" s="5">
        <f t="shared" si="1661"/>
        <v>3</v>
      </c>
      <c r="EY526" s="5">
        <f t="shared" si="1662"/>
        <v>9</v>
      </c>
      <c r="EZ526" s="5" t="str">
        <f t="shared" si="1663"/>
        <v>Nivel de riesgo alto</v>
      </c>
      <c r="FA526" s="5" t="s">
        <v>253</v>
      </c>
      <c r="FB526" s="5">
        <f t="shared" si="1664"/>
        <v>0</v>
      </c>
      <c r="FC526" s="5" t="s">
        <v>254</v>
      </c>
      <c r="FD526" s="5">
        <f t="shared" si="1665"/>
        <v>4</v>
      </c>
      <c r="FE526" s="5" t="s">
        <v>254</v>
      </c>
      <c r="FF526" s="5">
        <f t="shared" si="1666"/>
        <v>4</v>
      </c>
      <c r="FG526" s="5">
        <f t="shared" si="1667"/>
        <v>8</v>
      </c>
      <c r="FH526" s="5" t="str">
        <f t="shared" si="1668"/>
        <v>Nivel de riesgo alto</v>
      </c>
      <c r="FI526" s="5" t="s">
        <v>248</v>
      </c>
      <c r="FJ526" s="5">
        <f t="shared" si="1669"/>
        <v>1</v>
      </c>
      <c r="FK526" s="5" t="s">
        <v>248</v>
      </c>
      <c r="FL526" s="5">
        <f t="shared" si="1670"/>
        <v>1</v>
      </c>
      <c r="FM526" s="5" t="s">
        <v>247</v>
      </c>
      <c r="FN526" s="5">
        <f t="shared" si="1671"/>
        <v>2</v>
      </c>
      <c r="FO526" s="5">
        <f t="shared" si="1672"/>
        <v>4</v>
      </c>
      <c r="FP526" s="5" t="str">
        <f t="shared" si="1673"/>
        <v>Nivel de riesgo medio</v>
      </c>
      <c r="FQ526" s="5" t="s">
        <v>265</v>
      </c>
      <c r="FR526" s="5">
        <f t="shared" si="1674"/>
        <v>1</v>
      </c>
      <c r="FS526" s="5" t="s">
        <v>206</v>
      </c>
      <c r="FT526" s="5">
        <f t="shared" si="1675"/>
        <v>0</v>
      </c>
      <c r="FU526" s="5" t="s">
        <v>265</v>
      </c>
      <c r="FV526" s="5">
        <f t="shared" si="1676"/>
        <v>1</v>
      </c>
      <c r="FW526" s="5" t="s">
        <v>206</v>
      </c>
      <c r="FX526" s="5">
        <f t="shared" si="1677"/>
        <v>0</v>
      </c>
      <c r="FY526" s="5" t="s">
        <v>265</v>
      </c>
      <c r="FZ526" s="5">
        <f t="shared" si="1678"/>
        <v>1</v>
      </c>
      <c r="GA526" s="5" t="s">
        <v>265</v>
      </c>
      <c r="GB526" s="5">
        <f t="shared" si="1679"/>
        <v>1</v>
      </c>
      <c r="GC526" s="5" t="s">
        <v>265</v>
      </c>
      <c r="GD526" s="5">
        <f t="shared" si="1680"/>
        <v>1</v>
      </c>
      <c r="GE526" s="5">
        <f t="shared" si="1681"/>
        <v>5</v>
      </c>
      <c r="GF526" s="5" t="str">
        <f t="shared" si="1682"/>
        <v>Nivel de riesgo medio</v>
      </c>
      <c r="GG526" s="5" t="s">
        <v>273</v>
      </c>
      <c r="GH526" s="5" t="s">
        <v>298</v>
      </c>
      <c r="GI526" s="5" t="s">
        <v>273</v>
      </c>
      <c r="GJ526" s="5" t="s">
        <v>298</v>
      </c>
      <c r="GK526" s="5" t="s">
        <v>233</v>
      </c>
      <c r="GL526" s="5" t="s">
        <v>233</v>
      </c>
      <c r="GM526" s="5" t="s">
        <v>298</v>
      </c>
      <c r="GN526" s="5" t="s">
        <v>243</v>
      </c>
      <c r="GO526" s="5" t="s">
        <v>243</v>
      </c>
      <c r="GP526" s="5" t="s">
        <v>256</v>
      </c>
      <c r="GQ526" s="5" t="s">
        <v>243</v>
      </c>
      <c r="GR526" s="5" t="s">
        <v>243</v>
      </c>
      <c r="GS526" s="5" t="s">
        <v>234</v>
      </c>
      <c r="GT526" s="5" t="s">
        <v>243</v>
      </c>
      <c r="GU526" s="5" t="s">
        <v>892</v>
      </c>
      <c r="GV526" s="5" t="str">
        <f>TEXT("6290919551518734016","0")</f>
        <v>6290919551518730000</v>
      </c>
    </row>
    <row r="527" spans="1:204" ht="15.75" customHeight="1" x14ac:dyDescent="0.15">
      <c r="A527" s="1">
        <f t="shared" si="1632"/>
        <v>527</v>
      </c>
      <c r="B527" s="4">
        <v>45861.462037037039</v>
      </c>
      <c r="C527" s="5" t="s">
        <v>204</v>
      </c>
      <c r="D527" s="5" t="s">
        <v>204</v>
      </c>
      <c r="E527" s="5" t="s">
        <v>335</v>
      </c>
      <c r="F527" s="5" t="s">
        <v>206</v>
      </c>
      <c r="G527" s="5" t="s">
        <v>204</v>
      </c>
      <c r="H527" s="5" t="s">
        <v>206</v>
      </c>
      <c r="K527" s="5" t="s">
        <v>237</v>
      </c>
      <c r="O527" s="5" t="s">
        <v>209</v>
      </c>
      <c r="S527" s="5" t="s">
        <v>208</v>
      </c>
      <c r="X527" s="5" t="s">
        <v>208</v>
      </c>
      <c r="AC527" s="5" t="s">
        <v>208</v>
      </c>
      <c r="AH527" s="5" t="s">
        <v>275</v>
      </c>
      <c r="AI527" s="5">
        <v>2018</v>
      </c>
      <c r="AJ527" s="5" t="s">
        <v>238</v>
      </c>
      <c r="AK527" s="5" t="str">
        <f t="shared" si="1633"/>
        <v>Trabajadora por cuenta propia</v>
      </c>
      <c r="AN527" s="5" t="s">
        <v>288</v>
      </c>
      <c r="AP527" s="5" t="s">
        <v>240</v>
      </c>
      <c r="AR527" s="5" t="s">
        <v>301</v>
      </c>
      <c r="AS527" s="5" t="s">
        <v>301</v>
      </c>
      <c r="AT527" s="5" t="s">
        <v>241</v>
      </c>
      <c r="AU527" s="5" t="s">
        <v>301</v>
      </c>
      <c r="AV527" s="5" t="s">
        <v>213</v>
      </c>
      <c r="AW527" s="5" t="s">
        <v>206</v>
      </c>
      <c r="BF527" s="5" t="s">
        <v>204</v>
      </c>
      <c r="BG527" s="5" t="s">
        <v>278</v>
      </c>
      <c r="BH527" s="5" t="s">
        <v>278</v>
      </c>
      <c r="BI527" s="5" t="s">
        <v>278</v>
      </c>
      <c r="BJ527" s="5" t="s">
        <v>278</v>
      </c>
      <c r="BK527" s="5" t="s">
        <v>244</v>
      </c>
      <c r="BL527" s="5" t="s">
        <v>246</v>
      </c>
      <c r="BM527" s="5" t="s">
        <v>246</v>
      </c>
      <c r="BN527" s="5" t="s">
        <v>246</v>
      </c>
      <c r="BO527" s="5" t="s">
        <v>244</v>
      </c>
      <c r="BP527" s="5" t="s">
        <v>246</v>
      </c>
      <c r="BQ527" s="5" t="s">
        <v>244</v>
      </c>
      <c r="BR527" s="5" t="s">
        <v>244</v>
      </c>
      <c r="BS527" s="5" t="s">
        <v>248</v>
      </c>
      <c r="BT527" s="5" t="s">
        <v>247</v>
      </c>
      <c r="BU527" s="5" t="s">
        <v>217</v>
      </c>
      <c r="BV527" s="5" t="s">
        <v>248</v>
      </c>
      <c r="BW527" s="5" t="s">
        <v>248</v>
      </c>
      <c r="BX527" s="5" t="s">
        <v>248</v>
      </c>
      <c r="BY527" s="5" t="s">
        <v>217</v>
      </c>
      <c r="CD527" s="5" t="s">
        <v>206</v>
      </c>
      <c r="CH527" s="5" t="s">
        <v>206</v>
      </c>
      <c r="CI527" s="5" t="s">
        <v>206</v>
      </c>
      <c r="CJ527" s="5">
        <v>0</v>
      </c>
      <c r="CK527" s="5" t="s">
        <v>223</v>
      </c>
      <c r="CU527" s="5" t="s">
        <v>206</v>
      </c>
      <c r="DA527" s="5" t="s">
        <v>272</v>
      </c>
      <c r="DB527" s="5">
        <f t="shared" si="1634"/>
        <v>1</v>
      </c>
      <c r="DC527" s="5" t="s">
        <v>230</v>
      </c>
      <c r="DD527" s="5">
        <f t="shared" si="1635"/>
        <v>2</v>
      </c>
      <c r="DE527" s="5" t="s">
        <v>230</v>
      </c>
      <c r="DF527" s="5">
        <f t="shared" si="1636"/>
        <v>2</v>
      </c>
      <c r="DG527" s="5" t="s">
        <v>251</v>
      </c>
      <c r="DH527" s="5">
        <f t="shared" si="1637"/>
        <v>1</v>
      </c>
      <c r="DI527" s="5" t="s">
        <v>251</v>
      </c>
      <c r="DJ527" s="5">
        <f t="shared" si="1638"/>
        <v>1</v>
      </c>
      <c r="DK527" s="5" t="s">
        <v>251</v>
      </c>
      <c r="DL527" s="5">
        <f t="shared" si="1639"/>
        <v>1</v>
      </c>
      <c r="DM527" s="5" t="s">
        <v>251</v>
      </c>
      <c r="DN527" s="5">
        <f t="shared" si="1640"/>
        <v>1</v>
      </c>
      <c r="DO527" s="5" t="s">
        <v>281</v>
      </c>
      <c r="DP527" s="5">
        <f t="shared" si="1641"/>
        <v>1</v>
      </c>
      <c r="DQ527" s="5" t="s">
        <v>281</v>
      </c>
      <c r="DR527" s="5">
        <f t="shared" si="1642"/>
        <v>1</v>
      </c>
      <c r="DS527" s="5" t="s">
        <v>281</v>
      </c>
      <c r="DT527" s="5">
        <f t="shared" si="1643"/>
        <v>1</v>
      </c>
      <c r="DU527" s="5" t="s">
        <v>281</v>
      </c>
      <c r="DV527" s="5">
        <f t="shared" si="1644"/>
        <v>1</v>
      </c>
      <c r="DW527" s="5" t="s">
        <v>281</v>
      </c>
      <c r="DX527" s="5">
        <f t="shared" si="1645"/>
        <v>1</v>
      </c>
      <c r="DY527" s="5">
        <f t="shared" si="1646"/>
        <v>14</v>
      </c>
      <c r="DZ527" s="5" t="str">
        <f t="shared" si="1647"/>
        <v>Nivel de riesgo bajo</v>
      </c>
      <c r="EA527" s="5" t="s">
        <v>247</v>
      </c>
      <c r="EB527" s="5">
        <f t="shared" si="1648"/>
        <v>2</v>
      </c>
      <c r="EC527" s="5" t="s">
        <v>247</v>
      </c>
      <c r="ED527" s="5">
        <f t="shared" si="1649"/>
        <v>2</v>
      </c>
      <c r="EE527" s="5" t="s">
        <v>247</v>
      </c>
      <c r="EF527" s="5">
        <f t="shared" si="1650"/>
        <v>2</v>
      </c>
      <c r="EG527" s="5">
        <f t="shared" si="1651"/>
        <v>6</v>
      </c>
      <c r="EH527" s="5" t="str">
        <f t="shared" si="1652"/>
        <v>Nivel de riesgo alto</v>
      </c>
      <c r="EI527" s="5" t="s">
        <v>248</v>
      </c>
      <c r="EJ527" s="5">
        <f t="shared" si="1653"/>
        <v>1</v>
      </c>
      <c r="EK527" s="5" t="s">
        <v>248</v>
      </c>
      <c r="EL527" s="5">
        <f t="shared" si="1654"/>
        <v>1</v>
      </c>
      <c r="EM527" s="5" t="s">
        <v>248</v>
      </c>
      <c r="EN527" s="5">
        <f t="shared" si="1655"/>
        <v>1</v>
      </c>
      <c r="EO527" s="5">
        <f t="shared" si="1656"/>
        <v>3</v>
      </c>
      <c r="EP527" s="5" t="str">
        <f t="shared" si="1657"/>
        <v>Nivel de riesgo medio</v>
      </c>
      <c r="EQ527" s="5" t="s">
        <v>248</v>
      </c>
      <c r="ER527" s="5">
        <f t="shared" si="1658"/>
        <v>3</v>
      </c>
      <c r="ES527" s="5" t="s">
        <v>248</v>
      </c>
      <c r="ET527" s="5">
        <f t="shared" si="1659"/>
        <v>3</v>
      </c>
      <c r="EU527" s="5" t="s">
        <v>248</v>
      </c>
      <c r="EV527" s="5">
        <f t="shared" si="1660"/>
        <v>3</v>
      </c>
      <c r="EW527" s="5" t="s">
        <v>247</v>
      </c>
      <c r="EX527" s="5">
        <f t="shared" si="1661"/>
        <v>2</v>
      </c>
      <c r="EY527" s="5">
        <f t="shared" si="1662"/>
        <v>11</v>
      </c>
      <c r="EZ527" s="5" t="str">
        <f t="shared" si="1663"/>
        <v>Nivel de riesgo alto</v>
      </c>
      <c r="FA527" s="5" t="s">
        <v>247</v>
      </c>
      <c r="FB527" s="5">
        <f t="shared" si="1664"/>
        <v>2</v>
      </c>
      <c r="FC527" s="5" t="s">
        <v>247</v>
      </c>
      <c r="FD527" s="5">
        <f t="shared" si="1665"/>
        <v>2</v>
      </c>
      <c r="FE527" s="5" t="s">
        <v>247</v>
      </c>
      <c r="FF527" s="5">
        <f t="shared" si="1666"/>
        <v>2</v>
      </c>
      <c r="FG527" s="5">
        <f t="shared" si="1667"/>
        <v>6</v>
      </c>
      <c r="FH527" s="5" t="str">
        <f t="shared" si="1668"/>
        <v>Nivel de riesgo alto</v>
      </c>
      <c r="FI527" s="5" t="s">
        <v>248</v>
      </c>
      <c r="FJ527" s="5">
        <f t="shared" si="1669"/>
        <v>1</v>
      </c>
      <c r="FK527" s="5" t="s">
        <v>248</v>
      </c>
      <c r="FL527" s="5">
        <f t="shared" si="1670"/>
        <v>1</v>
      </c>
      <c r="FM527" s="5" t="s">
        <v>248</v>
      </c>
      <c r="FN527" s="5">
        <f t="shared" si="1671"/>
        <v>1</v>
      </c>
      <c r="FO527" s="5">
        <f t="shared" si="1672"/>
        <v>3</v>
      </c>
      <c r="FP527" s="5" t="str">
        <f t="shared" si="1673"/>
        <v>Nivel de riesgo medio</v>
      </c>
      <c r="FQ527" s="5" t="s">
        <v>206</v>
      </c>
      <c r="FR527" s="5">
        <f t="shared" si="1674"/>
        <v>0</v>
      </c>
      <c r="FS527" s="5" t="s">
        <v>206</v>
      </c>
      <c r="FT527" s="5">
        <f t="shared" si="1675"/>
        <v>0</v>
      </c>
      <c r="FU527" s="5" t="s">
        <v>206</v>
      </c>
      <c r="FV527" s="5">
        <f t="shared" si="1676"/>
        <v>0</v>
      </c>
      <c r="FW527" s="5" t="s">
        <v>206</v>
      </c>
      <c r="FX527" s="5">
        <f t="shared" si="1677"/>
        <v>0</v>
      </c>
      <c r="FY527" s="5" t="s">
        <v>206</v>
      </c>
      <c r="FZ527" s="5">
        <f t="shared" si="1678"/>
        <v>0</v>
      </c>
      <c r="GA527" s="5" t="s">
        <v>206</v>
      </c>
      <c r="GB527" s="5">
        <f t="shared" si="1679"/>
        <v>0</v>
      </c>
      <c r="GC527" s="5" t="s">
        <v>206</v>
      </c>
      <c r="GD527" s="5">
        <f t="shared" si="1680"/>
        <v>0</v>
      </c>
      <c r="GE527" s="5">
        <f t="shared" si="1681"/>
        <v>0</v>
      </c>
      <c r="GF527" s="5" t="str">
        <f t="shared" si="1682"/>
        <v>Nivel de riesgo bajo</v>
      </c>
      <c r="GG527" s="5" t="s">
        <v>255</v>
      </c>
      <c r="GH527" s="5" t="s">
        <v>255</v>
      </c>
      <c r="GI527" s="5" t="s">
        <v>255</v>
      </c>
      <c r="GJ527" s="5" t="s">
        <v>255</v>
      </c>
      <c r="GK527" s="5" t="s">
        <v>233</v>
      </c>
      <c r="GL527" s="5" t="s">
        <v>255</v>
      </c>
      <c r="GM527" s="5" t="s">
        <v>255</v>
      </c>
      <c r="GN527" s="5" t="s">
        <v>244</v>
      </c>
      <c r="GO527" s="5" t="s">
        <v>244</v>
      </c>
      <c r="GP527" s="5" t="s">
        <v>244</v>
      </c>
      <c r="GQ527" s="5" t="s">
        <v>244</v>
      </c>
      <c r="GR527" s="5" t="s">
        <v>244</v>
      </c>
      <c r="GS527" s="5" t="s">
        <v>244</v>
      </c>
      <c r="GT527" s="5" t="s">
        <v>244</v>
      </c>
      <c r="GU527" s="5" t="s">
        <v>893</v>
      </c>
      <c r="GV527" s="5" t="str">
        <f>TEXT("6290923202005352004","0")</f>
        <v>6290923202005350000</v>
      </c>
    </row>
    <row r="528" spans="1:204" ht="15.75" customHeight="1" x14ac:dyDescent="0.15">
      <c r="A528" s="1">
        <f t="shared" si="1632"/>
        <v>528</v>
      </c>
      <c r="B528" s="4">
        <v>45861.472141203703</v>
      </c>
      <c r="C528" s="5" t="s">
        <v>204</v>
      </c>
      <c r="D528" s="5" t="s">
        <v>206</v>
      </c>
      <c r="F528" s="5" t="s">
        <v>206</v>
      </c>
      <c r="G528" s="5" t="s">
        <v>206</v>
      </c>
      <c r="H528" s="5" t="s">
        <v>206</v>
      </c>
      <c r="K528" s="5" t="s">
        <v>237</v>
      </c>
      <c r="P528" s="5" t="s">
        <v>237</v>
      </c>
      <c r="T528" s="5" t="s">
        <v>209</v>
      </c>
      <c r="X528" s="5" t="s">
        <v>208</v>
      </c>
      <c r="AC528" s="5" t="s">
        <v>208</v>
      </c>
      <c r="AH528" s="5" t="s">
        <v>268</v>
      </c>
      <c r="AI528" s="5">
        <v>2011</v>
      </c>
      <c r="AJ528" s="5" t="s">
        <v>330</v>
      </c>
      <c r="AK528" s="5" t="str">
        <f t="shared" si="1633"/>
        <v>Asalariada</v>
      </c>
      <c r="AQ528" s="5" t="s">
        <v>204</v>
      </c>
      <c r="AR528" s="5" t="s">
        <v>276</v>
      </c>
      <c r="AS528" s="5" t="s">
        <v>294</v>
      </c>
      <c r="AT528" s="5" t="s">
        <v>241</v>
      </c>
      <c r="AU528" s="5" t="s">
        <v>261</v>
      </c>
      <c r="AV528" s="5" t="s">
        <v>302</v>
      </c>
      <c r="AW528" s="5" t="s">
        <v>206</v>
      </c>
      <c r="BF528" s="5" t="s">
        <v>204</v>
      </c>
      <c r="BG528" s="5" t="s">
        <v>207</v>
      </c>
      <c r="BH528" s="5" t="s">
        <v>242</v>
      </c>
      <c r="BI528" s="5" t="s">
        <v>215</v>
      </c>
      <c r="BJ528" s="5" t="s">
        <v>242</v>
      </c>
      <c r="BK528" s="5" t="s">
        <v>245</v>
      </c>
      <c r="BL528" s="5" t="s">
        <v>246</v>
      </c>
      <c r="BM528" s="5" t="s">
        <v>245</v>
      </c>
      <c r="BN528" s="5" t="s">
        <v>245</v>
      </c>
      <c r="BO528" s="5" t="s">
        <v>245</v>
      </c>
      <c r="BP528" s="5" t="s">
        <v>245</v>
      </c>
      <c r="BQ528" s="5" t="s">
        <v>243</v>
      </c>
      <c r="BR528" s="5" t="s">
        <v>243</v>
      </c>
      <c r="BS528" s="5" t="s">
        <v>254</v>
      </c>
      <c r="BT528" s="5" t="s">
        <v>232</v>
      </c>
      <c r="BU528" s="5" t="s">
        <v>254</v>
      </c>
      <c r="BV528" s="5" t="s">
        <v>254</v>
      </c>
      <c r="BW528" s="5" t="s">
        <v>232</v>
      </c>
      <c r="BX528" s="5" t="s">
        <v>247</v>
      </c>
      <c r="BY528" s="5" t="s">
        <v>248</v>
      </c>
      <c r="CD528" s="5" t="s">
        <v>206</v>
      </c>
      <c r="CH528" s="5" t="s">
        <v>206</v>
      </c>
      <c r="CI528" s="5" t="s">
        <v>206</v>
      </c>
      <c r="CJ528" s="5">
        <v>0</v>
      </c>
      <c r="CK528" s="5" t="s">
        <v>223</v>
      </c>
      <c r="CU528" s="5" t="s">
        <v>206</v>
      </c>
      <c r="DA528" s="5" t="s">
        <v>231</v>
      </c>
      <c r="DB528" s="5">
        <f t="shared" si="1634"/>
        <v>2</v>
      </c>
      <c r="DC528" s="5" t="s">
        <v>280</v>
      </c>
      <c r="DD528" s="5">
        <f t="shared" si="1635"/>
        <v>4</v>
      </c>
      <c r="DE528" s="5" t="s">
        <v>230</v>
      </c>
      <c r="DF528" s="5">
        <f t="shared" si="1636"/>
        <v>2</v>
      </c>
      <c r="DG528" s="5" t="s">
        <v>251</v>
      </c>
      <c r="DH528" s="5">
        <f t="shared" si="1637"/>
        <v>1</v>
      </c>
      <c r="DI528" s="5" t="s">
        <v>251</v>
      </c>
      <c r="DJ528" s="5">
        <f t="shared" si="1638"/>
        <v>1</v>
      </c>
      <c r="DK528" s="5" t="s">
        <v>251</v>
      </c>
      <c r="DL528" s="5">
        <f t="shared" si="1639"/>
        <v>1</v>
      </c>
      <c r="DM528" s="5" t="s">
        <v>251</v>
      </c>
      <c r="DN528" s="5">
        <f t="shared" si="1640"/>
        <v>1</v>
      </c>
      <c r="DO528" s="5" t="s">
        <v>281</v>
      </c>
      <c r="DP528" s="5">
        <f t="shared" si="1641"/>
        <v>1</v>
      </c>
      <c r="DQ528" s="5" t="s">
        <v>231</v>
      </c>
      <c r="DR528" s="5">
        <f t="shared" si="1642"/>
        <v>2</v>
      </c>
      <c r="DS528" s="5" t="s">
        <v>252</v>
      </c>
      <c r="DT528" s="5">
        <f t="shared" si="1643"/>
        <v>3</v>
      </c>
      <c r="DU528" s="5" t="s">
        <v>231</v>
      </c>
      <c r="DV528" s="5">
        <f t="shared" si="1644"/>
        <v>2</v>
      </c>
      <c r="DW528" s="5" t="s">
        <v>281</v>
      </c>
      <c r="DX528" s="5">
        <f t="shared" si="1645"/>
        <v>1</v>
      </c>
      <c r="DY528" s="5">
        <f t="shared" si="1646"/>
        <v>21</v>
      </c>
      <c r="DZ528" s="5" t="str">
        <f t="shared" si="1647"/>
        <v>Nivel de riesgo medio</v>
      </c>
      <c r="EA528" s="5" t="s">
        <v>253</v>
      </c>
      <c r="EB528" s="5">
        <f t="shared" si="1648"/>
        <v>0</v>
      </c>
      <c r="EC528" s="5" t="s">
        <v>248</v>
      </c>
      <c r="ED528" s="5">
        <f t="shared" si="1649"/>
        <v>1</v>
      </c>
      <c r="EE528" s="5" t="s">
        <v>253</v>
      </c>
      <c r="EF528" s="5">
        <f t="shared" si="1650"/>
        <v>0</v>
      </c>
      <c r="EG528" s="5">
        <f t="shared" si="1651"/>
        <v>1</v>
      </c>
      <c r="EH528" s="5" t="str">
        <f t="shared" si="1652"/>
        <v>Nivel de riesgo bajo</v>
      </c>
      <c r="EI528" s="5" t="s">
        <v>254</v>
      </c>
      <c r="EJ528" s="5">
        <f t="shared" si="1653"/>
        <v>4</v>
      </c>
      <c r="EK528" s="5" t="s">
        <v>254</v>
      </c>
      <c r="EL528" s="5">
        <f t="shared" si="1654"/>
        <v>4</v>
      </c>
      <c r="EM528" s="5" t="s">
        <v>254</v>
      </c>
      <c r="EN528" s="5">
        <f t="shared" si="1655"/>
        <v>4</v>
      </c>
      <c r="EO528" s="5">
        <f t="shared" si="1656"/>
        <v>12</v>
      </c>
      <c r="EP528" s="5" t="str">
        <f t="shared" si="1657"/>
        <v>Nivel de riesgo alto</v>
      </c>
      <c r="EQ528" s="5" t="s">
        <v>232</v>
      </c>
      <c r="ER528" s="5">
        <f t="shared" si="1658"/>
        <v>1</v>
      </c>
      <c r="ES528" s="5" t="s">
        <v>254</v>
      </c>
      <c r="ET528" s="5">
        <f t="shared" si="1659"/>
        <v>0</v>
      </c>
      <c r="EU528" s="5" t="s">
        <v>232</v>
      </c>
      <c r="EV528" s="5">
        <f t="shared" si="1660"/>
        <v>1</v>
      </c>
      <c r="EW528" s="5" t="s">
        <v>254</v>
      </c>
      <c r="EX528" s="5">
        <f t="shared" si="1661"/>
        <v>0</v>
      </c>
      <c r="EY528" s="5">
        <f t="shared" si="1662"/>
        <v>2</v>
      </c>
      <c r="EZ528" s="5" t="str">
        <f t="shared" si="1663"/>
        <v>Nivel de riesgo medio</v>
      </c>
      <c r="FA528" s="5" t="s">
        <v>247</v>
      </c>
      <c r="FB528" s="5">
        <f t="shared" si="1664"/>
        <v>2</v>
      </c>
      <c r="FC528" s="5" t="s">
        <v>254</v>
      </c>
      <c r="FD528" s="5">
        <f t="shared" si="1665"/>
        <v>4</v>
      </c>
      <c r="FE528" s="5" t="s">
        <v>254</v>
      </c>
      <c r="FF528" s="5">
        <f t="shared" si="1666"/>
        <v>4</v>
      </c>
      <c r="FG528" s="5">
        <f t="shared" si="1667"/>
        <v>10</v>
      </c>
      <c r="FH528" s="5" t="str">
        <f t="shared" si="1668"/>
        <v>Nivel de riesgo alto</v>
      </c>
      <c r="FI528" s="5" t="s">
        <v>247</v>
      </c>
      <c r="FJ528" s="5">
        <f t="shared" si="1669"/>
        <v>2</v>
      </c>
      <c r="FK528" s="5" t="s">
        <v>247</v>
      </c>
      <c r="FL528" s="5">
        <f t="shared" si="1670"/>
        <v>2</v>
      </c>
      <c r="FM528" s="5" t="s">
        <v>253</v>
      </c>
      <c r="FN528" s="5">
        <f t="shared" si="1671"/>
        <v>0</v>
      </c>
      <c r="FO528" s="5">
        <f t="shared" si="1672"/>
        <v>4</v>
      </c>
      <c r="FP528" s="5" t="str">
        <f t="shared" si="1673"/>
        <v>Nivel de riesgo medio</v>
      </c>
      <c r="FQ528" s="5" t="s">
        <v>391</v>
      </c>
      <c r="FR528" s="5">
        <f t="shared" si="1674"/>
        <v>4</v>
      </c>
      <c r="FS528" s="5" t="s">
        <v>265</v>
      </c>
      <c r="FT528" s="5">
        <f t="shared" si="1675"/>
        <v>1</v>
      </c>
      <c r="FU528" s="5" t="s">
        <v>206</v>
      </c>
      <c r="FV528" s="5">
        <f t="shared" si="1676"/>
        <v>0</v>
      </c>
      <c r="FW528" s="5" t="s">
        <v>206</v>
      </c>
      <c r="FX528" s="5">
        <f t="shared" si="1677"/>
        <v>0</v>
      </c>
      <c r="FY528" s="5" t="s">
        <v>206</v>
      </c>
      <c r="FZ528" s="5">
        <f t="shared" si="1678"/>
        <v>0</v>
      </c>
      <c r="GA528" s="5" t="s">
        <v>206</v>
      </c>
      <c r="GB528" s="5">
        <f t="shared" si="1679"/>
        <v>0</v>
      </c>
      <c r="GC528" s="5" t="s">
        <v>206</v>
      </c>
      <c r="GD528" s="5">
        <f t="shared" si="1680"/>
        <v>0</v>
      </c>
      <c r="GE528" s="5">
        <f t="shared" si="1681"/>
        <v>5</v>
      </c>
      <c r="GF528" s="5" t="str">
        <f t="shared" si="1682"/>
        <v>Nivel de riesgo medio</v>
      </c>
      <c r="GG528" s="5" t="s">
        <v>255</v>
      </c>
      <c r="GH528" s="5" t="s">
        <v>255</v>
      </c>
      <c r="GI528" s="5" t="s">
        <v>255</v>
      </c>
      <c r="GJ528" s="5" t="s">
        <v>255</v>
      </c>
      <c r="GK528" s="5" t="s">
        <v>233</v>
      </c>
      <c r="GL528" s="5" t="s">
        <v>266</v>
      </c>
      <c r="GM528" s="5" t="s">
        <v>233</v>
      </c>
      <c r="GN528" s="5" t="s">
        <v>256</v>
      </c>
      <c r="GO528" s="5" t="s">
        <v>244</v>
      </c>
      <c r="GP528" s="5" t="s">
        <v>257</v>
      </c>
      <c r="GQ528" s="5" t="s">
        <v>244</v>
      </c>
      <c r="GR528" s="5" t="s">
        <v>257</v>
      </c>
      <c r="GS528" s="5" t="s">
        <v>257</v>
      </c>
      <c r="GT528" s="5" t="s">
        <v>257</v>
      </c>
      <c r="GU528" s="5" t="s">
        <v>894</v>
      </c>
      <c r="GV528" s="5" t="str">
        <f>TEXT("6290931932905073166","0")</f>
        <v>6290931932905070000</v>
      </c>
    </row>
    <row r="529" spans="1:204" ht="15.75" customHeight="1" x14ac:dyDescent="0.15">
      <c r="A529" s="1">
        <f t="shared" si="1632"/>
        <v>529</v>
      </c>
      <c r="B529" s="4">
        <v>45861.480185185188</v>
      </c>
      <c r="C529" s="5" t="s">
        <v>204</v>
      </c>
      <c r="D529" s="5" t="s">
        <v>206</v>
      </c>
      <c r="F529" s="5" t="s">
        <v>206</v>
      </c>
      <c r="G529" s="5" t="s">
        <v>206</v>
      </c>
      <c r="H529" s="5" t="s">
        <v>206</v>
      </c>
      <c r="L529" s="5" t="s">
        <v>236</v>
      </c>
      <c r="Q529" s="5" t="s">
        <v>236</v>
      </c>
      <c r="T529" s="5" t="s">
        <v>209</v>
      </c>
      <c r="Y529" s="5" t="s">
        <v>209</v>
      </c>
      <c r="AE529" s="5" t="s">
        <v>237</v>
      </c>
      <c r="AH529" s="5" t="s">
        <v>275</v>
      </c>
      <c r="AI529" s="5">
        <v>2020</v>
      </c>
      <c r="AJ529" s="5" t="s">
        <v>238</v>
      </c>
      <c r="AK529" s="5" t="str">
        <f t="shared" si="1633"/>
        <v>Trabajadora por cuenta propia</v>
      </c>
      <c r="AO529" s="5" t="s">
        <v>323</v>
      </c>
      <c r="AP529" s="5" t="s">
        <v>297</v>
      </c>
      <c r="AR529" s="5" t="s">
        <v>301</v>
      </c>
      <c r="AS529" s="5" t="s">
        <v>301</v>
      </c>
      <c r="AT529" s="5" t="s">
        <v>301</v>
      </c>
      <c r="AU529" s="5" t="s">
        <v>276</v>
      </c>
      <c r="AV529" s="5" t="s">
        <v>269</v>
      </c>
      <c r="AW529" s="5" t="s">
        <v>204</v>
      </c>
      <c r="AX529" s="5" t="s">
        <v>206</v>
      </c>
      <c r="BF529" s="5" t="s">
        <v>204</v>
      </c>
      <c r="BG529" s="5" t="s">
        <v>242</v>
      </c>
      <c r="BH529" s="5" t="s">
        <v>242</v>
      </c>
      <c r="BI529" s="5" t="s">
        <v>242</v>
      </c>
      <c r="BJ529" s="5" t="s">
        <v>242</v>
      </c>
      <c r="BK529" s="5" t="s">
        <v>243</v>
      </c>
      <c r="BL529" s="5" t="s">
        <v>243</v>
      </c>
      <c r="BM529" s="5" t="s">
        <v>246</v>
      </c>
      <c r="BN529" s="5" t="s">
        <v>245</v>
      </c>
      <c r="BO529" s="5" t="s">
        <v>246</v>
      </c>
      <c r="BP529" s="5" t="s">
        <v>246</v>
      </c>
      <c r="BQ529" s="5" t="s">
        <v>246</v>
      </c>
      <c r="BR529" s="5" t="s">
        <v>246</v>
      </c>
      <c r="BS529" s="5" t="s">
        <v>232</v>
      </c>
      <c r="BT529" s="5" t="s">
        <v>232</v>
      </c>
      <c r="BU529" s="5" t="s">
        <v>232</v>
      </c>
      <c r="BV529" s="5" t="s">
        <v>232</v>
      </c>
      <c r="BW529" s="5" t="s">
        <v>232</v>
      </c>
      <c r="BX529" s="5" t="s">
        <v>232</v>
      </c>
      <c r="BY529" s="5" t="s">
        <v>232</v>
      </c>
      <c r="BZ529" s="5" t="s">
        <v>246</v>
      </c>
      <c r="CA529" s="5" t="s">
        <v>246</v>
      </c>
      <c r="CB529" s="5" t="s">
        <v>246</v>
      </c>
      <c r="CC529" s="5" t="s">
        <v>246</v>
      </c>
      <c r="CD529" s="5" t="s">
        <v>206</v>
      </c>
      <c r="CH529" s="5" t="s">
        <v>367</v>
      </c>
      <c r="CI529" s="5" t="s">
        <v>206</v>
      </c>
      <c r="CJ529" s="5">
        <v>1</v>
      </c>
      <c r="CK529" s="5" t="s">
        <v>223</v>
      </c>
      <c r="CU529" s="5" t="s">
        <v>206</v>
      </c>
      <c r="DA529" s="5" t="s">
        <v>252</v>
      </c>
      <c r="DB529" s="5">
        <f t="shared" si="1634"/>
        <v>3</v>
      </c>
      <c r="DC529" s="5" t="s">
        <v>230</v>
      </c>
      <c r="DD529" s="5">
        <f t="shared" si="1635"/>
        <v>2</v>
      </c>
      <c r="DE529" s="5" t="s">
        <v>230</v>
      </c>
      <c r="DF529" s="5">
        <f t="shared" si="1636"/>
        <v>2</v>
      </c>
      <c r="DG529" s="5" t="s">
        <v>230</v>
      </c>
      <c r="DH529" s="5">
        <f t="shared" si="1637"/>
        <v>2</v>
      </c>
      <c r="DI529" s="5" t="s">
        <v>230</v>
      </c>
      <c r="DJ529" s="5">
        <f t="shared" si="1638"/>
        <v>2</v>
      </c>
      <c r="DK529" s="5" t="s">
        <v>230</v>
      </c>
      <c r="DL529" s="5">
        <f t="shared" si="1639"/>
        <v>2</v>
      </c>
      <c r="DM529" s="5" t="s">
        <v>251</v>
      </c>
      <c r="DN529" s="5">
        <f t="shared" si="1640"/>
        <v>1</v>
      </c>
      <c r="DO529" s="5" t="s">
        <v>281</v>
      </c>
      <c r="DP529" s="5">
        <f t="shared" si="1641"/>
        <v>1</v>
      </c>
      <c r="DQ529" s="5" t="s">
        <v>231</v>
      </c>
      <c r="DR529" s="5">
        <f t="shared" si="1642"/>
        <v>2</v>
      </c>
      <c r="DS529" s="5" t="s">
        <v>231</v>
      </c>
      <c r="DT529" s="5">
        <f t="shared" si="1643"/>
        <v>2</v>
      </c>
      <c r="DU529" s="5" t="s">
        <v>231</v>
      </c>
      <c r="DV529" s="5">
        <f t="shared" si="1644"/>
        <v>2</v>
      </c>
      <c r="DW529" s="5" t="s">
        <v>281</v>
      </c>
      <c r="DX529" s="5">
        <f t="shared" si="1645"/>
        <v>1</v>
      </c>
      <c r="DY529" s="5">
        <f t="shared" si="1646"/>
        <v>22</v>
      </c>
      <c r="DZ529" s="5" t="str">
        <f t="shared" si="1647"/>
        <v>Nivel de riesgo medio</v>
      </c>
      <c r="EA529" s="5" t="s">
        <v>247</v>
      </c>
      <c r="EB529" s="5">
        <f t="shared" si="1648"/>
        <v>2</v>
      </c>
      <c r="EC529" s="5" t="s">
        <v>247</v>
      </c>
      <c r="ED529" s="5">
        <f t="shared" si="1649"/>
        <v>2</v>
      </c>
      <c r="EE529" s="5" t="s">
        <v>247</v>
      </c>
      <c r="EF529" s="5">
        <f t="shared" si="1650"/>
        <v>2</v>
      </c>
      <c r="EG529" s="5">
        <f t="shared" si="1651"/>
        <v>6</v>
      </c>
      <c r="EH529" s="5" t="str">
        <f t="shared" si="1652"/>
        <v>Nivel de riesgo alto</v>
      </c>
      <c r="EI529" s="5" t="s">
        <v>247</v>
      </c>
      <c r="EJ529" s="5">
        <f t="shared" si="1653"/>
        <v>2</v>
      </c>
      <c r="EK529" s="5" t="s">
        <v>247</v>
      </c>
      <c r="EL529" s="5">
        <f t="shared" si="1654"/>
        <v>2</v>
      </c>
      <c r="EM529" s="5" t="s">
        <v>247</v>
      </c>
      <c r="EN529" s="5">
        <f t="shared" si="1655"/>
        <v>2</v>
      </c>
      <c r="EO529" s="5">
        <f t="shared" si="1656"/>
        <v>6</v>
      </c>
      <c r="EP529" s="5" t="str">
        <f t="shared" si="1657"/>
        <v>Nivel de riesgo alto</v>
      </c>
      <c r="EQ529" s="5" t="s">
        <v>247</v>
      </c>
      <c r="ER529" s="5">
        <f t="shared" si="1658"/>
        <v>2</v>
      </c>
      <c r="ES529" s="5" t="s">
        <v>247</v>
      </c>
      <c r="ET529" s="5">
        <f t="shared" si="1659"/>
        <v>2</v>
      </c>
      <c r="EU529" s="5" t="s">
        <v>247</v>
      </c>
      <c r="EV529" s="5">
        <f t="shared" si="1660"/>
        <v>2</v>
      </c>
      <c r="EW529" s="5" t="s">
        <v>247</v>
      </c>
      <c r="EX529" s="5">
        <f t="shared" si="1661"/>
        <v>2</v>
      </c>
      <c r="EY529" s="5">
        <f t="shared" si="1662"/>
        <v>8</v>
      </c>
      <c r="EZ529" s="5" t="str">
        <f t="shared" si="1663"/>
        <v>Nivel de riesgo alto</v>
      </c>
      <c r="FA529" s="5" t="s">
        <v>247</v>
      </c>
      <c r="FB529" s="5">
        <f t="shared" si="1664"/>
        <v>2</v>
      </c>
      <c r="FC529" s="5" t="s">
        <v>232</v>
      </c>
      <c r="FD529" s="5">
        <f t="shared" si="1665"/>
        <v>3</v>
      </c>
      <c r="FE529" s="5" t="s">
        <v>247</v>
      </c>
      <c r="FF529" s="5">
        <f t="shared" si="1666"/>
        <v>2</v>
      </c>
      <c r="FG529" s="5">
        <f t="shared" si="1667"/>
        <v>7</v>
      </c>
      <c r="FH529" s="5" t="str">
        <f t="shared" si="1668"/>
        <v>Nivel de riesgo alto</v>
      </c>
      <c r="FI529" s="5" t="s">
        <v>232</v>
      </c>
      <c r="FJ529" s="5">
        <f t="shared" si="1669"/>
        <v>3</v>
      </c>
      <c r="FK529" s="5" t="s">
        <v>247</v>
      </c>
      <c r="FL529" s="5">
        <f t="shared" si="1670"/>
        <v>2</v>
      </c>
      <c r="FM529" s="5" t="s">
        <v>247</v>
      </c>
      <c r="FN529" s="5">
        <f t="shared" si="1671"/>
        <v>2</v>
      </c>
      <c r="FO529" s="5">
        <f t="shared" si="1672"/>
        <v>7</v>
      </c>
      <c r="FP529" s="5" t="str">
        <f t="shared" si="1673"/>
        <v>Nivel de riesgo alto</v>
      </c>
      <c r="FQ529" s="5" t="s">
        <v>206</v>
      </c>
      <c r="FR529" s="5">
        <f t="shared" si="1674"/>
        <v>0</v>
      </c>
      <c r="FS529" s="5" t="s">
        <v>206</v>
      </c>
      <c r="FT529" s="5">
        <f t="shared" si="1675"/>
        <v>0</v>
      </c>
      <c r="FU529" s="5" t="s">
        <v>206</v>
      </c>
      <c r="FV529" s="5">
        <f t="shared" si="1676"/>
        <v>0</v>
      </c>
      <c r="FW529" s="5" t="s">
        <v>206</v>
      </c>
      <c r="FX529" s="5">
        <f t="shared" si="1677"/>
        <v>0</v>
      </c>
      <c r="FY529" s="5" t="s">
        <v>206</v>
      </c>
      <c r="FZ529" s="5">
        <f t="shared" si="1678"/>
        <v>0</v>
      </c>
      <c r="GA529" s="5" t="s">
        <v>206</v>
      </c>
      <c r="GB529" s="5">
        <f t="shared" si="1679"/>
        <v>0</v>
      </c>
      <c r="GC529" s="5" t="s">
        <v>206</v>
      </c>
      <c r="GD529" s="5">
        <f t="shared" si="1680"/>
        <v>0</v>
      </c>
      <c r="GE529" s="5">
        <f t="shared" si="1681"/>
        <v>0</v>
      </c>
      <c r="GF529" s="5" t="str">
        <f t="shared" si="1682"/>
        <v>Nivel de riesgo bajo</v>
      </c>
      <c r="GG529" s="5" t="s">
        <v>255</v>
      </c>
      <c r="GH529" s="5" t="s">
        <v>273</v>
      </c>
      <c r="GI529" s="5" t="s">
        <v>273</v>
      </c>
      <c r="GJ529" s="5" t="s">
        <v>266</v>
      </c>
      <c r="GK529" s="5" t="s">
        <v>233</v>
      </c>
      <c r="GL529" s="5" t="s">
        <v>266</v>
      </c>
      <c r="GM529" s="5" t="s">
        <v>266</v>
      </c>
      <c r="GN529" s="5" t="s">
        <v>234</v>
      </c>
      <c r="GO529" s="5" t="s">
        <v>234</v>
      </c>
      <c r="GP529" s="5" t="s">
        <v>234</v>
      </c>
      <c r="GQ529" s="5" t="s">
        <v>234</v>
      </c>
      <c r="GR529" s="5" t="s">
        <v>234</v>
      </c>
      <c r="GS529" s="5" t="s">
        <v>234</v>
      </c>
      <c r="GT529" s="5" t="s">
        <v>234</v>
      </c>
      <c r="GU529" s="5" t="s">
        <v>895</v>
      </c>
      <c r="GV529" s="5" t="str">
        <f>TEXT("6290938882619095488","0")</f>
        <v>6290938882619090000</v>
      </c>
    </row>
    <row r="530" spans="1:204" ht="15.75" customHeight="1" x14ac:dyDescent="0.15">
      <c r="A530" s="1">
        <f t="shared" si="1632"/>
        <v>530</v>
      </c>
      <c r="B530" s="4">
        <v>45861.480532407404</v>
      </c>
      <c r="C530" s="5" t="s">
        <v>204</v>
      </c>
      <c r="D530" s="5" t="s">
        <v>206</v>
      </c>
      <c r="F530" s="5" t="s">
        <v>206</v>
      </c>
      <c r="G530" s="5" t="s">
        <v>204</v>
      </c>
      <c r="H530" s="5" t="s">
        <v>206</v>
      </c>
      <c r="K530" s="5" t="s">
        <v>237</v>
      </c>
      <c r="P530" s="5" t="s">
        <v>237</v>
      </c>
      <c r="S530" s="5" t="s">
        <v>208</v>
      </c>
      <c r="X530" s="5" t="s">
        <v>208</v>
      </c>
      <c r="AC530" s="5" t="s">
        <v>208</v>
      </c>
      <c r="AH530" s="5" t="s">
        <v>210</v>
      </c>
      <c r="AI530" s="5">
        <v>2017</v>
      </c>
      <c r="AJ530" s="5" t="s">
        <v>330</v>
      </c>
      <c r="AK530" s="5" t="str">
        <f t="shared" si="1633"/>
        <v>Asalariada</v>
      </c>
      <c r="AQ530" s="5" t="s">
        <v>206</v>
      </c>
      <c r="AR530" s="5" t="s">
        <v>261</v>
      </c>
      <c r="AS530" s="5" t="s">
        <v>276</v>
      </c>
      <c r="AT530" s="5" t="s">
        <v>294</v>
      </c>
      <c r="AU530" s="5" t="s">
        <v>294</v>
      </c>
      <c r="AV530" s="5" t="s">
        <v>302</v>
      </c>
      <c r="AW530" s="5" t="s">
        <v>206</v>
      </c>
      <c r="BF530" s="5" t="s">
        <v>204</v>
      </c>
      <c r="BG530" s="5" t="s">
        <v>207</v>
      </c>
      <c r="BH530" s="5" t="s">
        <v>264</v>
      </c>
      <c r="BI530" s="5" t="s">
        <v>207</v>
      </c>
      <c r="BJ530" s="5" t="s">
        <v>264</v>
      </c>
      <c r="BK530" s="5" t="s">
        <v>216</v>
      </c>
      <c r="BL530" s="5" t="s">
        <v>216</v>
      </c>
      <c r="BM530" s="5" t="s">
        <v>216</v>
      </c>
      <c r="BN530" s="5" t="s">
        <v>216</v>
      </c>
      <c r="BO530" s="5" t="s">
        <v>216</v>
      </c>
      <c r="BP530" s="5" t="s">
        <v>216</v>
      </c>
      <c r="BQ530" s="5" t="s">
        <v>216</v>
      </c>
      <c r="BR530" s="5" t="s">
        <v>216</v>
      </c>
      <c r="BS530" s="5" t="s">
        <v>248</v>
      </c>
      <c r="BT530" s="5" t="s">
        <v>247</v>
      </c>
      <c r="BU530" s="5" t="s">
        <v>247</v>
      </c>
      <c r="BV530" s="5" t="s">
        <v>217</v>
      </c>
      <c r="BW530" s="5" t="s">
        <v>247</v>
      </c>
      <c r="BX530" s="5" t="s">
        <v>248</v>
      </c>
      <c r="BY530" s="5" t="s">
        <v>247</v>
      </c>
      <c r="CD530" s="5" t="s">
        <v>206</v>
      </c>
      <c r="CH530" s="5" t="s">
        <v>206</v>
      </c>
      <c r="CI530" s="5" t="s">
        <v>206</v>
      </c>
      <c r="CJ530" s="5">
        <v>0</v>
      </c>
      <c r="CK530" s="5" t="s">
        <v>223</v>
      </c>
      <c r="CU530" s="5" t="s">
        <v>206</v>
      </c>
      <c r="DA530" s="5" t="s">
        <v>252</v>
      </c>
      <c r="DB530" s="5">
        <f t="shared" si="1634"/>
        <v>3</v>
      </c>
      <c r="DC530" s="5" t="s">
        <v>250</v>
      </c>
      <c r="DD530" s="5">
        <f t="shared" si="1635"/>
        <v>3</v>
      </c>
      <c r="DE530" s="5" t="s">
        <v>250</v>
      </c>
      <c r="DF530" s="5">
        <f t="shared" si="1636"/>
        <v>3</v>
      </c>
      <c r="DG530" s="5" t="s">
        <v>230</v>
      </c>
      <c r="DH530" s="5">
        <f t="shared" si="1637"/>
        <v>2</v>
      </c>
      <c r="DI530" s="5" t="s">
        <v>251</v>
      </c>
      <c r="DJ530" s="5">
        <f t="shared" si="1638"/>
        <v>1</v>
      </c>
      <c r="DK530" s="5" t="s">
        <v>251</v>
      </c>
      <c r="DL530" s="5">
        <f t="shared" si="1639"/>
        <v>1</v>
      </c>
      <c r="DM530" s="5" t="s">
        <v>251</v>
      </c>
      <c r="DN530" s="5">
        <f t="shared" si="1640"/>
        <v>1</v>
      </c>
      <c r="DO530" s="5" t="s">
        <v>231</v>
      </c>
      <c r="DP530" s="5">
        <f t="shared" si="1641"/>
        <v>2</v>
      </c>
      <c r="DQ530" s="5" t="s">
        <v>231</v>
      </c>
      <c r="DR530" s="5">
        <f t="shared" si="1642"/>
        <v>2</v>
      </c>
      <c r="DS530" s="5" t="s">
        <v>252</v>
      </c>
      <c r="DT530" s="5">
        <f t="shared" si="1643"/>
        <v>3</v>
      </c>
      <c r="DU530" s="5" t="s">
        <v>252</v>
      </c>
      <c r="DV530" s="5">
        <f t="shared" si="1644"/>
        <v>3</v>
      </c>
      <c r="DW530" s="5" t="s">
        <v>231</v>
      </c>
      <c r="DX530" s="5">
        <f t="shared" si="1645"/>
        <v>2</v>
      </c>
      <c r="DY530" s="5">
        <f t="shared" si="1646"/>
        <v>26</v>
      </c>
      <c r="DZ530" s="5" t="str">
        <f t="shared" si="1647"/>
        <v>Nivel de riesgo alto</v>
      </c>
      <c r="EA530" s="5" t="s">
        <v>248</v>
      </c>
      <c r="EB530" s="5">
        <f t="shared" si="1648"/>
        <v>1</v>
      </c>
      <c r="EC530" s="5" t="s">
        <v>248</v>
      </c>
      <c r="ED530" s="5">
        <f t="shared" si="1649"/>
        <v>1</v>
      </c>
      <c r="EE530" s="5" t="s">
        <v>248</v>
      </c>
      <c r="EF530" s="5">
        <f t="shared" si="1650"/>
        <v>1</v>
      </c>
      <c r="EG530" s="5">
        <f t="shared" si="1651"/>
        <v>3</v>
      </c>
      <c r="EH530" s="5" t="str">
        <f t="shared" si="1652"/>
        <v>Nivel de riesgo medio</v>
      </c>
      <c r="EI530" s="5" t="s">
        <v>247</v>
      </c>
      <c r="EJ530" s="5">
        <f t="shared" si="1653"/>
        <v>2</v>
      </c>
      <c r="EK530" s="5" t="s">
        <v>253</v>
      </c>
      <c r="EL530" s="5">
        <f t="shared" si="1654"/>
        <v>0</v>
      </c>
      <c r="EM530" s="5" t="s">
        <v>248</v>
      </c>
      <c r="EN530" s="5">
        <f t="shared" si="1655"/>
        <v>1</v>
      </c>
      <c r="EO530" s="5">
        <f t="shared" si="1656"/>
        <v>3</v>
      </c>
      <c r="EP530" s="5" t="str">
        <f t="shared" si="1657"/>
        <v>Nivel de riesgo medio</v>
      </c>
      <c r="EQ530" s="5" t="s">
        <v>247</v>
      </c>
      <c r="ER530" s="5">
        <f t="shared" si="1658"/>
        <v>2</v>
      </c>
      <c r="ES530" s="5" t="s">
        <v>247</v>
      </c>
      <c r="ET530" s="5">
        <f t="shared" si="1659"/>
        <v>2</v>
      </c>
      <c r="EU530" s="5" t="s">
        <v>247</v>
      </c>
      <c r="EV530" s="5">
        <f t="shared" si="1660"/>
        <v>2</v>
      </c>
      <c r="EW530" s="5" t="s">
        <v>232</v>
      </c>
      <c r="EX530" s="5">
        <f t="shared" si="1661"/>
        <v>1</v>
      </c>
      <c r="EY530" s="5">
        <f t="shared" si="1662"/>
        <v>7</v>
      </c>
      <c r="EZ530" s="5" t="str">
        <f t="shared" si="1663"/>
        <v>Nivel de riesgo alto</v>
      </c>
      <c r="FA530" s="5" t="s">
        <v>248</v>
      </c>
      <c r="FB530" s="5">
        <f t="shared" si="1664"/>
        <v>1</v>
      </c>
      <c r="FC530" s="5" t="s">
        <v>248</v>
      </c>
      <c r="FD530" s="5">
        <f t="shared" si="1665"/>
        <v>1</v>
      </c>
      <c r="FE530" s="5" t="s">
        <v>248</v>
      </c>
      <c r="FF530" s="5">
        <f t="shared" si="1666"/>
        <v>1</v>
      </c>
      <c r="FG530" s="5">
        <f t="shared" si="1667"/>
        <v>3</v>
      </c>
      <c r="FH530" s="5" t="str">
        <f t="shared" si="1668"/>
        <v>Nivel de riesgo medio</v>
      </c>
      <c r="FI530" s="5" t="s">
        <v>248</v>
      </c>
      <c r="FJ530" s="5">
        <f t="shared" si="1669"/>
        <v>1</v>
      </c>
      <c r="FK530" s="5" t="s">
        <v>248</v>
      </c>
      <c r="FL530" s="5">
        <f t="shared" si="1670"/>
        <v>1</v>
      </c>
      <c r="FM530" s="5" t="s">
        <v>248</v>
      </c>
      <c r="FN530" s="5">
        <f t="shared" si="1671"/>
        <v>1</v>
      </c>
      <c r="FO530" s="5">
        <f t="shared" si="1672"/>
        <v>3</v>
      </c>
      <c r="FP530" s="5" t="str">
        <f t="shared" si="1673"/>
        <v>Nivel de riesgo medio</v>
      </c>
      <c r="FQ530" s="5" t="s">
        <v>206</v>
      </c>
      <c r="FR530" s="5">
        <f t="shared" si="1674"/>
        <v>0</v>
      </c>
      <c r="FS530" s="5" t="s">
        <v>206</v>
      </c>
      <c r="FT530" s="5">
        <f t="shared" si="1675"/>
        <v>0</v>
      </c>
      <c r="FU530" s="5" t="s">
        <v>206</v>
      </c>
      <c r="FV530" s="5">
        <f t="shared" si="1676"/>
        <v>0</v>
      </c>
      <c r="FW530" s="5" t="s">
        <v>206</v>
      </c>
      <c r="FX530" s="5">
        <f t="shared" si="1677"/>
        <v>0</v>
      </c>
      <c r="FY530" s="5" t="s">
        <v>206</v>
      </c>
      <c r="FZ530" s="5">
        <f t="shared" si="1678"/>
        <v>0</v>
      </c>
      <c r="GA530" s="5" t="s">
        <v>206</v>
      </c>
      <c r="GB530" s="5">
        <f t="shared" si="1679"/>
        <v>0</v>
      </c>
      <c r="GC530" s="5" t="s">
        <v>206</v>
      </c>
      <c r="GD530" s="5">
        <f t="shared" si="1680"/>
        <v>0</v>
      </c>
      <c r="GE530" s="5">
        <f t="shared" si="1681"/>
        <v>0</v>
      </c>
      <c r="GF530" s="5" t="str">
        <f t="shared" si="1682"/>
        <v>Nivel de riesgo bajo</v>
      </c>
      <c r="GG530" s="5" t="s">
        <v>255</v>
      </c>
      <c r="GH530" s="5" t="s">
        <v>255</v>
      </c>
      <c r="GI530" s="5" t="s">
        <v>255</v>
      </c>
      <c r="GJ530" s="5" t="s">
        <v>233</v>
      </c>
      <c r="GK530" s="5" t="s">
        <v>233</v>
      </c>
      <c r="GL530" s="5" t="s">
        <v>233</v>
      </c>
      <c r="GM530" s="5" t="s">
        <v>255</v>
      </c>
      <c r="GN530" s="5" t="s">
        <v>243</v>
      </c>
      <c r="GO530" s="5" t="s">
        <v>257</v>
      </c>
      <c r="GP530" s="5" t="s">
        <v>257</v>
      </c>
      <c r="GQ530" s="5" t="s">
        <v>243</v>
      </c>
      <c r="GR530" s="5" t="s">
        <v>243</v>
      </c>
      <c r="GS530" s="5" t="s">
        <v>257</v>
      </c>
      <c r="GT530" s="5" t="s">
        <v>243</v>
      </c>
      <c r="GU530" s="5" t="s">
        <v>896</v>
      </c>
      <c r="GV530" s="5" t="str">
        <f>TEXT("6290939181671803541","0")</f>
        <v>6290939181671800000</v>
      </c>
    </row>
    <row r="531" spans="1:204" ht="15.75" customHeight="1" x14ac:dyDescent="0.15">
      <c r="A531" s="1">
        <f t="shared" si="1632"/>
        <v>531</v>
      </c>
      <c r="B531" s="4">
        <v>45861.493344907409</v>
      </c>
      <c r="C531" s="5" t="s">
        <v>204</v>
      </c>
      <c r="D531" s="5" t="s">
        <v>206</v>
      </c>
      <c r="F531" s="5" t="s">
        <v>204</v>
      </c>
      <c r="G531" s="5" t="s">
        <v>204</v>
      </c>
      <c r="H531" s="5" t="s">
        <v>206</v>
      </c>
      <c r="K531" s="5" t="s">
        <v>237</v>
      </c>
      <c r="O531" s="5" t="s">
        <v>209</v>
      </c>
      <c r="U531" s="5" t="s">
        <v>237</v>
      </c>
      <c r="Z531" s="5" t="s">
        <v>237</v>
      </c>
      <c r="AD531" s="5" t="s">
        <v>209</v>
      </c>
      <c r="AH531" s="5" t="s">
        <v>268</v>
      </c>
      <c r="AI531" s="5">
        <v>2023</v>
      </c>
      <c r="AJ531" s="5" t="s">
        <v>330</v>
      </c>
      <c r="AK531" s="5" t="str">
        <f t="shared" si="1633"/>
        <v>Asalariada</v>
      </c>
      <c r="AQ531" s="5" t="s">
        <v>204</v>
      </c>
      <c r="AR531" s="5" t="s">
        <v>301</v>
      </c>
      <c r="AS531" s="5" t="s">
        <v>301</v>
      </c>
      <c r="AT531" s="5" t="s">
        <v>301</v>
      </c>
      <c r="AU531" s="5" t="s">
        <v>301</v>
      </c>
      <c r="AV531" s="5" t="s">
        <v>269</v>
      </c>
      <c r="AW531" s="5" t="s">
        <v>204</v>
      </c>
      <c r="AX531" s="5" t="s">
        <v>204</v>
      </c>
      <c r="AY531" s="5" t="s">
        <v>214</v>
      </c>
      <c r="AZ531" s="5" t="s">
        <v>204</v>
      </c>
      <c r="BA531" s="5" t="s">
        <v>474</v>
      </c>
      <c r="BF531" s="5" t="s">
        <v>204</v>
      </c>
      <c r="BG531" s="5" t="s">
        <v>271</v>
      </c>
      <c r="BH531" s="5" t="s">
        <v>242</v>
      </c>
      <c r="BI531" s="5" t="s">
        <v>278</v>
      </c>
      <c r="BJ531" s="5" t="s">
        <v>242</v>
      </c>
      <c r="BK531" s="5" t="s">
        <v>245</v>
      </c>
      <c r="BL531" s="5" t="s">
        <v>245</v>
      </c>
      <c r="BM531" s="5" t="s">
        <v>245</v>
      </c>
      <c r="BN531" s="5" t="s">
        <v>245</v>
      </c>
      <c r="BO531" s="5" t="s">
        <v>245</v>
      </c>
      <c r="BP531" s="5" t="s">
        <v>245</v>
      </c>
      <c r="BQ531" s="5" t="s">
        <v>245</v>
      </c>
      <c r="BR531" s="5" t="s">
        <v>245</v>
      </c>
      <c r="BS531" s="5" t="s">
        <v>254</v>
      </c>
      <c r="BT531" s="5" t="s">
        <v>254</v>
      </c>
      <c r="BU531" s="5" t="s">
        <v>217</v>
      </c>
      <c r="BV531" s="5" t="s">
        <v>248</v>
      </c>
      <c r="BW531" s="5" t="s">
        <v>248</v>
      </c>
      <c r="BX531" s="5" t="s">
        <v>248</v>
      </c>
      <c r="BY531" s="5" t="s">
        <v>217</v>
      </c>
      <c r="BZ531" s="5" t="s">
        <v>245</v>
      </c>
      <c r="CA531" s="5" t="s">
        <v>245</v>
      </c>
      <c r="CB531" s="5" t="s">
        <v>243</v>
      </c>
      <c r="CC531" s="5" t="s">
        <v>245</v>
      </c>
      <c r="CD531" s="5" t="s">
        <v>206</v>
      </c>
      <c r="CH531" s="5" t="s">
        <v>331</v>
      </c>
      <c r="CI531" s="5" t="s">
        <v>291</v>
      </c>
      <c r="CJ531" s="5">
        <v>2</v>
      </c>
      <c r="CK531" s="5" t="s">
        <v>223</v>
      </c>
      <c r="CU531" s="5" t="s">
        <v>206</v>
      </c>
      <c r="DA531" s="5" t="s">
        <v>252</v>
      </c>
      <c r="DB531" s="5">
        <f t="shared" si="1634"/>
        <v>3</v>
      </c>
      <c r="DC531" s="5" t="s">
        <v>280</v>
      </c>
      <c r="DD531" s="5">
        <f t="shared" si="1635"/>
        <v>4</v>
      </c>
      <c r="DE531" s="5" t="s">
        <v>280</v>
      </c>
      <c r="DF531" s="5">
        <f t="shared" si="1636"/>
        <v>4</v>
      </c>
      <c r="DG531" s="5" t="s">
        <v>280</v>
      </c>
      <c r="DH531" s="5">
        <f t="shared" si="1637"/>
        <v>4</v>
      </c>
      <c r="DI531" s="5" t="s">
        <v>230</v>
      </c>
      <c r="DJ531" s="5">
        <f t="shared" si="1638"/>
        <v>2</v>
      </c>
      <c r="DK531" s="5" t="s">
        <v>230</v>
      </c>
      <c r="DL531" s="5">
        <f t="shared" si="1639"/>
        <v>2</v>
      </c>
      <c r="DM531" s="5" t="s">
        <v>251</v>
      </c>
      <c r="DN531" s="5">
        <f t="shared" si="1640"/>
        <v>1</v>
      </c>
      <c r="DO531" s="5" t="s">
        <v>281</v>
      </c>
      <c r="DP531" s="5">
        <f t="shared" si="1641"/>
        <v>1</v>
      </c>
      <c r="DQ531" s="5" t="s">
        <v>281</v>
      </c>
      <c r="DR531" s="5">
        <f t="shared" si="1642"/>
        <v>1</v>
      </c>
      <c r="DS531" s="5" t="s">
        <v>252</v>
      </c>
      <c r="DT531" s="5">
        <f t="shared" si="1643"/>
        <v>3</v>
      </c>
      <c r="DU531" s="5" t="s">
        <v>231</v>
      </c>
      <c r="DV531" s="5">
        <f t="shared" si="1644"/>
        <v>2</v>
      </c>
      <c r="DW531" s="5" t="s">
        <v>231</v>
      </c>
      <c r="DX531" s="5">
        <f t="shared" si="1645"/>
        <v>2</v>
      </c>
      <c r="DY531" s="5">
        <f t="shared" si="1646"/>
        <v>29</v>
      </c>
      <c r="DZ531" s="5" t="str">
        <f t="shared" si="1647"/>
        <v>Nivel de riesgo alto</v>
      </c>
      <c r="EA531" s="5" t="s">
        <v>248</v>
      </c>
      <c r="EB531" s="5">
        <f t="shared" si="1648"/>
        <v>1</v>
      </c>
      <c r="EC531" s="5" t="s">
        <v>248</v>
      </c>
      <c r="ED531" s="5">
        <f t="shared" si="1649"/>
        <v>1</v>
      </c>
      <c r="EE531" s="5" t="s">
        <v>248</v>
      </c>
      <c r="EF531" s="5">
        <f t="shared" si="1650"/>
        <v>1</v>
      </c>
      <c r="EG531" s="5">
        <f t="shared" si="1651"/>
        <v>3</v>
      </c>
      <c r="EH531" s="5" t="str">
        <f t="shared" si="1652"/>
        <v>Nivel de riesgo medio</v>
      </c>
      <c r="EI531" s="5" t="s">
        <v>253</v>
      </c>
      <c r="EJ531" s="5">
        <f t="shared" si="1653"/>
        <v>0</v>
      </c>
      <c r="EK531" s="5" t="s">
        <v>254</v>
      </c>
      <c r="EL531" s="5">
        <f t="shared" si="1654"/>
        <v>4</v>
      </c>
      <c r="EM531" s="5" t="s">
        <v>248</v>
      </c>
      <c r="EN531" s="5">
        <f t="shared" si="1655"/>
        <v>1</v>
      </c>
      <c r="EO531" s="5">
        <f t="shared" si="1656"/>
        <v>5</v>
      </c>
      <c r="EP531" s="5" t="str">
        <f t="shared" si="1657"/>
        <v>Nivel de riesgo medio</v>
      </c>
      <c r="EQ531" s="5" t="s">
        <v>248</v>
      </c>
      <c r="ER531" s="5">
        <f t="shared" si="1658"/>
        <v>3</v>
      </c>
      <c r="ES531" s="5" t="s">
        <v>248</v>
      </c>
      <c r="ET531" s="5">
        <f t="shared" si="1659"/>
        <v>3</v>
      </c>
      <c r="EU531" s="5" t="s">
        <v>247</v>
      </c>
      <c r="EV531" s="5">
        <f t="shared" si="1660"/>
        <v>2</v>
      </c>
      <c r="EW531" s="5" t="s">
        <v>254</v>
      </c>
      <c r="EX531" s="5">
        <f t="shared" si="1661"/>
        <v>0</v>
      </c>
      <c r="EY531" s="5">
        <f t="shared" si="1662"/>
        <v>8</v>
      </c>
      <c r="EZ531" s="5" t="str">
        <f t="shared" si="1663"/>
        <v>Nivel de riesgo alto</v>
      </c>
      <c r="FA531" s="5" t="s">
        <v>232</v>
      </c>
      <c r="FB531" s="5">
        <f t="shared" si="1664"/>
        <v>3</v>
      </c>
      <c r="FC531" s="5" t="s">
        <v>247</v>
      </c>
      <c r="FD531" s="5">
        <f t="shared" si="1665"/>
        <v>2</v>
      </c>
      <c r="FE531" s="5" t="s">
        <v>232</v>
      </c>
      <c r="FF531" s="5">
        <f t="shared" si="1666"/>
        <v>3</v>
      </c>
      <c r="FG531" s="5">
        <f t="shared" si="1667"/>
        <v>8</v>
      </c>
      <c r="FH531" s="5" t="str">
        <f t="shared" si="1668"/>
        <v>Nivel de riesgo alto</v>
      </c>
      <c r="FI531" s="5" t="s">
        <v>253</v>
      </c>
      <c r="FJ531" s="5">
        <f t="shared" si="1669"/>
        <v>0</v>
      </c>
      <c r="FK531" s="5" t="s">
        <v>253</v>
      </c>
      <c r="FL531" s="5">
        <f t="shared" si="1670"/>
        <v>0</v>
      </c>
      <c r="FM531" s="5" t="s">
        <v>253</v>
      </c>
      <c r="FN531" s="5">
        <f t="shared" si="1671"/>
        <v>0</v>
      </c>
      <c r="FO531" s="5">
        <f t="shared" si="1672"/>
        <v>0</v>
      </c>
      <c r="FP531" s="5" t="str">
        <f t="shared" si="1673"/>
        <v>Nivel de riesgo bajo</v>
      </c>
      <c r="FQ531" s="5" t="s">
        <v>206</v>
      </c>
      <c r="FR531" s="5">
        <f t="shared" si="1674"/>
        <v>0</v>
      </c>
      <c r="FS531" s="5" t="s">
        <v>206</v>
      </c>
      <c r="FT531" s="5">
        <f t="shared" si="1675"/>
        <v>0</v>
      </c>
      <c r="FU531" s="5" t="s">
        <v>206</v>
      </c>
      <c r="FV531" s="5">
        <f t="shared" si="1676"/>
        <v>0</v>
      </c>
      <c r="FW531" s="5" t="s">
        <v>206</v>
      </c>
      <c r="FX531" s="5">
        <f t="shared" si="1677"/>
        <v>0</v>
      </c>
      <c r="FY531" s="5" t="s">
        <v>206</v>
      </c>
      <c r="FZ531" s="5">
        <f t="shared" si="1678"/>
        <v>0</v>
      </c>
      <c r="GA531" s="5" t="s">
        <v>206</v>
      </c>
      <c r="GB531" s="5">
        <f t="shared" si="1679"/>
        <v>0</v>
      </c>
      <c r="GC531" s="5" t="s">
        <v>206</v>
      </c>
      <c r="GD531" s="5">
        <f t="shared" si="1680"/>
        <v>0</v>
      </c>
      <c r="GE531" s="5">
        <f t="shared" si="1681"/>
        <v>0</v>
      </c>
      <c r="GF531" s="5" t="str">
        <f t="shared" si="1682"/>
        <v>Nivel de riesgo bajo</v>
      </c>
      <c r="GG531" s="5" t="s">
        <v>255</v>
      </c>
      <c r="GH531" s="5" t="s">
        <v>273</v>
      </c>
      <c r="GI531" s="5" t="s">
        <v>266</v>
      </c>
      <c r="GJ531" s="5" t="s">
        <v>233</v>
      </c>
      <c r="GK531" s="5" t="s">
        <v>233</v>
      </c>
      <c r="GL531" s="5" t="s">
        <v>233</v>
      </c>
      <c r="GM531" s="5" t="s">
        <v>266</v>
      </c>
      <c r="GN531" s="5" t="s">
        <v>256</v>
      </c>
      <c r="GO531" s="5" t="s">
        <v>257</v>
      </c>
      <c r="GP531" s="5" t="s">
        <v>257</v>
      </c>
      <c r="GQ531" s="5" t="s">
        <v>243</v>
      </c>
      <c r="GR531" s="5" t="s">
        <v>243</v>
      </c>
      <c r="GS531" s="5" t="s">
        <v>257</v>
      </c>
      <c r="GT531" s="5" t="s">
        <v>243</v>
      </c>
      <c r="GU531" s="5" t="s">
        <v>303</v>
      </c>
      <c r="GV531" s="5" t="str">
        <f>TEXT("6290950259112233662","0")</f>
        <v>6290950259112230000</v>
      </c>
    </row>
    <row r="532" spans="1:204" ht="15.75" customHeight="1" x14ac:dyDescent="0.15">
      <c r="A532" s="1">
        <f t="shared" si="1632"/>
        <v>532</v>
      </c>
      <c r="B532" s="4">
        <v>45861.526365740741</v>
      </c>
      <c r="C532" s="5" t="s">
        <v>204</v>
      </c>
      <c r="D532" s="5" t="s">
        <v>206</v>
      </c>
      <c r="F532" s="5" t="s">
        <v>206</v>
      </c>
      <c r="G532" s="5" t="s">
        <v>206</v>
      </c>
      <c r="H532" s="5" t="s">
        <v>206</v>
      </c>
      <c r="K532" s="5" t="s">
        <v>237</v>
      </c>
      <c r="O532" s="5" t="s">
        <v>209</v>
      </c>
      <c r="S532" s="5" t="s">
        <v>208</v>
      </c>
      <c r="X532" s="5" t="s">
        <v>208</v>
      </c>
      <c r="AD532" s="5" t="s">
        <v>209</v>
      </c>
      <c r="AH532" s="5" t="s">
        <v>275</v>
      </c>
      <c r="AI532" s="5">
        <v>2013</v>
      </c>
      <c r="AJ532" s="5" t="s">
        <v>238</v>
      </c>
      <c r="AK532" s="5" t="str">
        <f t="shared" si="1633"/>
        <v>Trabajadora por cuenta propia</v>
      </c>
      <c r="AM532" s="5" t="s">
        <v>309</v>
      </c>
      <c r="AP532" s="5" t="s">
        <v>284</v>
      </c>
      <c r="AR532" s="5" t="s">
        <v>241</v>
      </c>
      <c r="AS532" s="5" t="s">
        <v>241</v>
      </c>
      <c r="AT532" s="5" t="s">
        <v>241</v>
      </c>
      <c r="AU532" s="5" t="s">
        <v>241</v>
      </c>
      <c r="AV532" s="5" t="s">
        <v>269</v>
      </c>
      <c r="AW532" s="5" t="s">
        <v>204</v>
      </c>
      <c r="AX532" s="5" t="s">
        <v>206</v>
      </c>
      <c r="BF532" s="5" t="s">
        <v>204</v>
      </c>
      <c r="BG532" s="5" t="s">
        <v>207</v>
      </c>
      <c r="BH532" s="5" t="s">
        <v>242</v>
      </c>
      <c r="BI532" s="5" t="s">
        <v>207</v>
      </c>
      <c r="BJ532" s="5" t="s">
        <v>264</v>
      </c>
      <c r="BK532" s="5" t="s">
        <v>245</v>
      </c>
      <c r="BL532" s="5" t="s">
        <v>245</v>
      </c>
      <c r="BM532" s="5" t="s">
        <v>245</v>
      </c>
      <c r="BN532" s="5" t="s">
        <v>246</v>
      </c>
      <c r="BO532" s="5" t="s">
        <v>246</v>
      </c>
      <c r="BP532" s="5" t="s">
        <v>243</v>
      </c>
      <c r="BQ532" s="5" t="s">
        <v>245</v>
      </c>
      <c r="BR532" s="5" t="s">
        <v>245</v>
      </c>
      <c r="BS532" s="5" t="s">
        <v>247</v>
      </c>
      <c r="BT532" s="5" t="s">
        <v>247</v>
      </c>
      <c r="BU532" s="5" t="s">
        <v>254</v>
      </c>
      <c r="BV532" s="5" t="s">
        <v>248</v>
      </c>
      <c r="BW532" s="5" t="s">
        <v>248</v>
      </c>
      <c r="BX532" s="5" t="s">
        <v>248</v>
      </c>
      <c r="BY532" s="5" t="s">
        <v>247</v>
      </c>
      <c r="BZ532" s="5" t="s">
        <v>244</v>
      </c>
      <c r="CA532" s="5" t="s">
        <v>246</v>
      </c>
      <c r="CB532" s="5" t="s">
        <v>216</v>
      </c>
      <c r="CC532" s="5" t="s">
        <v>216</v>
      </c>
      <c r="CD532" s="5" t="s">
        <v>206</v>
      </c>
      <c r="CH532" s="5" t="s">
        <v>206</v>
      </c>
      <c r="CI532" s="5" t="s">
        <v>206</v>
      </c>
      <c r="CJ532" s="5">
        <v>1</v>
      </c>
      <c r="CK532" s="5" t="s">
        <v>223</v>
      </c>
      <c r="CU532" s="5" t="s">
        <v>206</v>
      </c>
      <c r="DA532" s="5" t="s">
        <v>252</v>
      </c>
      <c r="DB532" s="5">
        <f t="shared" si="1634"/>
        <v>3</v>
      </c>
      <c r="DC532" s="5" t="s">
        <v>280</v>
      </c>
      <c r="DD532" s="5">
        <f t="shared" si="1635"/>
        <v>4</v>
      </c>
      <c r="DE532" s="5" t="s">
        <v>280</v>
      </c>
      <c r="DF532" s="5">
        <f t="shared" si="1636"/>
        <v>4</v>
      </c>
      <c r="DG532" s="5" t="s">
        <v>280</v>
      </c>
      <c r="DH532" s="5">
        <f t="shared" si="1637"/>
        <v>4</v>
      </c>
      <c r="DI532" s="5" t="s">
        <v>280</v>
      </c>
      <c r="DJ532" s="5">
        <f t="shared" si="1638"/>
        <v>4</v>
      </c>
      <c r="DK532" s="5" t="s">
        <v>250</v>
      </c>
      <c r="DL532" s="5">
        <f t="shared" si="1639"/>
        <v>3</v>
      </c>
      <c r="DM532" s="5" t="s">
        <v>280</v>
      </c>
      <c r="DN532" s="5">
        <f t="shared" si="1640"/>
        <v>4</v>
      </c>
      <c r="DO532" s="5" t="s">
        <v>229</v>
      </c>
      <c r="DP532" s="5">
        <f t="shared" si="1641"/>
        <v>4</v>
      </c>
      <c r="DQ532" s="5" t="s">
        <v>252</v>
      </c>
      <c r="DR532" s="5">
        <f t="shared" si="1642"/>
        <v>3</v>
      </c>
      <c r="DS532" s="5" t="s">
        <v>229</v>
      </c>
      <c r="DT532" s="5">
        <f t="shared" si="1643"/>
        <v>4</v>
      </c>
      <c r="DU532" s="5" t="s">
        <v>252</v>
      </c>
      <c r="DV532" s="5">
        <f t="shared" si="1644"/>
        <v>3</v>
      </c>
      <c r="DW532" s="5" t="s">
        <v>229</v>
      </c>
      <c r="DX532" s="5">
        <f t="shared" si="1645"/>
        <v>4</v>
      </c>
      <c r="DY532" s="5">
        <f t="shared" si="1646"/>
        <v>44</v>
      </c>
      <c r="DZ532" s="5" t="str">
        <f t="shared" si="1647"/>
        <v>Nivel de riesgo alto</v>
      </c>
      <c r="EA532" s="5" t="s">
        <v>232</v>
      </c>
      <c r="EB532" s="5">
        <f t="shared" si="1648"/>
        <v>3</v>
      </c>
      <c r="EC532" s="5" t="s">
        <v>247</v>
      </c>
      <c r="ED532" s="5">
        <f t="shared" si="1649"/>
        <v>2</v>
      </c>
      <c r="EE532" s="5" t="s">
        <v>248</v>
      </c>
      <c r="EF532" s="5">
        <f t="shared" si="1650"/>
        <v>1</v>
      </c>
      <c r="EG532" s="5">
        <f t="shared" si="1651"/>
        <v>6</v>
      </c>
      <c r="EH532" s="5" t="str">
        <f t="shared" si="1652"/>
        <v>Nivel de riesgo alto</v>
      </c>
      <c r="EI532" s="5" t="s">
        <v>232</v>
      </c>
      <c r="EJ532" s="5">
        <f t="shared" si="1653"/>
        <v>3</v>
      </c>
      <c r="EK532" s="5" t="s">
        <v>253</v>
      </c>
      <c r="EL532" s="5">
        <f t="shared" si="1654"/>
        <v>0</v>
      </c>
      <c r="EM532" s="5" t="s">
        <v>254</v>
      </c>
      <c r="EN532" s="5">
        <f t="shared" si="1655"/>
        <v>4</v>
      </c>
      <c r="EO532" s="5">
        <f t="shared" si="1656"/>
        <v>7</v>
      </c>
      <c r="EP532" s="5" t="str">
        <f t="shared" si="1657"/>
        <v>Nivel de riesgo alto</v>
      </c>
      <c r="EQ532" s="5" t="s">
        <v>248</v>
      </c>
      <c r="ER532" s="5">
        <f t="shared" si="1658"/>
        <v>3</v>
      </c>
      <c r="ES532" s="5" t="s">
        <v>253</v>
      </c>
      <c r="ET532" s="5">
        <f t="shared" si="1659"/>
        <v>4</v>
      </c>
      <c r="EU532" s="5" t="s">
        <v>247</v>
      </c>
      <c r="EV532" s="5">
        <f t="shared" si="1660"/>
        <v>2</v>
      </c>
      <c r="EW532" s="5" t="s">
        <v>247</v>
      </c>
      <c r="EX532" s="5">
        <f t="shared" si="1661"/>
        <v>2</v>
      </c>
      <c r="EY532" s="5">
        <f t="shared" si="1662"/>
        <v>11</v>
      </c>
      <c r="EZ532" s="5" t="str">
        <f t="shared" si="1663"/>
        <v>Nivel de riesgo alto</v>
      </c>
      <c r="FA532" s="5" t="s">
        <v>253</v>
      </c>
      <c r="FB532" s="5">
        <f t="shared" si="1664"/>
        <v>0</v>
      </c>
      <c r="FC532" s="5" t="s">
        <v>253</v>
      </c>
      <c r="FD532" s="5">
        <f t="shared" si="1665"/>
        <v>0</v>
      </c>
      <c r="FE532" s="5" t="s">
        <v>253</v>
      </c>
      <c r="FF532" s="5">
        <f t="shared" si="1666"/>
        <v>0</v>
      </c>
      <c r="FG532" s="5">
        <f t="shared" si="1667"/>
        <v>0</v>
      </c>
      <c r="FH532" s="5" t="str">
        <f t="shared" si="1668"/>
        <v>Nivel de riesgo bajo</v>
      </c>
      <c r="FI532" s="5" t="s">
        <v>253</v>
      </c>
      <c r="FJ532" s="5">
        <f t="shared" si="1669"/>
        <v>0</v>
      </c>
      <c r="FK532" s="5" t="s">
        <v>253</v>
      </c>
      <c r="FL532" s="5">
        <f t="shared" si="1670"/>
        <v>0</v>
      </c>
      <c r="FM532" s="5" t="s">
        <v>253</v>
      </c>
      <c r="FN532" s="5">
        <f t="shared" si="1671"/>
        <v>0</v>
      </c>
      <c r="FO532" s="5">
        <f t="shared" si="1672"/>
        <v>0</v>
      </c>
      <c r="FP532" s="5" t="str">
        <f t="shared" si="1673"/>
        <v>Nivel de riesgo bajo</v>
      </c>
      <c r="FQ532" s="5" t="s">
        <v>206</v>
      </c>
      <c r="FR532" s="5">
        <f t="shared" si="1674"/>
        <v>0</v>
      </c>
      <c r="FS532" s="5" t="s">
        <v>206</v>
      </c>
      <c r="FT532" s="5">
        <f t="shared" si="1675"/>
        <v>0</v>
      </c>
      <c r="FU532" s="5" t="s">
        <v>206</v>
      </c>
      <c r="FV532" s="5">
        <f t="shared" si="1676"/>
        <v>0</v>
      </c>
      <c r="FW532" s="5" t="s">
        <v>206</v>
      </c>
      <c r="FX532" s="5">
        <f t="shared" si="1677"/>
        <v>0</v>
      </c>
      <c r="FY532" s="5" t="s">
        <v>206</v>
      </c>
      <c r="FZ532" s="5">
        <f t="shared" si="1678"/>
        <v>0</v>
      </c>
      <c r="GA532" s="5" t="s">
        <v>206</v>
      </c>
      <c r="GB532" s="5">
        <f t="shared" si="1679"/>
        <v>0</v>
      </c>
      <c r="GC532" s="5" t="s">
        <v>206</v>
      </c>
      <c r="GD532" s="5">
        <f t="shared" si="1680"/>
        <v>0</v>
      </c>
      <c r="GE532" s="5">
        <f t="shared" si="1681"/>
        <v>0</v>
      </c>
      <c r="GF532" s="5" t="str">
        <f t="shared" si="1682"/>
        <v>Nivel de riesgo bajo</v>
      </c>
      <c r="GG532" s="5" t="s">
        <v>255</v>
      </c>
      <c r="GH532" s="5" t="s">
        <v>255</v>
      </c>
      <c r="GI532" s="5" t="s">
        <v>255</v>
      </c>
      <c r="GJ532" s="5" t="s">
        <v>298</v>
      </c>
      <c r="GK532" s="5" t="s">
        <v>233</v>
      </c>
      <c r="GL532" s="5" t="s">
        <v>233</v>
      </c>
      <c r="GM532" s="5" t="s">
        <v>298</v>
      </c>
      <c r="GN532" s="5" t="s">
        <v>257</v>
      </c>
      <c r="GO532" s="5" t="s">
        <v>244</v>
      </c>
      <c r="GP532" s="5" t="s">
        <v>234</v>
      </c>
      <c r="GQ532" s="5" t="s">
        <v>234</v>
      </c>
      <c r="GR532" s="5" t="s">
        <v>234</v>
      </c>
      <c r="GS532" s="5" t="s">
        <v>234</v>
      </c>
      <c r="GT532" s="5" t="s">
        <v>234</v>
      </c>
      <c r="GU532" s="5" t="s">
        <v>897</v>
      </c>
      <c r="GV532" s="5" t="str">
        <f>TEXT("6290978787427223786","0")</f>
        <v>6290978787427220000</v>
      </c>
    </row>
    <row r="533" spans="1:204" ht="15.75" hidden="1" customHeight="1" x14ac:dyDescent="0.15">
      <c r="B533" s="4">
        <v>45861.578680555554</v>
      </c>
      <c r="C533" s="5" t="s">
        <v>204</v>
      </c>
      <c r="D533" s="5" t="s">
        <v>206</v>
      </c>
      <c r="F533" s="5" t="s">
        <v>206</v>
      </c>
      <c r="G533" s="5" t="s">
        <v>204</v>
      </c>
      <c r="H533" s="5" t="s">
        <v>206</v>
      </c>
      <c r="K533" s="5" t="s">
        <v>237</v>
      </c>
      <c r="P533" s="5" t="s">
        <v>237</v>
      </c>
      <c r="T533" s="5" t="s">
        <v>209</v>
      </c>
      <c r="Y533" s="5" t="s">
        <v>209</v>
      </c>
      <c r="AE533" s="5" t="s">
        <v>237</v>
      </c>
      <c r="AH533" s="5" t="s">
        <v>275</v>
      </c>
      <c r="AI533" s="5">
        <v>2020</v>
      </c>
      <c r="AJ533" s="5" t="s">
        <v>293</v>
      </c>
      <c r="AK533" s="5"/>
      <c r="AR533" s="5" t="s">
        <v>241</v>
      </c>
      <c r="AS533" s="5" t="s">
        <v>261</v>
      </c>
      <c r="AT533" s="5" t="s">
        <v>241</v>
      </c>
      <c r="AU533" s="5" t="s">
        <v>261</v>
      </c>
      <c r="AV533" s="5" t="s">
        <v>285</v>
      </c>
      <c r="AW533" s="5" t="s">
        <v>204</v>
      </c>
      <c r="AX533" s="5" t="s">
        <v>206</v>
      </c>
      <c r="BF533" s="5" t="s">
        <v>204</v>
      </c>
      <c r="BG533" s="5" t="s">
        <v>278</v>
      </c>
      <c r="BH533" s="5" t="s">
        <v>278</v>
      </c>
      <c r="BI533" s="5" t="s">
        <v>242</v>
      </c>
      <c r="BJ533" s="5" t="s">
        <v>242</v>
      </c>
      <c r="BK533" s="5" t="s">
        <v>245</v>
      </c>
      <c r="BL533" s="5" t="s">
        <v>245</v>
      </c>
      <c r="BM533" s="5" t="s">
        <v>243</v>
      </c>
      <c r="BN533" s="5" t="s">
        <v>243</v>
      </c>
      <c r="BO533" s="5" t="s">
        <v>245</v>
      </c>
      <c r="BP533" s="5" t="s">
        <v>245</v>
      </c>
      <c r="BQ533" s="5" t="s">
        <v>243</v>
      </c>
      <c r="BR533" s="5" t="s">
        <v>243</v>
      </c>
      <c r="BS533" s="5" t="s">
        <v>254</v>
      </c>
      <c r="BT533" s="5" t="s">
        <v>254</v>
      </c>
      <c r="BU533" s="5" t="s">
        <v>254</v>
      </c>
      <c r="BV533" s="5" t="s">
        <v>232</v>
      </c>
      <c r="BW533" s="5" t="s">
        <v>232</v>
      </c>
      <c r="BX533" s="5" t="s">
        <v>232</v>
      </c>
      <c r="BY533" s="5" t="s">
        <v>232</v>
      </c>
      <c r="BZ533" s="5" t="s">
        <v>243</v>
      </c>
      <c r="CA533" s="5" t="s">
        <v>243</v>
      </c>
      <c r="CB533" s="5" t="s">
        <v>246</v>
      </c>
      <c r="CC533" s="5" t="s">
        <v>245</v>
      </c>
      <c r="CD533" s="5" t="s">
        <v>204</v>
      </c>
      <c r="CE533" s="5" t="s">
        <v>218</v>
      </c>
      <c r="CF533" s="5" t="s">
        <v>219</v>
      </c>
      <c r="CG533" s="5" t="s">
        <v>220</v>
      </c>
      <c r="CH533" s="5" t="s">
        <v>206</v>
      </c>
      <c r="CI533" s="5" t="s">
        <v>307</v>
      </c>
      <c r="CJ533" s="5">
        <v>2</v>
      </c>
      <c r="CK533" s="5" t="s">
        <v>223</v>
      </c>
      <c r="CU533" s="5" t="s">
        <v>206</v>
      </c>
      <c r="DA533" s="5" t="s">
        <v>229</v>
      </c>
      <c r="DB533" s="5"/>
      <c r="DC533" s="5" t="s">
        <v>280</v>
      </c>
      <c r="DD533" s="5"/>
      <c r="DE533" s="5" t="s">
        <v>280</v>
      </c>
      <c r="DF533" s="5"/>
      <c r="DG533" s="5" t="s">
        <v>250</v>
      </c>
      <c r="DH533" s="5"/>
      <c r="DI533" s="5" t="s">
        <v>250</v>
      </c>
      <c r="DJ533" s="5"/>
      <c r="DK533" s="5" t="s">
        <v>250</v>
      </c>
      <c r="DL533" s="5"/>
      <c r="DM533" s="5" t="s">
        <v>230</v>
      </c>
      <c r="DN533" s="5"/>
      <c r="DO533" s="5" t="s">
        <v>229</v>
      </c>
      <c r="DP533" s="5"/>
      <c r="DQ533" s="5" t="s">
        <v>252</v>
      </c>
      <c r="DR533" s="5"/>
      <c r="DS533" s="5" t="s">
        <v>229</v>
      </c>
      <c r="DT533" s="5"/>
      <c r="DU533" s="5" t="s">
        <v>252</v>
      </c>
      <c r="DV533" s="5"/>
      <c r="DW533" s="5" t="s">
        <v>252</v>
      </c>
      <c r="DX533" s="5"/>
      <c r="DY533" s="5"/>
      <c r="DZ533" s="5"/>
      <c r="EA533" s="5" t="s">
        <v>248</v>
      </c>
      <c r="EB533" s="5"/>
      <c r="EC533" s="5" t="s">
        <v>247</v>
      </c>
      <c r="ED533" s="5"/>
      <c r="EE533" s="5" t="s">
        <v>248</v>
      </c>
      <c r="EF533" s="5"/>
      <c r="EG533" s="5"/>
      <c r="EH533" s="5"/>
      <c r="EI533" s="5" t="s">
        <v>253</v>
      </c>
      <c r="EJ533" s="5"/>
      <c r="EK533" s="5" t="s">
        <v>247</v>
      </c>
      <c r="EL533" s="5"/>
      <c r="EM533" s="5" t="s">
        <v>232</v>
      </c>
      <c r="EN533" s="5"/>
      <c r="EO533" s="5"/>
      <c r="EP533" s="5"/>
      <c r="EQ533" s="5" t="s">
        <v>232</v>
      </c>
      <c r="ER533" s="5"/>
      <c r="ES533" s="5" t="s">
        <v>232</v>
      </c>
      <c r="ET533" s="5"/>
      <c r="EU533" s="5" t="s">
        <v>254</v>
      </c>
      <c r="EV533" s="5"/>
      <c r="EW533" s="5" t="s">
        <v>254</v>
      </c>
      <c r="EX533" s="5"/>
      <c r="EY533" s="5"/>
      <c r="EZ533" s="5"/>
      <c r="FA533" s="5" t="s">
        <v>232</v>
      </c>
      <c r="FB533" s="5"/>
      <c r="FC533" s="5" t="s">
        <v>232</v>
      </c>
      <c r="FD533" s="5"/>
      <c r="FE533" s="5" t="s">
        <v>232</v>
      </c>
      <c r="FF533" s="5"/>
      <c r="FG533" s="5"/>
      <c r="FH533" s="5"/>
      <c r="FI533" s="5" t="s">
        <v>247</v>
      </c>
      <c r="FJ533" s="5"/>
      <c r="FK533" s="5" t="s">
        <v>247</v>
      </c>
      <c r="FL533" s="5"/>
      <c r="FM533" s="5" t="s">
        <v>247</v>
      </c>
      <c r="FN533" s="5"/>
      <c r="FO533" s="5"/>
      <c r="FP533" s="5"/>
      <c r="FQ533" s="5" t="s">
        <v>206</v>
      </c>
      <c r="FR533" s="5"/>
      <c r="FS533" s="5" t="s">
        <v>206</v>
      </c>
      <c r="FT533" s="5"/>
      <c r="FU533" s="5" t="s">
        <v>206</v>
      </c>
      <c r="FV533" s="5"/>
      <c r="FW533" s="5" t="s">
        <v>206</v>
      </c>
      <c r="FX533" s="5"/>
      <c r="FY533" s="5" t="s">
        <v>206</v>
      </c>
      <c r="FZ533" s="5"/>
      <c r="GA533" s="5" t="s">
        <v>206</v>
      </c>
      <c r="GB533" s="5"/>
      <c r="GC533" s="5" t="s">
        <v>206</v>
      </c>
      <c r="GD533" s="5"/>
      <c r="GE533" s="5"/>
      <c r="GF533" s="5"/>
      <c r="GG533" s="5" t="s">
        <v>255</v>
      </c>
      <c r="GH533" s="5" t="s">
        <v>255</v>
      </c>
      <c r="GI533" s="5" t="s">
        <v>255</v>
      </c>
      <c r="GJ533" s="5" t="s">
        <v>266</v>
      </c>
      <c r="GK533" s="5" t="s">
        <v>233</v>
      </c>
      <c r="GL533" s="5" t="s">
        <v>266</v>
      </c>
      <c r="GM533" s="5" t="s">
        <v>233</v>
      </c>
      <c r="GN533" s="5" t="s">
        <v>256</v>
      </c>
      <c r="GO533" s="5" t="s">
        <v>256</v>
      </c>
      <c r="GP533" s="5" t="s">
        <v>243</v>
      </c>
      <c r="GQ533" s="5" t="s">
        <v>244</v>
      </c>
      <c r="GR533" s="5" t="s">
        <v>244</v>
      </c>
      <c r="GS533" s="5" t="s">
        <v>244</v>
      </c>
      <c r="GT533" s="5" t="s">
        <v>244</v>
      </c>
      <c r="GU533" s="5" t="s">
        <v>898</v>
      </c>
      <c r="GV533" s="5" t="str">
        <f>TEXT("6291023989675731447","0")</f>
        <v>6291023989675730000</v>
      </c>
    </row>
    <row r="534" spans="1:204" ht="15.75" customHeight="1" x14ac:dyDescent="0.15">
      <c r="A534" s="1">
        <f>ROW(A534)</f>
        <v>534</v>
      </c>
      <c r="B534" s="4">
        <v>45861.587870370371</v>
      </c>
      <c r="C534" s="5" t="s">
        <v>204</v>
      </c>
      <c r="D534" s="5" t="s">
        <v>206</v>
      </c>
      <c r="F534" s="5" t="s">
        <v>204</v>
      </c>
      <c r="G534" s="5" t="s">
        <v>206</v>
      </c>
      <c r="H534" s="5" t="s">
        <v>206</v>
      </c>
      <c r="L534" s="5" t="s">
        <v>236</v>
      </c>
      <c r="Q534" s="5" t="s">
        <v>236</v>
      </c>
      <c r="U534" s="5" t="s">
        <v>237</v>
      </c>
      <c r="AA534" s="5" t="s">
        <v>236</v>
      </c>
      <c r="AF534" s="5" t="s">
        <v>236</v>
      </c>
      <c r="AH534" s="5" t="s">
        <v>210</v>
      </c>
      <c r="AI534" s="5">
        <v>2021</v>
      </c>
      <c r="AJ534" s="5" t="s">
        <v>238</v>
      </c>
      <c r="AK534" s="5" t="str">
        <f>IF(OR(AJ534="Empleada del sector privado",AJ534="Empleada del sector público"),"Asalariada",
IF(AJ534="Trabajadora por cuenta propia","Trabajadora por cuenta propia",""))</f>
        <v>Trabajadora por cuenta propia</v>
      </c>
      <c r="AN534" s="5" t="s">
        <v>288</v>
      </c>
      <c r="AO534" s="5" t="s">
        <v>390</v>
      </c>
      <c r="AP534" s="5" t="s">
        <v>284</v>
      </c>
      <c r="AR534" s="5" t="s">
        <v>241</v>
      </c>
      <c r="AS534" s="5" t="s">
        <v>301</v>
      </c>
      <c r="AT534" s="5" t="s">
        <v>301</v>
      </c>
      <c r="AU534" s="5" t="s">
        <v>261</v>
      </c>
      <c r="AV534" s="5" t="s">
        <v>302</v>
      </c>
      <c r="AW534" s="5" t="s">
        <v>206</v>
      </c>
      <c r="BF534" s="5" t="s">
        <v>204</v>
      </c>
      <c r="BG534" s="5" t="s">
        <v>278</v>
      </c>
      <c r="BH534" s="5" t="s">
        <v>278</v>
      </c>
      <c r="BI534" s="5" t="s">
        <v>278</v>
      </c>
      <c r="BJ534" s="5" t="s">
        <v>278</v>
      </c>
      <c r="BK534" s="5" t="s">
        <v>216</v>
      </c>
      <c r="BL534" s="5" t="s">
        <v>216</v>
      </c>
      <c r="BM534" s="5" t="s">
        <v>246</v>
      </c>
      <c r="BN534" s="5" t="s">
        <v>216</v>
      </c>
      <c r="BO534" s="5" t="s">
        <v>216</v>
      </c>
      <c r="BP534" s="5" t="s">
        <v>216</v>
      </c>
      <c r="BQ534" s="5" t="s">
        <v>216</v>
      </c>
      <c r="BR534" s="5" t="s">
        <v>216</v>
      </c>
      <c r="BS534" s="5" t="s">
        <v>232</v>
      </c>
      <c r="BT534" s="5" t="s">
        <v>247</v>
      </c>
      <c r="BU534" s="5" t="s">
        <v>217</v>
      </c>
      <c r="BV534" s="5" t="s">
        <v>248</v>
      </c>
      <c r="BW534" s="5" t="s">
        <v>247</v>
      </c>
      <c r="BX534" s="5" t="s">
        <v>247</v>
      </c>
      <c r="BY534" s="5" t="s">
        <v>247</v>
      </c>
      <c r="CD534" s="5" t="s">
        <v>206</v>
      </c>
      <c r="CH534" s="5" t="s">
        <v>310</v>
      </c>
      <c r="CI534" s="5" t="s">
        <v>249</v>
      </c>
      <c r="CJ534" s="5">
        <v>4</v>
      </c>
      <c r="CK534" s="5" t="s">
        <v>223</v>
      </c>
      <c r="CU534" s="5" t="s">
        <v>206</v>
      </c>
      <c r="DA534" s="5" t="s">
        <v>231</v>
      </c>
      <c r="DB534" s="5">
        <f>IF(DA534="Mejor que lo habitual",1,
IF(DA534="Igual que lo habitual",2,
IF(DA534="Menos que lo habitual",3,
IF(DA534="Mucho menos que lo habitual",4,""))))</f>
        <v>2</v>
      </c>
      <c r="DC534" s="5" t="s">
        <v>250</v>
      </c>
      <c r="DD534" s="5">
        <f>IF(DC534="No, en absoluto",1,
IF(DC534="No más que lo habitual",2,
IF(DC534="Bastante más que lo habitual",3,
IF(DC534="Mucho más que lo habitual",4,""))))</f>
        <v>3</v>
      </c>
      <c r="DE534" s="5" t="s">
        <v>280</v>
      </c>
      <c r="DF534" s="5">
        <f>IF(DE534="No, en absoluto",1,
IF(DE534="No más que lo habitual",2,
IF(DE534="Bastante más que lo habitual",3,
IF(DE534="Mucho más que lo habitual",4,""))))</f>
        <v>4</v>
      </c>
      <c r="DG534" s="5" t="s">
        <v>280</v>
      </c>
      <c r="DH534" s="5">
        <f>IF(DG534="No, en absoluto",1,
IF(DG534="No más que lo habitual",2,
IF(DG534="Bastante más que lo habitual",3,
IF(DG534="Mucho más que lo habitual",4,""))))</f>
        <v>4</v>
      </c>
      <c r="DI534" s="5" t="s">
        <v>280</v>
      </c>
      <c r="DJ534" s="5">
        <f>IF(DI534="No, en absoluto",1,
IF(DI534="No más que lo habitual",2,
IF(DI534="Bastante más que lo habitual",3,
IF(DI534="Mucho más que lo habitual",4,""))))</f>
        <v>4</v>
      </c>
      <c r="DK534" s="5" t="s">
        <v>230</v>
      </c>
      <c r="DL534" s="5">
        <f>IF(DK534="No, en absoluto",1,
IF(DK534="No más que lo habitual",2,
IF(DK534="Bastante más que lo habitual",3,
IF(DK534="Mucho más que lo habitual",4,""))))</f>
        <v>2</v>
      </c>
      <c r="DM534" s="5" t="s">
        <v>230</v>
      </c>
      <c r="DN534" s="5">
        <f>IF(DM534="No, en absoluto",1,
IF(DM534="No más que lo habitual",2,
IF(DM534="Bastante más que lo habitual",3,
IF(DM534="Mucho más que lo habitual",4,""))))</f>
        <v>2</v>
      </c>
      <c r="DO534" s="5" t="s">
        <v>281</v>
      </c>
      <c r="DP534" s="5">
        <f>IF(DO534="Más que lo habitual",1,
IF(DO534="Igual que lo habitual",2,
IF(DO534="Menos que lo habitual",3,
IF(DO534="Mucho menos que lo habitual",4,""))))</f>
        <v>1</v>
      </c>
      <c r="DQ534" s="5" t="s">
        <v>281</v>
      </c>
      <c r="DR534" s="5">
        <f>IF(DQ534="Más que lo habitual",1,
IF(DQ534="Igual que lo habitual",2,
IF(DQ534="Menos que lo habitual",3,
IF(DQ534="Mucho menos que lo habitual",4,""))))</f>
        <v>1</v>
      </c>
      <c r="DS534" s="5" t="s">
        <v>281</v>
      </c>
      <c r="DT534" s="5">
        <f>IF(DS534="Más que lo habitual",1,
IF(DS534="Igual que lo habitual",2,
IF(DS534="Menos que lo habitual",3,
IF(DS534="Mucho menos que lo habitual",4,""))))</f>
        <v>1</v>
      </c>
      <c r="DU534" s="5" t="s">
        <v>281</v>
      </c>
      <c r="DV534" s="5">
        <f>IF(DU534="Más que lo habitual",1,
IF(DU534="Igual que lo habitual",2,
IF(DU534="Menos que lo habitual",3,
IF(DU534="Mucho menos que lo habitual",4,""))))</f>
        <v>1</v>
      </c>
      <c r="DW534" s="5" t="s">
        <v>231</v>
      </c>
      <c r="DX534" s="5">
        <f>IF(DW534="Más que lo habitual",1,
IF(DW534="Igual que lo habitual",2,
IF(DW534="Menos que lo habitual",3,
IF(DW534="Mucho menos que lo habitual",4,""))))</f>
        <v>2</v>
      </c>
      <c r="DY534" s="5">
        <f>SUM(DB534,DD534,DF534,DH534,DJ534,DL534,DN534,DP534,DR534,DT534,DV534,DX534)</f>
        <v>27</v>
      </c>
      <c r="DZ534" s="5" t="str">
        <f>IF(DY534&lt;=18,"Nivel de riesgo bajo",
IF(DY534&lt;=23,"Nivel de riesgo medio",
"Nivel de riesgo alto"))</f>
        <v>Nivel de riesgo alto</v>
      </c>
      <c r="EA534" s="5" t="s">
        <v>248</v>
      </c>
      <c r="EB534" s="5">
        <f>IF(EA534="Nunca/ casi nunca",0,
IF(EA534="Rara vez",1,
IF(EA534="A veces",2,
IF(EA534="A menudo",3,
IF(EA534="Siempre",4,"")))))</f>
        <v>1</v>
      </c>
      <c r="EC534" s="5" t="s">
        <v>247</v>
      </c>
      <c r="ED534" s="5">
        <f>IF(EC534="Nunca/ casi nunca",0,
IF(EC534="Rara vez",1,
IF(EC534="A veces",2,
IF(EC534="A menudo",3,
IF(EC534="Siempre",4,"")))))</f>
        <v>2</v>
      </c>
      <c r="EE534" s="5" t="s">
        <v>247</v>
      </c>
      <c r="EF534" s="5">
        <f>IF(EE534="Nunca/ casi nunca",0,
IF(EE534="Rara vez",1,
IF(EE534="A veces",2,
IF(EE534="A menudo",3,
IF(EE534="Siempre",4,"")))))</f>
        <v>2</v>
      </c>
      <c r="EG534" s="5">
        <f>SUM(EB534,ED534,EF534)</f>
        <v>5</v>
      </c>
      <c r="EH534" s="5" t="str">
        <f>IF(EG534&lt;=1,"Nivel de riesgo bajo",
IF(EG534&lt;=4,"Nivel de riesgo medio",
"Nivel de riesgo alto"))</f>
        <v>Nivel de riesgo alto</v>
      </c>
      <c r="EI534" s="5" t="s">
        <v>248</v>
      </c>
      <c r="EJ534" s="5">
        <f>IF(EI534="Nunca/ casi nunca",0,
IF(EI534="Rara vez",1,
IF(EI534="A veces",2,
IF(EI534="A menudo",3,
IF(EI534="Siempre",4,"")))))</f>
        <v>1</v>
      </c>
      <c r="EK534" s="5" t="s">
        <v>247</v>
      </c>
      <c r="EL534" s="5">
        <f>IF(EK534="Nunca/ casi nunca",0,
IF(EK534="Rara vez",1,
IF(EK534="A veces",2,
IF(EK534="A menudo",3,
IF(EK534="Siempre",4,"")))))</f>
        <v>2</v>
      </c>
      <c r="EM534" s="5" t="s">
        <v>254</v>
      </c>
      <c r="EN534" s="5">
        <f>IF(EM534="Nunca/ casi nunca",0,
IF(EM534="Rara vez",1,
IF(EM534="A veces",2,
IF(EM534="A menudo",3,
IF(EM534="Siempre",4,"")))))</f>
        <v>4</v>
      </c>
      <c r="EO534" s="5">
        <f>SUM(EJ534,EL534,EN534)</f>
        <v>7</v>
      </c>
      <c r="EP534" s="5" t="str">
        <f>IF(EO534&lt;=1,"Nivel de riesgo bajo",
IF(EO534&lt;=5,"Nivel de riesgo medio",
"Nivel de riesgo alto"))</f>
        <v>Nivel de riesgo alto</v>
      </c>
      <c r="EQ534" s="5" t="s">
        <v>254</v>
      </c>
      <c r="ER534" s="5">
        <f>IF(EQ534="Nunca/ casi nunca",4,
IF(EQ534="Rara vez",3,
IF(EQ534="A veces",2,
IF(EQ534="A menudo",1,
IF(EQ534="Siempre",0,"")))))</f>
        <v>0</v>
      </c>
      <c r="ES534" s="5" t="s">
        <v>254</v>
      </c>
      <c r="ET534" s="5">
        <f>IF(ES534="Nunca/ casi nunca",4,
IF(ES534="Rara vez",3,
IF(ES534="A veces",2,
IF(ES534="A menudo",1,
IF(ES534="Siempre",0,"")))))</f>
        <v>0</v>
      </c>
      <c r="EU534" s="5" t="s">
        <v>254</v>
      </c>
      <c r="EV534" s="5">
        <f>IF(EU534="Nunca/ casi nunca",4,
IF(EU534="Rara vez",3,
IF(EU534="A veces",2,
IF(EU534="A menudo",1,
IF(EU534="Siempre",0,"")))))</f>
        <v>0</v>
      </c>
      <c r="EW534" s="5" t="s">
        <v>254</v>
      </c>
      <c r="EX534" s="5">
        <f>IF(EW534="Nunca/ casi nunca",4,
IF(EW534="Rara vez",3,
IF(EW534="A veces",2,
IF(EW534="A menudo",1,
IF(EW534="Siempre",0,"")))))</f>
        <v>0</v>
      </c>
      <c r="EY534" s="5">
        <f>SUM(ER534,ET534,EV534,EX534)</f>
        <v>0</v>
      </c>
      <c r="EZ534" s="5" t="str">
        <f>IF(EY534&lt;=0,"Nivel de riesgo bajo",
IF(EY534&lt;=4,"Nivel de riesgo medio",
"Nivel de riesgo alto"))</f>
        <v>Nivel de riesgo bajo</v>
      </c>
      <c r="FA534" s="5" t="s">
        <v>248</v>
      </c>
      <c r="FB534" s="5">
        <f>IF(FA534="Nunca/ casi nunca",0,
IF(FA534="Rara vez",1,
IF(FA534="A veces",2,
IF(FA534="A menudo",3,
IF(FA534="Siempre",4,"")))))</f>
        <v>1</v>
      </c>
      <c r="FC534" s="5" t="s">
        <v>248</v>
      </c>
      <c r="FD534" s="5">
        <f>IF(FC534="Nunca/ casi nunca",0,
IF(FC534="Rara vez",1,
IF(FC534="A veces",2,
IF(FC534="A menudo",3,
IF(FC534="Siempre",4,"")))))</f>
        <v>1</v>
      </c>
      <c r="FE534" s="5" t="s">
        <v>248</v>
      </c>
      <c r="FF534" s="5">
        <f>IF(FE534="Nunca/ casi nunca",0,
IF(FE534="Rara vez",1,
IF(FE534="A veces",2,
IF(FE534="A menudo",3,
IF(FE534="Siempre",4,"")))))</f>
        <v>1</v>
      </c>
      <c r="FG534" s="5">
        <f>SUM(FB534,FD534,FF534)</f>
        <v>3</v>
      </c>
      <c r="FH534" s="5" t="str">
        <f>IF(FG534&lt;=2,"Nivel de riesgo bajo",
IF(FG534&lt;=5,"Nivel de riesgo medio",
"Nivel de riesgo alto"))</f>
        <v>Nivel de riesgo medio</v>
      </c>
      <c r="FI534" s="5" t="s">
        <v>248</v>
      </c>
      <c r="FJ534" s="5">
        <f>IF(FI534="Nunca/ casi nunca",0,
IF(FI534="Rara vez",1,
IF(FI534="A veces",2,
IF(FI534="A menudo",3,
IF(FI534="Siempre",4,"")))))</f>
        <v>1</v>
      </c>
      <c r="FK534" s="5" t="s">
        <v>248</v>
      </c>
      <c r="FL534" s="5">
        <f>IF(FK534="Nunca/ casi nunca",0,
IF(FK534="Rara vez",1,
IF(FK534="A veces",2,
IF(FK534="A menudo",3,
IF(FK534="Siempre",4,"")))))</f>
        <v>1</v>
      </c>
      <c r="FM534" s="5" t="s">
        <v>248</v>
      </c>
      <c r="FN534" s="5">
        <f>IF(FM534="Nunca/ casi nunca",0,
IF(FM534="Rara vez",1,
IF(FM534="A veces",2,
IF(FM534="A menudo",3,
IF(FM534="Siempre",4,"")))))</f>
        <v>1</v>
      </c>
      <c r="FO534" s="5">
        <f>SUM(FJ534,FL534,FN534)</f>
        <v>3</v>
      </c>
      <c r="FP534" s="5" t="str">
        <f>IF(FO534&lt;=2,"Nivel de riesgo bajo",
IF(FO534&lt;=5,"Nivel de riesgo medio",
"Nivel de riesgo alto"))</f>
        <v>Nivel de riesgo medio</v>
      </c>
      <c r="FQ534" s="5" t="s">
        <v>206</v>
      </c>
      <c r="FR534" s="5">
        <f>IF(FQ534="No",0,
IF(FQ534="Sí, unas pocas veces",1,
IF(FQ534="Sí, mensualmente",2,
IF(FQ534="Sí, semanalmente",3,
IF(FQ534="Sí, diariamente",4,"")))))</f>
        <v>0</v>
      </c>
      <c r="FS534" s="5" t="s">
        <v>206</v>
      </c>
      <c r="FT534" s="5">
        <f>IF(FS534="No",0,
IF(FS534="Sí, unas pocas veces",1,
IF(FS534="Sí, mensualmente",2,
IF(FS534="Sí, semanalmente",3,
IF(FS534="Sí, diariamente",4,"")))))</f>
        <v>0</v>
      </c>
      <c r="FU534" s="5" t="s">
        <v>206</v>
      </c>
      <c r="FV534" s="5">
        <f>IF(FU534="No",0,
IF(FU534="Sí, unas pocas veces",1,
IF(FU534="Sí, mensualmente",2,
IF(FU534="Sí, semanalmente",3,
IF(FU534="Sí, diariamente",4,"")))))</f>
        <v>0</v>
      </c>
      <c r="FW534" s="5" t="s">
        <v>206</v>
      </c>
      <c r="FX534" s="5">
        <f>IF(FW534="No",0,
IF(FW534="Sí, unas pocas veces",1,
IF(FW534="Sí, mensualmente",2,
IF(FW534="Sí, semanalmente",3,
IF(FW534="Sí, diariamente",4,"")))))</f>
        <v>0</v>
      </c>
      <c r="FY534" s="5" t="s">
        <v>206</v>
      </c>
      <c r="FZ534" s="5">
        <f>IF(FY534="No",0,
IF(FY534="Sí, unas pocas veces",1,
IF(FY534="Sí, mensualmente",2,
IF(FY534="Sí, semanalmente",3,
IF(FY534="Sí, diariamente",4,"")))))</f>
        <v>0</v>
      </c>
      <c r="GA534" s="5" t="s">
        <v>206</v>
      </c>
      <c r="GB534" s="5">
        <f>IF(GA534="No",0,
IF(GA534="Sí, unas pocas veces",1,
IF(GA534="Sí, mensualmente",2,
IF(GA534="Sí, semanalmente",3,
IF(GA534="Sí, diariamente",4,"")))))</f>
        <v>0</v>
      </c>
      <c r="GC534" s="5" t="s">
        <v>206</v>
      </c>
      <c r="GD534" s="5">
        <f>IF(GC534="No",0,
IF(GC534="Sí, unas pocas veces",1,
IF(GC534="Sí, mensualmente",2,
IF(GC534="Sí, semanalmente",3,
IF(GC534="Sí, diariamente",4,"")))))</f>
        <v>0</v>
      </c>
      <c r="GE534" s="5">
        <f>SUM(FR534,FT534,FV534,FX534,FZ534,GB534,GD534)</f>
        <v>0</v>
      </c>
      <c r="GF534" s="5" t="str">
        <f>IF(GE534&lt;=0,"Nivel de riesgo bajo",
IF(GE534&lt;=14,"Nivel de riesgo medio",
"Nivel de riesgo alto"))</f>
        <v>Nivel de riesgo bajo</v>
      </c>
      <c r="GG534" s="5" t="s">
        <v>255</v>
      </c>
      <c r="GH534" s="5" t="s">
        <v>255</v>
      </c>
      <c r="GI534" s="5" t="s">
        <v>255</v>
      </c>
      <c r="GJ534" s="5" t="s">
        <v>255</v>
      </c>
      <c r="GK534" s="5" t="s">
        <v>233</v>
      </c>
      <c r="GL534" s="5" t="s">
        <v>273</v>
      </c>
      <c r="GM534" s="5" t="s">
        <v>298</v>
      </c>
      <c r="GN534" s="5" t="s">
        <v>256</v>
      </c>
      <c r="GO534" s="5" t="s">
        <v>256</v>
      </c>
      <c r="GP534" s="5" t="s">
        <v>256</v>
      </c>
      <c r="GQ534" s="5" t="s">
        <v>256</v>
      </c>
      <c r="GR534" s="5" t="s">
        <v>256</v>
      </c>
      <c r="GS534" s="5" t="s">
        <v>256</v>
      </c>
      <c r="GT534" s="5" t="s">
        <v>256</v>
      </c>
      <c r="GU534" s="5" t="s">
        <v>899</v>
      </c>
      <c r="GV534" s="5" t="str">
        <f>TEXT("6291031924103425737","0")</f>
        <v>6291031924103420000</v>
      </c>
    </row>
    <row r="535" spans="1:204" ht="15.75" customHeight="1" x14ac:dyDescent="0.15">
      <c r="A535" s="1">
        <f>ROW(A535)</f>
        <v>535</v>
      </c>
      <c r="B535" s="4">
        <v>45861.591319444444</v>
      </c>
      <c r="C535" s="5" t="s">
        <v>204</v>
      </c>
      <c r="D535" s="5" t="s">
        <v>206</v>
      </c>
      <c r="F535" s="5" t="s">
        <v>204</v>
      </c>
      <c r="G535" s="5" t="s">
        <v>204</v>
      </c>
      <c r="H535" s="5" t="s">
        <v>206</v>
      </c>
      <c r="K535" s="5" t="s">
        <v>237</v>
      </c>
      <c r="P535" s="5" t="s">
        <v>237</v>
      </c>
      <c r="T535" s="5" t="s">
        <v>209</v>
      </c>
      <c r="Y535" s="5" t="s">
        <v>209</v>
      </c>
      <c r="AC535" s="5" t="s">
        <v>208</v>
      </c>
      <c r="AH535" s="5" t="s">
        <v>268</v>
      </c>
      <c r="AI535" s="5">
        <v>2010</v>
      </c>
      <c r="AJ535" s="5" t="s">
        <v>238</v>
      </c>
      <c r="AK535" s="5" t="str">
        <f>IF(OR(AJ535="Empleada del sector privado",AJ535="Empleada del sector público"),"Asalariada",
IF(AJ535="Trabajadora por cuenta propia","Trabajadora por cuenta propia",""))</f>
        <v>Trabajadora por cuenta propia</v>
      </c>
      <c r="AM535" s="5" t="s">
        <v>309</v>
      </c>
      <c r="AP535" s="5" t="s">
        <v>284</v>
      </c>
      <c r="AR535" s="5" t="s">
        <v>301</v>
      </c>
      <c r="AS535" s="5" t="s">
        <v>241</v>
      </c>
      <c r="AT535" s="5" t="s">
        <v>301</v>
      </c>
      <c r="AU535" s="5" t="s">
        <v>301</v>
      </c>
      <c r="AV535" s="5" t="s">
        <v>457</v>
      </c>
      <c r="AW535" s="5" t="s">
        <v>206</v>
      </c>
      <c r="BF535" s="5" t="s">
        <v>204</v>
      </c>
      <c r="BG535" s="5" t="s">
        <v>278</v>
      </c>
      <c r="BH535" s="5" t="s">
        <v>278</v>
      </c>
      <c r="BI535" s="5" t="s">
        <v>278</v>
      </c>
      <c r="BJ535" s="5" t="s">
        <v>242</v>
      </c>
      <c r="BK535" s="5" t="s">
        <v>243</v>
      </c>
      <c r="BL535" s="5" t="s">
        <v>244</v>
      </c>
      <c r="BM535" s="5" t="s">
        <v>244</v>
      </c>
      <c r="BN535" s="5" t="s">
        <v>244</v>
      </c>
      <c r="BO535" s="5" t="s">
        <v>244</v>
      </c>
      <c r="BP535" s="5" t="s">
        <v>244</v>
      </c>
      <c r="BQ535" s="5" t="s">
        <v>244</v>
      </c>
      <c r="BR535" s="5" t="s">
        <v>244</v>
      </c>
      <c r="BS535" s="5" t="s">
        <v>248</v>
      </c>
      <c r="BT535" s="5" t="s">
        <v>248</v>
      </c>
      <c r="BU535" s="5" t="s">
        <v>217</v>
      </c>
      <c r="BV535" s="5" t="s">
        <v>217</v>
      </c>
      <c r="BW535" s="5" t="s">
        <v>217</v>
      </c>
      <c r="BX535" s="5" t="s">
        <v>217</v>
      </c>
      <c r="BY535" s="5" t="s">
        <v>217</v>
      </c>
      <c r="CD535" s="5" t="s">
        <v>204</v>
      </c>
      <c r="CE535" s="5" t="s">
        <v>218</v>
      </c>
      <c r="CF535" s="5" t="s">
        <v>279</v>
      </c>
      <c r="CG535" s="5" t="s">
        <v>206</v>
      </c>
      <c r="CH535" s="5" t="s">
        <v>206</v>
      </c>
      <c r="CI535" s="5" t="s">
        <v>347</v>
      </c>
      <c r="CJ535" s="5">
        <v>3</v>
      </c>
      <c r="CK535" s="5" t="s">
        <v>223</v>
      </c>
      <c r="CU535" s="5" t="s">
        <v>206</v>
      </c>
      <c r="DA535" s="5" t="s">
        <v>231</v>
      </c>
      <c r="DB535" s="5">
        <f>IF(DA535="Mejor que lo habitual",1,
IF(DA535="Igual que lo habitual",2,
IF(DA535="Menos que lo habitual",3,
IF(DA535="Mucho menos que lo habitual",4,""))))</f>
        <v>2</v>
      </c>
      <c r="DC535" s="5" t="s">
        <v>230</v>
      </c>
      <c r="DD535" s="5">
        <f>IF(DC535="No, en absoluto",1,
IF(DC535="No más que lo habitual",2,
IF(DC535="Bastante más que lo habitual",3,
IF(DC535="Mucho más que lo habitual",4,""))))</f>
        <v>2</v>
      </c>
      <c r="DE535" s="5" t="s">
        <v>230</v>
      </c>
      <c r="DF535" s="5">
        <f>IF(DE535="No, en absoluto",1,
IF(DE535="No más que lo habitual",2,
IF(DE535="Bastante más que lo habitual",3,
IF(DE535="Mucho más que lo habitual",4,""))))</f>
        <v>2</v>
      </c>
      <c r="DG535" s="5" t="s">
        <v>230</v>
      </c>
      <c r="DH535" s="5">
        <f>IF(DG535="No, en absoluto",1,
IF(DG535="No más que lo habitual",2,
IF(DG535="Bastante más que lo habitual",3,
IF(DG535="Mucho más que lo habitual",4,""))))</f>
        <v>2</v>
      </c>
      <c r="DI535" s="5" t="s">
        <v>251</v>
      </c>
      <c r="DJ535" s="5">
        <f>IF(DI535="No, en absoluto",1,
IF(DI535="No más que lo habitual",2,
IF(DI535="Bastante más que lo habitual",3,
IF(DI535="Mucho más que lo habitual",4,""))))</f>
        <v>1</v>
      </c>
      <c r="DK535" s="5" t="s">
        <v>251</v>
      </c>
      <c r="DL535" s="5">
        <f>IF(DK535="No, en absoluto",1,
IF(DK535="No más que lo habitual",2,
IF(DK535="Bastante más que lo habitual",3,
IF(DK535="Mucho más que lo habitual",4,""))))</f>
        <v>1</v>
      </c>
      <c r="DM535" s="5" t="s">
        <v>251</v>
      </c>
      <c r="DN535" s="5">
        <f>IF(DM535="No, en absoluto",1,
IF(DM535="No más que lo habitual",2,
IF(DM535="Bastante más que lo habitual",3,
IF(DM535="Mucho más que lo habitual",4,""))))</f>
        <v>1</v>
      </c>
      <c r="DO535" s="5" t="s">
        <v>281</v>
      </c>
      <c r="DP535" s="5">
        <f>IF(DO535="Más que lo habitual",1,
IF(DO535="Igual que lo habitual",2,
IF(DO535="Menos que lo habitual",3,
IF(DO535="Mucho menos que lo habitual",4,""))))</f>
        <v>1</v>
      </c>
      <c r="DQ535" s="5" t="s">
        <v>281</v>
      </c>
      <c r="DR535" s="5">
        <f>IF(DQ535="Más que lo habitual",1,
IF(DQ535="Igual que lo habitual",2,
IF(DQ535="Menos que lo habitual",3,
IF(DQ535="Mucho menos que lo habitual",4,""))))</f>
        <v>1</v>
      </c>
      <c r="DS535" s="5" t="s">
        <v>281</v>
      </c>
      <c r="DT535" s="5">
        <f>IF(DS535="Más que lo habitual",1,
IF(DS535="Igual que lo habitual",2,
IF(DS535="Menos que lo habitual",3,
IF(DS535="Mucho menos que lo habitual",4,""))))</f>
        <v>1</v>
      </c>
      <c r="DU535" s="5" t="s">
        <v>281</v>
      </c>
      <c r="DV535" s="5">
        <f>IF(DU535="Más que lo habitual",1,
IF(DU535="Igual que lo habitual",2,
IF(DU535="Menos que lo habitual",3,
IF(DU535="Mucho menos que lo habitual",4,""))))</f>
        <v>1</v>
      </c>
      <c r="DW535" s="5" t="s">
        <v>281</v>
      </c>
      <c r="DX535" s="5">
        <f>IF(DW535="Más que lo habitual",1,
IF(DW535="Igual que lo habitual",2,
IF(DW535="Menos que lo habitual",3,
IF(DW535="Mucho menos que lo habitual",4,""))))</f>
        <v>1</v>
      </c>
      <c r="DY535" s="5">
        <f>SUM(DB535,DD535,DF535,DH535,DJ535,DL535,DN535,DP535,DR535,DT535,DV535,DX535)</f>
        <v>16</v>
      </c>
      <c r="DZ535" s="5" t="str">
        <f>IF(DY535&lt;=18,"Nivel de riesgo bajo",
IF(DY535&lt;=23,"Nivel de riesgo medio",
"Nivel de riesgo alto"))</f>
        <v>Nivel de riesgo bajo</v>
      </c>
      <c r="EA535" s="5" t="s">
        <v>253</v>
      </c>
      <c r="EB535" s="5">
        <f>IF(EA535="Nunca/ casi nunca",0,
IF(EA535="Rara vez",1,
IF(EA535="A veces",2,
IF(EA535="A menudo",3,
IF(EA535="Siempre",4,"")))))</f>
        <v>0</v>
      </c>
      <c r="EC535" s="5" t="s">
        <v>253</v>
      </c>
      <c r="ED535" s="5">
        <f>IF(EC535="Nunca/ casi nunca",0,
IF(EC535="Rara vez",1,
IF(EC535="A veces",2,
IF(EC535="A menudo",3,
IF(EC535="Siempre",4,"")))))</f>
        <v>0</v>
      </c>
      <c r="EE535" s="5" t="s">
        <v>253</v>
      </c>
      <c r="EF535" s="5">
        <f>IF(EE535="Nunca/ casi nunca",0,
IF(EE535="Rara vez",1,
IF(EE535="A veces",2,
IF(EE535="A menudo",3,
IF(EE535="Siempre",4,"")))))</f>
        <v>0</v>
      </c>
      <c r="EG535" s="5">
        <f>SUM(EB535,ED535,EF535)</f>
        <v>0</v>
      </c>
      <c r="EH535" s="5" t="str">
        <f>IF(EG535&lt;=1,"Nivel de riesgo bajo",
IF(EG535&lt;=4,"Nivel de riesgo medio",
"Nivel de riesgo alto"))</f>
        <v>Nivel de riesgo bajo</v>
      </c>
      <c r="EI535" s="5" t="s">
        <v>253</v>
      </c>
      <c r="EJ535" s="5">
        <f>IF(EI535="Nunca/ casi nunca",0,
IF(EI535="Rara vez",1,
IF(EI535="A veces",2,
IF(EI535="A menudo",3,
IF(EI535="Siempre",4,"")))))</f>
        <v>0</v>
      </c>
      <c r="EK535" s="5" t="s">
        <v>248</v>
      </c>
      <c r="EL535" s="5">
        <f>IF(EK535="Nunca/ casi nunca",0,
IF(EK535="Rara vez",1,
IF(EK535="A veces",2,
IF(EK535="A menudo",3,
IF(EK535="Siempre",4,"")))))</f>
        <v>1</v>
      </c>
      <c r="EM535" s="5" t="s">
        <v>253</v>
      </c>
      <c r="EN535" s="5">
        <f>IF(EM535="Nunca/ casi nunca",0,
IF(EM535="Rara vez",1,
IF(EM535="A veces",2,
IF(EM535="A menudo",3,
IF(EM535="Siempre",4,"")))))</f>
        <v>0</v>
      </c>
      <c r="EO535" s="5">
        <f>SUM(EJ535,EL535,EN535)</f>
        <v>1</v>
      </c>
      <c r="EP535" s="5" t="str">
        <f>IF(EO535&lt;=1,"Nivel de riesgo bajo",
IF(EO535&lt;=5,"Nivel de riesgo medio",
"Nivel de riesgo alto"))</f>
        <v>Nivel de riesgo bajo</v>
      </c>
      <c r="EQ535" s="5" t="s">
        <v>248</v>
      </c>
      <c r="ER535" s="5">
        <f>IF(EQ535="Nunca/ casi nunca",4,
IF(EQ535="Rara vez",3,
IF(EQ535="A veces",2,
IF(EQ535="A menudo",1,
IF(EQ535="Siempre",0,"")))))</f>
        <v>3</v>
      </c>
      <c r="ES535" s="5" t="s">
        <v>253</v>
      </c>
      <c r="ET535" s="5">
        <f>IF(ES535="Nunca/ casi nunca",4,
IF(ES535="Rara vez",3,
IF(ES535="A veces",2,
IF(ES535="A menudo",1,
IF(ES535="Siempre",0,"")))))</f>
        <v>4</v>
      </c>
      <c r="EU535" s="5" t="s">
        <v>253</v>
      </c>
      <c r="EV535" s="5">
        <f>IF(EU535="Nunca/ casi nunca",4,
IF(EU535="Rara vez",3,
IF(EU535="A veces",2,
IF(EU535="A menudo",1,
IF(EU535="Siempre",0,"")))))</f>
        <v>4</v>
      </c>
      <c r="EW535" s="5" t="s">
        <v>253</v>
      </c>
      <c r="EX535" s="5">
        <f>IF(EW535="Nunca/ casi nunca",4,
IF(EW535="Rara vez",3,
IF(EW535="A veces",2,
IF(EW535="A menudo",1,
IF(EW535="Siempre",0,"")))))</f>
        <v>4</v>
      </c>
      <c r="EY535" s="5">
        <f>SUM(ER535,ET535,EV535,EX535)</f>
        <v>15</v>
      </c>
      <c r="EZ535" s="5" t="str">
        <f>IF(EY535&lt;=0,"Nivel de riesgo bajo",
IF(EY535&lt;=4,"Nivel de riesgo medio",
"Nivel de riesgo alto"))</f>
        <v>Nivel de riesgo alto</v>
      </c>
      <c r="FA535" s="5" t="s">
        <v>253</v>
      </c>
      <c r="FB535" s="5">
        <f>IF(FA535="Nunca/ casi nunca",0,
IF(FA535="Rara vez",1,
IF(FA535="A veces",2,
IF(FA535="A menudo",3,
IF(FA535="Siempre",4,"")))))</f>
        <v>0</v>
      </c>
      <c r="FC535" s="5" t="s">
        <v>253</v>
      </c>
      <c r="FD535" s="5">
        <f>IF(FC535="Nunca/ casi nunca",0,
IF(FC535="Rara vez",1,
IF(FC535="A veces",2,
IF(FC535="A menudo",3,
IF(FC535="Siempre",4,"")))))</f>
        <v>0</v>
      </c>
      <c r="FE535" s="5" t="s">
        <v>253</v>
      </c>
      <c r="FF535" s="5">
        <f>IF(FE535="Nunca/ casi nunca",0,
IF(FE535="Rara vez",1,
IF(FE535="A veces",2,
IF(FE535="A menudo",3,
IF(FE535="Siempre",4,"")))))</f>
        <v>0</v>
      </c>
      <c r="FG535" s="5">
        <f>SUM(FB535,FD535,FF535)</f>
        <v>0</v>
      </c>
      <c r="FH535" s="5" t="str">
        <f>IF(FG535&lt;=2,"Nivel de riesgo bajo",
IF(FG535&lt;=5,"Nivel de riesgo medio",
"Nivel de riesgo alto"))</f>
        <v>Nivel de riesgo bajo</v>
      </c>
      <c r="FI535" s="5" t="s">
        <v>253</v>
      </c>
      <c r="FJ535" s="5">
        <f>IF(FI535="Nunca/ casi nunca",0,
IF(FI535="Rara vez",1,
IF(FI535="A veces",2,
IF(FI535="A menudo",3,
IF(FI535="Siempre",4,"")))))</f>
        <v>0</v>
      </c>
      <c r="FK535" s="5" t="s">
        <v>253</v>
      </c>
      <c r="FL535" s="5">
        <f>IF(FK535="Nunca/ casi nunca",0,
IF(FK535="Rara vez",1,
IF(FK535="A veces",2,
IF(FK535="A menudo",3,
IF(FK535="Siempre",4,"")))))</f>
        <v>0</v>
      </c>
      <c r="FM535" s="5" t="s">
        <v>253</v>
      </c>
      <c r="FN535" s="5">
        <f>IF(FM535="Nunca/ casi nunca",0,
IF(FM535="Rara vez",1,
IF(FM535="A veces",2,
IF(FM535="A menudo",3,
IF(FM535="Siempre",4,"")))))</f>
        <v>0</v>
      </c>
      <c r="FO535" s="5">
        <f>SUM(FJ535,FL535,FN535)</f>
        <v>0</v>
      </c>
      <c r="FP535" s="5" t="str">
        <f>IF(FO535&lt;=2,"Nivel de riesgo bajo",
IF(FO535&lt;=5,"Nivel de riesgo medio",
"Nivel de riesgo alto"))</f>
        <v>Nivel de riesgo bajo</v>
      </c>
      <c r="FQ535" s="5" t="s">
        <v>206</v>
      </c>
      <c r="FR535" s="5">
        <f>IF(FQ535="No",0,
IF(FQ535="Sí, unas pocas veces",1,
IF(FQ535="Sí, mensualmente",2,
IF(FQ535="Sí, semanalmente",3,
IF(FQ535="Sí, diariamente",4,"")))))</f>
        <v>0</v>
      </c>
      <c r="FS535" s="5" t="s">
        <v>206</v>
      </c>
      <c r="FT535" s="5">
        <f>IF(FS535="No",0,
IF(FS535="Sí, unas pocas veces",1,
IF(FS535="Sí, mensualmente",2,
IF(FS535="Sí, semanalmente",3,
IF(FS535="Sí, diariamente",4,"")))))</f>
        <v>0</v>
      </c>
      <c r="FU535" s="5" t="s">
        <v>206</v>
      </c>
      <c r="FV535" s="5">
        <f>IF(FU535="No",0,
IF(FU535="Sí, unas pocas veces",1,
IF(FU535="Sí, mensualmente",2,
IF(FU535="Sí, semanalmente",3,
IF(FU535="Sí, diariamente",4,"")))))</f>
        <v>0</v>
      </c>
      <c r="FW535" s="5" t="s">
        <v>206</v>
      </c>
      <c r="FX535" s="5">
        <f>IF(FW535="No",0,
IF(FW535="Sí, unas pocas veces",1,
IF(FW535="Sí, mensualmente",2,
IF(FW535="Sí, semanalmente",3,
IF(FW535="Sí, diariamente",4,"")))))</f>
        <v>0</v>
      </c>
      <c r="FY535" s="5" t="s">
        <v>206</v>
      </c>
      <c r="FZ535" s="5">
        <f>IF(FY535="No",0,
IF(FY535="Sí, unas pocas veces",1,
IF(FY535="Sí, mensualmente",2,
IF(FY535="Sí, semanalmente",3,
IF(FY535="Sí, diariamente",4,"")))))</f>
        <v>0</v>
      </c>
      <c r="GA535" s="5" t="s">
        <v>206</v>
      </c>
      <c r="GB535" s="5">
        <f>IF(GA535="No",0,
IF(GA535="Sí, unas pocas veces",1,
IF(GA535="Sí, mensualmente",2,
IF(GA535="Sí, semanalmente",3,
IF(GA535="Sí, diariamente",4,"")))))</f>
        <v>0</v>
      </c>
      <c r="GC535" s="5" t="s">
        <v>206</v>
      </c>
      <c r="GD535" s="5">
        <f>IF(GC535="No",0,
IF(GC535="Sí, unas pocas veces",1,
IF(GC535="Sí, mensualmente",2,
IF(GC535="Sí, semanalmente",3,
IF(GC535="Sí, diariamente",4,"")))))</f>
        <v>0</v>
      </c>
      <c r="GE535" s="5">
        <f>SUM(FR535,FT535,FV535,FX535,FZ535,GB535,GD535)</f>
        <v>0</v>
      </c>
      <c r="GF535" s="5" t="str">
        <f>IF(GE535&lt;=0,"Nivel de riesgo bajo",
IF(GE535&lt;=14,"Nivel de riesgo medio",
"Nivel de riesgo alto"))</f>
        <v>Nivel de riesgo bajo</v>
      </c>
      <c r="GG535" s="5" t="s">
        <v>255</v>
      </c>
      <c r="GH535" s="5" t="s">
        <v>255</v>
      </c>
      <c r="GI535" s="5" t="s">
        <v>255</v>
      </c>
      <c r="GJ535" s="5" t="s">
        <v>266</v>
      </c>
      <c r="GK535" s="5" t="s">
        <v>233</v>
      </c>
      <c r="GL535" s="5" t="s">
        <v>233</v>
      </c>
      <c r="GM535" s="5" t="s">
        <v>233</v>
      </c>
      <c r="GN535" s="5" t="s">
        <v>256</v>
      </c>
      <c r="GO535" s="5" t="s">
        <v>243</v>
      </c>
      <c r="GP535" s="5" t="s">
        <v>243</v>
      </c>
      <c r="GQ535" s="5" t="s">
        <v>257</v>
      </c>
      <c r="GR535" s="5" t="s">
        <v>257</v>
      </c>
      <c r="GS535" s="5" t="s">
        <v>244</v>
      </c>
      <c r="GT535" s="5" t="s">
        <v>243</v>
      </c>
      <c r="GU535" s="5" t="s">
        <v>900</v>
      </c>
      <c r="GV535" s="5" t="str">
        <f>TEXT("6291034904711700912","0")</f>
        <v>6291034904711700000</v>
      </c>
    </row>
    <row r="536" spans="1:204" ht="15.75" hidden="1" customHeight="1" x14ac:dyDescent="0.15">
      <c r="B536" s="4">
        <v>45861.627534722225</v>
      </c>
      <c r="C536" s="5" t="s">
        <v>204</v>
      </c>
      <c r="D536" s="5" t="s">
        <v>206</v>
      </c>
      <c r="F536" s="5" t="s">
        <v>204</v>
      </c>
      <c r="G536" s="5" t="s">
        <v>206</v>
      </c>
      <c r="H536" s="5" t="s">
        <v>206</v>
      </c>
      <c r="J536" s="5" t="s">
        <v>209</v>
      </c>
      <c r="P536" s="5" t="s">
        <v>237</v>
      </c>
      <c r="S536" s="5" t="s">
        <v>208</v>
      </c>
      <c r="X536" s="5" t="s">
        <v>208</v>
      </c>
      <c r="AC536" s="5" t="s">
        <v>208</v>
      </c>
      <c r="AH536" s="5" t="s">
        <v>210</v>
      </c>
      <c r="AI536" s="5">
        <v>2020</v>
      </c>
      <c r="AJ536" s="5" t="s">
        <v>293</v>
      </c>
      <c r="AK536" s="5"/>
      <c r="AR536" s="5" t="s">
        <v>241</v>
      </c>
      <c r="AS536" s="5" t="s">
        <v>241</v>
      </c>
      <c r="AT536" s="5" t="s">
        <v>241</v>
      </c>
      <c r="AU536" s="5" t="s">
        <v>241</v>
      </c>
      <c r="AV536" s="5" t="s">
        <v>277</v>
      </c>
      <c r="AW536" s="5" t="s">
        <v>206</v>
      </c>
      <c r="BF536" s="5" t="s">
        <v>204</v>
      </c>
      <c r="BG536" s="5" t="s">
        <v>264</v>
      </c>
      <c r="BH536" s="5" t="s">
        <v>215</v>
      </c>
      <c r="BI536" s="5" t="s">
        <v>264</v>
      </c>
      <c r="BJ536" s="5" t="s">
        <v>242</v>
      </c>
      <c r="BK536" s="5" t="s">
        <v>244</v>
      </c>
      <c r="BL536" s="5" t="s">
        <v>244</v>
      </c>
      <c r="BM536" s="5" t="s">
        <v>243</v>
      </c>
      <c r="BN536" s="5" t="s">
        <v>243</v>
      </c>
      <c r="BO536" s="5" t="s">
        <v>243</v>
      </c>
      <c r="BP536" s="5" t="s">
        <v>243</v>
      </c>
      <c r="BQ536" s="5" t="s">
        <v>243</v>
      </c>
      <c r="BR536" s="5" t="s">
        <v>243</v>
      </c>
      <c r="BS536" s="5" t="s">
        <v>247</v>
      </c>
      <c r="BT536" s="5" t="s">
        <v>247</v>
      </c>
      <c r="BU536" s="5" t="s">
        <v>232</v>
      </c>
      <c r="BV536" s="5" t="s">
        <v>247</v>
      </c>
      <c r="BW536" s="5" t="s">
        <v>254</v>
      </c>
      <c r="BX536" s="5" t="s">
        <v>232</v>
      </c>
      <c r="BY536" s="5" t="s">
        <v>254</v>
      </c>
      <c r="CD536" s="5" t="s">
        <v>206</v>
      </c>
      <c r="CH536" s="5" t="s">
        <v>206</v>
      </c>
      <c r="CI536" s="5" t="s">
        <v>291</v>
      </c>
      <c r="CJ536" s="5">
        <v>1</v>
      </c>
      <c r="CK536" s="5" t="s">
        <v>223</v>
      </c>
      <c r="CU536" s="5" t="s">
        <v>206</v>
      </c>
      <c r="DA536" s="5" t="s">
        <v>231</v>
      </c>
      <c r="DB536" s="5"/>
      <c r="DC536" s="5" t="s">
        <v>250</v>
      </c>
      <c r="DD536" s="5"/>
      <c r="DE536" s="5" t="s">
        <v>250</v>
      </c>
      <c r="DF536" s="5"/>
      <c r="DG536" s="5" t="s">
        <v>250</v>
      </c>
      <c r="DH536" s="5"/>
      <c r="DI536" s="5" t="s">
        <v>250</v>
      </c>
      <c r="DJ536" s="5"/>
      <c r="DK536" s="5" t="s">
        <v>250</v>
      </c>
      <c r="DL536" s="5"/>
      <c r="DM536" s="5" t="s">
        <v>250</v>
      </c>
      <c r="DN536" s="5"/>
      <c r="DO536" s="5" t="s">
        <v>231</v>
      </c>
      <c r="DP536" s="5"/>
      <c r="DQ536" s="5" t="s">
        <v>231</v>
      </c>
      <c r="DR536" s="5"/>
      <c r="DS536" s="5" t="s">
        <v>231</v>
      </c>
      <c r="DT536" s="5"/>
      <c r="DU536" s="5" t="s">
        <v>229</v>
      </c>
      <c r="DV536" s="5"/>
      <c r="DW536" s="5" t="s">
        <v>231</v>
      </c>
      <c r="DX536" s="5"/>
      <c r="DY536" s="5"/>
      <c r="DZ536" s="5"/>
      <c r="EA536" s="5" t="s">
        <v>247</v>
      </c>
      <c r="EB536" s="5"/>
      <c r="EC536" s="5" t="s">
        <v>232</v>
      </c>
      <c r="ED536" s="5"/>
      <c r="EE536" s="5" t="s">
        <v>247</v>
      </c>
      <c r="EF536" s="5"/>
      <c r="EG536" s="5"/>
      <c r="EH536" s="5"/>
      <c r="EI536" s="5" t="s">
        <v>248</v>
      </c>
      <c r="EJ536" s="5"/>
      <c r="EK536" s="5" t="s">
        <v>253</v>
      </c>
      <c r="EL536" s="5"/>
      <c r="EM536" s="5" t="s">
        <v>247</v>
      </c>
      <c r="EN536" s="5"/>
      <c r="EO536" s="5"/>
      <c r="EP536" s="5"/>
      <c r="EQ536" s="5" t="s">
        <v>253</v>
      </c>
      <c r="ER536" s="5"/>
      <c r="ES536" s="5" t="s">
        <v>253</v>
      </c>
      <c r="ET536" s="5"/>
      <c r="EU536" s="5" t="s">
        <v>232</v>
      </c>
      <c r="EV536" s="5"/>
      <c r="EW536" s="5" t="s">
        <v>248</v>
      </c>
      <c r="EX536" s="5"/>
      <c r="EY536" s="5"/>
      <c r="EZ536" s="5"/>
      <c r="FA536" s="5" t="s">
        <v>247</v>
      </c>
      <c r="FB536" s="5"/>
      <c r="FC536" s="5" t="s">
        <v>253</v>
      </c>
      <c r="FD536" s="5"/>
      <c r="FE536" s="5" t="s">
        <v>248</v>
      </c>
      <c r="FF536" s="5"/>
      <c r="FG536" s="5"/>
      <c r="FH536" s="5"/>
      <c r="FI536" s="5" t="s">
        <v>247</v>
      </c>
      <c r="FJ536" s="5"/>
      <c r="FK536" s="5" t="s">
        <v>232</v>
      </c>
      <c r="FL536" s="5"/>
      <c r="FM536" s="5" t="s">
        <v>232</v>
      </c>
      <c r="FN536" s="5"/>
      <c r="FO536" s="5"/>
      <c r="FP536" s="5"/>
      <c r="FQ536" s="5" t="s">
        <v>265</v>
      </c>
      <c r="FR536" s="5"/>
      <c r="FS536" s="5" t="s">
        <v>206</v>
      </c>
      <c r="FT536" s="5"/>
      <c r="FU536" s="5" t="s">
        <v>206</v>
      </c>
      <c r="FV536" s="5"/>
      <c r="FW536" s="5" t="s">
        <v>206</v>
      </c>
      <c r="FX536" s="5"/>
      <c r="FY536" s="5" t="s">
        <v>206</v>
      </c>
      <c r="FZ536" s="5"/>
      <c r="GA536" s="5" t="s">
        <v>206</v>
      </c>
      <c r="GB536" s="5"/>
      <c r="GC536" s="5" t="s">
        <v>206</v>
      </c>
      <c r="GD536" s="5"/>
      <c r="GE536" s="5"/>
      <c r="GF536" s="5"/>
      <c r="GG536" s="5" t="s">
        <v>255</v>
      </c>
      <c r="GH536" s="5" t="s">
        <v>255</v>
      </c>
      <c r="GI536" s="5" t="s">
        <v>255</v>
      </c>
      <c r="GJ536" s="5" t="s">
        <v>255</v>
      </c>
      <c r="GK536" s="5" t="s">
        <v>255</v>
      </c>
      <c r="GL536" s="5" t="s">
        <v>273</v>
      </c>
      <c r="GM536" s="5" t="s">
        <v>255</v>
      </c>
      <c r="GN536" s="5" t="s">
        <v>256</v>
      </c>
      <c r="GO536" s="5" t="s">
        <v>256</v>
      </c>
      <c r="GP536" s="5" t="s">
        <v>243</v>
      </c>
      <c r="GQ536" s="5" t="s">
        <v>256</v>
      </c>
      <c r="GR536" s="5" t="s">
        <v>256</v>
      </c>
      <c r="GS536" s="5" t="s">
        <v>243</v>
      </c>
      <c r="GT536" s="5" t="s">
        <v>243</v>
      </c>
      <c r="GU536" s="5" t="s">
        <v>901</v>
      </c>
      <c r="GV536" s="5" t="str">
        <f>TEXT("6291066190468715493","0")</f>
        <v>6291066190468710000</v>
      </c>
    </row>
    <row r="537" spans="1:204" ht="15.75" customHeight="1" x14ac:dyDescent="0.15">
      <c r="A537" s="1">
        <f>ROW(A537)</f>
        <v>537</v>
      </c>
      <c r="B537" s="4">
        <v>45861.717395833337</v>
      </c>
      <c r="C537" s="5" t="s">
        <v>204</v>
      </c>
      <c r="D537" s="5" t="s">
        <v>206</v>
      </c>
      <c r="F537" s="5" t="s">
        <v>206</v>
      </c>
      <c r="G537" s="5" t="s">
        <v>206</v>
      </c>
      <c r="H537" s="5" t="s">
        <v>206</v>
      </c>
      <c r="L537" s="5" t="s">
        <v>236</v>
      </c>
      <c r="O537" s="5" t="s">
        <v>209</v>
      </c>
      <c r="T537" s="5" t="s">
        <v>209</v>
      </c>
      <c r="X537" s="5" t="s">
        <v>208</v>
      </c>
      <c r="AG537" s="5" t="s">
        <v>207</v>
      </c>
      <c r="AH537" s="5" t="s">
        <v>275</v>
      </c>
      <c r="AI537" s="5">
        <v>2023</v>
      </c>
      <c r="AJ537" s="5" t="s">
        <v>238</v>
      </c>
      <c r="AK537" s="5" t="str">
        <f>IF(OR(AJ537="Empleada del sector privado",AJ537="Empleada del sector público"),"Asalariada",
IF(AJ537="Trabajadora por cuenta propia","Trabajadora por cuenta propia",""))</f>
        <v>Trabajadora por cuenta propia</v>
      </c>
      <c r="AL537" s="5" t="s">
        <v>239</v>
      </c>
      <c r="AP537" s="5" t="s">
        <v>284</v>
      </c>
      <c r="AR537" s="5" t="s">
        <v>241</v>
      </c>
      <c r="AS537" s="5" t="s">
        <v>261</v>
      </c>
      <c r="AT537" s="5" t="s">
        <v>261</v>
      </c>
      <c r="AU537" s="5" t="s">
        <v>241</v>
      </c>
      <c r="AV537" s="5" t="s">
        <v>213</v>
      </c>
      <c r="AW537" s="5" t="s">
        <v>206</v>
      </c>
      <c r="BF537" s="5" t="s">
        <v>204</v>
      </c>
      <c r="BG537" s="5" t="s">
        <v>207</v>
      </c>
      <c r="BH537" s="5" t="s">
        <v>215</v>
      </c>
      <c r="BI537" s="5" t="s">
        <v>207</v>
      </c>
      <c r="BJ537" s="5" t="s">
        <v>215</v>
      </c>
      <c r="BK537" s="5" t="s">
        <v>243</v>
      </c>
      <c r="BL537" s="5" t="s">
        <v>246</v>
      </c>
      <c r="BM537" s="5" t="s">
        <v>243</v>
      </c>
      <c r="BN537" s="5" t="s">
        <v>243</v>
      </c>
      <c r="BO537" s="5" t="s">
        <v>243</v>
      </c>
      <c r="BP537" s="5" t="s">
        <v>243</v>
      </c>
      <c r="BQ537" s="5" t="s">
        <v>243</v>
      </c>
      <c r="BR537" s="5" t="s">
        <v>243</v>
      </c>
      <c r="BS537" s="5" t="s">
        <v>232</v>
      </c>
      <c r="BT537" s="5" t="s">
        <v>232</v>
      </c>
      <c r="BU537" s="5" t="s">
        <v>254</v>
      </c>
      <c r="BV537" s="5" t="s">
        <v>232</v>
      </c>
      <c r="BW537" s="5" t="s">
        <v>254</v>
      </c>
      <c r="BX537" s="5" t="s">
        <v>254</v>
      </c>
      <c r="BY537" s="5" t="s">
        <v>254</v>
      </c>
      <c r="CD537" s="5" t="s">
        <v>206</v>
      </c>
      <c r="CH537" s="5" t="s">
        <v>206</v>
      </c>
      <c r="CI537" s="5" t="s">
        <v>347</v>
      </c>
      <c r="CJ537" s="5">
        <v>9</v>
      </c>
      <c r="CO537" s="5" t="s">
        <v>433</v>
      </c>
      <c r="CU537" s="5" t="s">
        <v>204</v>
      </c>
      <c r="CV537" s="5" t="s">
        <v>350</v>
      </c>
      <c r="CW537" s="5" t="s">
        <v>351</v>
      </c>
      <c r="CX537" s="5" t="s">
        <v>435</v>
      </c>
      <c r="CY537" s="5" t="s">
        <v>353</v>
      </c>
      <c r="CZ537" s="5" t="s">
        <v>228</v>
      </c>
      <c r="DA537" s="5" t="s">
        <v>231</v>
      </c>
      <c r="DB537" s="5">
        <f>IF(DA537="Mejor que lo habitual",1,
IF(DA537="Igual que lo habitual",2,
IF(DA537="Menos que lo habitual",3,
IF(DA537="Mucho menos que lo habitual",4,""))))</f>
        <v>2</v>
      </c>
      <c r="DC537" s="5" t="s">
        <v>280</v>
      </c>
      <c r="DD537" s="5">
        <f>IF(DC537="No, en absoluto",1,
IF(DC537="No más que lo habitual",2,
IF(DC537="Bastante más que lo habitual",3,
IF(DC537="Mucho más que lo habitual",4,""))))</f>
        <v>4</v>
      </c>
      <c r="DE537" s="5" t="s">
        <v>280</v>
      </c>
      <c r="DF537" s="5">
        <f>IF(DE537="No, en absoluto",1,
IF(DE537="No más que lo habitual",2,
IF(DE537="Bastante más que lo habitual",3,
IF(DE537="Mucho más que lo habitual",4,""))))</f>
        <v>4</v>
      </c>
      <c r="DG537" s="5" t="s">
        <v>230</v>
      </c>
      <c r="DH537" s="5">
        <f>IF(DG537="No, en absoluto",1,
IF(DG537="No más que lo habitual",2,
IF(DG537="Bastante más que lo habitual",3,
IF(DG537="Mucho más que lo habitual",4,""))))</f>
        <v>2</v>
      </c>
      <c r="DI537" s="5" t="s">
        <v>280</v>
      </c>
      <c r="DJ537" s="5">
        <f>IF(DI537="No, en absoluto",1,
IF(DI537="No más que lo habitual",2,
IF(DI537="Bastante más que lo habitual",3,
IF(DI537="Mucho más que lo habitual",4,""))))</f>
        <v>4</v>
      </c>
      <c r="DK537" s="5" t="s">
        <v>230</v>
      </c>
      <c r="DL537" s="5">
        <f>IF(DK537="No, en absoluto",1,
IF(DK537="No más que lo habitual",2,
IF(DK537="Bastante más que lo habitual",3,
IF(DK537="Mucho más que lo habitual",4,""))))</f>
        <v>2</v>
      </c>
      <c r="DM537" s="5" t="s">
        <v>251</v>
      </c>
      <c r="DN537" s="5">
        <f>IF(DM537="No, en absoluto",1,
IF(DM537="No más que lo habitual",2,
IF(DM537="Bastante más que lo habitual",3,
IF(DM537="Mucho más que lo habitual",4,""))))</f>
        <v>1</v>
      </c>
      <c r="DO537" s="5" t="s">
        <v>281</v>
      </c>
      <c r="DP537" s="5">
        <f>IF(DO537="Más que lo habitual",1,
IF(DO537="Igual que lo habitual",2,
IF(DO537="Menos que lo habitual",3,
IF(DO537="Mucho menos que lo habitual",4,""))))</f>
        <v>1</v>
      </c>
      <c r="DQ537" s="5" t="s">
        <v>281</v>
      </c>
      <c r="DR537" s="5">
        <f>IF(DQ537="Más que lo habitual",1,
IF(DQ537="Igual que lo habitual",2,
IF(DQ537="Menos que lo habitual",3,
IF(DQ537="Mucho menos que lo habitual",4,""))))</f>
        <v>1</v>
      </c>
      <c r="DS537" s="5" t="s">
        <v>231</v>
      </c>
      <c r="DT537" s="5">
        <f>IF(DS537="Más que lo habitual",1,
IF(DS537="Igual que lo habitual",2,
IF(DS537="Menos que lo habitual",3,
IF(DS537="Mucho menos que lo habitual",4,""))))</f>
        <v>2</v>
      </c>
      <c r="DU537" s="5" t="s">
        <v>281</v>
      </c>
      <c r="DV537" s="5">
        <f>IF(DU537="Más que lo habitual",1,
IF(DU537="Igual que lo habitual",2,
IF(DU537="Menos que lo habitual",3,
IF(DU537="Mucho menos que lo habitual",4,""))))</f>
        <v>1</v>
      </c>
      <c r="DW537" s="5" t="s">
        <v>231</v>
      </c>
      <c r="DX537" s="5">
        <f>IF(DW537="Más que lo habitual",1,
IF(DW537="Igual que lo habitual",2,
IF(DW537="Menos que lo habitual",3,
IF(DW537="Mucho menos que lo habitual",4,""))))</f>
        <v>2</v>
      </c>
      <c r="DY537" s="5">
        <f>SUM(DB537,DD537,DF537,DH537,DJ537,DL537,DN537,DP537,DR537,DT537,DV537,DX537)</f>
        <v>26</v>
      </c>
      <c r="DZ537" s="5" t="str">
        <f>IF(DY537&lt;=18,"Nivel de riesgo bajo",
IF(DY537&lt;=23,"Nivel de riesgo medio",
"Nivel de riesgo alto"))</f>
        <v>Nivel de riesgo alto</v>
      </c>
      <c r="EA537" s="5" t="s">
        <v>247</v>
      </c>
      <c r="EB537" s="5">
        <f>IF(EA537="Nunca/ casi nunca",0,
IF(EA537="Rara vez",1,
IF(EA537="A veces",2,
IF(EA537="A menudo",3,
IF(EA537="Siempre",4,"")))))</f>
        <v>2</v>
      </c>
      <c r="EC537" s="5" t="s">
        <v>232</v>
      </c>
      <c r="ED537" s="5">
        <f>IF(EC537="Nunca/ casi nunca",0,
IF(EC537="Rara vez",1,
IF(EC537="A veces",2,
IF(EC537="A menudo",3,
IF(EC537="Siempre",4,"")))))</f>
        <v>3</v>
      </c>
      <c r="EE537" s="5" t="s">
        <v>247</v>
      </c>
      <c r="EF537" s="5">
        <f>IF(EE537="Nunca/ casi nunca",0,
IF(EE537="Rara vez",1,
IF(EE537="A veces",2,
IF(EE537="A menudo",3,
IF(EE537="Siempre",4,"")))))</f>
        <v>2</v>
      </c>
      <c r="EG537" s="5">
        <f>SUM(EB537,ED537,EF537)</f>
        <v>7</v>
      </c>
      <c r="EH537" s="5" t="str">
        <f>IF(EG537&lt;=1,"Nivel de riesgo bajo",
IF(EG537&lt;=4,"Nivel de riesgo medio",
"Nivel de riesgo alto"))</f>
        <v>Nivel de riesgo alto</v>
      </c>
      <c r="EI537" s="5" t="s">
        <v>247</v>
      </c>
      <c r="EJ537" s="5">
        <f>IF(EI537="Nunca/ casi nunca",0,
IF(EI537="Rara vez",1,
IF(EI537="A veces",2,
IF(EI537="A menudo",3,
IF(EI537="Siempre",4,"")))))</f>
        <v>2</v>
      </c>
      <c r="EK537" s="5" t="s">
        <v>247</v>
      </c>
      <c r="EL537" s="5">
        <f>IF(EK537="Nunca/ casi nunca",0,
IF(EK537="Rara vez",1,
IF(EK537="A veces",2,
IF(EK537="A menudo",3,
IF(EK537="Siempre",4,"")))))</f>
        <v>2</v>
      </c>
      <c r="EM537" s="5" t="s">
        <v>247</v>
      </c>
      <c r="EN537" s="5">
        <f>IF(EM537="Nunca/ casi nunca",0,
IF(EM537="Rara vez",1,
IF(EM537="A veces",2,
IF(EM537="A menudo",3,
IF(EM537="Siempre",4,"")))))</f>
        <v>2</v>
      </c>
      <c r="EO537" s="5">
        <f>SUM(EJ537,EL537,EN537)</f>
        <v>6</v>
      </c>
      <c r="EP537" s="5" t="str">
        <f>IF(EO537&lt;=1,"Nivel de riesgo bajo",
IF(EO537&lt;=5,"Nivel de riesgo medio",
"Nivel de riesgo alto"))</f>
        <v>Nivel de riesgo alto</v>
      </c>
      <c r="EQ537" s="5" t="s">
        <v>253</v>
      </c>
      <c r="ER537" s="5">
        <f>IF(EQ537="Nunca/ casi nunca",4,
IF(EQ537="Rara vez",3,
IF(EQ537="A veces",2,
IF(EQ537="A menudo",1,
IF(EQ537="Siempre",0,"")))))</f>
        <v>4</v>
      </c>
      <c r="ES537" s="5" t="s">
        <v>253</v>
      </c>
      <c r="ET537" s="5">
        <f>IF(ES537="Nunca/ casi nunca",4,
IF(ES537="Rara vez",3,
IF(ES537="A veces",2,
IF(ES537="A menudo",1,
IF(ES537="Siempre",0,"")))))</f>
        <v>4</v>
      </c>
      <c r="EU537" s="5" t="s">
        <v>248</v>
      </c>
      <c r="EV537" s="5">
        <f>IF(EU537="Nunca/ casi nunca",4,
IF(EU537="Rara vez",3,
IF(EU537="A veces",2,
IF(EU537="A menudo",1,
IF(EU537="Siempre",0,"")))))</f>
        <v>3</v>
      </c>
      <c r="EW537" s="5" t="s">
        <v>248</v>
      </c>
      <c r="EX537" s="5">
        <f>IF(EW537="Nunca/ casi nunca",4,
IF(EW537="Rara vez",3,
IF(EW537="A veces",2,
IF(EW537="A menudo",1,
IF(EW537="Siempre",0,"")))))</f>
        <v>3</v>
      </c>
      <c r="EY537" s="5">
        <f>SUM(ER537,ET537,EV537,EX537)</f>
        <v>14</v>
      </c>
      <c r="EZ537" s="5" t="str">
        <f>IF(EY537&lt;=0,"Nivel de riesgo bajo",
IF(EY537&lt;=4,"Nivel de riesgo medio",
"Nivel de riesgo alto"))</f>
        <v>Nivel de riesgo alto</v>
      </c>
      <c r="FA537" s="5" t="s">
        <v>248</v>
      </c>
      <c r="FB537" s="5">
        <f>IF(FA537="Nunca/ casi nunca",0,
IF(FA537="Rara vez",1,
IF(FA537="A veces",2,
IF(FA537="A menudo",3,
IF(FA537="Siempre",4,"")))))</f>
        <v>1</v>
      </c>
      <c r="FC537" s="5" t="s">
        <v>248</v>
      </c>
      <c r="FD537" s="5">
        <f>IF(FC537="Nunca/ casi nunca",0,
IF(FC537="Rara vez",1,
IF(FC537="A veces",2,
IF(FC537="A menudo",3,
IF(FC537="Siempre",4,"")))))</f>
        <v>1</v>
      </c>
      <c r="FE537" s="5" t="s">
        <v>248</v>
      </c>
      <c r="FF537" s="5">
        <f>IF(FE537="Nunca/ casi nunca",0,
IF(FE537="Rara vez",1,
IF(FE537="A veces",2,
IF(FE537="A menudo",3,
IF(FE537="Siempre",4,"")))))</f>
        <v>1</v>
      </c>
      <c r="FG537" s="5">
        <f>SUM(FB537,FD537,FF537)</f>
        <v>3</v>
      </c>
      <c r="FH537" s="5" t="str">
        <f>IF(FG537&lt;=2,"Nivel de riesgo bajo",
IF(FG537&lt;=5,"Nivel de riesgo medio",
"Nivel de riesgo alto"))</f>
        <v>Nivel de riesgo medio</v>
      </c>
      <c r="FI537" s="5" t="s">
        <v>248</v>
      </c>
      <c r="FJ537" s="5">
        <f>IF(FI537="Nunca/ casi nunca",0,
IF(FI537="Rara vez",1,
IF(FI537="A veces",2,
IF(FI537="A menudo",3,
IF(FI537="Siempre",4,"")))))</f>
        <v>1</v>
      </c>
      <c r="FK537" s="5" t="s">
        <v>248</v>
      </c>
      <c r="FL537" s="5">
        <f>IF(FK537="Nunca/ casi nunca",0,
IF(FK537="Rara vez",1,
IF(FK537="A veces",2,
IF(FK537="A menudo",3,
IF(FK537="Siempre",4,"")))))</f>
        <v>1</v>
      </c>
      <c r="FM537" s="5" t="s">
        <v>248</v>
      </c>
      <c r="FN537" s="5">
        <f>IF(FM537="Nunca/ casi nunca",0,
IF(FM537="Rara vez",1,
IF(FM537="A veces",2,
IF(FM537="A menudo",3,
IF(FM537="Siempre",4,"")))))</f>
        <v>1</v>
      </c>
      <c r="FO537" s="5">
        <f>SUM(FJ537,FL537,FN537)</f>
        <v>3</v>
      </c>
      <c r="FP537" s="5" t="str">
        <f>IF(FO537&lt;=2,"Nivel de riesgo bajo",
IF(FO537&lt;=5,"Nivel de riesgo medio",
"Nivel de riesgo alto"))</f>
        <v>Nivel de riesgo medio</v>
      </c>
      <c r="FQ537" s="5" t="s">
        <v>206</v>
      </c>
      <c r="FR537" s="5">
        <f>IF(FQ537="No",0,
IF(FQ537="Sí, unas pocas veces",1,
IF(FQ537="Sí, mensualmente",2,
IF(FQ537="Sí, semanalmente",3,
IF(FQ537="Sí, diariamente",4,"")))))</f>
        <v>0</v>
      </c>
      <c r="FS537" s="5" t="s">
        <v>206</v>
      </c>
      <c r="FT537" s="5">
        <f>IF(FS537="No",0,
IF(FS537="Sí, unas pocas veces",1,
IF(FS537="Sí, mensualmente",2,
IF(FS537="Sí, semanalmente",3,
IF(FS537="Sí, diariamente",4,"")))))</f>
        <v>0</v>
      </c>
      <c r="FU537" s="5" t="s">
        <v>206</v>
      </c>
      <c r="FV537" s="5">
        <f>IF(FU537="No",0,
IF(FU537="Sí, unas pocas veces",1,
IF(FU537="Sí, mensualmente",2,
IF(FU537="Sí, semanalmente",3,
IF(FU537="Sí, diariamente",4,"")))))</f>
        <v>0</v>
      </c>
      <c r="FW537" s="5" t="s">
        <v>206</v>
      </c>
      <c r="FX537" s="5">
        <f>IF(FW537="No",0,
IF(FW537="Sí, unas pocas veces",1,
IF(FW537="Sí, mensualmente",2,
IF(FW537="Sí, semanalmente",3,
IF(FW537="Sí, diariamente",4,"")))))</f>
        <v>0</v>
      </c>
      <c r="FY537" s="5" t="s">
        <v>206</v>
      </c>
      <c r="FZ537" s="5">
        <f>IF(FY537="No",0,
IF(FY537="Sí, unas pocas veces",1,
IF(FY537="Sí, mensualmente",2,
IF(FY537="Sí, semanalmente",3,
IF(FY537="Sí, diariamente",4,"")))))</f>
        <v>0</v>
      </c>
      <c r="GA537" s="5" t="s">
        <v>206</v>
      </c>
      <c r="GB537" s="5">
        <f>IF(GA537="No",0,
IF(GA537="Sí, unas pocas veces",1,
IF(GA537="Sí, mensualmente",2,
IF(GA537="Sí, semanalmente",3,
IF(GA537="Sí, diariamente",4,"")))))</f>
        <v>0</v>
      </c>
      <c r="GC537" s="5" t="s">
        <v>206</v>
      </c>
      <c r="GD537" s="5">
        <f>IF(GC537="No",0,
IF(GC537="Sí, unas pocas veces",1,
IF(GC537="Sí, mensualmente",2,
IF(GC537="Sí, semanalmente",3,
IF(GC537="Sí, diariamente",4,"")))))</f>
        <v>0</v>
      </c>
      <c r="GE537" s="5">
        <f>SUM(FR537,FT537,FV537,FX537,FZ537,GB537,GD537)</f>
        <v>0</v>
      </c>
      <c r="GF537" s="5" t="str">
        <f>IF(GE537&lt;=0,"Nivel de riesgo bajo",
IF(GE537&lt;=14,"Nivel de riesgo medio",
"Nivel de riesgo alto"))</f>
        <v>Nivel de riesgo bajo</v>
      </c>
      <c r="GG537" s="5" t="s">
        <v>255</v>
      </c>
      <c r="GH537" s="5" t="s">
        <v>255</v>
      </c>
      <c r="GI537" s="5" t="s">
        <v>255</v>
      </c>
      <c r="GJ537" s="5" t="s">
        <v>255</v>
      </c>
      <c r="GK537" s="5" t="s">
        <v>233</v>
      </c>
      <c r="GL537" s="5" t="s">
        <v>255</v>
      </c>
      <c r="GM537" s="5" t="s">
        <v>255</v>
      </c>
      <c r="GN537" s="5" t="s">
        <v>256</v>
      </c>
      <c r="GO537" s="5" t="s">
        <v>257</v>
      </c>
      <c r="GP537" s="5" t="s">
        <v>257</v>
      </c>
      <c r="GQ537" s="5" t="s">
        <v>257</v>
      </c>
      <c r="GR537" s="5" t="s">
        <v>257</v>
      </c>
      <c r="GS537" s="5" t="s">
        <v>257</v>
      </c>
      <c r="GT537" s="5" t="s">
        <v>257</v>
      </c>
      <c r="GU537" s="5" t="s">
        <v>902</v>
      </c>
      <c r="GV537" s="5" t="str">
        <f>TEXT("6291143835288015054","0")</f>
        <v>6291143835288010000</v>
      </c>
    </row>
    <row r="538" spans="1:204" ht="15.75" customHeight="1" x14ac:dyDescent="0.15">
      <c r="A538" s="1">
        <f>ROW(A538)</f>
        <v>538</v>
      </c>
      <c r="B538" s="4">
        <v>45861.733217592591</v>
      </c>
      <c r="C538" s="5" t="s">
        <v>204</v>
      </c>
      <c r="D538" s="5" t="s">
        <v>206</v>
      </c>
      <c r="F538" s="5" t="s">
        <v>206</v>
      </c>
      <c r="G538" s="5" t="s">
        <v>206</v>
      </c>
      <c r="H538" s="5" t="s">
        <v>206</v>
      </c>
      <c r="K538" s="5" t="s">
        <v>237</v>
      </c>
      <c r="O538" s="5" t="s">
        <v>209</v>
      </c>
      <c r="S538" s="5" t="s">
        <v>208</v>
      </c>
      <c r="Y538" s="5" t="s">
        <v>209</v>
      </c>
      <c r="AE538" s="5" t="s">
        <v>237</v>
      </c>
      <c r="AH538" s="5" t="s">
        <v>210</v>
      </c>
      <c r="AI538" s="5">
        <v>2019</v>
      </c>
      <c r="AJ538" s="5" t="s">
        <v>330</v>
      </c>
      <c r="AK538" s="5" t="str">
        <f>IF(OR(AJ538="Empleada del sector privado",AJ538="Empleada del sector público"),"Asalariada",
IF(AJ538="Trabajadora por cuenta propia","Trabajadora por cuenta propia",""))</f>
        <v>Asalariada</v>
      </c>
      <c r="AQ538" s="5" t="s">
        <v>204</v>
      </c>
      <c r="AR538" s="5" t="s">
        <v>301</v>
      </c>
      <c r="AS538" s="5" t="s">
        <v>294</v>
      </c>
      <c r="AT538" s="5" t="s">
        <v>261</v>
      </c>
      <c r="AU538" s="5" t="s">
        <v>261</v>
      </c>
      <c r="AV538" s="5" t="s">
        <v>285</v>
      </c>
      <c r="AW538" s="5" t="s">
        <v>204</v>
      </c>
      <c r="AX538" s="5" t="s">
        <v>206</v>
      </c>
      <c r="BF538" s="5" t="s">
        <v>204</v>
      </c>
      <c r="BG538" s="5" t="s">
        <v>271</v>
      </c>
      <c r="BH538" s="5" t="s">
        <v>242</v>
      </c>
      <c r="BI538" s="5" t="s">
        <v>215</v>
      </c>
      <c r="BJ538" s="5" t="s">
        <v>215</v>
      </c>
      <c r="BK538" s="5" t="s">
        <v>216</v>
      </c>
      <c r="BL538" s="5" t="s">
        <v>244</v>
      </c>
      <c r="BM538" s="5" t="s">
        <v>244</v>
      </c>
      <c r="BN538" s="5" t="s">
        <v>244</v>
      </c>
      <c r="BO538" s="5" t="s">
        <v>244</v>
      </c>
      <c r="BP538" s="5" t="s">
        <v>244</v>
      </c>
      <c r="BQ538" s="5" t="s">
        <v>244</v>
      </c>
      <c r="BR538" s="5" t="s">
        <v>244</v>
      </c>
      <c r="BS538" s="5" t="s">
        <v>247</v>
      </c>
      <c r="BT538" s="5" t="s">
        <v>247</v>
      </c>
      <c r="BU538" s="5" t="s">
        <v>247</v>
      </c>
      <c r="BV538" s="5" t="s">
        <v>247</v>
      </c>
      <c r="BW538" s="5" t="s">
        <v>247</v>
      </c>
      <c r="BX538" s="5" t="s">
        <v>247</v>
      </c>
      <c r="BY538" s="5" t="s">
        <v>247</v>
      </c>
      <c r="BZ538" s="5" t="s">
        <v>246</v>
      </c>
      <c r="CA538" s="5" t="s">
        <v>246</v>
      </c>
      <c r="CB538" s="5" t="s">
        <v>246</v>
      </c>
      <c r="CC538" s="5" t="s">
        <v>246</v>
      </c>
      <c r="CD538" s="5" t="s">
        <v>206</v>
      </c>
      <c r="CH538" s="5" t="s">
        <v>206</v>
      </c>
      <c r="CI538" s="5" t="s">
        <v>206</v>
      </c>
      <c r="CJ538" s="5">
        <v>0</v>
      </c>
      <c r="CM538" s="5" t="s">
        <v>358</v>
      </c>
      <c r="CU538" s="5" t="s">
        <v>204</v>
      </c>
      <c r="CV538" s="5" t="s">
        <v>350</v>
      </c>
      <c r="CW538" s="5" t="s">
        <v>351</v>
      </c>
      <c r="CX538" s="5" t="s">
        <v>352</v>
      </c>
      <c r="CY538" s="5" t="s">
        <v>353</v>
      </c>
      <c r="CZ538" s="5" t="s">
        <v>206</v>
      </c>
      <c r="DA538" s="5" t="s">
        <v>231</v>
      </c>
      <c r="DB538" s="5">
        <f>IF(DA538="Mejor que lo habitual",1,
IF(DA538="Igual que lo habitual",2,
IF(DA538="Menos que lo habitual",3,
IF(DA538="Mucho menos que lo habitual",4,""))))</f>
        <v>2</v>
      </c>
      <c r="DC538" s="5" t="s">
        <v>251</v>
      </c>
      <c r="DD538" s="5">
        <f>IF(DC538="No, en absoluto",1,
IF(DC538="No más que lo habitual",2,
IF(DC538="Bastante más que lo habitual",3,
IF(DC538="Mucho más que lo habitual",4,""))))</f>
        <v>1</v>
      </c>
      <c r="DE538" s="5" t="s">
        <v>251</v>
      </c>
      <c r="DF538" s="5">
        <f>IF(DE538="No, en absoluto",1,
IF(DE538="No más que lo habitual",2,
IF(DE538="Bastante más que lo habitual",3,
IF(DE538="Mucho más que lo habitual",4,""))))</f>
        <v>1</v>
      </c>
      <c r="DG538" s="5" t="s">
        <v>251</v>
      </c>
      <c r="DH538" s="5">
        <f>IF(DG538="No, en absoluto",1,
IF(DG538="No más que lo habitual",2,
IF(DG538="Bastante más que lo habitual",3,
IF(DG538="Mucho más que lo habitual",4,""))))</f>
        <v>1</v>
      </c>
      <c r="DI538" s="5" t="s">
        <v>251</v>
      </c>
      <c r="DJ538" s="5">
        <f>IF(DI538="No, en absoluto",1,
IF(DI538="No más que lo habitual",2,
IF(DI538="Bastante más que lo habitual",3,
IF(DI538="Mucho más que lo habitual",4,""))))</f>
        <v>1</v>
      </c>
      <c r="DK538" s="5" t="s">
        <v>251</v>
      </c>
      <c r="DL538" s="5">
        <f>IF(DK538="No, en absoluto",1,
IF(DK538="No más que lo habitual",2,
IF(DK538="Bastante más que lo habitual",3,
IF(DK538="Mucho más que lo habitual",4,""))))</f>
        <v>1</v>
      </c>
      <c r="DM538" s="5" t="s">
        <v>251</v>
      </c>
      <c r="DN538" s="5">
        <f>IF(DM538="No, en absoluto",1,
IF(DM538="No más que lo habitual",2,
IF(DM538="Bastante más que lo habitual",3,
IF(DM538="Mucho más que lo habitual",4,""))))</f>
        <v>1</v>
      </c>
      <c r="DO538" s="5" t="s">
        <v>281</v>
      </c>
      <c r="DP538" s="5">
        <f>IF(DO538="Más que lo habitual",1,
IF(DO538="Igual que lo habitual",2,
IF(DO538="Menos que lo habitual",3,
IF(DO538="Mucho menos que lo habitual",4,""))))</f>
        <v>1</v>
      </c>
      <c r="DQ538" s="5" t="s">
        <v>281</v>
      </c>
      <c r="DR538" s="5">
        <f>IF(DQ538="Más que lo habitual",1,
IF(DQ538="Igual que lo habitual",2,
IF(DQ538="Menos que lo habitual",3,
IF(DQ538="Mucho menos que lo habitual",4,""))))</f>
        <v>1</v>
      </c>
      <c r="DS538" s="5" t="s">
        <v>281</v>
      </c>
      <c r="DT538" s="5">
        <f>IF(DS538="Más que lo habitual",1,
IF(DS538="Igual que lo habitual",2,
IF(DS538="Menos que lo habitual",3,
IF(DS538="Mucho menos que lo habitual",4,""))))</f>
        <v>1</v>
      </c>
      <c r="DU538" s="5" t="s">
        <v>281</v>
      </c>
      <c r="DV538" s="5">
        <f>IF(DU538="Más que lo habitual",1,
IF(DU538="Igual que lo habitual",2,
IF(DU538="Menos que lo habitual",3,
IF(DU538="Mucho menos que lo habitual",4,""))))</f>
        <v>1</v>
      </c>
      <c r="DW538" s="5" t="s">
        <v>281</v>
      </c>
      <c r="DX538" s="5">
        <f>IF(DW538="Más que lo habitual",1,
IF(DW538="Igual que lo habitual",2,
IF(DW538="Menos que lo habitual",3,
IF(DW538="Mucho menos que lo habitual",4,""))))</f>
        <v>1</v>
      </c>
      <c r="DY538" s="5">
        <f>SUM(DB538,DD538,DF538,DH538,DJ538,DL538,DN538,DP538,DR538,DT538,DV538,DX538)</f>
        <v>13</v>
      </c>
      <c r="DZ538" s="5" t="str">
        <f>IF(DY538&lt;=18,"Nivel de riesgo bajo",
IF(DY538&lt;=23,"Nivel de riesgo medio",
"Nivel de riesgo alto"))</f>
        <v>Nivel de riesgo bajo</v>
      </c>
      <c r="EA538" s="5" t="s">
        <v>232</v>
      </c>
      <c r="EB538" s="5">
        <f>IF(EA538="Nunca/ casi nunca",0,
IF(EA538="Rara vez",1,
IF(EA538="A veces",2,
IF(EA538="A menudo",3,
IF(EA538="Siempre",4,"")))))</f>
        <v>3</v>
      </c>
      <c r="EC538" s="5" t="s">
        <v>232</v>
      </c>
      <c r="ED538" s="5">
        <f>IF(EC538="Nunca/ casi nunca",0,
IF(EC538="Rara vez",1,
IF(EC538="A veces",2,
IF(EC538="A menudo",3,
IF(EC538="Siempre",4,"")))))</f>
        <v>3</v>
      </c>
      <c r="EE538" s="5" t="s">
        <v>232</v>
      </c>
      <c r="EF538" s="5">
        <f>IF(EE538="Nunca/ casi nunca",0,
IF(EE538="Rara vez",1,
IF(EE538="A veces",2,
IF(EE538="A menudo",3,
IF(EE538="Siempre",4,"")))))</f>
        <v>3</v>
      </c>
      <c r="EG538" s="5">
        <f>SUM(EB538,ED538,EF538)</f>
        <v>9</v>
      </c>
      <c r="EH538" s="5" t="str">
        <f>IF(EG538&lt;=1,"Nivel de riesgo bajo",
IF(EG538&lt;=4,"Nivel de riesgo medio",
"Nivel de riesgo alto"))</f>
        <v>Nivel de riesgo alto</v>
      </c>
      <c r="EI538" s="5" t="s">
        <v>232</v>
      </c>
      <c r="EJ538" s="5">
        <f>IF(EI538="Nunca/ casi nunca",0,
IF(EI538="Rara vez",1,
IF(EI538="A veces",2,
IF(EI538="A menudo",3,
IF(EI538="Siempre",4,"")))))</f>
        <v>3</v>
      </c>
      <c r="EK538" s="5" t="s">
        <v>232</v>
      </c>
      <c r="EL538" s="5">
        <f>IF(EK538="Nunca/ casi nunca",0,
IF(EK538="Rara vez",1,
IF(EK538="A veces",2,
IF(EK538="A menudo",3,
IF(EK538="Siempre",4,"")))))</f>
        <v>3</v>
      </c>
      <c r="EM538" s="5" t="s">
        <v>232</v>
      </c>
      <c r="EN538" s="5">
        <f>IF(EM538="Nunca/ casi nunca",0,
IF(EM538="Rara vez",1,
IF(EM538="A veces",2,
IF(EM538="A menudo",3,
IF(EM538="Siempre",4,"")))))</f>
        <v>3</v>
      </c>
      <c r="EO538" s="5">
        <f>SUM(EJ538,EL538,EN538)</f>
        <v>9</v>
      </c>
      <c r="EP538" s="5" t="str">
        <f>IF(EO538&lt;=1,"Nivel de riesgo bajo",
IF(EO538&lt;=5,"Nivel de riesgo medio",
"Nivel de riesgo alto"))</f>
        <v>Nivel de riesgo alto</v>
      </c>
      <c r="EQ538" s="5" t="s">
        <v>232</v>
      </c>
      <c r="ER538" s="5">
        <f>IF(EQ538="Nunca/ casi nunca",4,
IF(EQ538="Rara vez",3,
IF(EQ538="A veces",2,
IF(EQ538="A menudo",1,
IF(EQ538="Siempre",0,"")))))</f>
        <v>1</v>
      </c>
      <c r="ES538" s="5" t="s">
        <v>232</v>
      </c>
      <c r="ET538" s="5">
        <f>IF(ES538="Nunca/ casi nunca",4,
IF(ES538="Rara vez",3,
IF(ES538="A veces",2,
IF(ES538="A menudo",1,
IF(ES538="Siempre",0,"")))))</f>
        <v>1</v>
      </c>
      <c r="EU538" s="5" t="s">
        <v>232</v>
      </c>
      <c r="EV538" s="5">
        <f>IF(EU538="Nunca/ casi nunca",4,
IF(EU538="Rara vez",3,
IF(EU538="A veces",2,
IF(EU538="A menudo",1,
IF(EU538="Siempre",0,"")))))</f>
        <v>1</v>
      </c>
      <c r="EW538" s="5" t="s">
        <v>232</v>
      </c>
      <c r="EX538" s="5">
        <f>IF(EW538="Nunca/ casi nunca",4,
IF(EW538="Rara vez",3,
IF(EW538="A veces",2,
IF(EW538="A menudo",1,
IF(EW538="Siempre",0,"")))))</f>
        <v>1</v>
      </c>
      <c r="EY538" s="5">
        <f>SUM(ER538,ET538,EV538,EX538)</f>
        <v>4</v>
      </c>
      <c r="EZ538" s="5" t="str">
        <f>IF(EY538&lt;=0,"Nivel de riesgo bajo",
IF(EY538&lt;=4,"Nivel de riesgo medio",
"Nivel de riesgo alto"))</f>
        <v>Nivel de riesgo medio</v>
      </c>
      <c r="FA538" s="5" t="s">
        <v>232</v>
      </c>
      <c r="FB538" s="5">
        <f>IF(FA538="Nunca/ casi nunca",0,
IF(FA538="Rara vez",1,
IF(FA538="A veces",2,
IF(FA538="A menudo",3,
IF(FA538="Siempre",4,"")))))</f>
        <v>3</v>
      </c>
      <c r="FC538" s="5" t="s">
        <v>232</v>
      </c>
      <c r="FD538" s="5">
        <f>IF(FC538="Nunca/ casi nunca",0,
IF(FC538="Rara vez",1,
IF(FC538="A veces",2,
IF(FC538="A menudo",3,
IF(FC538="Siempre",4,"")))))</f>
        <v>3</v>
      </c>
      <c r="FE538" s="5" t="s">
        <v>232</v>
      </c>
      <c r="FF538" s="5">
        <f>IF(FE538="Nunca/ casi nunca",0,
IF(FE538="Rara vez",1,
IF(FE538="A veces",2,
IF(FE538="A menudo",3,
IF(FE538="Siempre",4,"")))))</f>
        <v>3</v>
      </c>
      <c r="FG538" s="5">
        <f>SUM(FB538,FD538,FF538)</f>
        <v>9</v>
      </c>
      <c r="FH538" s="5" t="str">
        <f>IF(FG538&lt;=2,"Nivel de riesgo bajo",
IF(FG538&lt;=5,"Nivel de riesgo medio",
"Nivel de riesgo alto"))</f>
        <v>Nivel de riesgo alto</v>
      </c>
      <c r="FI538" s="5" t="s">
        <v>232</v>
      </c>
      <c r="FJ538" s="5">
        <f>IF(FI538="Nunca/ casi nunca",0,
IF(FI538="Rara vez",1,
IF(FI538="A veces",2,
IF(FI538="A menudo",3,
IF(FI538="Siempre",4,"")))))</f>
        <v>3</v>
      </c>
      <c r="FK538" s="5" t="s">
        <v>232</v>
      </c>
      <c r="FL538" s="5">
        <f>IF(FK538="Nunca/ casi nunca",0,
IF(FK538="Rara vez",1,
IF(FK538="A veces",2,
IF(FK538="A menudo",3,
IF(FK538="Siempre",4,"")))))</f>
        <v>3</v>
      </c>
      <c r="FM538" s="5" t="s">
        <v>232</v>
      </c>
      <c r="FN538" s="5">
        <f>IF(FM538="Nunca/ casi nunca",0,
IF(FM538="Rara vez",1,
IF(FM538="A veces",2,
IF(FM538="A menudo",3,
IF(FM538="Siempre",4,"")))))</f>
        <v>3</v>
      </c>
      <c r="FO538" s="5">
        <f>SUM(FJ538,FL538,FN538)</f>
        <v>9</v>
      </c>
      <c r="FP538" s="5" t="str">
        <f>IF(FO538&lt;=2,"Nivel de riesgo bajo",
IF(FO538&lt;=5,"Nivel de riesgo medio",
"Nivel de riesgo alto"))</f>
        <v>Nivel de riesgo alto</v>
      </c>
      <c r="FQ538" s="5" t="s">
        <v>206</v>
      </c>
      <c r="FR538" s="5">
        <f>IF(FQ538="No",0,
IF(FQ538="Sí, unas pocas veces",1,
IF(FQ538="Sí, mensualmente",2,
IF(FQ538="Sí, semanalmente",3,
IF(FQ538="Sí, diariamente",4,"")))))</f>
        <v>0</v>
      </c>
      <c r="FS538" s="5" t="s">
        <v>206</v>
      </c>
      <c r="FT538" s="5">
        <f>IF(FS538="No",0,
IF(FS538="Sí, unas pocas veces",1,
IF(FS538="Sí, mensualmente",2,
IF(FS538="Sí, semanalmente",3,
IF(FS538="Sí, diariamente",4,"")))))</f>
        <v>0</v>
      </c>
      <c r="FU538" s="5" t="s">
        <v>206</v>
      </c>
      <c r="FV538" s="5">
        <f>IF(FU538="No",0,
IF(FU538="Sí, unas pocas veces",1,
IF(FU538="Sí, mensualmente",2,
IF(FU538="Sí, semanalmente",3,
IF(FU538="Sí, diariamente",4,"")))))</f>
        <v>0</v>
      </c>
      <c r="FW538" s="5" t="s">
        <v>265</v>
      </c>
      <c r="FX538" s="5">
        <f>IF(FW538="No",0,
IF(FW538="Sí, unas pocas veces",1,
IF(FW538="Sí, mensualmente",2,
IF(FW538="Sí, semanalmente",3,
IF(FW538="Sí, diariamente",4,"")))))</f>
        <v>1</v>
      </c>
      <c r="FY538" s="5" t="s">
        <v>206</v>
      </c>
      <c r="FZ538" s="5">
        <f>IF(FY538="No",0,
IF(FY538="Sí, unas pocas veces",1,
IF(FY538="Sí, mensualmente",2,
IF(FY538="Sí, semanalmente",3,
IF(FY538="Sí, diariamente",4,"")))))</f>
        <v>0</v>
      </c>
      <c r="GA538" s="5" t="s">
        <v>265</v>
      </c>
      <c r="GB538" s="5">
        <f>IF(GA538="No",0,
IF(GA538="Sí, unas pocas veces",1,
IF(GA538="Sí, mensualmente",2,
IF(GA538="Sí, semanalmente",3,
IF(GA538="Sí, diariamente",4,"")))))</f>
        <v>1</v>
      </c>
      <c r="GC538" s="5" t="s">
        <v>265</v>
      </c>
      <c r="GD538" s="5">
        <f>IF(GC538="No",0,
IF(GC538="Sí, unas pocas veces",1,
IF(GC538="Sí, mensualmente",2,
IF(GC538="Sí, semanalmente",3,
IF(GC538="Sí, diariamente",4,"")))))</f>
        <v>1</v>
      </c>
      <c r="GE538" s="5">
        <f>SUM(FR538,FT538,FV538,FX538,FZ538,GB538,GD538)</f>
        <v>3</v>
      </c>
      <c r="GF538" s="5" t="str">
        <f>IF(GE538&lt;=0,"Nivel de riesgo bajo",
IF(GE538&lt;=14,"Nivel de riesgo medio",
"Nivel de riesgo alto"))</f>
        <v>Nivel de riesgo medio</v>
      </c>
      <c r="GG538" s="5" t="s">
        <v>255</v>
      </c>
      <c r="GH538" s="5" t="s">
        <v>255</v>
      </c>
      <c r="GI538" s="5" t="s">
        <v>255</v>
      </c>
      <c r="GJ538" s="5" t="s">
        <v>255</v>
      </c>
      <c r="GK538" s="5" t="s">
        <v>255</v>
      </c>
      <c r="GL538" s="5" t="s">
        <v>255</v>
      </c>
      <c r="GM538" s="5" t="s">
        <v>255</v>
      </c>
      <c r="GN538" s="5" t="s">
        <v>256</v>
      </c>
      <c r="GO538" s="5" t="s">
        <v>256</v>
      </c>
      <c r="GP538" s="5" t="s">
        <v>256</v>
      </c>
      <c r="GQ538" s="5" t="s">
        <v>256</v>
      </c>
      <c r="GR538" s="5" t="s">
        <v>256</v>
      </c>
      <c r="GS538" s="5" t="s">
        <v>256</v>
      </c>
      <c r="GT538" s="5" t="s">
        <v>256</v>
      </c>
      <c r="GU538" s="5" t="s">
        <v>442</v>
      </c>
      <c r="GV538" s="5" t="str">
        <f>TEXT("6291157505243685045","0")</f>
        <v>6291157505243680000</v>
      </c>
    </row>
    <row r="539" spans="1:204" ht="15.75" customHeight="1" x14ac:dyDescent="0.15">
      <c r="A539" s="1">
        <f>ROW(A539)</f>
        <v>539</v>
      </c>
      <c r="B539" s="4">
        <v>45861.792129629626</v>
      </c>
      <c r="C539" s="5" t="s">
        <v>204</v>
      </c>
      <c r="D539" s="5" t="s">
        <v>206</v>
      </c>
      <c r="F539" s="5" t="s">
        <v>206</v>
      </c>
      <c r="G539" s="5" t="s">
        <v>206</v>
      </c>
      <c r="H539" s="5" t="s">
        <v>206</v>
      </c>
      <c r="J539" s="5" t="s">
        <v>209</v>
      </c>
      <c r="O539" s="5" t="s">
        <v>209</v>
      </c>
      <c r="S539" s="5" t="s">
        <v>208</v>
      </c>
      <c r="X539" s="5" t="s">
        <v>208</v>
      </c>
      <c r="AD539" s="5" t="s">
        <v>209</v>
      </c>
      <c r="AH539" s="5" t="s">
        <v>275</v>
      </c>
      <c r="AI539" s="5">
        <v>2021</v>
      </c>
      <c r="AJ539" s="5" t="s">
        <v>238</v>
      </c>
      <c r="AK539" s="5" t="str">
        <f>IF(OR(AJ539="Empleada del sector privado",AJ539="Empleada del sector público"),"Asalariada",
IF(AJ539="Trabajadora por cuenta propia","Trabajadora por cuenta propia",""))</f>
        <v>Trabajadora por cuenta propia</v>
      </c>
      <c r="AL539" s="5" t="s">
        <v>239</v>
      </c>
      <c r="AP539" s="5" t="s">
        <v>321</v>
      </c>
      <c r="AR539" s="5" t="s">
        <v>301</v>
      </c>
      <c r="AS539" s="5" t="s">
        <v>301</v>
      </c>
      <c r="AT539" s="5" t="s">
        <v>301</v>
      </c>
      <c r="AU539" s="5" t="s">
        <v>301</v>
      </c>
      <c r="AV539" s="5" t="s">
        <v>277</v>
      </c>
      <c r="AW539" s="5" t="s">
        <v>206</v>
      </c>
      <c r="BF539" s="5" t="s">
        <v>204</v>
      </c>
      <c r="BG539" s="5" t="s">
        <v>215</v>
      </c>
      <c r="BH539" s="5" t="s">
        <v>215</v>
      </c>
      <c r="BI539" s="5" t="s">
        <v>215</v>
      </c>
      <c r="BJ539" s="5" t="s">
        <v>215</v>
      </c>
      <c r="BK539" s="5" t="s">
        <v>216</v>
      </c>
      <c r="BL539" s="5" t="s">
        <v>216</v>
      </c>
      <c r="BM539" s="5" t="s">
        <v>216</v>
      </c>
      <c r="BN539" s="5" t="s">
        <v>216</v>
      </c>
      <c r="BO539" s="5" t="s">
        <v>216</v>
      </c>
      <c r="BP539" s="5" t="s">
        <v>216</v>
      </c>
      <c r="BQ539" s="5" t="s">
        <v>216</v>
      </c>
      <c r="BR539" s="5" t="s">
        <v>216</v>
      </c>
      <c r="BS539" s="5" t="s">
        <v>217</v>
      </c>
      <c r="BT539" s="5" t="s">
        <v>217</v>
      </c>
      <c r="BU539" s="5" t="s">
        <v>217</v>
      </c>
      <c r="BV539" s="5" t="s">
        <v>217</v>
      </c>
      <c r="BW539" s="5" t="s">
        <v>217</v>
      </c>
      <c r="BX539" s="5" t="s">
        <v>217</v>
      </c>
      <c r="BY539" s="5" t="s">
        <v>217</v>
      </c>
      <c r="CD539" s="5" t="s">
        <v>206</v>
      </c>
      <c r="CH539" s="5" t="s">
        <v>206</v>
      </c>
      <c r="CI539" s="5" t="s">
        <v>318</v>
      </c>
      <c r="CJ539" s="5">
        <v>2</v>
      </c>
      <c r="CK539" s="5" t="s">
        <v>223</v>
      </c>
      <c r="CU539" s="5" t="s">
        <v>206</v>
      </c>
      <c r="DA539" s="5" t="s">
        <v>272</v>
      </c>
      <c r="DB539" s="5">
        <f>IF(DA539="Mejor que lo habitual",1,
IF(DA539="Igual que lo habitual",2,
IF(DA539="Menos que lo habitual",3,
IF(DA539="Mucho menos que lo habitual",4,""))))</f>
        <v>1</v>
      </c>
      <c r="DC539" s="5" t="s">
        <v>251</v>
      </c>
      <c r="DD539" s="5">
        <f>IF(DC539="No, en absoluto",1,
IF(DC539="No más que lo habitual",2,
IF(DC539="Bastante más que lo habitual",3,
IF(DC539="Mucho más que lo habitual",4,""))))</f>
        <v>1</v>
      </c>
      <c r="DE539" s="5" t="s">
        <v>251</v>
      </c>
      <c r="DF539" s="5">
        <f>IF(DE539="No, en absoluto",1,
IF(DE539="No más que lo habitual",2,
IF(DE539="Bastante más que lo habitual",3,
IF(DE539="Mucho más que lo habitual",4,""))))</f>
        <v>1</v>
      </c>
      <c r="DG539" s="5" t="s">
        <v>251</v>
      </c>
      <c r="DH539" s="5">
        <f>IF(DG539="No, en absoluto",1,
IF(DG539="No más que lo habitual",2,
IF(DG539="Bastante más que lo habitual",3,
IF(DG539="Mucho más que lo habitual",4,""))))</f>
        <v>1</v>
      </c>
      <c r="DI539" s="5" t="s">
        <v>251</v>
      </c>
      <c r="DJ539" s="5">
        <f>IF(DI539="No, en absoluto",1,
IF(DI539="No más que lo habitual",2,
IF(DI539="Bastante más que lo habitual",3,
IF(DI539="Mucho más que lo habitual",4,""))))</f>
        <v>1</v>
      </c>
      <c r="DK539" s="5" t="s">
        <v>251</v>
      </c>
      <c r="DL539" s="5">
        <f>IF(DK539="No, en absoluto",1,
IF(DK539="No más que lo habitual",2,
IF(DK539="Bastante más que lo habitual",3,
IF(DK539="Mucho más que lo habitual",4,""))))</f>
        <v>1</v>
      </c>
      <c r="DM539" s="5" t="s">
        <v>251</v>
      </c>
      <c r="DN539" s="5">
        <f>IF(DM539="No, en absoluto",1,
IF(DM539="No más que lo habitual",2,
IF(DM539="Bastante más que lo habitual",3,
IF(DM539="Mucho más que lo habitual",4,""))))</f>
        <v>1</v>
      </c>
      <c r="DO539" s="5" t="s">
        <v>252</v>
      </c>
      <c r="DP539" s="5">
        <f>IF(DO539="Más que lo habitual",1,
IF(DO539="Igual que lo habitual",2,
IF(DO539="Menos que lo habitual",3,
IF(DO539="Mucho menos que lo habitual",4,""))))</f>
        <v>3</v>
      </c>
      <c r="DQ539" s="5" t="s">
        <v>252</v>
      </c>
      <c r="DR539" s="5">
        <f>IF(DQ539="Más que lo habitual",1,
IF(DQ539="Igual que lo habitual",2,
IF(DQ539="Menos que lo habitual",3,
IF(DQ539="Mucho menos que lo habitual",4,""))))</f>
        <v>3</v>
      </c>
      <c r="DS539" s="5" t="s">
        <v>252</v>
      </c>
      <c r="DT539" s="5">
        <f>IF(DS539="Más que lo habitual",1,
IF(DS539="Igual que lo habitual",2,
IF(DS539="Menos que lo habitual",3,
IF(DS539="Mucho menos que lo habitual",4,""))))</f>
        <v>3</v>
      </c>
      <c r="DU539" s="5" t="s">
        <v>252</v>
      </c>
      <c r="DV539" s="5">
        <f>IF(DU539="Más que lo habitual",1,
IF(DU539="Igual que lo habitual",2,
IF(DU539="Menos que lo habitual",3,
IF(DU539="Mucho menos que lo habitual",4,""))))</f>
        <v>3</v>
      </c>
      <c r="DW539" s="5" t="s">
        <v>252</v>
      </c>
      <c r="DX539" s="5">
        <f>IF(DW539="Más que lo habitual",1,
IF(DW539="Igual que lo habitual",2,
IF(DW539="Menos que lo habitual",3,
IF(DW539="Mucho menos que lo habitual",4,""))))</f>
        <v>3</v>
      </c>
      <c r="DY539" s="5">
        <f>SUM(DB539,DD539,DF539,DH539,DJ539,DL539,DN539,DP539,DR539,DT539,DV539,DX539)</f>
        <v>22</v>
      </c>
      <c r="DZ539" s="5" t="str">
        <f>IF(DY539&lt;=18,"Nivel de riesgo bajo",
IF(DY539&lt;=23,"Nivel de riesgo medio",
"Nivel de riesgo alto"))</f>
        <v>Nivel de riesgo medio</v>
      </c>
      <c r="EA539" s="5" t="s">
        <v>254</v>
      </c>
      <c r="EB539" s="5">
        <f>IF(EA539="Nunca/ casi nunca",0,
IF(EA539="Rara vez",1,
IF(EA539="A veces",2,
IF(EA539="A menudo",3,
IF(EA539="Siempre",4,"")))))</f>
        <v>4</v>
      </c>
      <c r="EC539" s="5" t="s">
        <v>254</v>
      </c>
      <c r="ED539" s="5">
        <f>IF(EC539="Nunca/ casi nunca",0,
IF(EC539="Rara vez",1,
IF(EC539="A veces",2,
IF(EC539="A menudo",3,
IF(EC539="Siempre",4,"")))))</f>
        <v>4</v>
      </c>
      <c r="EE539" s="5" t="s">
        <v>254</v>
      </c>
      <c r="EF539" s="5">
        <f>IF(EE539="Nunca/ casi nunca",0,
IF(EE539="Rara vez",1,
IF(EE539="A veces",2,
IF(EE539="A menudo",3,
IF(EE539="Siempre",4,"")))))</f>
        <v>4</v>
      </c>
      <c r="EG539" s="5">
        <f>SUM(EB539,ED539,EF539)</f>
        <v>12</v>
      </c>
      <c r="EH539" s="5" t="str">
        <f>IF(EG539&lt;=1,"Nivel de riesgo bajo",
IF(EG539&lt;=4,"Nivel de riesgo medio",
"Nivel de riesgo alto"))</f>
        <v>Nivel de riesgo alto</v>
      </c>
      <c r="EI539" s="5" t="s">
        <v>254</v>
      </c>
      <c r="EJ539" s="5">
        <f>IF(EI539="Nunca/ casi nunca",0,
IF(EI539="Rara vez",1,
IF(EI539="A veces",2,
IF(EI539="A menudo",3,
IF(EI539="Siempre",4,"")))))</f>
        <v>4</v>
      </c>
      <c r="EK539" s="5" t="s">
        <v>254</v>
      </c>
      <c r="EL539" s="5">
        <f>IF(EK539="Nunca/ casi nunca",0,
IF(EK539="Rara vez",1,
IF(EK539="A veces",2,
IF(EK539="A menudo",3,
IF(EK539="Siempre",4,"")))))</f>
        <v>4</v>
      </c>
      <c r="EM539" s="5" t="s">
        <v>254</v>
      </c>
      <c r="EN539" s="5">
        <f>IF(EM539="Nunca/ casi nunca",0,
IF(EM539="Rara vez",1,
IF(EM539="A veces",2,
IF(EM539="A menudo",3,
IF(EM539="Siempre",4,"")))))</f>
        <v>4</v>
      </c>
      <c r="EO539" s="5">
        <f>SUM(EJ539,EL539,EN539)</f>
        <v>12</v>
      </c>
      <c r="EP539" s="5" t="str">
        <f>IF(EO539&lt;=1,"Nivel de riesgo bajo",
IF(EO539&lt;=5,"Nivel de riesgo medio",
"Nivel de riesgo alto"))</f>
        <v>Nivel de riesgo alto</v>
      </c>
      <c r="EQ539" s="5" t="s">
        <v>254</v>
      </c>
      <c r="ER539" s="5">
        <f>IF(EQ539="Nunca/ casi nunca",4,
IF(EQ539="Rara vez",3,
IF(EQ539="A veces",2,
IF(EQ539="A menudo",1,
IF(EQ539="Siempre",0,"")))))</f>
        <v>0</v>
      </c>
      <c r="ES539" s="5" t="s">
        <v>254</v>
      </c>
      <c r="ET539" s="5">
        <f>IF(ES539="Nunca/ casi nunca",4,
IF(ES539="Rara vez",3,
IF(ES539="A veces",2,
IF(ES539="A menudo",1,
IF(ES539="Siempre",0,"")))))</f>
        <v>0</v>
      </c>
      <c r="EU539" s="5" t="s">
        <v>254</v>
      </c>
      <c r="EV539" s="5">
        <f>IF(EU539="Nunca/ casi nunca",4,
IF(EU539="Rara vez",3,
IF(EU539="A veces",2,
IF(EU539="A menudo",1,
IF(EU539="Siempre",0,"")))))</f>
        <v>0</v>
      </c>
      <c r="EW539" s="5" t="s">
        <v>254</v>
      </c>
      <c r="EX539" s="5">
        <f>IF(EW539="Nunca/ casi nunca",4,
IF(EW539="Rara vez",3,
IF(EW539="A veces",2,
IF(EW539="A menudo",1,
IF(EW539="Siempre",0,"")))))</f>
        <v>0</v>
      </c>
      <c r="EY539" s="5">
        <f>SUM(ER539,ET539,EV539,EX539)</f>
        <v>0</v>
      </c>
      <c r="EZ539" s="5" t="str">
        <f>IF(EY539&lt;=0,"Nivel de riesgo bajo",
IF(EY539&lt;=4,"Nivel de riesgo medio",
"Nivel de riesgo alto"))</f>
        <v>Nivel de riesgo bajo</v>
      </c>
      <c r="FA539" s="5" t="s">
        <v>254</v>
      </c>
      <c r="FB539" s="5">
        <f>IF(FA539="Nunca/ casi nunca",0,
IF(FA539="Rara vez",1,
IF(FA539="A veces",2,
IF(FA539="A menudo",3,
IF(FA539="Siempre",4,"")))))</f>
        <v>4</v>
      </c>
      <c r="FC539" s="5" t="s">
        <v>254</v>
      </c>
      <c r="FD539" s="5">
        <f>IF(FC539="Nunca/ casi nunca",0,
IF(FC539="Rara vez",1,
IF(FC539="A veces",2,
IF(FC539="A menudo",3,
IF(FC539="Siempre",4,"")))))</f>
        <v>4</v>
      </c>
      <c r="FE539" s="5" t="s">
        <v>254</v>
      </c>
      <c r="FF539" s="5">
        <f>IF(FE539="Nunca/ casi nunca",0,
IF(FE539="Rara vez",1,
IF(FE539="A veces",2,
IF(FE539="A menudo",3,
IF(FE539="Siempre",4,"")))))</f>
        <v>4</v>
      </c>
      <c r="FG539" s="5">
        <f>SUM(FB539,FD539,FF539)</f>
        <v>12</v>
      </c>
      <c r="FH539" s="5" t="str">
        <f>IF(FG539&lt;=2,"Nivel de riesgo bajo",
IF(FG539&lt;=5,"Nivel de riesgo medio",
"Nivel de riesgo alto"))</f>
        <v>Nivel de riesgo alto</v>
      </c>
      <c r="FI539" s="5" t="s">
        <v>254</v>
      </c>
      <c r="FJ539" s="5">
        <f>IF(FI539="Nunca/ casi nunca",0,
IF(FI539="Rara vez",1,
IF(FI539="A veces",2,
IF(FI539="A menudo",3,
IF(FI539="Siempre",4,"")))))</f>
        <v>4</v>
      </c>
      <c r="FK539" s="5" t="s">
        <v>254</v>
      </c>
      <c r="FL539" s="5">
        <f>IF(FK539="Nunca/ casi nunca",0,
IF(FK539="Rara vez",1,
IF(FK539="A veces",2,
IF(FK539="A menudo",3,
IF(FK539="Siempre",4,"")))))</f>
        <v>4</v>
      </c>
      <c r="FM539" s="5" t="s">
        <v>254</v>
      </c>
      <c r="FN539" s="5">
        <f>IF(FM539="Nunca/ casi nunca",0,
IF(FM539="Rara vez",1,
IF(FM539="A veces",2,
IF(FM539="A menudo",3,
IF(FM539="Siempre",4,"")))))</f>
        <v>4</v>
      </c>
      <c r="FO539" s="5">
        <f>SUM(FJ539,FL539,FN539)</f>
        <v>12</v>
      </c>
      <c r="FP539" s="5" t="str">
        <f>IF(FO539&lt;=2,"Nivel de riesgo bajo",
IF(FO539&lt;=5,"Nivel de riesgo medio",
"Nivel de riesgo alto"))</f>
        <v>Nivel de riesgo alto</v>
      </c>
      <c r="FQ539" s="5" t="s">
        <v>206</v>
      </c>
      <c r="FR539" s="5">
        <f>IF(FQ539="No",0,
IF(FQ539="Sí, unas pocas veces",1,
IF(FQ539="Sí, mensualmente",2,
IF(FQ539="Sí, semanalmente",3,
IF(FQ539="Sí, diariamente",4,"")))))</f>
        <v>0</v>
      </c>
      <c r="FS539" s="5" t="s">
        <v>206</v>
      </c>
      <c r="FT539" s="5">
        <f>IF(FS539="No",0,
IF(FS539="Sí, unas pocas veces",1,
IF(FS539="Sí, mensualmente",2,
IF(FS539="Sí, semanalmente",3,
IF(FS539="Sí, diariamente",4,"")))))</f>
        <v>0</v>
      </c>
      <c r="FU539" s="5" t="s">
        <v>206</v>
      </c>
      <c r="FV539" s="5">
        <f>IF(FU539="No",0,
IF(FU539="Sí, unas pocas veces",1,
IF(FU539="Sí, mensualmente",2,
IF(FU539="Sí, semanalmente",3,
IF(FU539="Sí, diariamente",4,"")))))</f>
        <v>0</v>
      </c>
      <c r="FW539" s="5" t="s">
        <v>206</v>
      </c>
      <c r="FX539" s="5">
        <f>IF(FW539="No",0,
IF(FW539="Sí, unas pocas veces",1,
IF(FW539="Sí, mensualmente",2,
IF(FW539="Sí, semanalmente",3,
IF(FW539="Sí, diariamente",4,"")))))</f>
        <v>0</v>
      </c>
      <c r="FY539" s="5" t="s">
        <v>206</v>
      </c>
      <c r="FZ539" s="5">
        <f>IF(FY539="No",0,
IF(FY539="Sí, unas pocas veces",1,
IF(FY539="Sí, mensualmente",2,
IF(FY539="Sí, semanalmente",3,
IF(FY539="Sí, diariamente",4,"")))))</f>
        <v>0</v>
      </c>
      <c r="GA539" s="5" t="s">
        <v>206</v>
      </c>
      <c r="GB539" s="5">
        <f>IF(GA539="No",0,
IF(GA539="Sí, unas pocas veces",1,
IF(GA539="Sí, mensualmente",2,
IF(GA539="Sí, semanalmente",3,
IF(GA539="Sí, diariamente",4,"")))))</f>
        <v>0</v>
      </c>
      <c r="GC539" s="5" t="s">
        <v>206</v>
      </c>
      <c r="GD539" s="5">
        <f>IF(GC539="No",0,
IF(GC539="Sí, unas pocas veces",1,
IF(GC539="Sí, mensualmente",2,
IF(GC539="Sí, semanalmente",3,
IF(GC539="Sí, diariamente",4,"")))))</f>
        <v>0</v>
      </c>
      <c r="GE539" s="5">
        <f>SUM(FR539,FT539,FV539,FX539,FZ539,GB539,GD539)</f>
        <v>0</v>
      </c>
      <c r="GF539" s="5" t="str">
        <f>IF(GE539&lt;=0,"Nivel de riesgo bajo",
IF(GE539&lt;=14,"Nivel de riesgo medio",
"Nivel de riesgo alto"))</f>
        <v>Nivel de riesgo bajo</v>
      </c>
      <c r="GG539" s="5" t="s">
        <v>255</v>
      </c>
      <c r="GH539" s="5" t="s">
        <v>255</v>
      </c>
      <c r="GI539" s="5" t="s">
        <v>255</v>
      </c>
      <c r="GJ539" s="5" t="s">
        <v>255</v>
      </c>
      <c r="GK539" s="5" t="s">
        <v>255</v>
      </c>
      <c r="GL539" s="5" t="s">
        <v>255</v>
      </c>
      <c r="GM539" s="5" t="s">
        <v>255</v>
      </c>
      <c r="GN539" s="5" t="s">
        <v>257</v>
      </c>
      <c r="GO539" s="5" t="s">
        <v>257</v>
      </c>
      <c r="GP539" s="5" t="s">
        <v>257</v>
      </c>
      <c r="GQ539" s="5" t="s">
        <v>257</v>
      </c>
      <c r="GR539" s="5" t="s">
        <v>257</v>
      </c>
      <c r="GS539" s="5" t="s">
        <v>257</v>
      </c>
      <c r="GT539" s="5" t="s">
        <v>257</v>
      </c>
      <c r="GU539" s="5" t="s">
        <v>903</v>
      </c>
      <c r="GV539" s="5" t="str">
        <f>TEXT("6291208400136222307","0")</f>
        <v>6291208400136220000</v>
      </c>
    </row>
    <row r="540" spans="1:204" ht="15.75" customHeight="1" x14ac:dyDescent="0.15">
      <c r="A540" s="1">
        <f>ROW(A540)</f>
        <v>540</v>
      </c>
      <c r="B540" s="4">
        <v>45861.847615740742</v>
      </c>
      <c r="C540" s="5" t="s">
        <v>204</v>
      </c>
      <c r="D540" s="5" t="s">
        <v>204</v>
      </c>
      <c r="E540" s="5" t="s">
        <v>335</v>
      </c>
      <c r="F540" s="5" t="s">
        <v>206</v>
      </c>
      <c r="G540" s="5" t="s">
        <v>206</v>
      </c>
      <c r="H540" s="5" t="s">
        <v>204</v>
      </c>
      <c r="K540" s="5" t="s">
        <v>237</v>
      </c>
      <c r="O540" s="5" t="s">
        <v>209</v>
      </c>
      <c r="T540" s="5" t="s">
        <v>209</v>
      </c>
      <c r="X540" s="5" t="s">
        <v>208</v>
      </c>
      <c r="AC540" s="5" t="s">
        <v>208</v>
      </c>
      <c r="AH540" s="5" t="s">
        <v>275</v>
      </c>
      <c r="AI540" s="5">
        <v>2004</v>
      </c>
      <c r="AJ540" s="5" t="s">
        <v>238</v>
      </c>
      <c r="AK540" s="5" t="str">
        <f>IF(OR(AJ540="Empleada del sector privado",AJ540="Empleada del sector público"),"Asalariada",
IF(AJ540="Trabajadora por cuenta propia","Trabajadora por cuenta propia",""))</f>
        <v>Trabajadora por cuenta propia</v>
      </c>
      <c r="AM540" s="5" t="s">
        <v>309</v>
      </c>
      <c r="AP540" s="5" t="s">
        <v>297</v>
      </c>
      <c r="AR540" s="5" t="s">
        <v>241</v>
      </c>
      <c r="AS540" s="5" t="s">
        <v>241</v>
      </c>
      <c r="AT540" s="5" t="s">
        <v>241</v>
      </c>
      <c r="AU540" s="5" t="s">
        <v>241</v>
      </c>
      <c r="AV540" s="5" t="s">
        <v>213</v>
      </c>
      <c r="AW540" s="5" t="s">
        <v>204</v>
      </c>
      <c r="AX540" s="5" t="s">
        <v>206</v>
      </c>
      <c r="BF540" s="5" t="s">
        <v>204</v>
      </c>
      <c r="BG540" s="5" t="s">
        <v>207</v>
      </c>
      <c r="BH540" s="5" t="s">
        <v>242</v>
      </c>
      <c r="BI540" s="5" t="s">
        <v>207</v>
      </c>
      <c r="BJ540" s="5" t="s">
        <v>242</v>
      </c>
      <c r="BK540" s="5" t="s">
        <v>244</v>
      </c>
      <c r="BL540" s="5" t="s">
        <v>216</v>
      </c>
      <c r="BM540" s="5" t="s">
        <v>244</v>
      </c>
      <c r="BN540" s="5" t="s">
        <v>243</v>
      </c>
      <c r="BO540" s="5" t="s">
        <v>244</v>
      </c>
      <c r="BP540" s="5" t="s">
        <v>246</v>
      </c>
      <c r="BQ540" s="5" t="s">
        <v>244</v>
      </c>
      <c r="BR540" s="5" t="s">
        <v>244</v>
      </c>
      <c r="BS540" s="5" t="s">
        <v>248</v>
      </c>
      <c r="BT540" s="5" t="s">
        <v>247</v>
      </c>
      <c r="BU540" s="5" t="s">
        <v>232</v>
      </c>
      <c r="BV540" s="5" t="s">
        <v>248</v>
      </c>
      <c r="BW540" s="5" t="s">
        <v>232</v>
      </c>
      <c r="BX540" s="5" t="s">
        <v>248</v>
      </c>
      <c r="BY540" s="5" t="s">
        <v>247</v>
      </c>
      <c r="BZ540" s="5" t="s">
        <v>244</v>
      </c>
      <c r="CA540" s="5" t="s">
        <v>246</v>
      </c>
      <c r="CB540" s="5" t="s">
        <v>216</v>
      </c>
      <c r="CC540" s="5" t="s">
        <v>244</v>
      </c>
      <c r="CD540" s="5" t="s">
        <v>206</v>
      </c>
      <c r="CH540" s="5" t="s">
        <v>221</v>
      </c>
      <c r="CI540" s="5" t="s">
        <v>206</v>
      </c>
      <c r="CJ540" s="5">
        <v>1</v>
      </c>
      <c r="CK540" s="5" t="s">
        <v>223</v>
      </c>
      <c r="CU540" s="5" t="s">
        <v>206</v>
      </c>
      <c r="DA540" s="5" t="s">
        <v>252</v>
      </c>
      <c r="DB540" s="5">
        <f>IF(DA540="Mejor que lo habitual",1,
IF(DA540="Igual que lo habitual",2,
IF(DA540="Menos que lo habitual",3,
IF(DA540="Mucho menos que lo habitual",4,""))))</f>
        <v>3</v>
      </c>
      <c r="DC540" s="5" t="s">
        <v>250</v>
      </c>
      <c r="DD540" s="5">
        <f>IF(DC540="No, en absoluto",1,
IF(DC540="No más que lo habitual",2,
IF(DC540="Bastante más que lo habitual",3,
IF(DC540="Mucho más que lo habitual",4,""))))</f>
        <v>3</v>
      </c>
      <c r="DE540" s="5" t="s">
        <v>250</v>
      </c>
      <c r="DF540" s="5">
        <f>IF(DE540="No, en absoluto",1,
IF(DE540="No más que lo habitual",2,
IF(DE540="Bastante más que lo habitual",3,
IF(DE540="Mucho más que lo habitual",4,""))))</f>
        <v>3</v>
      </c>
      <c r="DG540" s="5" t="s">
        <v>250</v>
      </c>
      <c r="DH540" s="5">
        <f>IF(DG540="No, en absoluto",1,
IF(DG540="No más que lo habitual",2,
IF(DG540="Bastante más que lo habitual",3,
IF(DG540="Mucho más que lo habitual",4,""))))</f>
        <v>3</v>
      </c>
      <c r="DI540" s="5" t="s">
        <v>250</v>
      </c>
      <c r="DJ540" s="5">
        <f>IF(DI540="No, en absoluto",1,
IF(DI540="No más que lo habitual",2,
IF(DI540="Bastante más que lo habitual",3,
IF(DI540="Mucho más que lo habitual",4,""))))</f>
        <v>3</v>
      </c>
      <c r="DK540" s="5" t="s">
        <v>250</v>
      </c>
      <c r="DL540" s="5">
        <f>IF(DK540="No, en absoluto",1,
IF(DK540="No más que lo habitual",2,
IF(DK540="Bastante más que lo habitual",3,
IF(DK540="Mucho más que lo habitual",4,""))))</f>
        <v>3</v>
      </c>
      <c r="DM540" s="5" t="s">
        <v>251</v>
      </c>
      <c r="DN540" s="5">
        <f>IF(DM540="No, en absoluto",1,
IF(DM540="No más que lo habitual",2,
IF(DM540="Bastante más que lo habitual",3,
IF(DM540="Mucho más que lo habitual",4,""))))</f>
        <v>1</v>
      </c>
      <c r="DO540" s="5" t="s">
        <v>281</v>
      </c>
      <c r="DP540" s="5">
        <f>IF(DO540="Más que lo habitual",1,
IF(DO540="Igual que lo habitual",2,
IF(DO540="Menos que lo habitual",3,
IF(DO540="Mucho menos que lo habitual",4,""))))</f>
        <v>1</v>
      </c>
      <c r="DQ540" s="5" t="s">
        <v>281</v>
      </c>
      <c r="DR540" s="5">
        <f>IF(DQ540="Más que lo habitual",1,
IF(DQ540="Igual que lo habitual",2,
IF(DQ540="Menos que lo habitual",3,
IF(DQ540="Mucho menos que lo habitual",4,""))))</f>
        <v>1</v>
      </c>
      <c r="DS540" s="5" t="s">
        <v>231</v>
      </c>
      <c r="DT540" s="5">
        <f>IF(DS540="Más que lo habitual",1,
IF(DS540="Igual que lo habitual",2,
IF(DS540="Menos que lo habitual",3,
IF(DS540="Mucho menos que lo habitual",4,""))))</f>
        <v>2</v>
      </c>
      <c r="DU540" s="5" t="s">
        <v>252</v>
      </c>
      <c r="DV540" s="5">
        <f>IF(DU540="Más que lo habitual",1,
IF(DU540="Igual que lo habitual",2,
IF(DU540="Menos que lo habitual",3,
IF(DU540="Mucho menos que lo habitual",4,""))))</f>
        <v>3</v>
      </c>
      <c r="DW540" s="5" t="s">
        <v>252</v>
      </c>
      <c r="DX540" s="5">
        <f>IF(DW540="Más que lo habitual",1,
IF(DW540="Igual que lo habitual",2,
IF(DW540="Menos que lo habitual",3,
IF(DW540="Mucho menos que lo habitual",4,""))))</f>
        <v>3</v>
      </c>
      <c r="DY540" s="5">
        <f>SUM(DB540,DD540,DF540,DH540,DJ540,DL540,DN540,DP540,DR540,DT540,DV540,DX540)</f>
        <v>29</v>
      </c>
      <c r="DZ540" s="5" t="str">
        <f>IF(DY540&lt;=18,"Nivel de riesgo bajo",
IF(DY540&lt;=23,"Nivel de riesgo medio",
"Nivel de riesgo alto"))</f>
        <v>Nivel de riesgo alto</v>
      </c>
      <c r="EA540" s="5" t="s">
        <v>247</v>
      </c>
      <c r="EB540" s="5">
        <f>IF(EA540="Nunca/ casi nunca",0,
IF(EA540="Rara vez",1,
IF(EA540="A veces",2,
IF(EA540="A menudo",3,
IF(EA540="Siempre",4,"")))))</f>
        <v>2</v>
      </c>
      <c r="EC540" s="5" t="s">
        <v>247</v>
      </c>
      <c r="ED540" s="5">
        <f>IF(EC540="Nunca/ casi nunca",0,
IF(EC540="Rara vez",1,
IF(EC540="A veces",2,
IF(EC540="A menudo",3,
IF(EC540="Siempre",4,"")))))</f>
        <v>2</v>
      </c>
      <c r="EE540" s="5" t="s">
        <v>248</v>
      </c>
      <c r="EF540" s="5">
        <f>IF(EE540="Nunca/ casi nunca",0,
IF(EE540="Rara vez",1,
IF(EE540="A veces",2,
IF(EE540="A menudo",3,
IF(EE540="Siempre",4,"")))))</f>
        <v>1</v>
      </c>
      <c r="EG540" s="5">
        <f>SUM(EB540,ED540,EF540)</f>
        <v>5</v>
      </c>
      <c r="EH540" s="5" t="str">
        <f>IF(EG540&lt;=1,"Nivel de riesgo bajo",
IF(EG540&lt;=4,"Nivel de riesgo medio",
"Nivel de riesgo alto"))</f>
        <v>Nivel de riesgo alto</v>
      </c>
      <c r="EI540" s="5" t="s">
        <v>248</v>
      </c>
      <c r="EJ540" s="5">
        <f>IF(EI540="Nunca/ casi nunca",0,
IF(EI540="Rara vez",1,
IF(EI540="A veces",2,
IF(EI540="A menudo",3,
IF(EI540="Siempre",4,"")))))</f>
        <v>1</v>
      </c>
      <c r="EK540" s="5" t="s">
        <v>248</v>
      </c>
      <c r="EL540" s="5">
        <f>IF(EK540="Nunca/ casi nunca",0,
IF(EK540="Rara vez",1,
IF(EK540="A veces",2,
IF(EK540="A menudo",3,
IF(EK540="Siempre",4,"")))))</f>
        <v>1</v>
      </c>
      <c r="EM540" s="5" t="s">
        <v>248</v>
      </c>
      <c r="EN540" s="5">
        <f>IF(EM540="Nunca/ casi nunca",0,
IF(EM540="Rara vez",1,
IF(EM540="A veces",2,
IF(EM540="A menudo",3,
IF(EM540="Siempre",4,"")))))</f>
        <v>1</v>
      </c>
      <c r="EO540" s="5">
        <f>SUM(EJ540,EL540,EN540)</f>
        <v>3</v>
      </c>
      <c r="EP540" s="5" t="str">
        <f>IF(EO540&lt;=1,"Nivel de riesgo bajo",
IF(EO540&lt;=5,"Nivel de riesgo medio",
"Nivel de riesgo alto"))</f>
        <v>Nivel de riesgo medio</v>
      </c>
      <c r="EQ540" s="5" t="s">
        <v>248</v>
      </c>
      <c r="ER540" s="5">
        <f>IF(EQ540="Nunca/ casi nunca",4,
IF(EQ540="Rara vez",3,
IF(EQ540="A veces",2,
IF(EQ540="A menudo",1,
IF(EQ540="Siempre",0,"")))))</f>
        <v>3</v>
      </c>
      <c r="ES540" s="5" t="s">
        <v>248</v>
      </c>
      <c r="ET540" s="5">
        <f>IF(ES540="Nunca/ casi nunca",4,
IF(ES540="Rara vez",3,
IF(ES540="A veces",2,
IF(ES540="A menudo",1,
IF(ES540="Siempre",0,"")))))</f>
        <v>3</v>
      </c>
      <c r="EU540" s="5" t="s">
        <v>248</v>
      </c>
      <c r="EV540" s="5">
        <f>IF(EU540="Nunca/ casi nunca",4,
IF(EU540="Rara vez",3,
IF(EU540="A veces",2,
IF(EU540="A menudo",1,
IF(EU540="Siempre",0,"")))))</f>
        <v>3</v>
      </c>
      <c r="EW540" s="5" t="s">
        <v>248</v>
      </c>
      <c r="EX540" s="5">
        <f>IF(EW540="Nunca/ casi nunca",4,
IF(EW540="Rara vez",3,
IF(EW540="A veces",2,
IF(EW540="A menudo",1,
IF(EW540="Siempre",0,"")))))</f>
        <v>3</v>
      </c>
      <c r="EY540" s="5">
        <f>SUM(ER540,ET540,EV540,EX540)</f>
        <v>12</v>
      </c>
      <c r="EZ540" s="5" t="str">
        <f>IF(EY540&lt;=0,"Nivel de riesgo bajo",
IF(EY540&lt;=4,"Nivel de riesgo medio",
"Nivel de riesgo alto"))</f>
        <v>Nivel de riesgo alto</v>
      </c>
      <c r="FA540" s="5" t="s">
        <v>254</v>
      </c>
      <c r="FB540" s="5">
        <f>IF(FA540="Nunca/ casi nunca",0,
IF(FA540="Rara vez",1,
IF(FA540="A veces",2,
IF(FA540="A menudo",3,
IF(FA540="Siempre",4,"")))))</f>
        <v>4</v>
      </c>
      <c r="FC540" s="5" t="s">
        <v>254</v>
      </c>
      <c r="FD540" s="5">
        <f>IF(FC540="Nunca/ casi nunca",0,
IF(FC540="Rara vez",1,
IF(FC540="A veces",2,
IF(FC540="A menudo",3,
IF(FC540="Siempre",4,"")))))</f>
        <v>4</v>
      </c>
      <c r="FE540" s="5" t="s">
        <v>254</v>
      </c>
      <c r="FF540" s="5">
        <f>IF(FE540="Nunca/ casi nunca",0,
IF(FE540="Rara vez",1,
IF(FE540="A veces",2,
IF(FE540="A menudo",3,
IF(FE540="Siempre",4,"")))))</f>
        <v>4</v>
      </c>
      <c r="FG540" s="5">
        <f>SUM(FB540,FD540,FF540)</f>
        <v>12</v>
      </c>
      <c r="FH540" s="5" t="str">
        <f>IF(FG540&lt;=2,"Nivel de riesgo bajo",
IF(FG540&lt;=5,"Nivel de riesgo medio",
"Nivel de riesgo alto"))</f>
        <v>Nivel de riesgo alto</v>
      </c>
      <c r="FI540" s="5" t="s">
        <v>248</v>
      </c>
      <c r="FJ540" s="5">
        <f>IF(FI540="Nunca/ casi nunca",0,
IF(FI540="Rara vez",1,
IF(FI540="A veces",2,
IF(FI540="A menudo",3,
IF(FI540="Siempre",4,"")))))</f>
        <v>1</v>
      </c>
      <c r="FK540" s="5" t="s">
        <v>248</v>
      </c>
      <c r="FL540" s="5">
        <f>IF(FK540="Nunca/ casi nunca",0,
IF(FK540="Rara vez",1,
IF(FK540="A veces",2,
IF(FK540="A menudo",3,
IF(FK540="Siempre",4,"")))))</f>
        <v>1</v>
      </c>
      <c r="FM540" s="5" t="s">
        <v>248</v>
      </c>
      <c r="FN540" s="5">
        <f>IF(FM540="Nunca/ casi nunca",0,
IF(FM540="Rara vez",1,
IF(FM540="A veces",2,
IF(FM540="A menudo",3,
IF(FM540="Siempre",4,"")))))</f>
        <v>1</v>
      </c>
      <c r="FO540" s="5">
        <f>SUM(FJ540,FL540,FN540)</f>
        <v>3</v>
      </c>
      <c r="FP540" s="5" t="str">
        <f>IF(FO540&lt;=2,"Nivel de riesgo bajo",
IF(FO540&lt;=5,"Nivel de riesgo medio",
"Nivel de riesgo alto"))</f>
        <v>Nivel de riesgo medio</v>
      </c>
      <c r="FQ540" s="5" t="s">
        <v>265</v>
      </c>
      <c r="FR540" s="5">
        <f>IF(FQ540="No",0,
IF(FQ540="Sí, unas pocas veces",1,
IF(FQ540="Sí, mensualmente",2,
IF(FQ540="Sí, semanalmente",3,
IF(FQ540="Sí, diariamente",4,"")))))</f>
        <v>1</v>
      </c>
      <c r="FS540" s="5" t="s">
        <v>206</v>
      </c>
      <c r="FT540" s="5">
        <f>IF(FS540="No",0,
IF(FS540="Sí, unas pocas veces",1,
IF(FS540="Sí, mensualmente",2,
IF(FS540="Sí, semanalmente",3,
IF(FS540="Sí, diariamente",4,"")))))</f>
        <v>0</v>
      </c>
      <c r="FU540" s="5" t="s">
        <v>206</v>
      </c>
      <c r="FV540" s="5">
        <f>IF(FU540="No",0,
IF(FU540="Sí, unas pocas veces",1,
IF(FU540="Sí, mensualmente",2,
IF(FU540="Sí, semanalmente",3,
IF(FU540="Sí, diariamente",4,"")))))</f>
        <v>0</v>
      </c>
      <c r="FW540" s="5" t="s">
        <v>206</v>
      </c>
      <c r="FX540" s="5">
        <f>IF(FW540="No",0,
IF(FW540="Sí, unas pocas veces",1,
IF(FW540="Sí, mensualmente",2,
IF(FW540="Sí, semanalmente",3,
IF(FW540="Sí, diariamente",4,"")))))</f>
        <v>0</v>
      </c>
      <c r="FY540" s="5" t="s">
        <v>206</v>
      </c>
      <c r="FZ540" s="5">
        <f>IF(FY540="No",0,
IF(FY540="Sí, unas pocas veces",1,
IF(FY540="Sí, mensualmente",2,
IF(FY540="Sí, semanalmente",3,
IF(FY540="Sí, diariamente",4,"")))))</f>
        <v>0</v>
      </c>
      <c r="GA540" s="5" t="s">
        <v>206</v>
      </c>
      <c r="GB540" s="5">
        <f>IF(GA540="No",0,
IF(GA540="Sí, unas pocas veces",1,
IF(GA540="Sí, mensualmente",2,
IF(GA540="Sí, semanalmente",3,
IF(GA540="Sí, diariamente",4,"")))))</f>
        <v>0</v>
      </c>
      <c r="GC540" s="5" t="s">
        <v>206</v>
      </c>
      <c r="GD540" s="5">
        <f>IF(GC540="No",0,
IF(GC540="Sí, unas pocas veces",1,
IF(GC540="Sí, mensualmente",2,
IF(GC540="Sí, semanalmente",3,
IF(GC540="Sí, diariamente",4,"")))))</f>
        <v>0</v>
      </c>
      <c r="GE540" s="5">
        <f>SUM(FR540,FT540,FV540,FX540,FZ540,GB540,GD540)</f>
        <v>1</v>
      </c>
      <c r="GF540" s="5" t="str">
        <f>IF(GE540&lt;=0,"Nivel de riesgo bajo",
IF(GE540&lt;=14,"Nivel de riesgo medio",
"Nivel de riesgo alto"))</f>
        <v>Nivel de riesgo medio</v>
      </c>
      <c r="GG540" s="5" t="s">
        <v>273</v>
      </c>
      <c r="GH540" s="5" t="s">
        <v>233</v>
      </c>
      <c r="GI540" s="5" t="s">
        <v>273</v>
      </c>
      <c r="GJ540" s="5" t="s">
        <v>233</v>
      </c>
      <c r="GK540" s="5" t="s">
        <v>233</v>
      </c>
      <c r="GL540" s="5" t="s">
        <v>233</v>
      </c>
      <c r="GM540" s="5" t="s">
        <v>233</v>
      </c>
      <c r="GN540" s="5" t="s">
        <v>243</v>
      </c>
      <c r="GO540" s="5" t="s">
        <v>244</v>
      </c>
      <c r="GP540" s="5" t="s">
        <v>244</v>
      </c>
      <c r="GQ540" s="5" t="s">
        <v>244</v>
      </c>
      <c r="GR540" s="5" t="s">
        <v>244</v>
      </c>
      <c r="GS540" s="5" t="s">
        <v>244</v>
      </c>
      <c r="GT540" s="5" t="s">
        <v>243</v>
      </c>
      <c r="GU540" s="5" t="s">
        <v>904</v>
      </c>
      <c r="GV540" s="5" t="str">
        <f>TEXT("6291256340314123137","0")</f>
        <v>6291256340314120000</v>
      </c>
    </row>
    <row r="541" spans="1:204" ht="15.75" hidden="1" customHeight="1" x14ac:dyDescent="0.15">
      <c r="B541" s="4">
        <v>45861.857858796298</v>
      </c>
      <c r="C541" s="5" t="s">
        <v>204</v>
      </c>
      <c r="D541" s="5" t="s">
        <v>206</v>
      </c>
      <c r="F541" s="5" t="s">
        <v>204</v>
      </c>
      <c r="G541" s="5" t="s">
        <v>204</v>
      </c>
      <c r="H541" s="5" t="s">
        <v>206</v>
      </c>
      <c r="K541" s="5" t="s">
        <v>237</v>
      </c>
      <c r="P541" s="5" t="s">
        <v>237</v>
      </c>
      <c r="T541" s="5" t="s">
        <v>209</v>
      </c>
      <c r="Y541" s="5" t="s">
        <v>209</v>
      </c>
      <c r="AC541" s="5" t="s">
        <v>208</v>
      </c>
      <c r="AH541" s="5" t="s">
        <v>210</v>
      </c>
      <c r="AI541" s="5">
        <v>2000</v>
      </c>
      <c r="AJ541" s="5" t="s">
        <v>211</v>
      </c>
      <c r="AK541" s="5"/>
      <c r="AQ541" s="5" t="s">
        <v>206</v>
      </c>
      <c r="AR541" s="5" t="s">
        <v>261</v>
      </c>
      <c r="AS541" s="5" t="s">
        <v>261</v>
      </c>
      <c r="AT541" s="5" t="s">
        <v>241</v>
      </c>
      <c r="AU541" s="5" t="s">
        <v>241</v>
      </c>
      <c r="AV541" s="5" t="s">
        <v>285</v>
      </c>
      <c r="AW541" s="5" t="s">
        <v>204</v>
      </c>
      <c r="AX541" s="5" t="s">
        <v>204</v>
      </c>
      <c r="AY541" s="5" t="s">
        <v>214</v>
      </c>
      <c r="AZ541" s="5" t="s">
        <v>204</v>
      </c>
      <c r="BA541" s="5" t="s">
        <v>263</v>
      </c>
      <c r="BF541" s="5" t="s">
        <v>204</v>
      </c>
      <c r="BG541" s="5" t="s">
        <v>215</v>
      </c>
      <c r="BH541" s="5" t="s">
        <v>271</v>
      </c>
      <c r="BI541" s="5" t="s">
        <v>278</v>
      </c>
      <c r="BJ541" s="5" t="s">
        <v>271</v>
      </c>
      <c r="BK541" s="5" t="s">
        <v>245</v>
      </c>
      <c r="BL541" s="5" t="s">
        <v>246</v>
      </c>
      <c r="BM541" s="5" t="s">
        <v>216</v>
      </c>
      <c r="BN541" s="5" t="s">
        <v>244</v>
      </c>
      <c r="BO541" s="5" t="s">
        <v>216</v>
      </c>
      <c r="BP541" s="5" t="s">
        <v>216</v>
      </c>
      <c r="BQ541" s="5" t="s">
        <v>216</v>
      </c>
      <c r="BR541" s="5" t="s">
        <v>216</v>
      </c>
      <c r="BS541" s="5" t="s">
        <v>217</v>
      </c>
      <c r="BT541" s="5" t="s">
        <v>248</v>
      </c>
      <c r="BU541" s="5" t="s">
        <v>247</v>
      </c>
      <c r="BV541" s="5" t="s">
        <v>217</v>
      </c>
      <c r="BW541" s="5" t="s">
        <v>217</v>
      </c>
      <c r="BX541" s="5" t="s">
        <v>217</v>
      </c>
      <c r="BY541" s="5" t="s">
        <v>217</v>
      </c>
      <c r="BZ541" s="5" t="s">
        <v>216</v>
      </c>
      <c r="CA541" s="5" t="s">
        <v>216</v>
      </c>
      <c r="CB541" s="5" t="s">
        <v>216</v>
      </c>
      <c r="CC541" s="5" t="s">
        <v>216</v>
      </c>
      <c r="CD541" s="5" t="s">
        <v>206</v>
      </c>
      <c r="CH541" s="5" t="s">
        <v>369</v>
      </c>
      <c r="CI541" s="5" t="s">
        <v>291</v>
      </c>
      <c r="CJ541" s="5">
        <v>2</v>
      </c>
      <c r="CK541" s="5" t="s">
        <v>223</v>
      </c>
      <c r="CU541" s="5" t="s">
        <v>206</v>
      </c>
      <c r="DA541" s="5" t="s">
        <v>231</v>
      </c>
      <c r="DB541" s="5"/>
      <c r="DC541" s="5" t="s">
        <v>251</v>
      </c>
      <c r="DD541" s="5"/>
      <c r="DE541" s="5" t="s">
        <v>230</v>
      </c>
      <c r="DF541" s="5"/>
      <c r="DG541" s="5" t="s">
        <v>230</v>
      </c>
      <c r="DH541" s="5"/>
      <c r="DI541" s="5" t="s">
        <v>230</v>
      </c>
      <c r="DJ541" s="5"/>
      <c r="DK541" s="5" t="s">
        <v>251</v>
      </c>
      <c r="DL541" s="5"/>
      <c r="DM541" s="5" t="s">
        <v>251</v>
      </c>
      <c r="DN541" s="5"/>
      <c r="DO541" s="5" t="s">
        <v>281</v>
      </c>
      <c r="DP541" s="5"/>
      <c r="DQ541" s="5" t="s">
        <v>281</v>
      </c>
      <c r="DR541" s="5"/>
      <c r="DS541" s="5" t="s">
        <v>281</v>
      </c>
      <c r="DT541" s="5"/>
      <c r="DU541" s="5" t="s">
        <v>281</v>
      </c>
      <c r="DV541" s="5"/>
      <c r="DW541" s="5" t="s">
        <v>281</v>
      </c>
      <c r="DX541" s="5"/>
      <c r="DY541" s="5"/>
      <c r="DZ541" s="5"/>
      <c r="EA541" s="5" t="s">
        <v>248</v>
      </c>
      <c r="EB541" s="5"/>
      <c r="EC541" s="5" t="s">
        <v>253</v>
      </c>
      <c r="ED541" s="5"/>
      <c r="EE541" s="5" t="s">
        <v>248</v>
      </c>
      <c r="EF541" s="5"/>
      <c r="EG541" s="5"/>
      <c r="EH541" s="5"/>
      <c r="EI541" s="5" t="s">
        <v>253</v>
      </c>
      <c r="EJ541" s="5"/>
      <c r="EK541" s="5" t="s">
        <v>253</v>
      </c>
      <c r="EL541" s="5"/>
      <c r="EM541" s="5" t="s">
        <v>253</v>
      </c>
      <c r="EN541" s="5"/>
      <c r="EO541" s="5"/>
      <c r="EP541" s="5"/>
      <c r="EQ541" s="5" t="s">
        <v>253</v>
      </c>
      <c r="ER541" s="5"/>
      <c r="ES541" s="5" t="s">
        <v>253</v>
      </c>
      <c r="ET541" s="5"/>
      <c r="EU541" s="5" t="s">
        <v>253</v>
      </c>
      <c r="EV541" s="5"/>
      <c r="EW541" s="5" t="s">
        <v>248</v>
      </c>
      <c r="EX541" s="5"/>
      <c r="EY541" s="5"/>
      <c r="EZ541" s="5"/>
      <c r="FA541" s="5" t="s">
        <v>253</v>
      </c>
      <c r="FB541" s="5"/>
      <c r="FC541" s="5" t="s">
        <v>253</v>
      </c>
      <c r="FD541" s="5"/>
      <c r="FE541" s="5" t="s">
        <v>253</v>
      </c>
      <c r="FF541" s="5"/>
      <c r="FG541" s="5"/>
      <c r="FH541" s="5"/>
      <c r="FI541" s="5" t="s">
        <v>253</v>
      </c>
      <c r="FJ541" s="5"/>
      <c r="FK541" s="5" t="s">
        <v>253</v>
      </c>
      <c r="FL541" s="5"/>
      <c r="FM541" s="5" t="s">
        <v>253</v>
      </c>
      <c r="FN541" s="5"/>
      <c r="FO541" s="5"/>
      <c r="FP541" s="5"/>
      <c r="FQ541" s="5" t="s">
        <v>206</v>
      </c>
      <c r="FR541" s="5"/>
      <c r="FS541" s="5" t="s">
        <v>206</v>
      </c>
      <c r="FT541" s="5"/>
      <c r="FU541" s="5" t="s">
        <v>206</v>
      </c>
      <c r="FV541" s="5"/>
      <c r="FW541" s="5" t="s">
        <v>206</v>
      </c>
      <c r="FX541" s="5"/>
      <c r="FY541" s="5" t="s">
        <v>206</v>
      </c>
      <c r="FZ541" s="5"/>
      <c r="GA541" s="5" t="s">
        <v>206</v>
      </c>
      <c r="GB541" s="5"/>
      <c r="GC541" s="5" t="s">
        <v>206</v>
      </c>
      <c r="GD541" s="5"/>
      <c r="GE541" s="5"/>
      <c r="GF541" s="5"/>
      <c r="GG541" s="5" t="s">
        <v>255</v>
      </c>
      <c r="GH541" s="5" t="s">
        <v>298</v>
      </c>
      <c r="GI541" s="5" t="s">
        <v>255</v>
      </c>
      <c r="GJ541" s="5" t="s">
        <v>266</v>
      </c>
      <c r="GK541" s="5" t="s">
        <v>233</v>
      </c>
      <c r="GL541" s="5" t="s">
        <v>233</v>
      </c>
      <c r="GM541" s="5" t="s">
        <v>298</v>
      </c>
      <c r="GN541" s="5" t="s">
        <v>256</v>
      </c>
      <c r="GO541" s="5" t="s">
        <v>243</v>
      </c>
      <c r="GP541" s="5" t="s">
        <v>243</v>
      </c>
      <c r="GQ541" s="5" t="s">
        <v>243</v>
      </c>
      <c r="GR541" s="5" t="s">
        <v>243</v>
      </c>
      <c r="GS541" s="5" t="s">
        <v>243</v>
      </c>
      <c r="GT541" s="5" t="s">
        <v>243</v>
      </c>
      <c r="GU541" s="5" t="s">
        <v>905</v>
      </c>
      <c r="GV541" s="5" t="str">
        <f>TEXT("6291265190422023805","0")</f>
        <v>6291265190422020000</v>
      </c>
    </row>
    <row r="542" spans="1:204" ht="15.75" customHeight="1" x14ac:dyDescent="0.15">
      <c r="A542" s="1">
        <f t="shared" ref="A542:A548" si="1683">ROW(A542)</f>
        <v>542</v>
      </c>
      <c r="B542" s="4">
        <v>45861.867951388886</v>
      </c>
      <c r="C542" s="5" t="s">
        <v>204</v>
      </c>
      <c r="D542" s="5" t="s">
        <v>204</v>
      </c>
      <c r="E542" s="5" t="s">
        <v>335</v>
      </c>
      <c r="F542" s="5" t="s">
        <v>206</v>
      </c>
      <c r="G542" s="5" t="s">
        <v>206</v>
      </c>
      <c r="H542" s="5" t="s">
        <v>206</v>
      </c>
      <c r="J542" s="5" t="s">
        <v>209</v>
      </c>
      <c r="O542" s="5" t="s">
        <v>209</v>
      </c>
      <c r="S542" s="5" t="s">
        <v>208</v>
      </c>
      <c r="X542" s="5" t="s">
        <v>208</v>
      </c>
      <c r="AC542" s="5" t="s">
        <v>208</v>
      </c>
      <c r="AH542" s="5" t="s">
        <v>780</v>
      </c>
      <c r="AI542" s="5">
        <v>2000</v>
      </c>
      <c r="AJ542" s="5" t="s">
        <v>330</v>
      </c>
      <c r="AK542" s="5" t="str">
        <f t="shared" ref="AK542:AK548" si="1684">IF(OR(AJ542="Empleada del sector privado",AJ542="Empleada del sector público"),"Asalariada",
IF(AJ542="Trabajadora por cuenta propia","Trabajadora por cuenta propia",""))</f>
        <v>Asalariada</v>
      </c>
      <c r="AQ542" s="5" t="s">
        <v>204</v>
      </c>
      <c r="AR542" s="5" t="s">
        <v>241</v>
      </c>
      <c r="AS542" s="5" t="s">
        <v>241</v>
      </c>
      <c r="AT542" s="5" t="s">
        <v>241</v>
      </c>
      <c r="AU542" s="5" t="s">
        <v>241</v>
      </c>
      <c r="AV542" s="5" t="s">
        <v>269</v>
      </c>
      <c r="AW542" s="5" t="s">
        <v>204</v>
      </c>
      <c r="AX542" s="5" t="s">
        <v>204</v>
      </c>
      <c r="AY542" s="5" t="s">
        <v>214</v>
      </c>
      <c r="AZ542" s="5" t="s">
        <v>204</v>
      </c>
      <c r="BA542" s="5" t="s">
        <v>263</v>
      </c>
      <c r="BF542" s="5" t="s">
        <v>204</v>
      </c>
      <c r="BG542" s="5" t="s">
        <v>242</v>
      </c>
      <c r="BH542" s="5" t="s">
        <v>242</v>
      </c>
      <c r="BI542" s="5" t="s">
        <v>278</v>
      </c>
      <c r="BJ542" s="5" t="s">
        <v>271</v>
      </c>
      <c r="BK542" s="5" t="s">
        <v>244</v>
      </c>
      <c r="BL542" s="5" t="s">
        <v>244</v>
      </c>
      <c r="BM542" s="5" t="s">
        <v>244</v>
      </c>
      <c r="BN542" s="5" t="s">
        <v>244</v>
      </c>
      <c r="BO542" s="5" t="s">
        <v>244</v>
      </c>
      <c r="BP542" s="5" t="s">
        <v>244</v>
      </c>
      <c r="BQ542" s="5" t="s">
        <v>244</v>
      </c>
      <c r="BR542" s="5" t="s">
        <v>244</v>
      </c>
      <c r="BS542" s="5" t="s">
        <v>247</v>
      </c>
      <c r="BT542" s="5" t="s">
        <v>247</v>
      </c>
      <c r="BU542" s="5" t="s">
        <v>247</v>
      </c>
      <c r="BV542" s="5" t="s">
        <v>247</v>
      </c>
      <c r="BW542" s="5" t="s">
        <v>247</v>
      </c>
      <c r="BX542" s="5" t="s">
        <v>247</v>
      </c>
      <c r="BY542" s="5" t="s">
        <v>247</v>
      </c>
      <c r="BZ542" s="5" t="s">
        <v>244</v>
      </c>
      <c r="CA542" s="5" t="s">
        <v>244</v>
      </c>
      <c r="CB542" s="5" t="s">
        <v>244</v>
      </c>
      <c r="CC542" s="5" t="s">
        <v>244</v>
      </c>
      <c r="CD542" s="5" t="s">
        <v>204</v>
      </c>
      <c r="CE542" s="5" t="s">
        <v>286</v>
      </c>
      <c r="CF542" s="5" t="s">
        <v>219</v>
      </c>
      <c r="CG542" s="5" t="s">
        <v>206</v>
      </c>
      <c r="CH542" s="5" t="s">
        <v>221</v>
      </c>
      <c r="CI542" s="5" t="s">
        <v>206</v>
      </c>
      <c r="CJ542" s="5">
        <v>2</v>
      </c>
      <c r="CK542" s="5" t="s">
        <v>223</v>
      </c>
      <c r="CU542" s="5" t="s">
        <v>206</v>
      </c>
      <c r="DA542" s="5" t="s">
        <v>231</v>
      </c>
      <c r="DB542" s="5">
        <f t="shared" ref="DB542:DB548" si="1685">IF(DA542="Mejor que lo habitual",1,
IF(DA542="Igual que lo habitual",2,
IF(DA542="Menos que lo habitual",3,
IF(DA542="Mucho menos que lo habitual",4,""))))</f>
        <v>2</v>
      </c>
      <c r="DC542" s="5" t="s">
        <v>280</v>
      </c>
      <c r="DD542" s="5">
        <f t="shared" ref="DD542:DD548" si="1686">IF(DC542="No, en absoluto",1,
IF(DC542="No más que lo habitual",2,
IF(DC542="Bastante más que lo habitual",3,
IF(DC542="Mucho más que lo habitual",4,""))))</f>
        <v>4</v>
      </c>
      <c r="DE542" s="5" t="s">
        <v>280</v>
      </c>
      <c r="DF542" s="5">
        <f t="shared" ref="DF542:DF548" si="1687">IF(DE542="No, en absoluto",1,
IF(DE542="No más que lo habitual",2,
IF(DE542="Bastante más que lo habitual",3,
IF(DE542="Mucho más que lo habitual",4,""))))</f>
        <v>4</v>
      </c>
      <c r="DG542" s="5" t="s">
        <v>280</v>
      </c>
      <c r="DH542" s="5">
        <f t="shared" ref="DH542:DH548" si="1688">IF(DG542="No, en absoluto",1,
IF(DG542="No más que lo habitual",2,
IF(DG542="Bastante más que lo habitual",3,
IF(DG542="Mucho más que lo habitual",4,""))))</f>
        <v>4</v>
      </c>
      <c r="DI542" s="5" t="s">
        <v>280</v>
      </c>
      <c r="DJ542" s="5">
        <f t="shared" ref="DJ542:DJ548" si="1689">IF(DI542="No, en absoluto",1,
IF(DI542="No más que lo habitual",2,
IF(DI542="Bastante más que lo habitual",3,
IF(DI542="Mucho más que lo habitual",4,""))))</f>
        <v>4</v>
      </c>
      <c r="DK542" s="5" t="s">
        <v>280</v>
      </c>
      <c r="DL542" s="5">
        <f t="shared" ref="DL542:DL548" si="1690">IF(DK542="No, en absoluto",1,
IF(DK542="No más que lo habitual",2,
IF(DK542="Bastante más que lo habitual",3,
IF(DK542="Mucho más que lo habitual",4,""))))</f>
        <v>4</v>
      </c>
      <c r="DM542" s="5" t="s">
        <v>280</v>
      </c>
      <c r="DN542" s="5">
        <f t="shared" ref="DN542:DN548" si="1691">IF(DM542="No, en absoluto",1,
IF(DM542="No más que lo habitual",2,
IF(DM542="Bastante más que lo habitual",3,
IF(DM542="Mucho más que lo habitual",4,""))))</f>
        <v>4</v>
      </c>
      <c r="DO542" s="5" t="s">
        <v>281</v>
      </c>
      <c r="DP542" s="5">
        <f t="shared" ref="DP542:DP548" si="1692">IF(DO542="Más que lo habitual",1,
IF(DO542="Igual que lo habitual",2,
IF(DO542="Menos que lo habitual",3,
IF(DO542="Mucho menos que lo habitual",4,""))))</f>
        <v>1</v>
      </c>
      <c r="DQ542" s="5" t="s">
        <v>229</v>
      </c>
      <c r="DR542" s="5">
        <f t="shared" ref="DR542:DR548" si="1693">IF(DQ542="Más que lo habitual",1,
IF(DQ542="Igual que lo habitual",2,
IF(DQ542="Menos que lo habitual",3,
IF(DQ542="Mucho menos que lo habitual",4,""))))</f>
        <v>4</v>
      </c>
      <c r="DS542" s="5" t="s">
        <v>229</v>
      </c>
      <c r="DT542" s="5">
        <f t="shared" ref="DT542:DT548" si="1694">IF(DS542="Más que lo habitual",1,
IF(DS542="Igual que lo habitual",2,
IF(DS542="Menos que lo habitual",3,
IF(DS542="Mucho menos que lo habitual",4,""))))</f>
        <v>4</v>
      </c>
      <c r="DU542" s="5" t="s">
        <v>229</v>
      </c>
      <c r="DV542" s="5">
        <f t="shared" ref="DV542:DV548" si="1695">IF(DU542="Más que lo habitual",1,
IF(DU542="Igual que lo habitual",2,
IF(DU542="Menos que lo habitual",3,
IF(DU542="Mucho menos que lo habitual",4,""))))</f>
        <v>4</v>
      </c>
      <c r="DW542" s="5" t="s">
        <v>231</v>
      </c>
      <c r="DX542" s="5">
        <f t="shared" ref="DX542:DX548" si="1696">IF(DW542="Más que lo habitual",1,
IF(DW542="Igual que lo habitual",2,
IF(DW542="Menos que lo habitual",3,
IF(DW542="Mucho menos que lo habitual",4,""))))</f>
        <v>2</v>
      </c>
      <c r="DY542" s="5">
        <f t="shared" ref="DY542:DY548" si="1697">SUM(DB542,DD542,DF542,DH542,DJ542,DL542,DN542,DP542,DR542,DT542,DV542,DX542)</f>
        <v>41</v>
      </c>
      <c r="DZ542" s="5" t="str">
        <f t="shared" ref="DZ542:DZ548" si="1698">IF(DY542&lt;=18,"Nivel de riesgo bajo",
IF(DY542&lt;=23,"Nivel de riesgo medio",
"Nivel de riesgo alto"))</f>
        <v>Nivel de riesgo alto</v>
      </c>
      <c r="EA542" s="5" t="s">
        <v>247</v>
      </c>
      <c r="EB542" s="5">
        <f t="shared" ref="EB542:EB548" si="1699">IF(EA542="Nunca/ casi nunca",0,
IF(EA542="Rara vez",1,
IF(EA542="A veces",2,
IF(EA542="A menudo",3,
IF(EA542="Siempre",4,"")))))</f>
        <v>2</v>
      </c>
      <c r="EC542" s="5" t="s">
        <v>253</v>
      </c>
      <c r="ED542" s="5">
        <f t="shared" ref="ED542:ED548" si="1700">IF(EC542="Nunca/ casi nunca",0,
IF(EC542="Rara vez",1,
IF(EC542="A veces",2,
IF(EC542="A menudo",3,
IF(EC542="Siempre",4,"")))))</f>
        <v>0</v>
      </c>
      <c r="EE542" s="5" t="s">
        <v>253</v>
      </c>
      <c r="EF542" s="5">
        <f t="shared" ref="EF542:EF548" si="1701">IF(EE542="Nunca/ casi nunca",0,
IF(EE542="Rara vez",1,
IF(EE542="A veces",2,
IF(EE542="A menudo",3,
IF(EE542="Siempre",4,"")))))</f>
        <v>0</v>
      </c>
      <c r="EG542" s="5">
        <f t="shared" ref="EG542:EG548" si="1702">SUM(EB542,ED542,EF542)</f>
        <v>2</v>
      </c>
      <c r="EH542" s="5" t="str">
        <f t="shared" ref="EH542:EH548" si="1703">IF(EG542&lt;=1,"Nivel de riesgo bajo",
IF(EG542&lt;=4,"Nivel de riesgo medio",
"Nivel de riesgo alto"))</f>
        <v>Nivel de riesgo medio</v>
      </c>
      <c r="EI542" s="5" t="s">
        <v>253</v>
      </c>
      <c r="EJ542" s="5">
        <f t="shared" ref="EJ542:EJ548" si="1704">IF(EI542="Nunca/ casi nunca",0,
IF(EI542="Rara vez",1,
IF(EI542="A veces",2,
IF(EI542="A menudo",3,
IF(EI542="Siempre",4,"")))))</f>
        <v>0</v>
      </c>
      <c r="EK542" s="5" t="s">
        <v>232</v>
      </c>
      <c r="EL542" s="5">
        <f t="shared" ref="EL542:EL548" si="1705">IF(EK542="Nunca/ casi nunca",0,
IF(EK542="Rara vez",1,
IF(EK542="A veces",2,
IF(EK542="A menudo",3,
IF(EK542="Siempre",4,"")))))</f>
        <v>3</v>
      </c>
      <c r="EM542" s="5" t="s">
        <v>232</v>
      </c>
      <c r="EN542" s="5">
        <f t="shared" ref="EN542:EN548" si="1706">IF(EM542="Nunca/ casi nunca",0,
IF(EM542="Rara vez",1,
IF(EM542="A veces",2,
IF(EM542="A menudo",3,
IF(EM542="Siempre",4,"")))))</f>
        <v>3</v>
      </c>
      <c r="EO542" s="5">
        <f t="shared" ref="EO542:EO548" si="1707">SUM(EJ542,EL542,EN542)</f>
        <v>6</v>
      </c>
      <c r="EP542" s="5" t="str">
        <f t="shared" ref="EP542:EP548" si="1708">IF(EO542&lt;=1,"Nivel de riesgo bajo",
IF(EO542&lt;=5,"Nivel de riesgo medio",
"Nivel de riesgo alto"))</f>
        <v>Nivel de riesgo alto</v>
      </c>
      <c r="EQ542" s="5" t="s">
        <v>253</v>
      </c>
      <c r="ER542" s="5">
        <f t="shared" ref="ER542:ER548" si="1709">IF(EQ542="Nunca/ casi nunca",4,
IF(EQ542="Rara vez",3,
IF(EQ542="A veces",2,
IF(EQ542="A menudo",1,
IF(EQ542="Siempre",0,"")))))</f>
        <v>4</v>
      </c>
      <c r="ES542" s="5" t="s">
        <v>253</v>
      </c>
      <c r="ET542" s="5">
        <f t="shared" ref="ET542:ET548" si="1710">IF(ES542="Nunca/ casi nunca",4,
IF(ES542="Rara vez",3,
IF(ES542="A veces",2,
IF(ES542="A menudo",1,
IF(ES542="Siempre",0,"")))))</f>
        <v>4</v>
      </c>
      <c r="EU542" s="5" t="s">
        <v>254</v>
      </c>
      <c r="EV542" s="5">
        <f t="shared" ref="EV542:EV548" si="1711">IF(EU542="Nunca/ casi nunca",4,
IF(EU542="Rara vez",3,
IF(EU542="A veces",2,
IF(EU542="A menudo",1,
IF(EU542="Siempre",0,"")))))</f>
        <v>0</v>
      </c>
      <c r="EW542" s="5" t="s">
        <v>248</v>
      </c>
      <c r="EX542" s="5">
        <f t="shared" ref="EX542:EX548" si="1712">IF(EW542="Nunca/ casi nunca",4,
IF(EW542="Rara vez",3,
IF(EW542="A veces",2,
IF(EW542="A menudo",1,
IF(EW542="Siempre",0,"")))))</f>
        <v>3</v>
      </c>
      <c r="EY542" s="5">
        <f t="shared" ref="EY542:EY548" si="1713">SUM(ER542,ET542,EV542,EX542)</f>
        <v>11</v>
      </c>
      <c r="EZ542" s="5" t="str">
        <f t="shared" ref="EZ542:EZ548" si="1714">IF(EY542&lt;=0,"Nivel de riesgo bajo",
IF(EY542&lt;=4,"Nivel de riesgo medio",
"Nivel de riesgo alto"))</f>
        <v>Nivel de riesgo alto</v>
      </c>
      <c r="FA542" s="5" t="s">
        <v>253</v>
      </c>
      <c r="FB542" s="5">
        <f t="shared" ref="FB542:FB548" si="1715">IF(FA542="Nunca/ casi nunca",0,
IF(FA542="Rara vez",1,
IF(FA542="A veces",2,
IF(FA542="A menudo",3,
IF(FA542="Siempre",4,"")))))</f>
        <v>0</v>
      </c>
      <c r="FC542" s="5" t="s">
        <v>254</v>
      </c>
      <c r="FD542" s="5">
        <f t="shared" ref="FD542:FD548" si="1716">IF(FC542="Nunca/ casi nunca",0,
IF(FC542="Rara vez",1,
IF(FC542="A veces",2,
IF(FC542="A menudo",3,
IF(FC542="Siempre",4,"")))))</f>
        <v>4</v>
      </c>
      <c r="FE542" s="5" t="s">
        <v>254</v>
      </c>
      <c r="FF542" s="5">
        <f t="shared" ref="FF542:FF548" si="1717">IF(FE542="Nunca/ casi nunca",0,
IF(FE542="Rara vez",1,
IF(FE542="A veces",2,
IF(FE542="A menudo",3,
IF(FE542="Siempre",4,"")))))</f>
        <v>4</v>
      </c>
      <c r="FG542" s="5">
        <f t="shared" ref="FG542:FG548" si="1718">SUM(FB542,FD542,FF542)</f>
        <v>8</v>
      </c>
      <c r="FH542" s="5" t="str">
        <f t="shared" ref="FH542:FH548" si="1719">IF(FG542&lt;=2,"Nivel de riesgo bajo",
IF(FG542&lt;=5,"Nivel de riesgo medio",
"Nivel de riesgo alto"))</f>
        <v>Nivel de riesgo alto</v>
      </c>
      <c r="FI542" s="5" t="s">
        <v>232</v>
      </c>
      <c r="FJ542" s="5">
        <f t="shared" ref="FJ542:FJ548" si="1720">IF(FI542="Nunca/ casi nunca",0,
IF(FI542="Rara vez",1,
IF(FI542="A veces",2,
IF(FI542="A menudo",3,
IF(FI542="Siempre",4,"")))))</f>
        <v>3</v>
      </c>
      <c r="FK542" s="5" t="s">
        <v>232</v>
      </c>
      <c r="FL542" s="5">
        <f t="shared" ref="FL542:FL548" si="1721">IF(FK542="Nunca/ casi nunca",0,
IF(FK542="Rara vez",1,
IF(FK542="A veces",2,
IF(FK542="A menudo",3,
IF(FK542="Siempre",4,"")))))</f>
        <v>3</v>
      </c>
      <c r="FM542" s="5" t="s">
        <v>247</v>
      </c>
      <c r="FN542" s="5">
        <f t="shared" ref="FN542:FN548" si="1722">IF(FM542="Nunca/ casi nunca",0,
IF(FM542="Rara vez",1,
IF(FM542="A veces",2,
IF(FM542="A menudo",3,
IF(FM542="Siempre",4,"")))))</f>
        <v>2</v>
      </c>
      <c r="FO542" s="5">
        <f t="shared" ref="FO542:FO548" si="1723">SUM(FJ542,FL542,FN542)</f>
        <v>8</v>
      </c>
      <c r="FP542" s="5" t="str">
        <f t="shared" ref="FP542:FP548" si="1724">IF(FO542&lt;=2,"Nivel de riesgo bajo",
IF(FO542&lt;=5,"Nivel de riesgo medio",
"Nivel de riesgo alto"))</f>
        <v>Nivel de riesgo alto</v>
      </c>
      <c r="FQ542" s="5" t="s">
        <v>265</v>
      </c>
      <c r="FR542" s="5">
        <f t="shared" ref="FR542:FR548" si="1725">IF(FQ542="No",0,
IF(FQ542="Sí, unas pocas veces",1,
IF(FQ542="Sí, mensualmente",2,
IF(FQ542="Sí, semanalmente",3,
IF(FQ542="Sí, diariamente",4,"")))))</f>
        <v>1</v>
      </c>
      <c r="FS542" s="5" t="s">
        <v>265</v>
      </c>
      <c r="FT542" s="5">
        <f t="shared" ref="FT542:FT548" si="1726">IF(FS542="No",0,
IF(FS542="Sí, unas pocas veces",1,
IF(FS542="Sí, mensualmente",2,
IF(FS542="Sí, semanalmente",3,
IF(FS542="Sí, diariamente",4,"")))))</f>
        <v>1</v>
      </c>
      <c r="FU542" s="5" t="s">
        <v>265</v>
      </c>
      <c r="FV542" s="5">
        <f t="shared" ref="FV542:FV548" si="1727">IF(FU542="No",0,
IF(FU542="Sí, unas pocas veces",1,
IF(FU542="Sí, mensualmente",2,
IF(FU542="Sí, semanalmente",3,
IF(FU542="Sí, diariamente",4,"")))))</f>
        <v>1</v>
      </c>
      <c r="FW542" s="5" t="s">
        <v>206</v>
      </c>
      <c r="FX542" s="5">
        <f t="shared" ref="FX542:FX548" si="1728">IF(FW542="No",0,
IF(FW542="Sí, unas pocas veces",1,
IF(FW542="Sí, mensualmente",2,
IF(FW542="Sí, semanalmente",3,
IF(FW542="Sí, diariamente",4,"")))))</f>
        <v>0</v>
      </c>
      <c r="FY542" s="5" t="s">
        <v>206</v>
      </c>
      <c r="FZ542" s="5">
        <f t="shared" ref="FZ542:FZ548" si="1729">IF(FY542="No",0,
IF(FY542="Sí, unas pocas veces",1,
IF(FY542="Sí, mensualmente",2,
IF(FY542="Sí, semanalmente",3,
IF(FY542="Sí, diariamente",4,"")))))</f>
        <v>0</v>
      </c>
      <c r="GA542" s="5" t="s">
        <v>206</v>
      </c>
      <c r="GB542" s="5">
        <f t="shared" ref="GB542:GB548" si="1730">IF(GA542="No",0,
IF(GA542="Sí, unas pocas veces",1,
IF(GA542="Sí, mensualmente",2,
IF(GA542="Sí, semanalmente",3,
IF(GA542="Sí, diariamente",4,"")))))</f>
        <v>0</v>
      </c>
      <c r="GC542" s="5" t="s">
        <v>206</v>
      </c>
      <c r="GD542" s="5">
        <f t="shared" ref="GD542:GD548" si="1731">IF(GC542="No",0,
IF(GC542="Sí, unas pocas veces",1,
IF(GC542="Sí, mensualmente",2,
IF(GC542="Sí, semanalmente",3,
IF(GC542="Sí, diariamente",4,"")))))</f>
        <v>0</v>
      </c>
      <c r="GE542" s="5">
        <f t="shared" ref="GE542:GE548" si="1732">SUM(FR542,FT542,FV542,FX542,FZ542,GB542,GD542)</f>
        <v>3</v>
      </c>
      <c r="GF542" s="5" t="str">
        <f t="shared" ref="GF542:GF548" si="1733">IF(GE542&lt;=0,"Nivel de riesgo bajo",
IF(GE542&lt;=14,"Nivel de riesgo medio",
"Nivel de riesgo alto"))</f>
        <v>Nivel de riesgo medio</v>
      </c>
      <c r="GG542" s="5" t="s">
        <v>266</v>
      </c>
      <c r="GH542" s="5" t="s">
        <v>266</v>
      </c>
      <c r="GI542" s="5" t="s">
        <v>266</v>
      </c>
      <c r="GJ542" s="5" t="s">
        <v>266</v>
      </c>
      <c r="GK542" s="5" t="s">
        <v>266</v>
      </c>
      <c r="GL542" s="5" t="s">
        <v>266</v>
      </c>
      <c r="GM542" s="5" t="s">
        <v>266</v>
      </c>
      <c r="GN542" s="5" t="s">
        <v>234</v>
      </c>
      <c r="GO542" s="5" t="s">
        <v>234</v>
      </c>
      <c r="GP542" s="5" t="s">
        <v>234</v>
      </c>
      <c r="GQ542" s="5" t="s">
        <v>234</v>
      </c>
      <c r="GR542" s="5" t="s">
        <v>234</v>
      </c>
      <c r="GS542" s="5" t="s">
        <v>234</v>
      </c>
      <c r="GT542" s="5" t="s">
        <v>234</v>
      </c>
      <c r="GU542" s="5" t="s">
        <v>906</v>
      </c>
      <c r="GV542" s="5" t="str">
        <f>TEXT("6291273912764382641","0")</f>
        <v>6291273912764380000</v>
      </c>
    </row>
    <row r="543" spans="1:204" ht="15.75" customHeight="1" x14ac:dyDescent="0.15">
      <c r="A543" s="1">
        <f t="shared" si="1683"/>
        <v>543</v>
      </c>
      <c r="B543" s="4">
        <v>45861.876550925925</v>
      </c>
      <c r="C543" s="5" t="s">
        <v>204</v>
      </c>
      <c r="D543" s="5" t="s">
        <v>206</v>
      </c>
      <c r="F543" s="5" t="s">
        <v>206</v>
      </c>
      <c r="G543" s="5" t="s">
        <v>204</v>
      </c>
      <c r="H543" s="5" t="s">
        <v>204</v>
      </c>
      <c r="K543" s="5" t="s">
        <v>237</v>
      </c>
      <c r="O543" s="5" t="s">
        <v>209</v>
      </c>
      <c r="S543" s="5" t="s">
        <v>208</v>
      </c>
      <c r="X543" s="5" t="s">
        <v>208</v>
      </c>
      <c r="AG543" s="5" t="s">
        <v>207</v>
      </c>
      <c r="AH543" s="5" t="s">
        <v>210</v>
      </c>
      <c r="AI543" s="5">
        <v>2000</v>
      </c>
      <c r="AJ543" s="5" t="s">
        <v>238</v>
      </c>
      <c r="AK543" s="5" t="str">
        <f t="shared" si="1684"/>
        <v>Trabajadora por cuenta propia</v>
      </c>
      <c r="AL543" s="5" t="s">
        <v>239</v>
      </c>
      <c r="AP543" s="5" t="s">
        <v>284</v>
      </c>
      <c r="AR543" s="5" t="s">
        <v>241</v>
      </c>
      <c r="AS543" s="5" t="s">
        <v>241</v>
      </c>
      <c r="AT543" s="5" t="s">
        <v>241</v>
      </c>
      <c r="AU543" s="5" t="s">
        <v>241</v>
      </c>
      <c r="AV543" s="5" t="s">
        <v>269</v>
      </c>
      <c r="AW543" s="5" t="s">
        <v>204</v>
      </c>
      <c r="AX543" s="5" t="s">
        <v>204</v>
      </c>
      <c r="AY543" s="5" t="s">
        <v>214</v>
      </c>
      <c r="AZ543" s="5" t="s">
        <v>204</v>
      </c>
      <c r="BA543" s="5" t="s">
        <v>263</v>
      </c>
      <c r="BF543" s="5" t="s">
        <v>204</v>
      </c>
      <c r="BG543" s="5" t="s">
        <v>207</v>
      </c>
      <c r="BH543" s="5" t="s">
        <v>215</v>
      </c>
      <c r="BI543" s="5" t="s">
        <v>207</v>
      </c>
      <c r="BJ543" s="5" t="s">
        <v>215</v>
      </c>
      <c r="BK543" s="5" t="s">
        <v>216</v>
      </c>
      <c r="BL543" s="5" t="s">
        <v>216</v>
      </c>
      <c r="BM543" s="5" t="s">
        <v>216</v>
      </c>
      <c r="BN543" s="5" t="s">
        <v>243</v>
      </c>
      <c r="BO543" s="5" t="s">
        <v>216</v>
      </c>
      <c r="BP543" s="5" t="s">
        <v>216</v>
      </c>
      <c r="BQ543" s="5" t="s">
        <v>216</v>
      </c>
      <c r="BR543" s="5" t="s">
        <v>216</v>
      </c>
      <c r="BS543" s="5" t="s">
        <v>247</v>
      </c>
      <c r="BT543" s="5" t="s">
        <v>232</v>
      </c>
      <c r="BU543" s="5" t="s">
        <v>247</v>
      </c>
      <c r="BV543" s="5" t="s">
        <v>247</v>
      </c>
      <c r="BW543" s="5" t="s">
        <v>217</v>
      </c>
      <c r="BX543" s="5" t="s">
        <v>217</v>
      </c>
      <c r="BY543" s="5" t="s">
        <v>217</v>
      </c>
      <c r="BZ543" s="5" t="s">
        <v>216</v>
      </c>
      <c r="CA543" s="5" t="s">
        <v>243</v>
      </c>
      <c r="CB543" s="5" t="s">
        <v>216</v>
      </c>
      <c r="CC543" s="5" t="s">
        <v>243</v>
      </c>
      <c r="CD543" s="5" t="s">
        <v>206</v>
      </c>
      <c r="CH543" s="5" t="s">
        <v>206</v>
      </c>
      <c r="CI543" s="5" t="s">
        <v>332</v>
      </c>
      <c r="CJ543" s="5">
        <v>2</v>
      </c>
      <c r="CK543" s="5" t="s">
        <v>223</v>
      </c>
      <c r="CU543" s="5" t="s">
        <v>206</v>
      </c>
      <c r="DA543" s="5" t="s">
        <v>231</v>
      </c>
      <c r="DB543" s="5">
        <f t="shared" si="1685"/>
        <v>2</v>
      </c>
      <c r="DC543" s="5" t="s">
        <v>251</v>
      </c>
      <c r="DD543" s="5">
        <f t="shared" si="1686"/>
        <v>1</v>
      </c>
      <c r="DE543" s="5" t="s">
        <v>251</v>
      </c>
      <c r="DF543" s="5">
        <f t="shared" si="1687"/>
        <v>1</v>
      </c>
      <c r="DG543" s="5" t="s">
        <v>251</v>
      </c>
      <c r="DH543" s="5">
        <f t="shared" si="1688"/>
        <v>1</v>
      </c>
      <c r="DI543" s="5" t="s">
        <v>251</v>
      </c>
      <c r="DJ543" s="5">
        <f t="shared" si="1689"/>
        <v>1</v>
      </c>
      <c r="DK543" s="5" t="s">
        <v>251</v>
      </c>
      <c r="DL543" s="5">
        <f t="shared" si="1690"/>
        <v>1</v>
      </c>
      <c r="DM543" s="5" t="s">
        <v>251</v>
      </c>
      <c r="DN543" s="5">
        <f t="shared" si="1691"/>
        <v>1</v>
      </c>
      <c r="DO543" s="5" t="s">
        <v>281</v>
      </c>
      <c r="DP543" s="5">
        <f t="shared" si="1692"/>
        <v>1</v>
      </c>
      <c r="DQ543" s="5" t="s">
        <v>281</v>
      </c>
      <c r="DR543" s="5">
        <f t="shared" si="1693"/>
        <v>1</v>
      </c>
      <c r="DS543" s="5" t="s">
        <v>281</v>
      </c>
      <c r="DT543" s="5">
        <f t="shared" si="1694"/>
        <v>1</v>
      </c>
      <c r="DU543" s="5" t="s">
        <v>281</v>
      </c>
      <c r="DV543" s="5">
        <f t="shared" si="1695"/>
        <v>1</v>
      </c>
      <c r="DW543" s="5" t="s">
        <v>281</v>
      </c>
      <c r="DX543" s="5">
        <f t="shared" si="1696"/>
        <v>1</v>
      </c>
      <c r="DY543" s="5">
        <f t="shared" si="1697"/>
        <v>13</v>
      </c>
      <c r="DZ543" s="5" t="str">
        <f t="shared" si="1698"/>
        <v>Nivel de riesgo bajo</v>
      </c>
      <c r="EA543" s="5" t="s">
        <v>247</v>
      </c>
      <c r="EB543" s="5">
        <f t="shared" si="1699"/>
        <v>2</v>
      </c>
      <c r="EC543" s="5" t="s">
        <v>248</v>
      </c>
      <c r="ED543" s="5">
        <f t="shared" si="1700"/>
        <v>1</v>
      </c>
      <c r="EE543" s="5" t="s">
        <v>253</v>
      </c>
      <c r="EF543" s="5">
        <f t="shared" si="1701"/>
        <v>0</v>
      </c>
      <c r="EG543" s="5">
        <f t="shared" si="1702"/>
        <v>3</v>
      </c>
      <c r="EH543" s="5" t="str">
        <f t="shared" si="1703"/>
        <v>Nivel de riesgo medio</v>
      </c>
      <c r="EI543" s="5" t="s">
        <v>253</v>
      </c>
      <c r="EJ543" s="5">
        <f t="shared" si="1704"/>
        <v>0</v>
      </c>
      <c r="EK543" s="5" t="s">
        <v>253</v>
      </c>
      <c r="EL543" s="5">
        <f t="shared" si="1705"/>
        <v>0</v>
      </c>
      <c r="EM543" s="5" t="s">
        <v>253</v>
      </c>
      <c r="EN543" s="5">
        <f t="shared" si="1706"/>
        <v>0</v>
      </c>
      <c r="EO543" s="5">
        <f t="shared" si="1707"/>
        <v>0</v>
      </c>
      <c r="EP543" s="5" t="str">
        <f t="shared" si="1708"/>
        <v>Nivel de riesgo bajo</v>
      </c>
      <c r="EQ543" s="5" t="s">
        <v>253</v>
      </c>
      <c r="ER543" s="5">
        <f t="shared" si="1709"/>
        <v>4</v>
      </c>
      <c r="ES543" s="5" t="s">
        <v>253</v>
      </c>
      <c r="ET543" s="5">
        <f t="shared" si="1710"/>
        <v>4</v>
      </c>
      <c r="EU543" s="5" t="s">
        <v>253</v>
      </c>
      <c r="EV543" s="5">
        <f t="shared" si="1711"/>
        <v>4</v>
      </c>
      <c r="EW543" s="5" t="s">
        <v>254</v>
      </c>
      <c r="EX543" s="5">
        <f t="shared" si="1712"/>
        <v>0</v>
      </c>
      <c r="EY543" s="5">
        <f t="shared" si="1713"/>
        <v>12</v>
      </c>
      <c r="EZ543" s="5" t="str">
        <f t="shared" si="1714"/>
        <v>Nivel de riesgo alto</v>
      </c>
      <c r="FA543" s="5" t="s">
        <v>247</v>
      </c>
      <c r="FB543" s="5">
        <f t="shared" si="1715"/>
        <v>2</v>
      </c>
      <c r="FC543" s="5" t="s">
        <v>253</v>
      </c>
      <c r="FD543" s="5">
        <f t="shared" si="1716"/>
        <v>0</v>
      </c>
      <c r="FE543" s="5" t="s">
        <v>253</v>
      </c>
      <c r="FF543" s="5">
        <f t="shared" si="1717"/>
        <v>0</v>
      </c>
      <c r="FG543" s="5">
        <f t="shared" si="1718"/>
        <v>2</v>
      </c>
      <c r="FH543" s="5" t="str">
        <f t="shared" si="1719"/>
        <v>Nivel de riesgo bajo</v>
      </c>
      <c r="FI543" s="5" t="s">
        <v>253</v>
      </c>
      <c r="FJ543" s="5">
        <f t="shared" si="1720"/>
        <v>0</v>
      </c>
      <c r="FK543" s="5" t="s">
        <v>253</v>
      </c>
      <c r="FL543" s="5">
        <f t="shared" si="1721"/>
        <v>0</v>
      </c>
      <c r="FM543" s="5" t="s">
        <v>253</v>
      </c>
      <c r="FN543" s="5">
        <f t="shared" si="1722"/>
        <v>0</v>
      </c>
      <c r="FO543" s="5">
        <f t="shared" si="1723"/>
        <v>0</v>
      </c>
      <c r="FP543" s="5" t="str">
        <f t="shared" si="1724"/>
        <v>Nivel de riesgo bajo</v>
      </c>
      <c r="FQ543" s="5" t="s">
        <v>206</v>
      </c>
      <c r="FR543" s="5">
        <f t="shared" si="1725"/>
        <v>0</v>
      </c>
      <c r="FS543" s="5" t="s">
        <v>206</v>
      </c>
      <c r="FT543" s="5">
        <f t="shared" si="1726"/>
        <v>0</v>
      </c>
      <c r="FU543" s="5" t="s">
        <v>206</v>
      </c>
      <c r="FV543" s="5">
        <f t="shared" si="1727"/>
        <v>0</v>
      </c>
      <c r="FW543" s="5" t="s">
        <v>206</v>
      </c>
      <c r="FX543" s="5">
        <f t="shared" si="1728"/>
        <v>0</v>
      </c>
      <c r="FY543" s="5" t="s">
        <v>206</v>
      </c>
      <c r="FZ543" s="5">
        <f t="shared" si="1729"/>
        <v>0</v>
      </c>
      <c r="GA543" s="5" t="s">
        <v>206</v>
      </c>
      <c r="GB543" s="5">
        <f t="shared" si="1730"/>
        <v>0</v>
      </c>
      <c r="GC543" s="5" t="s">
        <v>206</v>
      </c>
      <c r="GD543" s="5">
        <f t="shared" si="1731"/>
        <v>0</v>
      </c>
      <c r="GE543" s="5">
        <f t="shared" si="1732"/>
        <v>0</v>
      </c>
      <c r="GF543" s="5" t="str">
        <f t="shared" si="1733"/>
        <v>Nivel de riesgo bajo</v>
      </c>
      <c r="GG543" s="5" t="s">
        <v>255</v>
      </c>
      <c r="GH543" s="5" t="s">
        <v>255</v>
      </c>
      <c r="GI543" s="5" t="s">
        <v>255</v>
      </c>
      <c r="GJ543" s="5" t="s">
        <v>255</v>
      </c>
      <c r="GK543" s="5" t="s">
        <v>233</v>
      </c>
      <c r="GL543" s="5" t="s">
        <v>255</v>
      </c>
      <c r="GM543" s="5" t="s">
        <v>255</v>
      </c>
      <c r="GN543" s="5" t="s">
        <v>256</v>
      </c>
      <c r="GO543" s="5" t="s">
        <v>256</v>
      </c>
      <c r="GP543" s="5" t="s">
        <v>256</v>
      </c>
      <c r="GQ543" s="5" t="s">
        <v>256</v>
      </c>
      <c r="GR543" s="5" t="s">
        <v>256</v>
      </c>
      <c r="GS543" s="5" t="s">
        <v>256</v>
      </c>
      <c r="GT543" s="5" t="s">
        <v>256</v>
      </c>
      <c r="GU543" s="5" t="s">
        <v>907</v>
      </c>
      <c r="GV543" s="5" t="str">
        <f>TEXT("6291281348428367103","0")</f>
        <v>6291281348428360000</v>
      </c>
    </row>
    <row r="544" spans="1:204" ht="15.75" customHeight="1" x14ac:dyDescent="0.15">
      <c r="A544" s="1">
        <f t="shared" si="1683"/>
        <v>544</v>
      </c>
      <c r="B544" s="4">
        <v>45861.879525462966</v>
      </c>
      <c r="C544" s="5" t="s">
        <v>204</v>
      </c>
      <c r="D544" s="5" t="s">
        <v>206</v>
      </c>
      <c r="F544" s="5" t="s">
        <v>206</v>
      </c>
      <c r="G544" s="5" t="s">
        <v>206</v>
      </c>
      <c r="H544" s="5" t="s">
        <v>206</v>
      </c>
      <c r="K544" s="5" t="s">
        <v>237</v>
      </c>
      <c r="O544" s="5" t="s">
        <v>209</v>
      </c>
      <c r="S544" s="5" t="s">
        <v>208</v>
      </c>
      <c r="X544" s="5" t="s">
        <v>208</v>
      </c>
      <c r="AD544" s="5" t="s">
        <v>209</v>
      </c>
      <c r="AH544" s="5" t="s">
        <v>210</v>
      </c>
      <c r="AI544" s="5">
        <v>2004</v>
      </c>
      <c r="AJ544" s="5" t="s">
        <v>330</v>
      </c>
      <c r="AK544" s="5" t="str">
        <f t="shared" si="1684"/>
        <v>Asalariada</v>
      </c>
      <c r="AQ544" s="5" t="s">
        <v>206</v>
      </c>
      <c r="AR544" s="5" t="s">
        <v>301</v>
      </c>
      <c r="AS544" s="5" t="s">
        <v>301</v>
      </c>
      <c r="AT544" s="5" t="s">
        <v>301</v>
      </c>
      <c r="AU544" s="5" t="s">
        <v>301</v>
      </c>
      <c r="AV544" s="5" t="s">
        <v>269</v>
      </c>
      <c r="AW544" s="5" t="s">
        <v>204</v>
      </c>
      <c r="AX544" s="5" t="s">
        <v>204</v>
      </c>
      <c r="AY544" s="5" t="s">
        <v>214</v>
      </c>
      <c r="AZ544" s="5" t="s">
        <v>204</v>
      </c>
      <c r="BA544" s="5" t="s">
        <v>263</v>
      </c>
      <c r="BF544" s="5" t="s">
        <v>204</v>
      </c>
      <c r="BG544" s="5" t="s">
        <v>215</v>
      </c>
      <c r="BH544" s="5" t="s">
        <v>215</v>
      </c>
      <c r="BI544" s="5" t="s">
        <v>242</v>
      </c>
      <c r="BJ544" s="5" t="s">
        <v>242</v>
      </c>
      <c r="BK544" s="5" t="s">
        <v>245</v>
      </c>
      <c r="BL544" s="5" t="s">
        <v>216</v>
      </c>
      <c r="BM544" s="5" t="s">
        <v>244</v>
      </c>
      <c r="BN544" s="5" t="s">
        <v>243</v>
      </c>
      <c r="BO544" s="5" t="s">
        <v>244</v>
      </c>
      <c r="BP544" s="5" t="s">
        <v>216</v>
      </c>
      <c r="BQ544" s="5" t="s">
        <v>244</v>
      </c>
      <c r="BR544" s="5" t="s">
        <v>244</v>
      </c>
      <c r="BS544" s="5" t="s">
        <v>247</v>
      </c>
      <c r="BT544" s="5" t="s">
        <v>232</v>
      </c>
      <c r="BU544" s="5" t="s">
        <v>247</v>
      </c>
      <c r="BV544" s="5" t="s">
        <v>247</v>
      </c>
      <c r="BW544" s="5" t="s">
        <v>247</v>
      </c>
      <c r="BX544" s="5" t="s">
        <v>247</v>
      </c>
      <c r="BY544" s="5" t="s">
        <v>247</v>
      </c>
      <c r="BZ544" s="5" t="s">
        <v>216</v>
      </c>
      <c r="CA544" s="5" t="s">
        <v>216</v>
      </c>
      <c r="CB544" s="5" t="s">
        <v>216</v>
      </c>
      <c r="CC544" s="5" t="s">
        <v>216</v>
      </c>
      <c r="CD544" s="5" t="s">
        <v>206</v>
      </c>
      <c r="CH544" s="5" t="s">
        <v>206</v>
      </c>
      <c r="CI544" s="5" t="s">
        <v>291</v>
      </c>
      <c r="CJ544" s="5">
        <v>1</v>
      </c>
      <c r="CK544" s="5" t="s">
        <v>223</v>
      </c>
      <c r="CU544" s="5" t="s">
        <v>206</v>
      </c>
      <c r="DA544" s="5" t="s">
        <v>272</v>
      </c>
      <c r="DB544" s="5">
        <f t="shared" si="1685"/>
        <v>1</v>
      </c>
      <c r="DC544" s="5" t="s">
        <v>251</v>
      </c>
      <c r="DD544" s="5">
        <f t="shared" si="1686"/>
        <v>1</v>
      </c>
      <c r="DE544" s="5" t="s">
        <v>230</v>
      </c>
      <c r="DF544" s="5">
        <f t="shared" si="1687"/>
        <v>2</v>
      </c>
      <c r="DG544" s="5" t="s">
        <v>230</v>
      </c>
      <c r="DH544" s="5">
        <f t="shared" si="1688"/>
        <v>2</v>
      </c>
      <c r="DI544" s="5" t="s">
        <v>230</v>
      </c>
      <c r="DJ544" s="5">
        <f t="shared" si="1689"/>
        <v>2</v>
      </c>
      <c r="DK544" s="5" t="s">
        <v>230</v>
      </c>
      <c r="DL544" s="5">
        <f t="shared" si="1690"/>
        <v>2</v>
      </c>
      <c r="DM544" s="5" t="s">
        <v>230</v>
      </c>
      <c r="DN544" s="5">
        <f t="shared" si="1691"/>
        <v>2</v>
      </c>
      <c r="DO544" s="5" t="s">
        <v>281</v>
      </c>
      <c r="DP544" s="5">
        <f t="shared" si="1692"/>
        <v>1</v>
      </c>
      <c r="DQ544" s="5" t="s">
        <v>281</v>
      </c>
      <c r="DR544" s="5">
        <f t="shared" si="1693"/>
        <v>1</v>
      </c>
      <c r="DS544" s="5" t="s">
        <v>281</v>
      </c>
      <c r="DT544" s="5">
        <f t="shared" si="1694"/>
        <v>1</v>
      </c>
      <c r="DU544" s="5" t="s">
        <v>281</v>
      </c>
      <c r="DV544" s="5">
        <f t="shared" si="1695"/>
        <v>1</v>
      </c>
      <c r="DW544" s="5" t="s">
        <v>281</v>
      </c>
      <c r="DX544" s="5">
        <f t="shared" si="1696"/>
        <v>1</v>
      </c>
      <c r="DY544" s="5">
        <f t="shared" si="1697"/>
        <v>17</v>
      </c>
      <c r="DZ544" s="5" t="str">
        <f t="shared" si="1698"/>
        <v>Nivel de riesgo bajo</v>
      </c>
      <c r="EA544" s="5" t="s">
        <v>247</v>
      </c>
      <c r="EB544" s="5">
        <f t="shared" si="1699"/>
        <v>2</v>
      </c>
      <c r="EC544" s="5" t="s">
        <v>247</v>
      </c>
      <c r="ED544" s="5">
        <f t="shared" si="1700"/>
        <v>2</v>
      </c>
      <c r="EE544" s="5" t="s">
        <v>247</v>
      </c>
      <c r="EF544" s="5">
        <f t="shared" si="1701"/>
        <v>2</v>
      </c>
      <c r="EG544" s="5">
        <f t="shared" si="1702"/>
        <v>6</v>
      </c>
      <c r="EH544" s="5" t="str">
        <f t="shared" si="1703"/>
        <v>Nivel de riesgo alto</v>
      </c>
      <c r="EI544" s="5" t="s">
        <v>247</v>
      </c>
      <c r="EJ544" s="5">
        <f t="shared" si="1704"/>
        <v>2</v>
      </c>
      <c r="EK544" s="5" t="s">
        <v>247</v>
      </c>
      <c r="EL544" s="5">
        <f t="shared" si="1705"/>
        <v>2</v>
      </c>
      <c r="EM544" s="5" t="s">
        <v>247</v>
      </c>
      <c r="EN544" s="5">
        <f t="shared" si="1706"/>
        <v>2</v>
      </c>
      <c r="EO544" s="5">
        <f t="shared" si="1707"/>
        <v>6</v>
      </c>
      <c r="EP544" s="5" t="str">
        <f t="shared" si="1708"/>
        <v>Nivel de riesgo alto</v>
      </c>
      <c r="EQ544" s="5" t="s">
        <v>247</v>
      </c>
      <c r="ER544" s="5">
        <f t="shared" si="1709"/>
        <v>2</v>
      </c>
      <c r="ES544" s="5" t="s">
        <v>247</v>
      </c>
      <c r="ET544" s="5">
        <f t="shared" si="1710"/>
        <v>2</v>
      </c>
      <c r="EU544" s="5" t="s">
        <v>247</v>
      </c>
      <c r="EV544" s="5">
        <f t="shared" si="1711"/>
        <v>2</v>
      </c>
      <c r="EW544" s="5" t="s">
        <v>247</v>
      </c>
      <c r="EX544" s="5">
        <f t="shared" si="1712"/>
        <v>2</v>
      </c>
      <c r="EY544" s="5">
        <f t="shared" si="1713"/>
        <v>8</v>
      </c>
      <c r="EZ544" s="5" t="str">
        <f t="shared" si="1714"/>
        <v>Nivel de riesgo alto</v>
      </c>
      <c r="FA544" s="5" t="s">
        <v>247</v>
      </c>
      <c r="FB544" s="5">
        <f t="shared" si="1715"/>
        <v>2</v>
      </c>
      <c r="FC544" s="5" t="s">
        <v>247</v>
      </c>
      <c r="FD544" s="5">
        <f t="shared" si="1716"/>
        <v>2</v>
      </c>
      <c r="FE544" s="5" t="s">
        <v>247</v>
      </c>
      <c r="FF544" s="5">
        <f t="shared" si="1717"/>
        <v>2</v>
      </c>
      <c r="FG544" s="5">
        <f t="shared" si="1718"/>
        <v>6</v>
      </c>
      <c r="FH544" s="5" t="str">
        <f t="shared" si="1719"/>
        <v>Nivel de riesgo alto</v>
      </c>
      <c r="FI544" s="5" t="s">
        <v>247</v>
      </c>
      <c r="FJ544" s="5">
        <f t="shared" si="1720"/>
        <v>2</v>
      </c>
      <c r="FK544" s="5" t="s">
        <v>247</v>
      </c>
      <c r="FL544" s="5">
        <f t="shared" si="1721"/>
        <v>2</v>
      </c>
      <c r="FM544" s="5" t="s">
        <v>247</v>
      </c>
      <c r="FN544" s="5">
        <f t="shared" si="1722"/>
        <v>2</v>
      </c>
      <c r="FO544" s="5">
        <f t="shared" si="1723"/>
        <v>6</v>
      </c>
      <c r="FP544" s="5" t="str">
        <f t="shared" si="1724"/>
        <v>Nivel de riesgo alto</v>
      </c>
      <c r="FQ544" s="5" t="s">
        <v>265</v>
      </c>
      <c r="FR544" s="5">
        <f t="shared" si="1725"/>
        <v>1</v>
      </c>
      <c r="FS544" s="5" t="s">
        <v>265</v>
      </c>
      <c r="FT544" s="5">
        <f t="shared" si="1726"/>
        <v>1</v>
      </c>
      <c r="FU544" s="5" t="s">
        <v>206</v>
      </c>
      <c r="FV544" s="5">
        <f t="shared" si="1727"/>
        <v>0</v>
      </c>
      <c r="FW544" s="5" t="s">
        <v>206</v>
      </c>
      <c r="FX544" s="5">
        <f t="shared" si="1728"/>
        <v>0</v>
      </c>
      <c r="FY544" s="5" t="s">
        <v>206</v>
      </c>
      <c r="FZ544" s="5">
        <f t="shared" si="1729"/>
        <v>0</v>
      </c>
      <c r="GA544" s="5" t="s">
        <v>206</v>
      </c>
      <c r="GB544" s="5">
        <f t="shared" si="1730"/>
        <v>0</v>
      </c>
      <c r="GC544" s="5" t="s">
        <v>206</v>
      </c>
      <c r="GD544" s="5">
        <f t="shared" si="1731"/>
        <v>0</v>
      </c>
      <c r="GE544" s="5">
        <f t="shared" si="1732"/>
        <v>2</v>
      </c>
      <c r="GF544" s="5" t="str">
        <f t="shared" si="1733"/>
        <v>Nivel de riesgo medio</v>
      </c>
      <c r="GG544" s="5" t="s">
        <v>255</v>
      </c>
      <c r="GH544" s="5" t="s">
        <v>266</v>
      </c>
      <c r="GI544" s="5" t="s">
        <v>255</v>
      </c>
      <c r="GJ544" s="5" t="s">
        <v>255</v>
      </c>
      <c r="GK544" s="5" t="s">
        <v>233</v>
      </c>
      <c r="GL544" s="5" t="s">
        <v>255</v>
      </c>
      <c r="GM544" s="5" t="s">
        <v>233</v>
      </c>
      <c r="GN544" s="5" t="s">
        <v>256</v>
      </c>
      <c r="GO544" s="5" t="s">
        <v>256</v>
      </c>
      <c r="GP544" s="5" t="s">
        <v>256</v>
      </c>
      <c r="GQ544" s="5" t="s">
        <v>256</v>
      </c>
      <c r="GR544" s="5" t="s">
        <v>256</v>
      </c>
      <c r="GS544" s="5" t="s">
        <v>256</v>
      </c>
      <c r="GT544" s="5" t="s">
        <v>256</v>
      </c>
      <c r="GU544" s="5" t="s">
        <v>908</v>
      </c>
      <c r="GV544" s="5" t="str">
        <f>TEXT("6291283918916125665","0")</f>
        <v>6291283918916120000</v>
      </c>
    </row>
    <row r="545" spans="1:204" ht="15.75" customHeight="1" x14ac:dyDescent="0.15">
      <c r="A545" s="1">
        <f t="shared" si="1683"/>
        <v>545</v>
      </c>
      <c r="B545" s="4">
        <v>45861.881967592592</v>
      </c>
      <c r="C545" s="5" t="s">
        <v>204</v>
      </c>
      <c r="D545" s="5" t="s">
        <v>206</v>
      </c>
      <c r="F545" s="5" t="s">
        <v>206</v>
      </c>
      <c r="G545" s="5" t="s">
        <v>206</v>
      </c>
      <c r="H545" s="5" t="s">
        <v>206</v>
      </c>
      <c r="L545" s="5" t="s">
        <v>236</v>
      </c>
      <c r="O545" s="5" t="s">
        <v>209</v>
      </c>
      <c r="T545" s="5" t="s">
        <v>209</v>
      </c>
      <c r="Y545" s="5" t="s">
        <v>209</v>
      </c>
      <c r="AG545" s="5" t="s">
        <v>207</v>
      </c>
      <c r="AH545" s="5" t="s">
        <v>210</v>
      </c>
      <c r="AI545" s="5">
        <v>2015</v>
      </c>
      <c r="AJ545" s="5" t="s">
        <v>238</v>
      </c>
      <c r="AK545" s="5" t="str">
        <f t="shared" si="1684"/>
        <v>Trabajadora por cuenta propia</v>
      </c>
      <c r="AN545" s="5" t="s">
        <v>288</v>
      </c>
      <c r="AP545" s="5" t="s">
        <v>240</v>
      </c>
      <c r="AR545" s="5" t="s">
        <v>241</v>
      </c>
      <c r="AS545" s="5" t="s">
        <v>241</v>
      </c>
      <c r="AT545" s="5" t="s">
        <v>241</v>
      </c>
      <c r="AU545" s="5" t="s">
        <v>241</v>
      </c>
      <c r="AV545" s="5" t="s">
        <v>269</v>
      </c>
      <c r="AW545" s="5" t="s">
        <v>204</v>
      </c>
      <c r="AX545" s="5" t="s">
        <v>204</v>
      </c>
      <c r="AY545" s="5" t="s">
        <v>366</v>
      </c>
      <c r="AZ545" s="5" t="s">
        <v>204</v>
      </c>
      <c r="BA545" s="5" t="s">
        <v>263</v>
      </c>
      <c r="BF545" s="5" t="s">
        <v>204</v>
      </c>
      <c r="BG545" s="5" t="s">
        <v>264</v>
      </c>
      <c r="BH545" s="5" t="s">
        <v>215</v>
      </c>
      <c r="BI545" s="5" t="s">
        <v>215</v>
      </c>
      <c r="BJ545" s="5" t="s">
        <v>215</v>
      </c>
      <c r="BK545" s="5" t="s">
        <v>243</v>
      </c>
      <c r="BL545" s="5" t="s">
        <v>246</v>
      </c>
      <c r="BM545" s="5" t="s">
        <v>246</v>
      </c>
      <c r="BN545" s="5" t="s">
        <v>243</v>
      </c>
      <c r="BO545" s="5" t="s">
        <v>243</v>
      </c>
      <c r="BP545" s="5" t="s">
        <v>243</v>
      </c>
      <c r="BQ545" s="5" t="s">
        <v>246</v>
      </c>
      <c r="BR545" s="5" t="s">
        <v>246</v>
      </c>
      <c r="BS545" s="5" t="s">
        <v>247</v>
      </c>
      <c r="BT545" s="5" t="s">
        <v>247</v>
      </c>
      <c r="BU545" s="5" t="s">
        <v>247</v>
      </c>
      <c r="BV545" s="5" t="s">
        <v>247</v>
      </c>
      <c r="BW545" s="5" t="s">
        <v>247</v>
      </c>
      <c r="BX545" s="5" t="s">
        <v>247</v>
      </c>
      <c r="BY545" s="5" t="s">
        <v>247</v>
      </c>
      <c r="BZ545" s="5" t="s">
        <v>243</v>
      </c>
      <c r="CA545" s="5" t="s">
        <v>243</v>
      </c>
      <c r="CB545" s="5" t="s">
        <v>243</v>
      </c>
      <c r="CC545" s="5" t="s">
        <v>243</v>
      </c>
      <c r="CD545" s="5" t="s">
        <v>206</v>
      </c>
      <c r="CH545" s="5" t="s">
        <v>221</v>
      </c>
      <c r="CI545" s="5" t="s">
        <v>307</v>
      </c>
      <c r="CJ545" s="5">
        <v>3</v>
      </c>
      <c r="CM545" s="5" t="s">
        <v>358</v>
      </c>
      <c r="CU545" s="5" t="s">
        <v>204</v>
      </c>
      <c r="CV545" s="5" t="s">
        <v>350</v>
      </c>
      <c r="CW545" s="5" t="s">
        <v>351</v>
      </c>
      <c r="CX545" s="5" t="s">
        <v>226</v>
      </c>
      <c r="CY545" s="5" t="s">
        <v>353</v>
      </c>
      <c r="CZ545" s="5" t="s">
        <v>206</v>
      </c>
      <c r="DA545" s="5" t="s">
        <v>272</v>
      </c>
      <c r="DB545" s="5">
        <f t="shared" si="1685"/>
        <v>1</v>
      </c>
      <c r="DC545" s="5" t="s">
        <v>250</v>
      </c>
      <c r="DD545" s="5">
        <f t="shared" si="1686"/>
        <v>3</v>
      </c>
      <c r="DE545" s="5" t="s">
        <v>230</v>
      </c>
      <c r="DF545" s="5">
        <f t="shared" si="1687"/>
        <v>2</v>
      </c>
      <c r="DG545" s="5" t="s">
        <v>230</v>
      </c>
      <c r="DH545" s="5">
        <f t="shared" si="1688"/>
        <v>2</v>
      </c>
      <c r="DI545" s="5" t="s">
        <v>230</v>
      </c>
      <c r="DJ545" s="5">
        <f t="shared" si="1689"/>
        <v>2</v>
      </c>
      <c r="DK545" s="5" t="s">
        <v>230</v>
      </c>
      <c r="DL545" s="5">
        <f t="shared" si="1690"/>
        <v>2</v>
      </c>
      <c r="DM545" s="5" t="s">
        <v>251</v>
      </c>
      <c r="DN545" s="5">
        <f t="shared" si="1691"/>
        <v>1</v>
      </c>
      <c r="DO545" s="5" t="s">
        <v>281</v>
      </c>
      <c r="DP545" s="5">
        <f t="shared" si="1692"/>
        <v>1</v>
      </c>
      <c r="DQ545" s="5" t="s">
        <v>281</v>
      </c>
      <c r="DR545" s="5">
        <f t="shared" si="1693"/>
        <v>1</v>
      </c>
      <c r="DS545" s="5" t="s">
        <v>231</v>
      </c>
      <c r="DT545" s="5">
        <f t="shared" si="1694"/>
        <v>2</v>
      </c>
      <c r="DU545" s="5" t="s">
        <v>231</v>
      </c>
      <c r="DV545" s="5">
        <f t="shared" si="1695"/>
        <v>2</v>
      </c>
      <c r="DW545" s="5" t="s">
        <v>231</v>
      </c>
      <c r="DX545" s="5">
        <f t="shared" si="1696"/>
        <v>2</v>
      </c>
      <c r="DY545" s="5">
        <f t="shared" si="1697"/>
        <v>21</v>
      </c>
      <c r="DZ545" s="5" t="str">
        <f t="shared" si="1698"/>
        <v>Nivel de riesgo medio</v>
      </c>
      <c r="EA545" s="5" t="s">
        <v>232</v>
      </c>
      <c r="EB545" s="5">
        <f t="shared" si="1699"/>
        <v>3</v>
      </c>
      <c r="EC545" s="5" t="s">
        <v>247</v>
      </c>
      <c r="ED545" s="5">
        <f t="shared" si="1700"/>
        <v>2</v>
      </c>
      <c r="EE545" s="5" t="s">
        <v>248</v>
      </c>
      <c r="EF545" s="5">
        <f t="shared" si="1701"/>
        <v>1</v>
      </c>
      <c r="EG545" s="5">
        <f t="shared" si="1702"/>
        <v>6</v>
      </c>
      <c r="EH545" s="5" t="str">
        <f t="shared" si="1703"/>
        <v>Nivel de riesgo alto</v>
      </c>
      <c r="EI545" s="5" t="s">
        <v>248</v>
      </c>
      <c r="EJ545" s="5">
        <f t="shared" si="1704"/>
        <v>1</v>
      </c>
      <c r="EK545" s="5" t="s">
        <v>248</v>
      </c>
      <c r="EL545" s="5">
        <f t="shared" si="1705"/>
        <v>1</v>
      </c>
      <c r="EM545" s="5" t="s">
        <v>232</v>
      </c>
      <c r="EN545" s="5">
        <f t="shared" si="1706"/>
        <v>3</v>
      </c>
      <c r="EO545" s="5">
        <f t="shared" si="1707"/>
        <v>5</v>
      </c>
      <c r="EP545" s="5" t="str">
        <f t="shared" si="1708"/>
        <v>Nivel de riesgo medio</v>
      </c>
      <c r="EQ545" s="5" t="s">
        <v>247</v>
      </c>
      <c r="ER545" s="5">
        <f t="shared" si="1709"/>
        <v>2</v>
      </c>
      <c r="ES545" s="5" t="s">
        <v>247</v>
      </c>
      <c r="ET545" s="5">
        <f t="shared" si="1710"/>
        <v>2</v>
      </c>
      <c r="EU545" s="5" t="s">
        <v>253</v>
      </c>
      <c r="EV545" s="5">
        <f t="shared" si="1711"/>
        <v>4</v>
      </c>
      <c r="EW545" s="5" t="s">
        <v>253</v>
      </c>
      <c r="EX545" s="5">
        <f t="shared" si="1712"/>
        <v>4</v>
      </c>
      <c r="EY545" s="5">
        <f t="shared" si="1713"/>
        <v>12</v>
      </c>
      <c r="EZ545" s="5" t="str">
        <f t="shared" si="1714"/>
        <v>Nivel de riesgo alto</v>
      </c>
      <c r="FA545" s="5" t="s">
        <v>232</v>
      </c>
      <c r="FB545" s="5">
        <f t="shared" si="1715"/>
        <v>3</v>
      </c>
      <c r="FC545" s="5" t="s">
        <v>248</v>
      </c>
      <c r="FD545" s="5">
        <f t="shared" si="1716"/>
        <v>1</v>
      </c>
      <c r="FE545" s="5" t="s">
        <v>253</v>
      </c>
      <c r="FF545" s="5">
        <f t="shared" si="1717"/>
        <v>0</v>
      </c>
      <c r="FG545" s="5">
        <f t="shared" si="1718"/>
        <v>4</v>
      </c>
      <c r="FH545" s="5" t="str">
        <f t="shared" si="1719"/>
        <v>Nivel de riesgo medio</v>
      </c>
      <c r="FI545" s="5" t="s">
        <v>248</v>
      </c>
      <c r="FJ545" s="5">
        <f t="shared" si="1720"/>
        <v>1</v>
      </c>
      <c r="FK545" s="5" t="s">
        <v>248</v>
      </c>
      <c r="FL545" s="5">
        <f t="shared" si="1721"/>
        <v>1</v>
      </c>
      <c r="FM545" s="5" t="s">
        <v>247</v>
      </c>
      <c r="FN545" s="5">
        <f t="shared" si="1722"/>
        <v>2</v>
      </c>
      <c r="FO545" s="5">
        <f t="shared" si="1723"/>
        <v>4</v>
      </c>
      <c r="FP545" s="5" t="str">
        <f t="shared" si="1724"/>
        <v>Nivel de riesgo medio</v>
      </c>
      <c r="FQ545" s="5" t="s">
        <v>206</v>
      </c>
      <c r="FR545" s="5">
        <f t="shared" si="1725"/>
        <v>0</v>
      </c>
      <c r="FS545" s="5" t="s">
        <v>206</v>
      </c>
      <c r="FT545" s="5">
        <f t="shared" si="1726"/>
        <v>0</v>
      </c>
      <c r="FU545" s="5" t="s">
        <v>206</v>
      </c>
      <c r="FV545" s="5">
        <f t="shared" si="1727"/>
        <v>0</v>
      </c>
      <c r="FW545" s="5" t="s">
        <v>206</v>
      </c>
      <c r="FX545" s="5">
        <f t="shared" si="1728"/>
        <v>0</v>
      </c>
      <c r="FY545" s="5" t="s">
        <v>206</v>
      </c>
      <c r="FZ545" s="5">
        <f t="shared" si="1729"/>
        <v>0</v>
      </c>
      <c r="GA545" s="5" t="s">
        <v>206</v>
      </c>
      <c r="GB545" s="5">
        <f t="shared" si="1730"/>
        <v>0</v>
      </c>
      <c r="GC545" s="5" t="s">
        <v>206</v>
      </c>
      <c r="GD545" s="5">
        <f t="shared" si="1731"/>
        <v>0</v>
      </c>
      <c r="GE545" s="5">
        <f t="shared" si="1732"/>
        <v>0</v>
      </c>
      <c r="GF545" s="5" t="str">
        <f t="shared" si="1733"/>
        <v>Nivel de riesgo bajo</v>
      </c>
      <c r="GG545" s="5" t="s">
        <v>298</v>
      </c>
      <c r="GH545" s="5" t="s">
        <v>298</v>
      </c>
      <c r="GI545" s="5" t="s">
        <v>298</v>
      </c>
      <c r="GJ545" s="5" t="s">
        <v>298</v>
      </c>
      <c r="GK545" s="5" t="s">
        <v>298</v>
      </c>
      <c r="GL545" s="5" t="s">
        <v>255</v>
      </c>
      <c r="GM545" s="5" t="s">
        <v>255</v>
      </c>
      <c r="GN545" s="5" t="s">
        <v>257</v>
      </c>
      <c r="GO545" s="5" t="s">
        <v>257</v>
      </c>
      <c r="GP545" s="5" t="s">
        <v>257</v>
      </c>
      <c r="GQ545" s="5" t="s">
        <v>257</v>
      </c>
      <c r="GR545" s="5" t="s">
        <v>257</v>
      </c>
      <c r="GS545" s="5" t="s">
        <v>257</v>
      </c>
      <c r="GT545" s="5" t="s">
        <v>257</v>
      </c>
      <c r="GU545" s="5" t="s">
        <v>556</v>
      </c>
      <c r="GV545" s="5" t="str">
        <f>TEXT("6291286024286116546","0")</f>
        <v>6291286024286110000</v>
      </c>
    </row>
    <row r="546" spans="1:204" ht="15.75" customHeight="1" x14ac:dyDescent="0.15">
      <c r="A546" s="1">
        <f t="shared" si="1683"/>
        <v>546</v>
      </c>
      <c r="B546" s="4">
        <v>45861.922094907408</v>
      </c>
      <c r="C546" s="5" t="s">
        <v>204</v>
      </c>
      <c r="D546" s="5" t="s">
        <v>206</v>
      </c>
      <c r="F546" s="5" t="s">
        <v>206</v>
      </c>
      <c r="G546" s="5" t="s">
        <v>204</v>
      </c>
      <c r="H546" s="5" t="s">
        <v>206</v>
      </c>
      <c r="L546" s="5" t="s">
        <v>236</v>
      </c>
      <c r="O546" s="5" t="s">
        <v>209</v>
      </c>
      <c r="T546" s="5" t="s">
        <v>209</v>
      </c>
      <c r="X546" s="5" t="s">
        <v>208</v>
      </c>
      <c r="AD546" s="5" t="s">
        <v>209</v>
      </c>
      <c r="AH546" s="5" t="s">
        <v>210</v>
      </c>
      <c r="AI546" s="5">
        <v>2015</v>
      </c>
      <c r="AJ546" s="5" t="s">
        <v>238</v>
      </c>
      <c r="AK546" s="5" t="str">
        <f t="shared" si="1684"/>
        <v>Trabajadora por cuenta propia</v>
      </c>
      <c r="AL546" s="5" t="s">
        <v>239</v>
      </c>
      <c r="AP546" s="5" t="s">
        <v>240</v>
      </c>
      <c r="AR546" s="5" t="s">
        <v>301</v>
      </c>
      <c r="AS546" s="5" t="s">
        <v>301</v>
      </c>
      <c r="AT546" s="5" t="s">
        <v>301</v>
      </c>
      <c r="AU546" s="5" t="s">
        <v>241</v>
      </c>
      <c r="AV546" s="5" t="s">
        <v>285</v>
      </c>
      <c r="AW546" s="5" t="s">
        <v>204</v>
      </c>
      <c r="AX546" s="5" t="s">
        <v>204</v>
      </c>
      <c r="AY546" s="5" t="s">
        <v>339</v>
      </c>
      <c r="AZ546" s="5" t="s">
        <v>204</v>
      </c>
      <c r="BA546" s="5" t="s">
        <v>295</v>
      </c>
      <c r="BB546" s="5" t="s">
        <v>206</v>
      </c>
      <c r="BC546" s="5" t="s">
        <v>206</v>
      </c>
      <c r="BD546" s="5" t="s">
        <v>206</v>
      </c>
      <c r="BE546" s="5" t="s">
        <v>206</v>
      </c>
      <c r="BF546" s="5" t="s">
        <v>204</v>
      </c>
      <c r="BG546" s="5" t="s">
        <v>215</v>
      </c>
      <c r="BH546" s="5" t="s">
        <v>264</v>
      </c>
      <c r="BI546" s="5" t="s">
        <v>271</v>
      </c>
      <c r="BJ546" s="5" t="s">
        <v>264</v>
      </c>
      <c r="BK546" s="5" t="s">
        <v>244</v>
      </c>
      <c r="BL546" s="5" t="s">
        <v>244</v>
      </c>
      <c r="BM546" s="5" t="s">
        <v>244</v>
      </c>
      <c r="BN546" s="5" t="s">
        <v>244</v>
      </c>
      <c r="BO546" s="5" t="s">
        <v>244</v>
      </c>
      <c r="BP546" s="5" t="s">
        <v>246</v>
      </c>
      <c r="BQ546" s="5" t="s">
        <v>244</v>
      </c>
      <c r="BR546" s="5" t="s">
        <v>244</v>
      </c>
      <c r="BS546" s="5" t="s">
        <v>247</v>
      </c>
      <c r="BT546" s="5" t="s">
        <v>248</v>
      </c>
      <c r="BU546" s="5" t="s">
        <v>217</v>
      </c>
      <c r="BV546" s="5" t="s">
        <v>217</v>
      </c>
      <c r="BW546" s="5" t="s">
        <v>248</v>
      </c>
      <c r="BX546" s="5" t="s">
        <v>248</v>
      </c>
      <c r="BY546" s="5" t="s">
        <v>217</v>
      </c>
      <c r="BZ546" s="5" t="s">
        <v>244</v>
      </c>
      <c r="CA546" s="5" t="s">
        <v>244</v>
      </c>
      <c r="CB546" s="5" t="s">
        <v>244</v>
      </c>
      <c r="CC546" s="5" t="s">
        <v>244</v>
      </c>
      <c r="CD546" s="5" t="s">
        <v>206</v>
      </c>
      <c r="CH546" s="5" t="s">
        <v>206</v>
      </c>
      <c r="CI546" s="5" t="s">
        <v>383</v>
      </c>
      <c r="CJ546" s="5">
        <v>2</v>
      </c>
      <c r="CK546" s="5" t="s">
        <v>223</v>
      </c>
      <c r="CU546" s="5" t="s">
        <v>206</v>
      </c>
      <c r="DA546" s="5" t="s">
        <v>231</v>
      </c>
      <c r="DB546" s="5">
        <f t="shared" si="1685"/>
        <v>2</v>
      </c>
      <c r="DC546" s="5" t="s">
        <v>251</v>
      </c>
      <c r="DD546" s="5">
        <f t="shared" si="1686"/>
        <v>1</v>
      </c>
      <c r="DE546" s="5" t="s">
        <v>230</v>
      </c>
      <c r="DF546" s="5">
        <f t="shared" si="1687"/>
        <v>2</v>
      </c>
      <c r="DG546" s="5" t="s">
        <v>251</v>
      </c>
      <c r="DH546" s="5">
        <f t="shared" si="1688"/>
        <v>1</v>
      </c>
      <c r="DI546" s="5" t="s">
        <v>230</v>
      </c>
      <c r="DJ546" s="5">
        <f t="shared" si="1689"/>
        <v>2</v>
      </c>
      <c r="DK546" s="5" t="s">
        <v>251</v>
      </c>
      <c r="DL546" s="5">
        <f t="shared" si="1690"/>
        <v>1</v>
      </c>
      <c r="DM546" s="5" t="s">
        <v>251</v>
      </c>
      <c r="DN546" s="5">
        <f t="shared" si="1691"/>
        <v>1</v>
      </c>
      <c r="DO546" s="5" t="s">
        <v>231</v>
      </c>
      <c r="DP546" s="5">
        <f t="shared" si="1692"/>
        <v>2</v>
      </c>
      <c r="DQ546" s="5" t="s">
        <v>231</v>
      </c>
      <c r="DR546" s="5">
        <f t="shared" si="1693"/>
        <v>2</v>
      </c>
      <c r="DS546" s="5" t="s">
        <v>231</v>
      </c>
      <c r="DT546" s="5">
        <f t="shared" si="1694"/>
        <v>2</v>
      </c>
      <c r="DU546" s="5" t="s">
        <v>281</v>
      </c>
      <c r="DV546" s="5">
        <f t="shared" si="1695"/>
        <v>1</v>
      </c>
      <c r="DW546" s="5" t="s">
        <v>281</v>
      </c>
      <c r="DX546" s="5">
        <f t="shared" si="1696"/>
        <v>1</v>
      </c>
      <c r="DY546" s="5">
        <f t="shared" si="1697"/>
        <v>18</v>
      </c>
      <c r="DZ546" s="5" t="str">
        <f t="shared" si="1698"/>
        <v>Nivel de riesgo bajo</v>
      </c>
      <c r="EA546" s="5" t="s">
        <v>253</v>
      </c>
      <c r="EB546" s="5">
        <f t="shared" si="1699"/>
        <v>0</v>
      </c>
      <c r="EC546" s="5" t="s">
        <v>248</v>
      </c>
      <c r="ED546" s="5">
        <f t="shared" si="1700"/>
        <v>1</v>
      </c>
      <c r="EE546" s="5" t="s">
        <v>253</v>
      </c>
      <c r="EF546" s="5">
        <f t="shared" si="1701"/>
        <v>0</v>
      </c>
      <c r="EG546" s="5">
        <f t="shared" si="1702"/>
        <v>1</v>
      </c>
      <c r="EH546" s="5" t="str">
        <f t="shared" si="1703"/>
        <v>Nivel de riesgo bajo</v>
      </c>
      <c r="EI546" s="5" t="s">
        <v>253</v>
      </c>
      <c r="EJ546" s="5">
        <f t="shared" si="1704"/>
        <v>0</v>
      </c>
      <c r="EK546" s="5" t="s">
        <v>248</v>
      </c>
      <c r="EL546" s="5">
        <f t="shared" si="1705"/>
        <v>1</v>
      </c>
      <c r="EM546" s="5" t="s">
        <v>253</v>
      </c>
      <c r="EN546" s="5">
        <f t="shared" si="1706"/>
        <v>0</v>
      </c>
      <c r="EO546" s="5">
        <f t="shared" si="1707"/>
        <v>1</v>
      </c>
      <c r="EP546" s="5" t="str">
        <f t="shared" si="1708"/>
        <v>Nivel de riesgo bajo</v>
      </c>
      <c r="EQ546" s="5" t="s">
        <v>253</v>
      </c>
      <c r="ER546" s="5">
        <f t="shared" si="1709"/>
        <v>4</v>
      </c>
      <c r="ES546" s="5" t="s">
        <v>248</v>
      </c>
      <c r="ET546" s="5">
        <f t="shared" si="1710"/>
        <v>3</v>
      </c>
      <c r="EU546" s="5" t="s">
        <v>232</v>
      </c>
      <c r="EV546" s="5">
        <f t="shared" si="1711"/>
        <v>1</v>
      </c>
      <c r="EW546" s="5" t="s">
        <v>254</v>
      </c>
      <c r="EX546" s="5">
        <f t="shared" si="1712"/>
        <v>0</v>
      </c>
      <c r="EY546" s="5">
        <f t="shared" si="1713"/>
        <v>8</v>
      </c>
      <c r="EZ546" s="5" t="str">
        <f t="shared" si="1714"/>
        <v>Nivel de riesgo alto</v>
      </c>
      <c r="FA546" s="5" t="s">
        <v>253</v>
      </c>
      <c r="FB546" s="5">
        <f t="shared" si="1715"/>
        <v>0</v>
      </c>
      <c r="FC546" s="5" t="s">
        <v>253</v>
      </c>
      <c r="FD546" s="5">
        <f t="shared" si="1716"/>
        <v>0</v>
      </c>
      <c r="FE546" s="5" t="s">
        <v>253</v>
      </c>
      <c r="FF546" s="5">
        <f t="shared" si="1717"/>
        <v>0</v>
      </c>
      <c r="FG546" s="5">
        <f t="shared" si="1718"/>
        <v>0</v>
      </c>
      <c r="FH546" s="5" t="str">
        <f t="shared" si="1719"/>
        <v>Nivel de riesgo bajo</v>
      </c>
      <c r="FI546" s="5" t="s">
        <v>248</v>
      </c>
      <c r="FJ546" s="5">
        <f t="shared" si="1720"/>
        <v>1</v>
      </c>
      <c r="FK546" s="5" t="s">
        <v>248</v>
      </c>
      <c r="FL546" s="5">
        <f t="shared" si="1721"/>
        <v>1</v>
      </c>
      <c r="FM546" s="5" t="s">
        <v>248</v>
      </c>
      <c r="FN546" s="5">
        <f t="shared" si="1722"/>
        <v>1</v>
      </c>
      <c r="FO546" s="5">
        <f t="shared" si="1723"/>
        <v>3</v>
      </c>
      <c r="FP546" s="5" t="str">
        <f t="shared" si="1724"/>
        <v>Nivel de riesgo medio</v>
      </c>
      <c r="FQ546" s="5" t="s">
        <v>206</v>
      </c>
      <c r="FR546" s="5">
        <f t="shared" si="1725"/>
        <v>0</v>
      </c>
      <c r="FS546" s="5" t="s">
        <v>206</v>
      </c>
      <c r="FT546" s="5">
        <f t="shared" si="1726"/>
        <v>0</v>
      </c>
      <c r="FU546" s="5" t="s">
        <v>206</v>
      </c>
      <c r="FV546" s="5">
        <f t="shared" si="1727"/>
        <v>0</v>
      </c>
      <c r="FW546" s="5" t="s">
        <v>206</v>
      </c>
      <c r="FX546" s="5">
        <f t="shared" si="1728"/>
        <v>0</v>
      </c>
      <c r="FY546" s="5" t="s">
        <v>206</v>
      </c>
      <c r="FZ546" s="5">
        <f t="shared" si="1729"/>
        <v>0</v>
      </c>
      <c r="GA546" s="5" t="s">
        <v>206</v>
      </c>
      <c r="GB546" s="5">
        <f t="shared" si="1730"/>
        <v>0</v>
      </c>
      <c r="GC546" s="5" t="s">
        <v>206</v>
      </c>
      <c r="GD546" s="5">
        <f t="shared" si="1731"/>
        <v>0</v>
      </c>
      <c r="GE546" s="5">
        <f t="shared" si="1732"/>
        <v>0</v>
      </c>
      <c r="GF546" s="5" t="str">
        <f t="shared" si="1733"/>
        <v>Nivel de riesgo bajo</v>
      </c>
      <c r="GG546" s="5" t="s">
        <v>273</v>
      </c>
      <c r="GH546" s="5" t="s">
        <v>266</v>
      </c>
      <c r="GI546" s="5" t="s">
        <v>266</v>
      </c>
      <c r="GJ546" s="5" t="s">
        <v>233</v>
      </c>
      <c r="GK546" s="5" t="s">
        <v>233</v>
      </c>
      <c r="GL546" s="5" t="s">
        <v>233</v>
      </c>
      <c r="GM546" s="5" t="s">
        <v>266</v>
      </c>
      <c r="GN546" s="5" t="s">
        <v>243</v>
      </c>
      <c r="GO546" s="5" t="s">
        <v>257</v>
      </c>
      <c r="GP546" s="5" t="s">
        <v>257</v>
      </c>
      <c r="GQ546" s="5" t="s">
        <v>257</v>
      </c>
      <c r="GR546" s="5" t="s">
        <v>257</v>
      </c>
      <c r="GS546" s="5" t="s">
        <v>243</v>
      </c>
      <c r="GT546" s="5" t="s">
        <v>243</v>
      </c>
      <c r="GU546" s="5" t="s">
        <v>303</v>
      </c>
      <c r="GV546" s="5" t="str">
        <f>TEXT("6291320691846001849","0")</f>
        <v>6291320691846000000</v>
      </c>
    </row>
    <row r="547" spans="1:204" ht="15.75" customHeight="1" x14ac:dyDescent="0.15">
      <c r="A547" s="1">
        <f t="shared" si="1683"/>
        <v>547</v>
      </c>
      <c r="B547" s="4">
        <v>45861.950208333335</v>
      </c>
      <c r="C547" s="5" t="s">
        <v>204</v>
      </c>
      <c r="D547" s="5" t="s">
        <v>204</v>
      </c>
      <c r="E547" s="5" t="s">
        <v>335</v>
      </c>
      <c r="F547" s="5" t="s">
        <v>206</v>
      </c>
      <c r="G547" s="5" t="s">
        <v>206</v>
      </c>
      <c r="H547" s="5" t="s">
        <v>206</v>
      </c>
      <c r="K547" s="5" t="s">
        <v>237</v>
      </c>
      <c r="P547" s="5" t="s">
        <v>237</v>
      </c>
      <c r="S547" s="5" t="s">
        <v>208</v>
      </c>
      <c r="X547" s="5" t="s">
        <v>208</v>
      </c>
      <c r="AC547" s="5" t="s">
        <v>208</v>
      </c>
      <c r="AH547" s="5" t="s">
        <v>210</v>
      </c>
      <c r="AI547" s="5">
        <v>2023</v>
      </c>
      <c r="AJ547" s="5" t="s">
        <v>238</v>
      </c>
      <c r="AK547" s="5" t="str">
        <f t="shared" si="1684"/>
        <v>Trabajadora por cuenta propia</v>
      </c>
      <c r="AN547" s="5" t="s">
        <v>288</v>
      </c>
      <c r="AP547" s="5" t="s">
        <v>284</v>
      </c>
      <c r="AR547" s="5" t="s">
        <v>241</v>
      </c>
      <c r="AS547" s="5" t="s">
        <v>241</v>
      </c>
      <c r="AT547" s="5" t="s">
        <v>241</v>
      </c>
      <c r="AU547" s="5" t="s">
        <v>241</v>
      </c>
      <c r="AV547" s="5" t="s">
        <v>302</v>
      </c>
      <c r="AW547" s="5" t="s">
        <v>206</v>
      </c>
      <c r="BF547" s="5" t="s">
        <v>204</v>
      </c>
      <c r="BG547" s="5" t="s">
        <v>207</v>
      </c>
      <c r="BH547" s="5" t="s">
        <v>215</v>
      </c>
      <c r="BI547" s="5" t="s">
        <v>207</v>
      </c>
      <c r="BJ547" s="5" t="s">
        <v>215</v>
      </c>
      <c r="BK547" s="5" t="s">
        <v>243</v>
      </c>
      <c r="BL547" s="5" t="s">
        <v>243</v>
      </c>
      <c r="BM547" s="5" t="s">
        <v>243</v>
      </c>
      <c r="BN547" s="5" t="s">
        <v>243</v>
      </c>
      <c r="BO547" s="5" t="s">
        <v>243</v>
      </c>
      <c r="BP547" s="5" t="s">
        <v>243</v>
      </c>
      <c r="BQ547" s="5" t="s">
        <v>243</v>
      </c>
      <c r="BR547" s="5" t="s">
        <v>243</v>
      </c>
      <c r="BS547" s="5" t="s">
        <v>232</v>
      </c>
      <c r="BT547" s="5" t="s">
        <v>247</v>
      </c>
      <c r="BU547" s="5" t="s">
        <v>247</v>
      </c>
      <c r="BV547" s="5" t="s">
        <v>247</v>
      </c>
      <c r="BW547" s="5" t="s">
        <v>247</v>
      </c>
      <c r="BX547" s="5" t="s">
        <v>247</v>
      </c>
      <c r="BY547" s="5" t="s">
        <v>247</v>
      </c>
      <c r="CD547" s="5" t="s">
        <v>206</v>
      </c>
      <c r="CH547" s="5" t="s">
        <v>221</v>
      </c>
      <c r="CI547" s="5" t="s">
        <v>206</v>
      </c>
      <c r="CJ547" s="5">
        <v>2</v>
      </c>
      <c r="CK547" s="5" t="s">
        <v>223</v>
      </c>
      <c r="CU547" s="5" t="s">
        <v>206</v>
      </c>
      <c r="DA547" s="5" t="s">
        <v>252</v>
      </c>
      <c r="DB547" s="5">
        <f t="shared" si="1685"/>
        <v>3</v>
      </c>
      <c r="DC547" s="5" t="s">
        <v>230</v>
      </c>
      <c r="DD547" s="5">
        <f t="shared" si="1686"/>
        <v>2</v>
      </c>
      <c r="DE547" s="5" t="s">
        <v>230</v>
      </c>
      <c r="DF547" s="5">
        <f t="shared" si="1687"/>
        <v>2</v>
      </c>
      <c r="DG547" s="5" t="s">
        <v>230</v>
      </c>
      <c r="DH547" s="5">
        <f t="shared" si="1688"/>
        <v>2</v>
      </c>
      <c r="DI547" s="5" t="s">
        <v>230</v>
      </c>
      <c r="DJ547" s="5">
        <f t="shared" si="1689"/>
        <v>2</v>
      </c>
      <c r="DK547" s="5" t="s">
        <v>230</v>
      </c>
      <c r="DL547" s="5">
        <f t="shared" si="1690"/>
        <v>2</v>
      </c>
      <c r="DM547" s="5" t="s">
        <v>251</v>
      </c>
      <c r="DN547" s="5">
        <f t="shared" si="1691"/>
        <v>1</v>
      </c>
      <c r="DO547" s="5" t="s">
        <v>231</v>
      </c>
      <c r="DP547" s="5">
        <f t="shared" si="1692"/>
        <v>2</v>
      </c>
      <c r="DQ547" s="5" t="s">
        <v>231</v>
      </c>
      <c r="DR547" s="5">
        <f t="shared" si="1693"/>
        <v>2</v>
      </c>
      <c r="DS547" s="5" t="s">
        <v>231</v>
      </c>
      <c r="DT547" s="5">
        <f t="shared" si="1694"/>
        <v>2</v>
      </c>
      <c r="DU547" s="5" t="s">
        <v>231</v>
      </c>
      <c r="DV547" s="5">
        <f t="shared" si="1695"/>
        <v>2</v>
      </c>
      <c r="DW547" s="5" t="s">
        <v>231</v>
      </c>
      <c r="DX547" s="5">
        <f t="shared" si="1696"/>
        <v>2</v>
      </c>
      <c r="DY547" s="5">
        <f t="shared" si="1697"/>
        <v>24</v>
      </c>
      <c r="DZ547" s="5" t="str">
        <f t="shared" si="1698"/>
        <v>Nivel de riesgo alto</v>
      </c>
      <c r="EA547" s="5" t="s">
        <v>232</v>
      </c>
      <c r="EB547" s="5">
        <f t="shared" si="1699"/>
        <v>3</v>
      </c>
      <c r="EC547" s="5" t="s">
        <v>232</v>
      </c>
      <c r="ED547" s="5">
        <f t="shared" si="1700"/>
        <v>3</v>
      </c>
      <c r="EE547" s="5" t="s">
        <v>247</v>
      </c>
      <c r="EF547" s="5">
        <f t="shared" si="1701"/>
        <v>2</v>
      </c>
      <c r="EG547" s="5">
        <f t="shared" si="1702"/>
        <v>8</v>
      </c>
      <c r="EH547" s="5" t="str">
        <f t="shared" si="1703"/>
        <v>Nivel de riesgo alto</v>
      </c>
      <c r="EI547" s="5" t="s">
        <v>248</v>
      </c>
      <c r="EJ547" s="5">
        <f t="shared" si="1704"/>
        <v>1</v>
      </c>
      <c r="EK547" s="5" t="s">
        <v>253</v>
      </c>
      <c r="EL547" s="5">
        <f t="shared" si="1705"/>
        <v>0</v>
      </c>
      <c r="EM547" s="5" t="s">
        <v>248</v>
      </c>
      <c r="EN547" s="5">
        <f t="shared" si="1706"/>
        <v>1</v>
      </c>
      <c r="EO547" s="5">
        <f t="shared" si="1707"/>
        <v>2</v>
      </c>
      <c r="EP547" s="5" t="str">
        <f t="shared" si="1708"/>
        <v>Nivel de riesgo medio</v>
      </c>
      <c r="EQ547" s="5" t="s">
        <v>253</v>
      </c>
      <c r="ER547" s="5">
        <f t="shared" si="1709"/>
        <v>4</v>
      </c>
      <c r="ES547" s="5" t="s">
        <v>253</v>
      </c>
      <c r="ET547" s="5">
        <f t="shared" si="1710"/>
        <v>4</v>
      </c>
      <c r="EU547" s="5" t="s">
        <v>232</v>
      </c>
      <c r="EV547" s="5">
        <f t="shared" si="1711"/>
        <v>1</v>
      </c>
      <c r="EW547" s="5" t="s">
        <v>232</v>
      </c>
      <c r="EX547" s="5">
        <f t="shared" si="1712"/>
        <v>1</v>
      </c>
      <c r="EY547" s="5">
        <f t="shared" si="1713"/>
        <v>10</v>
      </c>
      <c r="EZ547" s="5" t="str">
        <f t="shared" si="1714"/>
        <v>Nivel de riesgo alto</v>
      </c>
      <c r="FA547" s="5" t="s">
        <v>253</v>
      </c>
      <c r="FB547" s="5">
        <f t="shared" si="1715"/>
        <v>0</v>
      </c>
      <c r="FC547" s="5" t="s">
        <v>253</v>
      </c>
      <c r="FD547" s="5">
        <f t="shared" si="1716"/>
        <v>0</v>
      </c>
      <c r="FE547" s="5" t="s">
        <v>253</v>
      </c>
      <c r="FF547" s="5">
        <f t="shared" si="1717"/>
        <v>0</v>
      </c>
      <c r="FG547" s="5">
        <f t="shared" si="1718"/>
        <v>0</v>
      </c>
      <c r="FH547" s="5" t="str">
        <f t="shared" si="1719"/>
        <v>Nivel de riesgo bajo</v>
      </c>
      <c r="FI547" s="5" t="s">
        <v>253</v>
      </c>
      <c r="FJ547" s="5">
        <f t="shared" si="1720"/>
        <v>0</v>
      </c>
      <c r="FK547" s="5" t="s">
        <v>253</v>
      </c>
      <c r="FL547" s="5">
        <f t="shared" si="1721"/>
        <v>0</v>
      </c>
      <c r="FM547" s="5" t="s">
        <v>253</v>
      </c>
      <c r="FN547" s="5">
        <f t="shared" si="1722"/>
        <v>0</v>
      </c>
      <c r="FO547" s="5">
        <f t="shared" si="1723"/>
        <v>0</v>
      </c>
      <c r="FP547" s="5" t="str">
        <f t="shared" si="1724"/>
        <v>Nivel de riesgo bajo</v>
      </c>
      <c r="FQ547" s="5" t="s">
        <v>206</v>
      </c>
      <c r="FR547" s="5">
        <f t="shared" si="1725"/>
        <v>0</v>
      </c>
      <c r="FS547" s="5" t="s">
        <v>206</v>
      </c>
      <c r="FT547" s="5">
        <f t="shared" si="1726"/>
        <v>0</v>
      </c>
      <c r="FU547" s="5" t="s">
        <v>206</v>
      </c>
      <c r="FV547" s="5">
        <f t="shared" si="1727"/>
        <v>0</v>
      </c>
      <c r="FW547" s="5" t="s">
        <v>206</v>
      </c>
      <c r="FX547" s="5">
        <f t="shared" si="1728"/>
        <v>0</v>
      </c>
      <c r="FY547" s="5" t="s">
        <v>206</v>
      </c>
      <c r="FZ547" s="5">
        <f t="shared" si="1729"/>
        <v>0</v>
      </c>
      <c r="GA547" s="5" t="s">
        <v>206</v>
      </c>
      <c r="GB547" s="5">
        <f t="shared" si="1730"/>
        <v>0</v>
      </c>
      <c r="GC547" s="5" t="s">
        <v>206</v>
      </c>
      <c r="GD547" s="5">
        <f t="shared" si="1731"/>
        <v>0</v>
      </c>
      <c r="GE547" s="5">
        <f t="shared" si="1732"/>
        <v>0</v>
      </c>
      <c r="GF547" s="5" t="str">
        <f t="shared" si="1733"/>
        <v>Nivel de riesgo bajo</v>
      </c>
      <c r="GG547" s="5" t="s">
        <v>255</v>
      </c>
      <c r="GH547" s="5" t="s">
        <v>255</v>
      </c>
      <c r="GI547" s="5" t="s">
        <v>255</v>
      </c>
      <c r="GJ547" s="5" t="s">
        <v>298</v>
      </c>
      <c r="GK547" s="5" t="s">
        <v>233</v>
      </c>
      <c r="GL547" s="5" t="s">
        <v>298</v>
      </c>
      <c r="GM547" s="5" t="s">
        <v>233</v>
      </c>
      <c r="GN547" s="5" t="s">
        <v>243</v>
      </c>
      <c r="GO547" s="5" t="s">
        <v>243</v>
      </c>
      <c r="GP547" s="5" t="s">
        <v>243</v>
      </c>
      <c r="GQ547" s="5" t="s">
        <v>243</v>
      </c>
      <c r="GR547" s="5" t="s">
        <v>243</v>
      </c>
      <c r="GS547" s="5" t="s">
        <v>243</v>
      </c>
      <c r="GT547" s="5" t="s">
        <v>243</v>
      </c>
      <c r="GU547" s="5" t="s">
        <v>909</v>
      </c>
      <c r="GV547" s="5" t="str">
        <f>TEXT("6291344982373560590","0")</f>
        <v>6291344982373560000</v>
      </c>
    </row>
    <row r="548" spans="1:204" ht="15.75" customHeight="1" x14ac:dyDescent="0.15">
      <c r="A548" s="1">
        <f t="shared" si="1683"/>
        <v>548</v>
      </c>
      <c r="B548" s="4">
        <v>45861.968344907407</v>
      </c>
      <c r="C548" s="5" t="s">
        <v>204</v>
      </c>
      <c r="D548" s="5" t="s">
        <v>206</v>
      </c>
      <c r="F548" s="5" t="s">
        <v>206</v>
      </c>
      <c r="G548" s="5" t="s">
        <v>206</v>
      </c>
      <c r="H548" s="5" t="s">
        <v>204</v>
      </c>
      <c r="K548" s="5" t="s">
        <v>237</v>
      </c>
      <c r="O548" s="5" t="s">
        <v>209</v>
      </c>
      <c r="T548" s="5" t="s">
        <v>209</v>
      </c>
      <c r="X548" s="5" t="s">
        <v>208</v>
      </c>
      <c r="AE548" s="5" t="s">
        <v>237</v>
      </c>
      <c r="AH548" s="5" t="s">
        <v>910</v>
      </c>
      <c r="AI548" s="5">
        <v>2012</v>
      </c>
      <c r="AJ548" s="5" t="s">
        <v>238</v>
      </c>
      <c r="AK548" s="5" t="str">
        <f t="shared" si="1684"/>
        <v>Trabajadora por cuenta propia</v>
      </c>
      <c r="AN548" s="5" t="s">
        <v>288</v>
      </c>
      <c r="AP548" s="5" t="s">
        <v>321</v>
      </c>
      <c r="AR548" s="5" t="s">
        <v>241</v>
      </c>
      <c r="AS548" s="5" t="s">
        <v>241</v>
      </c>
      <c r="AT548" s="5" t="s">
        <v>261</v>
      </c>
      <c r="AU548" s="5" t="s">
        <v>301</v>
      </c>
      <c r="AV548" s="5" t="s">
        <v>285</v>
      </c>
      <c r="AW548" s="5" t="s">
        <v>204</v>
      </c>
      <c r="AX548" s="5" t="s">
        <v>204</v>
      </c>
      <c r="AY548" s="5" t="s">
        <v>270</v>
      </c>
      <c r="AZ548" s="5" t="s">
        <v>204</v>
      </c>
      <c r="BA548" s="5" t="s">
        <v>295</v>
      </c>
      <c r="BB548" s="5" t="s">
        <v>206</v>
      </c>
      <c r="BC548" s="5" t="s">
        <v>206</v>
      </c>
      <c r="BD548" s="5" t="s">
        <v>290</v>
      </c>
      <c r="BE548" s="5" t="s">
        <v>206</v>
      </c>
      <c r="BF548" s="5" t="s">
        <v>204</v>
      </c>
      <c r="BG548" s="5" t="s">
        <v>242</v>
      </c>
      <c r="BH548" s="5" t="s">
        <v>215</v>
      </c>
      <c r="BI548" s="5" t="s">
        <v>215</v>
      </c>
      <c r="BJ548" s="5" t="s">
        <v>215</v>
      </c>
      <c r="BK548" s="5" t="s">
        <v>246</v>
      </c>
      <c r="BL548" s="5" t="s">
        <v>246</v>
      </c>
      <c r="BM548" s="5" t="s">
        <v>246</v>
      </c>
      <c r="BN548" s="5" t="s">
        <v>244</v>
      </c>
      <c r="BO548" s="5" t="s">
        <v>244</v>
      </c>
      <c r="BP548" s="5" t="s">
        <v>216</v>
      </c>
      <c r="BQ548" s="5" t="s">
        <v>216</v>
      </c>
      <c r="BR548" s="5" t="s">
        <v>216</v>
      </c>
      <c r="BS548" s="5" t="s">
        <v>248</v>
      </c>
      <c r="BT548" s="5" t="s">
        <v>247</v>
      </c>
      <c r="BU548" s="5" t="s">
        <v>248</v>
      </c>
      <c r="BV548" s="5" t="s">
        <v>217</v>
      </c>
      <c r="BW548" s="5" t="s">
        <v>217</v>
      </c>
      <c r="BX548" s="5" t="s">
        <v>248</v>
      </c>
      <c r="BY548" s="5" t="s">
        <v>217</v>
      </c>
      <c r="BZ548" s="5" t="s">
        <v>216</v>
      </c>
      <c r="CA548" s="5" t="s">
        <v>244</v>
      </c>
      <c r="CB548" s="5" t="s">
        <v>244</v>
      </c>
      <c r="CC548" s="5" t="s">
        <v>244</v>
      </c>
      <c r="CD548" s="5" t="s">
        <v>204</v>
      </c>
      <c r="CE548" s="5" t="s">
        <v>218</v>
      </c>
      <c r="CF548" s="5" t="s">
        <v>219</v>
      </c>
      <c r="CG548" s="5" t="s">
        <v>206</v>
      </c>
      <c r="CH548" s="5" t="s">
        <v>331</v>
      </c>
      <c r="CI548" s="5" t="s">
        <v>307</v>
      </c>
      <c r="CJ548" s="5">
        <v>6</v>
      </c>
      <c r="CK548" s="5" t="s">
        <v>223</v>
      </c>
      <c r="CU548" s="5" t="s">
        <v>206</v>
      </c>
      <c r="DA548" s="5" t="s">
        <v>231</v>
      </c>
      <c r="DB548" s="5">
        <f t="shared" si="1685"/>
        <v>2</v>
      </c>
      <c r="DC548" s="5" t="s">
        <v>230</v>
      </c>
      <c r="DD548" s="5">
        <f t="shared" si="1686"/>
        <v>2</v>
      </c>
      <c r="DE548" s="5" t="s">
        <v>230</v>
      </c>
      <c r="DF548" s="5">
        <f t="shared" si="1687"/>
        <v>2</v>
      </c>
      <c r="DG548" s="5" t="s">
        <v>230</v>
      </c>
      <c r="DH548" s="5">
        <f t="shared" si="1688"/>
        <v>2</v>
      </c>
      <c r="DI548" s="5" t="s">
        <v>230</v>
      </c>
      <c r="DJ548" s="5">
        <f t="shared" si="1689"/>
        <v>2</v>
      </c>
      <c r="DK548" s="5" t="s">
        <v>230</v>
      </c>
      <c r="DL548" s="5">
        <f t="shared" si="1690"/>
        <v>2</v>
      </c>
      <c r="DM548" s="5" t="s">
        <v>251</v>
      </c>
      <c r="DN548" s="5">
        <f t="shared" si="1691"/>
        <v>1</v>
      </c>
      <c r="DO548" s="5" t="s">
        <v>281</v>
      </c>
      <c r="DP548" s="5">
        <f t="shared" si="1692"/>
        <v>1</v>
      </c>
      <c r="DQ548" s="5" t="s">
        <v>231</v>
      </c>
      <c r="DR548" s="5">
        <f t="shared" si="1693"/>
        <v>2</v>
      </c>
      <c r="DS548" s="5" t="s">
        <v>231</v>
      </c>
      <c r="DT548" s="5">
        <f t="shared" si="1694"/>
        <v>2</v>
      </c>
      <c r="DU548" s="5" t="s">
        <v>231</v>
      </c>
      <c r="DV548" s="5">
        <f t="shared" si="1695"/>
        <v>2</v>
      </c>
      <c r="DW548" s="5" t="s">
        <v>231</v>
      </c>
      <c r="DX548" s="5">
        <f t="shared" si="1696"/>
        <v>2</v>
      </c>
      <c r="DY548" s="5">
        <f t="shared" si="1697"/>
        <v>22</v>
      </c>
      <c r="DZ548" s="5" t="str">
        <f t="shared" si="1698"/>
        <v>Nivel de riesgo medio</v>
      </c>
      <c r="EA548" s="5" t="s">
        <v>247</v>
      </c>
      <c r="EB548" s="5">
        <f t="shared" si="1699"/>
        <v>2</v>
      </c>
      <c r="EC548" s="5" t="s">
        <v>248</v>
      </c>
      <c r="ED548" s="5">
        <f t="shared" si="1700"/>
        <v>1</v>
      </c>
      <c r="EE548" s="5" t="s">
        <v>248</v>
      </c>
      <c r="EF548" s="5">
        <f t="shared" si="1701"/>
        <v>1</v>
      </c>
      <c r="EG548" s="5">
        <f t="shared" si="1702"/>
        <v>4</v>
      </c>
      <c r="EH548" s="5" t="str">
        <f t="shared" si="1703"/>
        <v>Nivel de riesgo medio</v>
      </c>
      <c r="EI548" s="5" t="s">
        <v>247</v>
      </c>
      <c r="EJ548" s="5">
        <f t="shared" si="1704"/>
        <v>2</v>
      </c>
      <c r="EK548" s="5" t="s">
        <v>248</v>
      </c>
      <c r="EL548" s="5">
        <f t="shared" si="1705"/>
        <v>1</v>
      </c>
      <c r="EM548" s="5" t="s">
        <v>248</v>
      </c>
      <c r="EN548" s="5">
        <f t="shared" si="1706"/>
        <v>1</v>
      </c>
      <c r="EO548" s="5">
        <f t="shared" si="1707"/>
        <v>4</v>
      </c>
      <c r="EP548" s="5" t="str">
        <f t="shared" si="1708"/>
        <v>Nivel de riesgo medio</v>
      </c>
      <c r="EQ548" s="5" t="s">
        <v>232</v>
      </c>
      <c r="ER548" s="5">
        <f t="shared" si="1709"/>
        <v>1</v>
      </c>
      <c r="ES548" s="5" t="s">
        <v>247</v>
      </c>
      <c r="ET548" s="5">
        <f t="shared" si="1710"/>
        <v>2</v>
      </c>
      <c r="EU548" s="5" t="s">
        <v>254</v>
      </c>
      <c r="EV548" s="5">
        <f t="shared" si="1711"/>
        <v>0</v>
      </c>
      <c r="EW548" s="5" t="s">
        <v>254</v>
      </c>
      <c r="EX548" s="5">
        <f t="shared" si="1712"/>
        <v>0</v>
      </c>
      <c r="EY548" s="5">
        <f t="shared" si="1713"/>
        <v>3</v>
      </c>
      <c r="EZ548" s="5" t="str">
        <f t="shared" si="1714"/>
        <v>Nivel de riesgo medio</v>
      </c>
      <c r="FA548" s="5" t="s">
        <v>247</v>
      </c>
      <c r="FB548" s="5">
        <f t="shared" si="1715"/>
        <v>2</v>
      </c>
      <c r="FC548" s="5" t="s">
        <v>232</v>
      </c>
      <c r="FD548" s="5">
        <f t="shared" si="1716"/>
        <v>3</v>
      </c>
      <c r="FE548" s="5" t="s">
        <v>253</v>
      </c>
      <c r="FF548" s="5">
        <f t="shared" si="1717"/>
        <v>0</v>
      </c>
      <c r="FG548" s="5">
        <f t="shared" si="1718"/>
        <v>5</v>
      </c>
      <c r="FH548" s="5" t="str">
        <f t="shared" si="1719"/>
        <v>Nivel de riesgo medio</v>
      </c>
      <c r="FI548" s="5" t="s">
        <v>247</v>
      </c>
      <c r="FJ548" s="5">
        <f t="shared" si="1720"/>
        <v>2</v>
      </c>
      <c r="FK548" s="5" t="s">
        <v>253</v>
      </c>
      <c r="FL548" s="5">
        <f t="shared" si="1721"/>
        <v>0</v>
      </c>
      <c r="FM548" s="5" t="s">
        <v>253</v>
      </c>
      <c r="FN548" s="5">
        <f t="shared" si="1722"/>
        <v>0</v>
      </c>
      <c r="FO548" s="5">
        <f t="shared" si="1723"/>
        <v>2</v>
      </c>
      <c r="FP548" s="5" t="str">
        <f t="shared" si="1724"/>
        <v>Nivel de riesgo bajo</v>
      </c>
      <c r="FQ548" s="5" t="s">
        <v>206</v>
      </c>
      <c r="FR548" s="5">
        <f t="shared" si="1725"/>
        <v>0</v>
      </c>
      <c r="FS548" s="5" t="s">
        <v>206</v>
      </c>
      <c r="FT548" s="5">
        <f t="shared" si="1726"/>
        <v>0</v>
      </c>
      <c r="FU548" s="5" t="s">
        <v>206</v>
      </c>
      <c r="FV548" s="5">
        <f t="shared" si="1727"/>
        <v>0</v>
      </c>
      <c r="FW548" s="5" t="s">
        <v>206</v>
      </c>
      <c r="FX548" s="5">
        <f t="shared" si="1728"/>
        <v>0</v>
      </c>
      <c r="FY548" s="5" t="s">
        <v>206</v>
      </c>
      <c r="FZ548" s="5">
        <f t="shared" si="1729"/>
        <v>0</v>
      </c>
      <c r="GA548" s="5" t="s">
        <v>206</v>
      </c>
      <c r="GB548" s="5">
        <f t="shared" si="1730"/>
        <v>0</v>
      </c>
      <c r="GC548" s="5" t="s">
        <v>206</v>
      </c>
      <c r="GD548" s="5">
        <f t="shared" si="1731"/>
        <v>0</v>
      </c>
      <c r="GE548" s="5">
        <f t="shared" si="1732"/>
        <v>0</v>
      </c>
      <c r="GF548" s="5" t="str">
        <f t="shared" si="1733"/>
        <v>Nivel de riesgo bajo</v>
      </c>
      <c r="GG548" s="5" t="s">
        <v>273</v>
      </c>
      <c r="GH548" s="5" t="s">
        <v>273</v>
      </c>
      <c r="GI548" s="5" t="s">
        <v>266</v>
      </c>
      <c r="GJ548" s="5" t="s">
        <v>298</v>
      </c>
      <c r="GK548" s="5" t="s">
        <v>233</v>
      </c>
      <c r="GL548" s="5" t="s">
        <v>233</v>
      </c>
      <c r="GM548" s="5" t="s">
        <v>273</v>
      </c>
      <c r="GN548" s="5" t="s">
        <v>243</v>
      </c>
      <c r="GO548" s="5" t="s">
        <v>257</v>
      </c>
      <c r="GP548" s="5" t="s">
        <v>243</v>
      </c>
      <c r="GQ548" s="5" t="s">
        <v>257</v>
      </c>
      <c r="GR548" s="5" t="s">
        <v>257</v>
      </c>
      <c r="GS548" s="5" t="s">
        <v>257</v>
      </c>
      <c r="GT548" s="5" t="s">
        <v>243</v>
      </c>
      <c r="GU548" s="5" t="s">
        <v>911</v>
      </c>
      <c r="GV548" s="5" t="str">
        <f>TEXT("6291360658324149808","0")</f>
        <v>6291360658324140000</v>
      </c>
    </row>
    <row r="549" spans="1:204" ht="15.75" hidden="1" customHeight="1" x14ac:dyDescent="0.15">
      <c r="B549" s="4">
        <v>45861.980995370373</v>
      </c>
      <c r="C549" s="5" t="s">
        <v>204</v>
      </c>
      <c r="D549" s="5" t="s">
        <v>204</v>
      </c>
      <c r="E549" s="5" t="s">
        <v>495</v>
      </c>
      <c r="F549" s="5" t="s">
        <v>206</v>
      </c>
      <c r="G549" s="5" t="s">
        <v>206</v>
      </c>
      <c r="H549" s="5" t="s">
        <v>204</v>
      </c>
      <c r="K549" s="5" t="s">
        <v>237</v>
      </c>
      <c r="P549" s="5" t="s">
        <v>237</v>
      </c>
      <c r="T549" s="5" t="s">
        <v>209</v>
      </c>
      <c r="Z549" s="5" t="s">
        <v>237</v>
      </c>
      <c r="AE549" s="5" t="s">
        <v>237</v>
      </c>
      <c r="AH549" s="5" t="s">
        <v>210</v>
      </c>
      <c r="AI549" s="5">
        <v>2022</v>
      </c>
      <c r="AJ549" s="5" t="s">
        <v>304</v>
      </c>
      <c r="AK549" s="5"/>
      <c r="AR549" s="5" t="s">
        <v>241</v>
      </c>
      <c r="AS549" s="5" t="s">
        <v>241</v>
      </c>
      <c r="AT549" s="5" t="s">
        <v>301</v>
      </c>
      <c r="AU549" s="5" t="s">
        <v>301</v>
      </c>
      <c r="AV549" s="5" t="s">
        <v>213</v>
      </c>
      <c r="AW549" s="5" t="s">
        <v>206</v>
      </c>
      <c r="BF549" s="5" t="s">
        <v>204</v>
      </c>
      <c r="BG549" s="5" t="s">
        <v>278</v>
      </c>
      <c r="BH549" s="5" t="s">
        <v>278</v>
      </c>
      <c r="BI549" s="5" t="s">
        <v>278</v>
      </c>
      <c r="BJ549" s="5" t="s">
        <v>278</v>
      </c>
      <c r="BK549" s="5" t="s">
        <v>244</v>
      </c>
      <c r="BL549" s="5" t="s">
        <v>244</v>
      </c>
      <c r="BM549" s="5" t="s">
        <v>246</v>
      </c>
      <c r="BN549" s="5" t="s">
        <v>245</v>
      </c>
      <c r="BO549" s="5" t="s">
        <v>216</v>
      </c>
      <c r="BP549" s="5" t="s">
        <v>245</v>
      </c>
      <c r="BQ549" s="5" t="s">
        <v>216</v>
      </c>
      <c r="BR549" s="5" t="s">
        <v>245</v>
      </c>
      <c r="BS549" s="5" t="s">
        <v>254</v>
      </c>
      <c r="BT549" s="5" t="s">
        <v>247</v>
      </c>
      <c r="BU549" s="5" t="s">
        <v>217</v>
      </c>
      <c r="BV549" s="5" t="s">
        <v>217</v>
      </c>
      <c r="BW549" s="5" t="s">
        <v>217</v>
      </c>
      <c r="BX549" s="5" t="s">
        <v>247</v>
      </c>
      <c r="BY549" s="5" t="s">
        <v>217</v>
      </c>
      <c r="CD549" s="5" t="s">
        <v>204</v>
      </c>
      <c r="CE549" s="5" t="s">
        <v>286</v>
      </c>
      <c r="CF549" s="5" t="s">
        <v>219</v>
      </c>
      <c r="CG549" s="5" t="s">
        <v>206</v>
      </c>
      <c r="CH549" s="5" t="s">
        <v>221</v>
      </c>
      <c r="CI549" s="5" t="s">
        <v>307</v>
      </c>
      <c r="CJ549" s="5">
        <v>4</v>
      </c>
      <c r="CK549" s="5" t="s">
        <v>223</v>
      </c>
      <c r="CU549" s="5" t="s">
        <v>206</v>
      </c>
      <c r="DA549" s="5" t="s">
        <v>272</v>
      </c>
      <c r="DB549" s="5"/>
      <c r="DC549" s="5" t="s">
        <v>230</v>
      </c>
      <c r="DD549" s="5"/>
      <c r="DE549" s="5" t="s">
        <v>250</v>
      </c>
      <c r="DF549" s="5"/>
      <c r="DG549" s="5" t="s">
        <v>230</v>
      </c>
      <c r="DH549" s="5"/>
      <c r="DI549" s="5" t="s">
        <v>251</v>
      </c>
      <c r="DJ549" s="5"/>
      <c r="DK549" s="5" t="s">
        <v>280</v>
      </c>
      <c r="DL549" s="5"/>
      <c r="DM549" s="5" t="s">
        <v>251</v>
      </c>
      <c r="DN549" s="5"/>
      <c r="DO549" s="5" t="s">
        <v>281</v>
      </c>
      <c r="DP549" s="5"/>
      <c r="DQ549" s="5" t="s">
        <v>281</v>
      </c>
      <c r="DR549" s="5"/>
      <c r="DS549" s="5" t="s">
        <v>281</v>
      </c>
      <c r="DT549" s="5"/>
      <c r="DU549" s="5" t="s">
        <v>281</v>
      </c>
      <c r="DV549" s="5"/>
      <c r="DW549" s="5" t="s">
        <v>281</v>
      </c>
      <c r="DX549" s="5"/>
      <c r="DY549" s="5"/>
      <c r="DZ549" s="5"/>
      <c r="EA549" s="5" t="s">
        <v>247</v>
      </c>
      <c r="EB549" s="5"/>
      <c r="EC549" s="5" t="s">
        <v>247</v>
      </c>
      <c r="ED549" s="5"/>
      <c r="EE549" s="5" t="s">
        <v>253</v>
      </c>
      <c r="EF549" s="5"/>
      <c r="EG549" s="5"/>
      <c r="EH549" s="5"/>
      <c r="EI549" s="5" t="s">
        <v>247</v>
      </c>
      <c r="EJ549" s="5"/>
      <c r="EK549" s="5" t="s">
        <v>248</v>
      </c>
      <c r="EL549" s="5"/>
      <c r="EM549" s="5" t="s">
        <v>253</v>
      </c>
      <c r="EN549" s="5"/>
      <c r="EO549" s="5"/>
      <c r="EP549" s="5"/>
      <c r="EQ549" s="5" t="s">
        <v>254</v>
      </c>
      <c r="ER549" s="5"/>
      <c r="ES549" s="5" t="s">
        <v>254</v>
      </c>
      <c r="ET549" s="5"/>
      <c r="EU549" s="5" t="s">
        <v>254</v>
      </c>
      <c r="EV549" s="5"/>
      <c r="EW549" s="5" t="s">
        <v>254</v>
      </c>
      <c r="EX549" s="5"/>
      <c r="EY549" s="5"/>
      <c r="EZ549" s="5"/>
      <c r="FA549" s="5" t="s">
        <v>253</v>
      </c>
      <c r="FB549" s="5"/>
      <c r="FC549" s="5" t="s">
        <v>253</v>
      </c>
      <c r="FD549" s="5"/>
      <c r="FE549" s="5" t="s">
        <v>253</v>
      </c>
      <c r="FF549" s="5"/>
      <c r="FG549" s="5"/>
      <c r="FH549" s="5"/>
      <c r="FI549" s="5" t="s">
        <v>248</v>
      </c>
      <c r="FJ549" s="5"/>
      <c r="FK549" s="5" t="s">
        <v>248</v>
      </c>
      <c r="FL549" s="5"/>
      <c r="FM549" s="5" t="s">
        <v>253</v>
      </c>
      <c r="FN549" s="5"/>
      <c r="FO549" s="5"/>
      <c r="FP549" s="5"/>
      <c r="FQ549" s="5" t="s">
        <v>206</v>
      </c>
      <c r="FR549" s="5"/>
      <c r="FS549" s="5" t="s">
        <v>206</v>
      </c>
      <c r="FT549" s="5"/>
      <c r="FU549" s="5" t="s">
        <v>206</v>
      </c>
      <c r="FV549" s="5"/>
      <c r="FW549" s="5" t="s">
        <v>206</v>
      </c>
      <c r="FX549" s="5"/>
      <c r="FY549" s="5" t="s">
        <v>206</v>
      </c>
      <c r="FZ549" s="5"/>
      <c r="GA549" s="5" t="s">
        <v>206</v>
      </c>
      <c r="GB549" s="5"/>
      <c r="GC549" s="5" t="s">
        <v>206</v>
      </c>
      <c r="GD549" s="5"/>
      <c r="GE549" s="5"/>
      <c r="GF549" s="5"/>
      <c r="GG549" s="5" t="s">
        <v>255</v>
      </c>
      <c r="GH549" s="5" t="s">
        <v>255</v>
      </c>
      <c r="GI549" s="5" t="s">
        <v>255</v>
      </c>
      <c r="GJ549" s="5" t="s">
        <v>233</v>
      </c>
      <c r="GK549" s="5" t="s">
        <v>233</v>
      </c>
      <c r="GL549" s="5" t="s">
        <v>266</v>
      </c>
      <c r="GM549" s="5" t="s">
        <v>255</v>
      </c>
      <c r="GN549" s="5" t="s">
        <v>244</v>
      </c>
      <c r="GO549" s="5" t="s">
        <v>244</v>
      </c>
      <c r="GP549" s="5" t="s">
        <v>244</v>
      </c>
      <c r="GQ549" s="5" t="s">
        <v>257</v>
      </c>
      <c r="GR549" s="5" t="s">
        <v>234</v>
      </c>
      <c r="GS549" s="5" t="s">
        <v>244</v>
      </c>
      <c r="GT549" s="5" t="s">
        <v>257</v>
      </c>
      <c r="GU549" s="5" t="s">
        <v>912</v>
      </c>
      <c r="GV549" s="5" t="str">
        <f>TEXT("6291371586243903413","0")</f>
        <v>6291371586243900000</v>
      </c>
    </row>
    <row r="550" spans="1:204" ht="15.75" hidden="1" customHeight="1" x14ac:dyDescent="0.15">
      <c r="B550" s="4">
        <v>45862.03125</v>
      </c>
      <c r="C550" s="5" t="s">
        <v>204</v>
      </c>
      <c r="D550" s="5" t="s">
        <v>206</v>
      </c>
      <c r="F550" s="5" t="s">
        <v>206</v>
      </c>
      <c r="G550" s="5" t="s">
        <v>206</v>
      </c>
      <c r="H550" s="5" t="s">
        <v>206</v>
      </c>
      <c r="K550" s="5" t="s">
        <v>237</v>
      </c>
      <c r="P550" s="5" t="s">
        <v>237</v>
      </c>
      <c r="T550" s="5" t="s">
        <v>209</v>
      </c>
      <c r="AA550" s="5" t="s">
        <v>236</v>
      </c>
      <c r="AG550" s="5" t="s">
        <v>207</v>
      </c>
      <c r="AH550" s="5" t="s">
        <v>268</v>
      </c>
      <c r="AI550" s="5">
        <v>2010</v>
      </c>
      <c r="AJ550" s="5" t="s">
        <v>260</v>
      </c>
      <c r="AK550" s="5"/>
      <c r="AR550" s="5" t="s">
        <v>301</v>
      </c>
      <c r="AS550" s="5" t="s">
        <v>301</v>
      </c>
      <c r="AT550" s="5" t="s">
        <v>301</v>
      </c>
      <c r="AU550" s="5" t="s">
        <v>301</v>
      </c>
      <c r="AV550" s="5" t="s">
        <v>262</v>
      </c>
      <c r="AW550" s="5" t="s">
        <v>204</v>
      </c>
      <c r="AX550" s="5" t="s">
        <v>206</v>
      </c>
      <c r="BF550" s="5" t="s">
        <v>204</v>
      </c>
      <c r="BG550" s="5" t="s">
        <v>207</v>
      </c>
      <c r="BH550" s="5" t="s">
        <v>242</v>
      </c>
      <c r="BI550" s="5" t="s">
        <v>207</v>
      </c>
      <c r="BJ550" s="5" t="s">
        <v>242</v>
      </c>
      <c r="BK550" s="5" t="s">
        <v>243</v>
      </c>
      <c r="BL550" s="5" t="s">
        <v>246</v>
      </c>
      <c r="BM550" s="5" t="s">
        <v>244</v>
      </c>
      <c r="BN550" s="5" t="s">
        <v>216</v>
      </c>
      <c r="BO550" s="5" t="s">
        <v>216</v>
      </c>
      <c r="BP550" s="5" t="s">
        <v>216</v>
      </c>
      <c r="BQ550" s="5" t="s">
        <v>216</v>
      </c>
      <c r="BR550" s="5" t="s">
        <v>216</v>
      </c>
      <c r="BS550" s="5" t="s">
        <v>248</v>
      </c>
      <c r="BT550" s="5" t="s">
        <v>247</v>
      </c>
      <c r="BU550" s="5" t="s">
        <v>248</v>
      </c>
      <c r="BV550" s="5" t="s">
        <v>217</v>
      </c>
      <c r="BW550" s="5" t="s">
        <v>217</v>
      </c>
      <c r="BX550" s="5" t="s">
        <v>217</v>
      </c>
      <c r="BY550" s="5" t="s">
        <v>217</v>
      </c>
      <c r="BZ550" s="5" t="s">
        <v>216</v>
      </c>
      <c r="CA550" s="5" t="s">
        <v>216</v>
      </c>
      <c r="CB550" s="5" t="s">
        <v>216</v>
      </c>
      <c r="CC550" s="5" t="s">
        <v>216</v>
      </c>
      <c r="CD550" s="5" t="s">
        <v>206</v>
      </c>
      <c r="CH550" s="5" t="s">
        <v>206</v>
      </c>
      <c r="CI550" s="5" t="s">
        <v>206</v>
      </c>
      <c r="CJ550" s="5">
        <v>1</v>
      </c>
      <c r="CK550" s="5" t="s">
        <v>223</v>
      </c>
      <c r="CU550" s="5" t="s">
        <v>206</v>
      </c>
      <c r="DA550" s="5" t="s">
        <v>272</v>
      </c>
      <c r="DB550" s="5"/>
      <c r="DC550" s="5" t="s">
        <v>251</v>
      </c>
      <c r="DD550" s="5"/>
      <c r="DE550" s="5" t="s">
        <v>230</v>
      </c>
      <c r="DF550" s="5"/>
      <c r="DG550" s="5" t="s">
        <v>251</v>
      </c>
      <c r="DH550" s="5"/>
      <c r="DI550" s="5" t="s">
        <v>251</v>
      </c>
      <c r="DJ550" s="5"/>
      <c r="DK550" s="5" t="s">
        <v>251</v>
      </c>
      <c r="DL550" s="5"/>
      <c r="DM550" s="5" t="s">
        <v>251</v>
      </c>
      <c r="DN550" s="5"/>
      <c r="DO550" s="5" t="s">
        <v>281</v>
      </c>
      <c r="DP550" s="5"/>
      <c r="DQ550" s="5" t="s">
        <v>281</v>
      </c>
      <c r="DR550" s="5"/>
      <c r="DS550" s="5" t="s">
        <v>231</v>
      </c>
      <c r="DT550" s="5"/>
      <c r="DU550" s="5" t="s">
        <v>231</v>
      </c>
      <c r="DV550" s="5"/>
      <c r="DW550" s="5" t="s">
        <v>281</v>
      </c>
      <c r="DX550" s="5"/>
      <c r="DY550" s="5"/>
      <c r="DZ550" s="5"/>
      <c r="EA550" s="5" t="s">
        <v>253</v>
      </c>
      <c r="EB550" s="5"/>
      <c r="EC550" s="5" t="s">
        <v>253</v>
      </c>
      <c r="ED550" s="5"/>
      <c r="EE550" s="5" t="s">
        <v>253</v>
      </c>
      <c r="EF550" s="5"/>
      <c r="EG550" s="5"/>
      <c r="EH550" s="5"/>
      <c r="EI550" s="5" t="s">
        <v>253</v>
      </c>
      <c r="EJ550" s="5"/>
      <c r="EK550" s="5" t="s">
        <v>253</v>
      </c>
      <c r="EL550" s="5"/>
      <c r="EM550" s="5" t="s">
        <v>253</v>
      </c>
      <c r="EN550" s="5"/>
      <c r="EO550" s="5"/>
      <c r="EP550" s="5"/>
      <c r="EQ550" s="5" t="s">
        <v>254</v>
      </c>
      <c r="ER550" s="5"/>
      <c r="ES550" s="5" t="s">
        <v>247</v>
      </c>
      <c r="ET550" s="5"/>
      <c r="EU550" s="5" t="s">
        <v>254</v>
      </c>
      <c r="EV550" s="5"/>
      <c r="EW550" s="5" t="s">
        <v>254</v>
      </c>
      <c r="EX550" s="5"/>
      <c r="EY550" s="5"/>
      <c r="EZ550" s="5"/>
      <c r="FA550" s="5" t="s">
        <v>253</v>
      </c>
      <c r="FB550" s="5"/>
      <c r="FC550" s="5" t="s">
        <v>253</v>
      </c>
      <c r="FD550" s="5"/>
      <c r="FE550" s="5" t="s">
        <v>253</v>
      </c>
      <c r="FF550" s="5"/>
      <c r="FG550" s="5"/>
      <c r="FH550" s="5"/>
      <c r="FI550" s="5" t="s">
        <v>253</v>
      </c>
      <c r="FJ550" s="5"/>
      <c r="FK550" s="5" t="s">
        <v>253</v>
      </c>
      <c r="FL550" s="5"/>
      <c r="FM550" s="5" t="s">
        <v>253</v>
      </c>
      <c r="FN550" s="5"/>
      <c r="FO550" s="5"/>
      <c r="FP550" s="5"/>
      <c r="FQ550" s="5" t="s">
        <v>206</v>
      </c>
      <c r="FR550" s="5"/>
      <c r="FS550" s="5" t="s">
        <v>206</v>
      </c>
      <c r="FT550" s="5"/>
      <c r="FU550" s="5" t="s">
        <v>206</v>
      </c>
      <c r="FV550" s="5"/>
      <c r="FW550" s="5" t="s">
        <v>206</v>
      </c>
      <c r="FX550" s="5"/>
      <c r="FY550" s="5" t="s">
        <v>206</v>
      </c>
      <c r="FZ550" s="5"/>
      <c r="GA550" s="5" t="s">
        <v>206</v>
      </c>
      <c r="GB550" s="5"/>
      <c r="GC550" s="5" t="s">
        <v>206</v>
      </c>
      <c r="GD550" s="5"/>
      <c r="GE550" s="5"/>
      <c r="GF550" s="5"/>
      <c r="GG550" s="5" t="s">
        <v>255</v>
      </c>
      <c r="GH550" s="5" t="s">
        <v>298</v>
      </c>
      <c r="GI550" s="5" t="s">
        <v>273</v>
      </c>
      <c r="GJ550" s="5" t="s">
        <v>255</v>
      </c>
      <c r="GK550" s="5" t="s">
        <v>233</v>
      </c>
      <c r="GL550" s="5" t="s">
        <v>233</v>
      </c>
      <c r="GM550" s="5" t="s">
        <v>233</v>
      </c>
      <c r="GN550" s="5" t="s">
        <v>256</v>
      </c>
      <c r="GO550" s="5" t="s">
        <v>234</v>
      </c>
      <c r="GP550" s="5" t="s">
        <v>234</v>
      </c>
      <c r="GQ550" s="5" t="s">
        <v>256</v>
      </c>
      <c r="GR550" s="5" t="s">
        <v>243</v>
      </c>
      <c r="GS550" s="5" t="s">
        <v>243</v>
      </c>
      <c r="GT550" s="5" t="s">
        <v>243</v>
      </c>
      <c r="GU550" s="5" t="s">
        <v>913</v>
      </c>
      <c r="GV550" s="5" t="str">
        <f>TEXT("6291415006325090881","0")</f>
        <v>6291415006325090000</v>
      </c>
    </row>
    <row r="551" spans="1:204" ht="15.75" customHeight="1" x14ac:dyDescent="0.15">
      <c r="A551" s="1">
        <f t="shared" ref="A551:A565" si="1734">ROW(A551)</f>
        <v>551</v>
      </c>
      <c r="B551" s="4">
        <v>45862.071180555555</v>
      </c>
      <c r="C551" s="5" t="s">
        <v>204</v>
      </c>
      <c r="D551" s="5" t="s">
        <v>206</v>
      </c>
      <c r="F551" s="5" t="s">
        <v>206</v>
      </c>
      <c r="G551" s="5" t="s">
        <v>204</v>
      </c>
      <c r="H551" s="5" t="s">
        <v>206</v>
      </c>
      <c r="J551" s="5" t="s">
        <v>209</v>
      </c>
      <c r="P551" s="5" t="s">
        <v>237</v>
      </c>
      <c r="S551" s="5" t="s">
        <v>208</v>
      </c>
      <c r="X551" s="5" t="s">
        <v>208</v>
      </c>
      <c r="AC551" s="5" t="s">
        <v>208</v>
      </c>
      <c r="AH551" s="5" t="s">
        <v>275</v>
      </c>
      <c r="AI551" s="5">
        <v>2023</v>
      </c>
      <c r="AJ551" s="5" t="s">
        <v>238</v>
      </c>
      <c r="AK551" s="5" t="str">
        <f t="shared" ref="AK551:AK565" si="1735">IF(OR(AJ551="Empleada del sector privado",AJ551="Empleada del sector público"),"Asalariada",
IF(AJ551="Trabajadora por cuenta propia","Trabajadora por cuenta propia",""))</f>
        <v>Trabajadora por cuenta propia</v>
      </c>
      <c r="AL551" s="5" t="s">
        <v>239</v>
      </c>
      <c r="AP551" s="5" t="s">
        <v>240</v>
      </c>
      <c r="AR551" s="5" t="s">
        <v>261</v>
      </c>
      <c r="AS551" s="5" t="s">
        <v>261</v>
      </c>
      <c r="AT551" s="5" t="s">
        <v>294</v>
      </c>
      <c r="AU551" s="5" t="s">
        <v>294</v>
      </c>
      <c r="AV551" s="5" t="s">
        <v>269</v>
      </c>
      <c r="AW551" s="5" t="s">
        <v>204</v>
      </c>
      <c r="AX551" s="5" t="s">
        <v>204</v>
      </c>
      <c r="AY551" s="5" t="s">
        <v>214</v>
      </c>
      <c r="AZ551" s="5" t="s">
        <v>204</v>
      </c>
      <c r="BA551" s="5" t="s">
        <v>263</v>
      </c>
      <c r="BF551" s="5" t="s">
        <v>204</v>
      </c>
      <c r="BG551" s="5" t="s">
        <v>278</v>
      </c>
      <c r="BH551" s="5" t="s">
        <v>215</v>
      </c>
      <c r="BI551" s="5" t="s">
        <v>278</v>
      </c>
      <c r="BJ551" s="5" t="s">
        <v>264</v>
      </c>
      <c r="BK551" s="5" t="s">
        <v>243</v>
      </c>
      <c r="BL551" s="5" t="s">
        <v>243</v>
      </c>
      <c r="BM551" s="5" t="s">
        <v>246</v>
      </c>
      <c r="BN551" s="5" t="s">
        <v>246</v>
      </c>
      <c r="BO551" s="5" t="s">
        <v>243</v>
      </c>
      <c r="BP551" s="5" t="s">
        <v>243</v>
      </c>
      <c r="BQ551" s="5" t="s">
        <v>243</v>
      </c>
      <c r="BR551" s="5" t="s">
        <v>244</v>
      </c>
      <c r="BS551" s="5" t="s">
        <v>232</v>
      </c>
      <c r="BT551" s="5" t="s">
        <v>232</v>
      </c>
      <c r="BU551" s="5" t="s">
        <v>254</v>
      </c>
      <c r="BV551" s="5" t="s">
        <v>247</v>
      </c>
      <c r="BW551" s="5" t="s">
        <v>232</v>
      </c>
      <c r="BX551" s="5" t="s">
        <v>232</v>
      </c>
      <c r="BY551" s="5" t="s">
        <v>247</v>
      </c>
      <c r="BZ551" s="5" t="s">
        <v>243</v>
      </c>
      <c r="CA551" s="5" t="s">
        <v>243</v>
      </c>
      <c r="CB551" s="5" t="s">
        <v>243</v>
      </c>
      <c r="CC551" s="5" t="s">
        <v>243</v>
      </c>
      <c r="CD551" s="5" t="s">
        <v>206</v>
      </c>
      <c r="CH551" s="5" t="s">
        <v>331</v>
      </c>
      <c r="CI551" s="5" t="s">
        <v>318</v>
      </c>
      <c r="CJ551" s="5">
        <v>9</v>
      </c>
      <c r="CK551" s="5" t="s">
        <v>223</v>
      </c>
      <c r="CU551" s="5" t="s">
        <v>206</v>
      </c>
      <c r="DA551" s="5" t="s">
        <v>252</v>
      </c>
      <c r="DB551" s="5">
        <f t="shared" ref="DB551:DB565" si="1736">IF(DA551="Mejor que lo habitual",1,
IF(DA551="Igual que lo habitual",2,
IF(DA551="Menos que lo habitual",3,
IF(DA551="Mucho menos que lo habitual",4,""))))</f>
        <v>3</v>
      </c>
      <c r="DC551" s="5" t="s">
        <v>250</v>
      </c>
      <c r="DD551" s="5">
        <f t="shared" ref="DD551:DD565" si="1737">IF(DC551="No, en absoluto",1,
IF(DC551="No más que lo habitual",2,
IF(DC551="Bastante más que lo habitual",3,
IF(DC551="Mucho más que lo habitual",4,""))))</f>
        <v>3</v>
      </c>
      <c r="DE551" s="5" t="s">
        <v>230</v>
      </c>
      <c r="DF551" s="5">
        <f t="shared" ref="DF551:DF565" si="1738">IF(DE551="No, en absoluto",1,
IF(DE551="No más que lo habitual",2,
IF(DE551="Bastante más que lo habitual",3,
IF(DE551="Mucho más que lo habitual",4,""))))</f>
        <v>2</v>
      </c>
      <c r="DG551" s="5" t="s">
        <v>230</v>
      </c>
      <c r="DH551" s="5">
        <f t="shared" ref="DH551:DH565" si="1739">IF(DG551="No, en absoluto",1,
IF(DG551="No más que lo habitual",2,
IF(DG551="Bastante más que lo habitual",3,
IF(DG551="Mucho más que lo habitual",4,""))))</f>
        <v>2</v>
      </c>
      <c r="DI551" s="5" t="s">
        <v>230</v>
      </c>
      <c r="DJ551" s="5">
        <f t="shared" ref="DJ551:DJ565" si="1740">IF(DI551="No, en absoluto",1,
IF(DI551="No más que lo habitual",2,
IF(DI551="Bastante más que lo habitual",3,
IF(DI551="Mucho más que lo habitual",4,""))))</f>
        <v>2</v>
      </c>
      <c r="DK551" s="5" t="s">
        <v>230</v>
      </c>
      <c r="DL551" s="5">
        <f t="shared" ref="DL551:DL565" si="1741">IF(DK551="No, en absoluto",1,
IF(DK551="No más que lo habitual",2,
IF(DK551="Bastante más que lo habitual",3,
IF(DK551="Mucho más que lo habitual",4,""))))</f>
        <v>2</v>
      </c>
      <c r="DM551" s="5" t="s">
        <v>251</v>
      </c>
      <c r="DN551" s="5">
        <f t="shared" ref="DN551:DN565" si="1742">IF(DM551="No, en absoluto",1,
IF(DM551="No más que lo habitual",2,
IF(DM551="Bastante más que lo habitual",3,
IF(DM551="Mucho más que lo habitual",4,""))))</f>
        <v>1</v>
      </c>
      <c r="DO551" s="5" t="s">
        <v>252</v>
      </c>
      <c r="DP551" s="5">
        <f t="shared" ref="DP551:DP565" si="1743">IF(DO551="Más que lo habitual",1,
IF(DO551="Igual que lo habitual",2,
IF(DO551="Menos que lo habitual",3,
IF(DO551="Mucho menos que lo habitual",4,""))))</f>
        <v>3</v>
      </c>
      <c r="DQ551" s="5" t="s">
        <v>252</v>
      </c>
      <c r="DR551" s="5">
        <f t="shared" ref="DR551:DR565" si="1744">IF(DQ551="Más que lo habitual",1,
IF(DQ551="Igual que lo habitual",2,
IF(DQ551="Menos que lo habitual",3,
IF(DQ551="Mucho menos que lo habitual",4,""))))</f>
        <v>3</v>
      </c>
      <c r="DS551" s="5" t="s">
        <v>252</v>
      </c>
      <c r="DT551" s="5">
        <f t="shared" ref="DT551:DT565" si="1745">IF(DS551="Más que lo habitual",1,
IF(DS551="Igual que lo habitual",2,
IF(DS551="Menos que lo habitual",3,
IF(DS551="Mucho menos que lo habitual",4,""))))</f>
        <v>3</v>
      </c>
      <c r="DU551" s="5" t="s">
        <v>252</v>
      </c>
      <c r="DV551" s="5">
        <f t="shared" ref="DV551:DV565" si="1746">IF(DU551="Más que lo habitual",1,
IF(DU551="Igual que lo habitual",2,
IF(DU551="Menos que lo habitual",3,
IF(DU551="Mucho menos que lo habitual",4,""))))</f>
        <v>3</v>
      </c>
      <c r="DW551" s="5" t="s">
        <v>231</v>
      </c>
      <c r="DX551" s="5">
        <f t="shared" ref="DX551:DX565" si="1747">IF(DW551="Más que lo habitual",1,
IF(DW551="Igual que lo habitual",2,
IF(DW551="Menos que lo habitual",3,
IF(DW551="Mucho menos que lo habitual",4,""))))</f>
        <v>2</v>
      </c>
      <c r="DY551" s="5">
        <f t="shared" ref="DY551:DY565" si="1748">SUM(DB551,DD551,DF551,DH551,DJ551,DL551,DN551,DP551,DR551,DT551,DV551,DX551)</f>
        <v>29</v>
      </c>
      <c r="DZ551" s="5" t="str">
        <f t="shared" ref="DZ551:DZ565" si="1749">IF(DY551&lt;=18,"Nivel de riesgo bajo",
IF(DY551&lt;=23,"Nivel de riesgo medio",
"Nivel de riesgo alto"))</f>
        <v>Nivel de riesgo alto</v>
      </c>
      <c r="EA551" s="5" t="s">
        <v>247</v>
      </c>
      <c r="EB551" s="5">
        <f t="shared" ref="EB551:EB565" si="1750">IF(EA551="Nunca/ casi nunca",0,
IF(EA551="Rara vez",1,
IF(EA551="A veces",2,
IF(EA551="A menudo",3,
IF(EA551="Siempre",4,"")))))</f>
        <v>2</v>
      </c>
      <c r="EC551" s="5" t="s">
        <v>248</v>
      </c>
      <c r="ED551" s="5">
        <f t="shared" ref="ED551:ED565" si="1751">IF(EC551="Nunca/ casi nunca",0,
IF(EC551="Rara vez",1,
IF(EC551="A veces",2,
IF(EC551="A menudo",3,
IF(EC551="Siempre",4,"")))))</f>
        <v>1</v>
      </c>
      <c r="EE551" s="5" t="s">
        <v>253</v>
      </c>
      <c r="EF551" s="5">
        <f t="shared" ref="EF551:EF565" si="1752">IF(EE551="Nunca/ casi nunca",0,
IF(EE551="Rara vez",1,
IF(EE551="A veces",2,
IF(EE551="A menudo",3,
IF(EE551="Siempre",4,"")))))</f>
        <v>0</v>
      </c>
      <c r="EG551" s="5">
        <f t="shared" ref="EG551:EG565" si="1753">SUM(EB551,ED551,EF551)</f>
        <v>3</v>
      </c>
      <c r="EH551" s="5" t="str">
        <f t="shared" ref="EH551:EH565" si="1754">IF(EG551&lt;=1,"Nivel de riesgo bajo",
IF(EG551&lt;=4,"Nivel de riesgo medio",
"Nivel de riesgo alto"))</f>
        <v>Nivel de riesgo medio</v>
      </c>
      <c r="EI551" s="5" t="s">
        <v>248</v>
      </c>
      <c r="EJ551" s="5">
        <f t="shared" ref="EJ551:EJ565" si="1755">IF(EI551="Nunca/ casi nunca",0,
IF(EI551="Rara vez",1,
IF(EI551="A veces",2,
IF(EI551="A menudo",3,
IF(EI551="Siempre",4,"")))))</f>
        <v>1</v>
      </c>
      <c r="EK551" s="5" t="s">
        <v>254</v>
      </c>
      <c r="EL551" s="5">
        <f t="shared" ref="EL551:EL565" si="1756">IF(EK551="Nunca/ casi nunca",0,
IF(EK551="Rara vez",1,
IF(EK551="A veces",2,
IF(EK551="A menudo",3,
IF(EK551="Siempre",4,"")))))</f>
        <v>4</v>
      </c>
      <c r="EM551" s="5" t="s">
        <v>248</v>
      </c>
      <c r="EN551" s="5">
        <f t="shared" ref="EN551:EN565" si="1757">IF(EM551="Nunca/ casi nunca",0,
IF(EM551="Rara vez",1,
IF(EM551="A veces",2,
IF(EM551="A menudo",3,
IF(EM551="Siempre",4,"")))))</f>
        <v>1</v>
      </c>
      <c r="EO551" s="5">
        <f t="shared" ref="EO551:EO565" si="1758">SUM(EJ551,EL551,EN551)</f>
        <v>6</v>
      </c>
      <c r="EP551" s="5" t="str">
        <f t="shared" ref="EP551:EP565" si="1759">IF(EO551&lt;=1,"Nivel de riesgo bajo",
IF(EO551&lt;=5,"Nivel de riesgo medio",
"Nivel de riesgo alto"))</f>
        <v>Nivel de riesgo alto</v>
      </c>
      <c r="EQ551" s="5" t="s">
        <v>247</v>
      </c>
      <c r="ER551" s="5">
        <f t="shared" ref="ER551:ER565" si="1760">IF(EQ551="Nunca/ casi nunca",4,
IF(EQ551="Rara vez",3,
IF(EQ551="A veces",2,
IF(EQ551="A menudo",1,
IF(EQ551="Siempre",0,"")))))</f>
        <v>2</v>
      </c>
      <c r="ES551" s="5" t="s">
        <v>247</v>
      </c>
      <c r="ET551" s="5">
        <f t="shared" ref="ET551:ET565" si="1761">IF(ES551="Nunca/ casi nunca",4,
IF(ES551="Rara vez",3,
IF(ES551="A veces",2,
IF(ES551="A menudo",1,
IF(ES551="Siempre",0,"")))))</f>
        <v>2</v>
      </c>
      <c r="EU551" s="5" t="s">
        <v>247</v>
      </c>
      <c r="EV551" s="5">
        <f t="shared" ref="EV551:EV565" si="1762">IF(EU551="Nunca/ casi nunca",4,
IF(EU551="Rara vez",3,
IF(EU551="A veces",2,
IF(EU551="A menudo",1,
IF(EU551="Siempre",0,"")))))</f>
        <v>2</v>
      </c>
      <c r="EW551" s="5" t="s">
        <v>247</v>
      </c>
      <c r="EX551" s="5">
        <f t="shared" ref="EX551:EX565" si="1763">IF(EW551="Nunca/ casi nunca",4,
IF(EW551="Rara vez",3,
IF(EW551="A veces",2,
IF(EW551="A menudo",1,
IF(EW551="Siempre",0,"")))))</f>
        <v>2</v>
      </c>
      <c r="EY551" s="5">
        <f t="shared" ref="EY551:EY565" si="1764">SUM(ER551,ET551,EV551,EX551)</f>
        <v>8</v>
      </c>
      <c r="EZ551" s="5" t="str">
        <f t="shared" ref="EZ551:EZ565" si="1765">IF(EY551&lt;=0,"Nivel de riesgo bajo",
IF(EY551&lt;=4,"Nivel de riesgo medio",
"Nivel de riesgo alto"))</f>
        <v>Nivel de riesgo alto</v>
      </c>
      <c r="FA551" s="5" t="s">
        <v>232</v>
      </c>
      <c r="FB551" s="5">
        <f t="shared" ref="FB551:FB565" si="1766">IF(FA551="Nunca/ casi nunca",0,
IF(FA551="Rara vez",1,
IF(FA551="A veces",2,
IF(FA551="A menudo",3,
IF(FA551="Siempre",4,"")))))</f>
        <v>3</v>
      </c>
      <c r="FC551" s="5" t="s">
        <v>253</v>
      </c>
      <c r="FD551" s="5">
        <f t="shared" ref="FD551:FD565" si="1767">IF(FC551="Nunca/ casi nunca",0,
IF(FC551="Rara vez",1,
IF(FC551="A veces",2,
IF(FC551="A menudo",3,
IF(FC551="Siempre",4,"")))))</f>
        <v>0</v>
      </c>
      <c r="FE551" s="5" t="s">
        <v>253</v>
      </c>
      <c r="FF551" s="5">
        <f t="shared" ref="FF551:FF565" si="1768">IF(FE551="Nunca/ casi nunca",0,
IF(FE551="Rara vez",1,
IF(FE551="A veces",2,
IF(FE551="A menudo",3,
IF(FE551="Siempre",4,"")))))</f>
        <v>0</v>
      </c>
      <c r="FG551" s="5">
        <f t="shared" ref="FG551:FG565" si="1769">SUM(FB551,FD551,FF551)</f>
        <v>3</v>
      </c>
      <c r="FH551" s="5" t="str">
        <f t="shared" ref="FH551:FH565" si="1770">IF(FG551&lt;=2,"Nivel de riesgo bajo",
IF(FG551&lt;=5,"Nivel de riesgo medio",
"Nivel de riesgo alto"))</f>
        <v>Nivel de riesgo medio</v>
      </c>
      <c r="FI551" s="5" t="s">
        <v>247</v>
      </c>
      <c r="FJ551" s="5">
        <f t="shared" ref="FJ551:FJ565" si="1771">IF(FI551="Nunca/ casi nunca",0,
IF(FI551="Rara vez",1,
IF(FI551="A veces",2,
IF(FI551="A menudo",3,
IF(FI551="Siempre",4,"")))))</f>
        <v>2</v>
      </c>
      <c r="FK551" s="5" t="s">
        <v>247</v>
      </c>
      <c r="FL551" s="5">
        <f t="shared" ref="FL551:FL565" si="1772">IF(FK551="Nunca/ casi nunca",0,
IF(FK551="Rara vez",1,
IF(FK551="A veces",2,
IF(FK551="A menudo",3,
IF(FK551="Siempre",4,"")))))</f>
        <v>2</v>
      </c>
      <c r="FM551" s="5" t="s">
        <v>247</v>
      </c>
      <c r="FN551" s="5">
        <f t="shared" ref="FN551:FN565" si="1773">IF(FM551="Nunca/ casi nunca",0,
IF(FM551="Rara vez",1,
IF(FM551="A veces",2,
IF(FM551="A menudo",3,
IF(FM551="Siempre",4,"")))))</f>
        <v>2</v>
      </c>
      <c r="FO551" s="5">
        <f t="shared" ref="FO551:FO565" si="1774">SUM(FJ551,FL551,FN551)</f>
        <v>6</v>
      </c>
      <c r="FP551" s="5" t="str">
        <f t="shared" ref="FP551:FP565" si="1775">IF(FO551&lt;=2,"Nivel de riesgo bajo",
IF(FO551&lt;=5,"Nivel de riesgo medio",
"Nivel de riesgo alto"))</f>
        <v>Nivel de riesgo alto</v>
      </c>
      <c r="FQ551" s="5" t="s">
        <v>361</v>
      </c>
      <c r="FR551" s="5">
        <f t="shared" ref="FR551:FR565" si="1776">IF(FQ551="No",0,
IF(FQ551="Sí, unas pocas veces",1,
IF(FQ551="Sí, mensualmente",2,
IF(FQ551="Sí, semanalmente",3,
IF(FQ551="Sí, diariamente",4,"")))))</f>
        <v>3</v>
      </c>
      <c r="FS551" s="5" t="s">
        <v>206</v>
      </c>
      <c r="FT551" s="5">
        <f t="shared" ref="FT551:FT565" si="1777">IF(FS551="No",0,
IF(FS551="Sí, unas pocas veces",1,
IF(FS551="Sí, mensualmente",2,
IF(FS551="Sí, semanalmente",3,
IF(FS551="Sí, diariamente",4,"")))))</f>
        <v>0</v>
      </c>
      <c r="FU551" s="5" t="s">
        <v>206</v>
      </c>
      <c r="FV551" s="5">
        <f t="shared" ref="FV551:FV565" si="1778">IF(FU551="No",0,
IF(FU551="Sí, unas pocas veces",1,
IF(FU551="Sí, mensualmente",2,
IF(FU551="Sí, semanalmente",3,
IF(FU551="Sí, diariamente",4,"")))))</f>
        <v>0</v>
      </c>
      <c r="FW551" s="5" t="s">
        <v>206</v>
      </c>
      <c r="FX551" s="5">
        <f t="shared" ref="FX551:FX565" si="1779">IF(FW551="No",0,
IF(FW551="Sí, unas pocas veces",1,
IF(FW551="Sí, mensualmente",2,
IF(FW551="Sí, semanalmente",3,
IF(FW551="Sí, diariamente",4,"")))))</f>
        <v>0</v>
      </c>
      <c r="FY551" s="5" t="s">
        <v>206</v>
      </c>
      <c r="FZ551" s="5">
        <f t="shared" ref="FZ551:FZ565" si="1780">IF(FY551="No",0,
IF(FY551="Sí, unas pocas veces",1,
IF(FY551="Sí, mensualmente",2,
IF(FY551="Sí, semanalmente",3,
IF(FY551="Sí, diariamente",4,"")))))</f>
        <v>0</v>
      </c>
      <c r="GA551" s="5" t="s">
        <v>265</v>
      </c>
      <c r="GB551" s="5">
        <f t="shared" ref="GB551:GB565" si="1781">IF(GA551="No",0,
IF(GA551="Sí, unas pocas veces",1,
IF(GA551="Sí, mensualmente",2,
IF(GA551="Sí, semanalmente",3,
IF(GA551="Sí, diariamente",4,"")))))</f>
        <v>1</v>
      </c>
      <c r="GC551" s="5" t="s">
        <v>265</v>
      </c>
      <c r="GD551" s="5">
        <f t="shared" ref="GD551:GD565" si="1782">IF(GC551="No",0,
IF(GC551="Sí, unas pocas veces",1,
IF(GC551="Sí, mensualmente",2,
IF(GC551="Sí, semanalmente",3,
IF(GC551="Sí, diariamente",4,"")))))</f>
        <v>1</v>
      </c>
      <c r="GE551" s="5">
        <f t="shared" ref="GE551:GE565" si="1783">SUM(FR551,FT551,FV551,FX551,FZ551,GB551,GD551)</f>
        <v>5</v>
      </c>
      <c r="GF551" s="5" t="str">
        <f t="shared" ref="GF551:GF565" si="1784">IF(GE551&lt;=0,"Nivel de riesgo bajo",
IF(GE551&lt;=14,"Nivel de riesgo medio",
"Nivel de riesgo alto"))</f>
        <v>Nivel de riesgo medio</v>
      </c>
      <c r="GG551" s="5" t="s">
        <v>255</v>
      </c>
      <c r="GH551" s="5" t="s">
        <v>255</v>
      </c>
      <c r="GI551" s="5" t="s">
        <v>255</v>
      </c>
      <c r="GJ551" s="5" t="s">
        <v>298</v>
      </c>
      <c r="GK551" s="5" t="s">
        <v>233</v>
      </c>
      <c r="GL551" s="5" t="s">
        <v>298</v>
      </c>
      <c r="GM551" s="5" t="s">
        <v>298</v>
      </c>
      <c r="GN551" s="5" t="s">
        <v>256</v>
      </c>
      <c r="GO551" s="5" t="s">
        <v>257</v>
      </c>
      <c r="GP551" s="5" t="s">
        <v>257</v>
      </c>
      <c r="GQ551" s="5" t="s">
        <v>257</v>
      </c>
      <c r="GR551" s="5" t="s">
        <v>244</v>
      </c>
      <c r="GS551" s="5" t="s">
        <v>234</v>
      </c>
      <c r="GT551" s="5" t="s">
        <v>257</v>
      </c>
      <c r="GU551" s="5" t="s">
        <v>914</v>
      </c>
      <c r="GV551" s="5" t="str">
        <f>TEXT("6291449509346299817","0")</f>
        <v>6291449509346290000</v>
      </c>
    </row>
    <row r="552" spans="1:204" ht="15.75" customHeight="1" x14ac:dyDescent="0.15">
      <c r="A552" s="1">
        <f t="shared" si="1734"/>
        <v>552</v>
      </c>
      <c r="B552" s="4">
        <v>45862.410196759258</v>
      </c>
      <c r="C552" s="5" t="s">
        <v>204</v>
      </c>
      <c r="D552" s="5" t="s">
        <v>206</v>
      </c>
      <c r="F552" s="5" t="s">
        <v>206</v>
      </c>
      <c r="G552" s="5" t="s">
        <v>206</v>
      </c>
      <c r="H552" s="5" t="s">
        <v>206</v>
      </c>
      <c r="K552" s="5" t="s">
        <v>237</v>
      </c>
      <c r="P552" s="5" t="s">
        <v>237</v>
      </c>
      <c r="T552" s="5" t="s">
        <v>209</v>
      </c>
      <c r="Y552" s="5" t="s">
        <v>209</v>
      </c>
      <c r="AD552" s="5" t="s">
        <v>209</v>
      </c>
      <c r="AH552" s="5" t="s">
        <v>268</v>
      </c>
      <c r="AI552" s="5">
        <v>2012</v>
      </c>
      <c r="AJ552" s="5" t="s">
        <v>238</v>
      </c>
      <c r="AK552" s="5" t="str">
        <f t="shared" si="1735"/>
        <v>Trabajadora por cuenta propia</v>
      </c>
      <c r="AL552" s="5" t="s">
        <v>239</v>
      </c>
      <c r="AP552" s="5" t="s">
        <v>321</v>
      </c>
      <c r="AR552" s="5" t="s">
        <v>301</v>
      </c>
      <c r="AS552" s="5" t="s">
        <v>301</v>
      </c>
      <c r="AT552" s="5" t="s">
        <v>301</v>
      </c>
      <c r="AU552" s="5" t="s">
        <v>301</v>
      </c>
      <c r="AV552" s="5" t="s">
        <v>285</v>
      </c>
      <c r="AW552" s="5" t="s">
        <v>204</v>
      </c>
      <c r="AX552" s="5" t="s">
        <v>206</v>
      </c>
      <c r="BF552" s="5" t="s">
        <v>204</v>
      </c>
      <c r="BG552" s="5" t="s">
        <v>242</v>
      </c>
      <c r="BH552" s="5" t="s">
        <v>242</v>
      </c>
      <c r="BI552" s="5" t="s">
        <v>207</v>
      </c>
      <c r="BJ552" s="5" t="s">
        <v>264</v>
      </c>
      <c r="BK552" s="5" t="s">
        <v>244</v>
      </c>
      <c r="BL552" s="5" t="s">
        <v>216</v>
      </c>
      <c r="BM552" s="5" t="s">
        <v>244</v>
      </c>
      <c r="BN552" s="5" t="s">
        <v>216</v>
      </c>
      <c r="BO552" s="5" t="s">
        <v>244</v>
      </c>
      <c r="BP552" s="5" t="s">
        <v>244</v>
      </c>
      <c r="BQ552" s="5" t="s">
        <v>244</v>
      </c>
      <c r="BR552" s="5" t="s">
        <v>244</v>
      </c>
      <c r="BS552" s="5" t="s">
        <v>217</v>
      </c>
      <c r="BT552" s="5" t="s">
        <v>217</v>
      </c>
      <c r="BU552" s="5" t="s">
        <v>217</v>
      </c>
      <c r="BV552" s="5" t="s">
        <v>217</v>
      </c>
      <c r="BW552" s="5" t="s">
        <v>217</v>
      </c>
      <c r="BX552" s="5" t="s">
        <v>247</v>
      </c>
      <c r="BY552" s="5" t="s">
        <v>248</v>
      </c>
      <c r="BZ552" s="5" t="s">
        <v>216</v>
      </c>
      <c r="CA552" s="5" t="s">
        <v>216</v>
      </c>
      <c r="CB552" s="5" t="s">
        <v>216</v>
      </c>
      <c r="CC552" s="5" t="s">
        <v>216</v>
      </c>
      <c r="CD552" s="5" t="s">
        <v>206</v>
      </c>
      <c r="CH552" s="5" t="s">
        <v>206</v>
      </c>
      <c r="CI552" s="5" t="s">
        <v>291</v>
      </c>
      <c r="CJ552" s="5">
        <v>1</v>
      </c>
      <c r="CK552" s="5" t="s">
        <v>223</v>
      </c>
      <c r="CU552" s="5" t="s">
        <v>206</v>
      </c>
      <c r="DA552" s="5" t="s">
        <v>231</v>
      </c>
      <c r="DB552" s="5">
        <f t="shared" si="1736"/>
        <v>2</v>
      </c>
      <c r="DC552" s="5" t="s">
        <v>230</v>
      </c>
      <c r="DD552" s="5">
        <f t="shared" si="1737"/>
        <v>2</v>
      </c>
      <c r="DE552" s="5" t="s">
        <v>250</v>
      </c>
      <c r="DF552" s="5">
        <f t="shared" si="1738"/>
        <v>3</v>
      </c>
      <c r="DG552" s="5" t="s">
        <v>230</v>
      </c>
      <c r="DH552" s="5">
        <f t="shared" si="1739"/>
        <v>2</v>
      </c>
      <c r="DI552" s="5" t="s">
        <v>250</v>
      </c>
      <c r="DJ552" s="5">
        <f t="shared" si="1740"/>
        <v>3</v>
      </c>
      <c r="DK552" s="5" t="s">
        <v>251</v>
      </c>
      <c r="DL552" s="5">
        <f t="shared" si="1741"/>
        <v>1</v>
      </c>
      <c r="DM552" s="5" t="s">
        <v>251</v>
      </c>
      <c r="DN552" s="5">
        <f t="shared" si="1742"/>
        <v>1</v>
      </c>
      <c r="DO552" s="5" t="s">
        <v>281</v>
      </c>
      <c r="DP552" s="5">
        <f t="shared" si="1743"/>
        <v>1</v>
      </c>
      <c r="DQ552" s="5" t="s">
        <v>281</v>
      </c>
      <c r="DR552" s="5">
        <f t="shared" si="1744"/>
        <v>1</v>
      </c>
      <c r="DS552" s="5" t="s">
        <v>281</v>
      </c>
      <c r="DT552" s="5">
        <f t="shared" si="1745"/>
        <v>1</v>
      </c>
      <c r="DU552" s="5" t="s">
        <v>281</v>
      </c>
      <c r="DV552" s="5">
        <f t="shared" si="1746"/>
        <v>1</v>
      </c>
      <c r="DW552" s="5" t="s">
        <v>281</v>
      </c>
      <c r="DX552" s="5">
        <f t="shared" si="1747"/>
        <v>1</v>
      </c>
      <c r="DY552" s="5">
        <f t="shared" si="1748"/>
        <v>19</v>
      </c>
      <c r="DZ552" s="5" t="str">
        <f t="shared" si="1749"/>
        <v>Nivel de riesgo medio</v>
      </c>
      <c r="EA552" s="5" t="s">
        <v>254</v>
      </c>
      <c r="EB552" s="5">
        <f t="shared" si="1750"/>
        <v>4</v>
      </c>
      <c r="EC552" s="5" t="s">
        <v>254</v>
      </c>
      <c r="ED552" s="5">
        <f t="shared" si="1751"/>
        <v>4</v>
      </c>
      <c r="EE552" s="5" t="s">
        <v>253</v>
      </c>
      <c r="EF552" s="5">
        <f t="shared" si="1752"/>
        <v>0</v>
      </c>
      <c r="EG552" s="5">
        <f t="shared" si="1753"/>
        <v>8</v>
      </c>
      <c r="EH552" s="5" t="str">
        <f t="shared" si="1754"/>
        <v>Nivel de riesgo alto</v>
      </c>
      <c r="EI552" s="5" t="s">
        <v>248</v>
      </c>
      <c r="EJ552" s="5">
        <f t="shared" si="1755"/>
        <v>1</v>
      </c>
      <c r="EK552" s="5" t="s">
        <v>253</v>
      </c>
      <c r="EL552" s="5">
        <f t="shared" si="1756"/>
        <v>0</v>
      </c>
      <c r="EM552" s="5" t="s">
        <v>248</v>
      </c>
      <c r="EN552" s="5">
        <f t="shared" si="1757"/>
        <v>1</v>
      </c>
      <c r="EO552" s="5">
        <f t="shared" si="1758"/>
        <v>2</v>
      </c>
      <c r="EP552" s="5" t="str">
        <f t="shared" si="1759"/>
        <v>Nivel de riesgo medio</v>
      </c>
      <c r="EQ552" s="5" t="s">
        <v>232</v>
      </c>
      <c r="ER552" s="5">
        <f t="shared" si="1760"/>
        <v>1</v>
      </c>
      <c r="ES552" s="5" t="s">
        <v>232</v>
      </c>
      <c r="ET552" s="5">
        <f t="shared" si="1761"/>
        <v>1</v>
      </c>
      <c r="EU552" s="5" t="s">
        <v>232</v>
      </c>
      <c r="EV552" s="5">
        <f t="shared" si="1762"/>
        <v>1</v>
      </c>
      <c r="EW552" s="5" t="s">
        <v>254</v>
      </c>
      <c r="EX552" s="5">
        <f t="shared" si="1763"/>
        <v>0</v>
      </c>
      <c r="EY552" s="5">
        <f t="shared" si="1764"/>
        <v>3</v>
      </c>
      <c r="EZ552" s="5" t="str">
        <f t="shared" si="1765"/>
        <v>Nivel de riesgo medio</v>
      </c>
      <c r="FA552" s="5" t="s">
        <v>253</v>
      </c>
      <c r="FB552" s="5">
        <f t="shared" si="1766"/>
        <v>0</v>
      </c>
      <c r="FC552" s="5" t="s">
        <v>253</v>
      </c>
      <c r="FD552" s="5">
        <f t="shared" si="1767"/>
        <v>0</v>
      </c>
      <c r="FE552" s="5" t="s">
        <v>253</v>
      </c>
      <c r="FF552" s="5">
        <f t="shared" si="1768"/>
        <v>0</v>
      </c>
      <c r="FG552" s="5">
        <f t="shared" si="1769"/>
        <v>0</v>
      </c>
      <c r="FH552" s="5" t="str">
        <f t="shared" si="1770"/>
        <v>Nivel de riesgo bajo</v>
      </c>
      <c r="FI552" s="5" t="s">
        <v>253</v>
      </c>
      <c r="FJ552" s="5">
        <f t="shared" si="1771"/>
        <v>0</v>
      </c>
      <c r="FK552" s="5" t="s">
        <v>253</v>
      </c>
      <c r="FL552" s="5">
        <f t="shared" si="1772"/>
        <v>0</v>
      </c>
      <c r="FM552" s="5" t="s">
        <v>253</v>
      </c>
      <c r="FN552" s="5">
        <f t="shared" si="1773"/>
        <v>0</v>
      </c>
      <c r="FO552" s="5">
        <f t="shared" si="1774"/>
        <v>0</v>
      </c>
      <c r="FP552" s="5" t="str">
        <f t="shared" si="1775"/>
        <v>Nivel de riesgo bajo</v>
      </c>
      <c r="FQ552" s="5" t="s">
        <v>206</v>
      </c>
      <c r="FR552" s="5">
        <f t="shared" si="1776"/>
        <v>0</v>
      </c>
      <c r="FS552" s="5" t="s">
        <v>206</v>
      </c>
      <c r="FT552" s="5">
        <f t="shared" si="1777"/>
        <v>0</v>
      </c>
      <c r="FU552" s="5" t="s">
        <v>206</v>
      </c>
      <c r="FV552" s="5">
        <f t="shared" si="1778"/>
        <v>0</v>
      </c>
      <c r="FW552" s="5" t="s">
        <v>206</v>
      </c>
      <c r="FX552" s="5">
        <f t="shared" si="1779"/>
        <v>0</v>
      </c>
      <c r="FY552" s="5" t="s">
        <v>206</v>
      </c>
      <c r="FZ552" s="5">
        <f t="shared" si="1780"/>
        <v>0</v>
      </c>
      <c r="GA552" s="5" t="s">
        <v>206</v>
      </c>
      <c r="GB552" s="5">
        <f t="shared" si="1781"/>
        <v>0</v>
      </c>
      <c r="GC552" s="5" t="s">
        <v>206</v>
      </c>
      <c r="GD552" s="5">
        <f t="shared" si="1782"/>
        <v>0</v>
      </c>
      <c r="GE552" s="5">
        <f t="shared" si="1783"/>
        <v>0</v>
      </c>
      <c r="GF552" s="5" t="str">
        <f t="shared" si="1784"/>
        <v>Nivel de riesgo bajo</v>
      </c>
      <c r="GG552" s="5" t="s">
        <v>298</v>
      </c>
      <c r="GH552" s="5" t="s">
        <v>233</v>
      </c>
      <c r="GI552" s="5" t="s">
        <v>255</v>
      </c>
      <c r="GJ552" s="5" t="s">
        <v>255</v>
      </c>
      <c r="GK552" s="5" t="s">
        <v>233</v>
      </c>
      <c r="GL552" s="5" t="s">
        <v>255</v>
      </c>
      <c r="GM552" s="5" t="s">
        <v>233</v>
      </c>
      <c r="GN552" s="5" t="s">
        <v>256</v>
      </c>
      <c r="GO552" s="5" t="s">
        <v>256</v>
      </c>
      <c r="GP552" s="5" t="s">
        <v>256</v>
      </c>
      <c r="GQ552" s="5" t="s">
        <v>256</v>
      </c>
      <c r="GR552" s="5" t="s">
        <v>256</v>
      </c>
      <c r="GS552" s="5" t="s">
        <v>256</v>
      </c>
      <c r="GT552" s="5" t="s">
        <v>256</v>
      </c>
      <c r="GU552" s="5" t="s">
        <v>303</v>
      </c>
      <c r="GV552" s="5" t="str">
        <f>TEXT("6291742410222594357","0")</f>
        <v>6291742410222590000</v>
      </c>
    </row>
    <row r="553" spans="1:204" ht="15.75" customHeight="1" x14ac:dyDescent="0.15">
      <c r="A553" s="1">
        <f t="shared" si="1734"/>
        <v>553</v>
      </c>
      <c r="B553" s="4">
        <v>45862.448298611111</v>
      </c>
      <c r="C553" s="5" t="s">
        <v>204</v>
      </c>
      <c r="D553" s="5" t="s">
        <v>206</v>
      </c>
      <c r="F553" s="5" t="s">
        <v>206</v>
      </c>
      <c r="G553" s="5" t="s">
        <v>204</v>
      </c>
      <c r="H553" s="5" t="s">
        <v>206</v>
      </c>
      <c r="K553" s="5" t="s">
        <v>237</v>
      </c>
      <c r="O553" s="5" t="s">
        <v>209</v>
      </c>
      <c r="S553" s="5" t="s">
        <v>208</v>
      </c>
      <c r="X553" s="5" t="s">
        <v>208</v>
      </c>
      <c r="AC553" s="5" t="s">
        <v>208</v>
      </c>
      <c r="AH553" s="5" t="s">
        <v>275</v>
      </c>
      <c r="AI553" s="5">
        <v>2025</v>
      </c>
      <c r="AJ553" s="5" t="s">
        <v>238</v>
      </c>
      <c r="AK553" s="5" t="str">
        <f t="shared" si="1735"/>
        <v>Trabajadora por cuenta propia</v>
      </c>
      <c r="AM553" s="5" t="s">
        <v>309</v>
      </c>
      <c r="AP553" s="5" t="s">
        <v>284</v>
      </c>
      <c r="AR553" s="5" t="s">
        <v>301</v>
      </c>
      <c r="AS553" s="5" t="s">
        <v>301</v>
      </c>
      <c r="AT553" s="5" t="s">
        <v>301</v>
      </c>
      <c r="AU553" s="5" t="s">
        <v>301</v>
      </c>
      <c r="AV553" s="5" t="s">
        <v>213</v>
      </c>
      <c r="AW553" s="5" t="s">
        <v>206</v>
      </c>
      <c r="BF553" s="5" t="s">
        <v>204</v>
      </c>
      <c r="BG553" s="5" t="s">
        <v>271</v>
      </c>
      <c r="BH553" s="5" t="s">
        <v>271</v>
      </c>
      <c r="BI553" s="5" t="s">
        <v>242</v>
      </c>
      <c r="BJ553" s="5" t="s">
        <v>242</v>
      </c>
      <c r="BK553" s="5" t="s">
        <v>244</v>
      </c>
      <c r="BL553" s="5" t="s">
        <v>244</v>
      </c>
      <c r="BM553" s="5" t="s">
        <v>244</v>
      </c>
      <c r="BN553" s="5" t="s">
        <v>244</v>
      </c>
      <c r="BO553" s="5" t="s">
        <v>244</v>
      </c>
      <c r="BP553" s="5" t="s">
        <v>244</v>
      </c>
      <c r="BQ553" s="5" t="s">
        <v>244</v>
      </c>
      <c r="BR553" s="5" t="s">
        <v>244</v>
      </c>
      <c r="BS553" s="5" t="s">
        <v>248</v>
      </c>
      <c r="BT553" s="5" t="s">
        <v>248</v>
      </c>
      <c r="BU553" s="5" t="s">
        <v>248</v>
      </c>
      <c r="BV553" s="5" t="s">
        <v>248</v>
      </c>
      <c r="BW553" s="5" t="s">
        <v>248</v>
      </c>
      <c r="BX553" s="5" t="s">
        <v>248</v>
      </c>
      <c r="BY553" s="5" t="s">
        <v>248</v>
      </c>
      <c r="CD553" s="5" t="s">
        <v>206</v>
      </c>
      <c r="CH553" s="5" t="s">
        <v>310</v>
      </c>
      <c r="CI553" s="5" t="s">
        <v>307</v>
      </c>
      <c r="CJ553" s="5">
        <v>2</v>
      </c>
      <c r="CK553" s="5" t="s">
        <v>223</v>
      </c>
      <c r="CU553" s="5" t="s">
        <v>206</v>
      </c>
      <c r="DA553" s="5" t="s">
        <v>231</v>
      </c>
      <c r="DB553" s="5">
        <f t="shared" si="1736"/>
        <v>2</v>
      </c>
      <c r="DC553" s="5" t="s">
        <v>251</v>
      </c>
      <c r="DD553" s="5">
        <f t="shared" si="1737"/>
        <v>1</v>
      </c>
      <c r="DE553" s="5" t="s">
        <v>251</v>
      </c>
      <c r="DF553" s="5">
        <f t="shared" si="1738"/>
        <v>1</v>
      </c>
      <c r="DG553" s="5" t="s">
        <v>251</v>
      </c>
      <c r="DH553" s="5">
        <f t="shared" si="1739"/>
        <v>1</v>
      </c>
      <c r="DI553" s="5" t="s">
        <v>251</v>
      </c>
      <c r="DJ553" s="5">
        <f t="shared" si="1740"/>
        <v>1</v>
      </c>
      <c r="DK553" s="5" t="s">
        <v>251</v>
      </c>
      <c r="DL553" s="5">
        <f t="shared" si="1741"/>
        <v>1</v>
      </c>
      <c r="DM553" s="5" t="s">
        <v>251</v>
      </c>
      <c r="DN553" s="5">
        <f t="shared" si="1742"/>
        <v>1</v>
      </c>
      <c r="DO553" s="5" t="s">
        <v>231</v>
      </c>
      <c r="DP553" s="5">
        <f t="shared" si="1743"/>
        <v>2</v>
      </c>
      <c r="DQ553" s="5" t="s">
        <v>231</v>
      </c>
      <c r="DR553" s="5">
        <f t="shared" si="1744"/>
        <v>2</v>
      </c>
      <c r="DS553" s="5" t="s">
        <v>231</v>
      </c>
      <c r="DT553" s="5">
        <f t="shared" si="1745"/>
        <v>2</v>
      </c>
      <c r="DU553" s="5" t="s">
        <v>231</v>
      </c>
      <c r="DV553" s="5">
        <f t="shared" si="1746"/>
        <v>2</v>
      </c>
      <c r="DW553" s="5" t="s">
        <v>231</v>
      </c>
      <c r="DX553" s="5">
        <f t="shared" si="1747"/>
        <v>2</v>
      </c>
      <c r="DY553" s="5">
        <f t="shared" si="1748"/>
        <v>18</v>
      </c>
      <c r="DZ553" s="5" t="str">
        <f t="shared" si="1749"/>
        <v>Nivel de riesgo bajo</v>
      </c>
      <c r="EA553" s="5" t="s">
        <v>248</v>
      </c>
      <c r="EB553" s="5">
        <f t="shared" si="1750"/>
        <v>1</v>
      </c>
      <c r="EC553" s="5" t="s">
        <v>248</v>
      </c>
      <c r="ED553" s="5">
        <f t="shared" si="1751"/>
        <v>1</v>
      </c>
      <c r="EE553" s="5" t="s">
        <v>253</v>
      </c>
      <c r="EF553" s="5">
        <f t="shared" si="1752"/>
        <v>0</v>
      </c>
      <c r="EG553" s="5">
        <f t="shared" si="1753"/>
        <v>2</v>
      </c>
      <c r="EH553" s="5" t="str">
        <f t="shared" si="1754"/>
        <v>Nivel de riesgo medio</v>
      </c>
      <c r="EI553" s="5" t="s">
        <v>253</v>
      </c>
      <c r="EJ553" s="5">
        <f t="shared" si="1755"/>
        <v>0</v>
      </c>
      <c r="EK553" s="5" t="s">
        <v>247</v>
      </c>
      <c r="EL553" s="5">
        <f t="shared" si="1756"/>
        <v>2</v>
      </c>
      <c r="EM553" s="5" t="s">
        <v>248</v>
      </c>
      <c r="EN553" s="5">
        <f t="shared" si="1757"/>
        <v>1</v>
      </c>
      <c r="EO553" s="5">
        <f t="shared" si="1758"/>
        <v>3</v>
      </c>
      <c r="EP553" s="5" t="str">
        <f t="shared" si="1759"/>
        <v>Nivel de riesgo medio</v>
      </c>
      <c r="EQ553" s="5" t="s">
        <v>232</v>
      </c>
      <c r="ER553" s="5">
        <f t="shared" si="1760"/>
        <v>1</v>
      </c>
      <c r="ES553" s="5" t="s">
        <v>232</v>
      </c>
      <c r="ET553" s="5">
        <f t="shared" si="1761"/>
        <v>1</v>
      </c>
      <c r="EU553" s="5" t="s">
        <v>254</v>
      </c>
      <c r="EV553" s="5">
        <f t="shared" si="1762"/>
        <v>0</v>
      </c>
      <c r="EW553" s="5" t="s">
        <v>254</v>
      </c>
      <c r="EX553" s="5">
        <f t="shared" si="1763"/>
        <v>0</v>
      </c>
      <c r="EY553" s="5">
        <f t="shared" si="1764"/>
        <v>2</v>
      </c>
      <c r="EZ553" s="5" t="str">
        <f t="shared" si="1765"/>
        <v>Nivel de riesgo medio</v>
      </c>
      <c r="FA553" s="5" t="s">
        <v>248</v>
      </c>
      <c r="FB553" s="5">
        <f t="shared" si="1766"/>
        <v>1</v>
      </c>
      <c r="FC553" s="5" t="s">
        <v>253</v>
      </c>
      <c r="FD553" s="5">
        <f t="shared" si="1767"/>
        <v>0</v>
      </c>
      <c r="FE553" s="5" t="s">
        <v>253</v>
      </c>
      <c r="FF553" s="5">
        <f t="shared" si="1768"/>
        <v>0</v>
      </c>
      <c r="FG553" s="5">
        <f t="shared" si="1769"/>
        <v>1</v>
      </c>
      <c r="FH553" s="5" t="str">
        <f t="shared" si="1770"/>
        <v>Nivel de riesgo bajo</v>
      </c>
      <c r="FI553" s="5" t="s">
        <v>253</v>
      </c>
      <c r="FJ553" s="5">
        <f t="shared" si="1771"/>
        <v>0</v>
      </c>
      <c r="FK553" s="5" t="s">
        <v>253</v>
      </c>
      <c r="FL553" s="5">
        <f t="shared" si="1772"/>
        <v>0</v>
      </c>
      <c r="FM553" s="5" t="s">
        <v>253</v>
      </c>
      <c r="FN553" s="5">
        <f t="shared" si="1773"/>
        <v>0</v>
      </c>
      <c r="FO553" s="5">
        <f t="shared" si="1774"/>
        <v>0</v>
      </c>
      <c r="FP553" s="5" t="str">
        <f t="shared" si="1775"/>
        <v>Nivel de riesgo bajo</v>
      </c>
      <c r="FQ553" s="5" t="s">
        <v>206</v>
      </c>
      <c r="FR553" s="5">
        <f t="shared" si="1776"/>
        <v>0</v>
      </c>
      <c r="FS553" s="5" t="s">
        <v>206</v>
      </c>
      <c r="FT553" s="5">
        <f t="shared" si="1777"/>
        <v>0</v>
      </c>
      <c r="FU553" s="5" t="s">
        <v>206</v>
      </c>
      <c r="FV553" s="5">
        <f t="shared" si="1778"/>
        <v>0</v>
      </c>
      <c r="FW553" s="5" t="s">
        <v>206</v>
      </c>
      <c r="FX553" s="5">
        <f t="shared" si="1779"/>
        <v>0</v>
      </c>
      <c r="FY553" s="5" t="s">
        <v>206</v>
      </c>
      <c r="FZ553" s="5">
        <f t="shared" si="1780"/>
        <v>0</v>
      </c>
      <c r="GA553" s="5" t="s">
        <v>206</v>
      </c>
      <c r="GB553" s="5">
        <f t="shared" si="1781"/>
        <v>0</v>
      </c>
      <c r="GC553" s="5" t="s">
        <v>206</v>
      </c>
      <c r="GD553" s="5">
        <f t="shared" si="1782"/>
        <v>0</v>
      </c>
      <c r="GE553" s="5">
        <f t="shared" si="1783"/>
        <v>0</v>
      </c>
      <c r="GF553" s="5" t="str">
        <f t="shared" si="1784"/>
        <v>Nivel de riesgo bajo</v>
      </c>
      <c r="GG553" s="5" t="s">
        <v>255</v>
      </c>
      <c r="GH553" s="5" t="s">
        <v>255</v>
      </c>
      <c r="GI553" s="5" t="s">
        <v>255</v>
      </c>
      <c r="GJ553" s="5" t="s">
        <v>273</v>
      </c>
      <c r="GK553" s="5" t="s">
        <v>233</v>
      </c>
      <c r="GL553" s="5" t="s">
        <v>266</v>
      </c>
      <c r="GM553" s="5" t="s">
        <v>255</v>
      </c>
      <c r="GN553" s="5" t="s">
        <v>243</v>
      </c>
      <c r="GO553" s="5" t="s">
        <v>244</v>
      </c>
      <c r="GP553" s="5" t="s">
        <v>244</v>
      </c>
      <c r="GQ553" s="5" t="s">
        <v>257</v>
      </c>
      <c r="GR553" s="5" t="s">
        <v>257</v>
      </c>
      <c r="GS553" s="5" t="s">
        <v>243</v>
      </c>
      <c r="GT553" s="5" t="s">
        <v>256</v>
      </c>
      <c r="GU553" s="5" t="s">
        <v>915</v>
      </c>
      <c r="GV553" s="5" t="str">
        <f>TEXT("6291775338322585415","0")</f>
        <v>6291775338322580000</v>
      </c>
    </row>
    <row r="554" spans="1:204" ht="15.75" customHeight="1" x14ac:dyDescent="0.15">
      <c r="A554" s="1">
        <f t="shared" si="1734"/>
        <v>554</v>
      </c>
      <c r="B554" s="4">
        <v>45862.448634259257</v>
      </c>
      <c r="C554" s="5" t="s">
        <v>204</v>
      </c>
      <c r="D554" s="5" t="s">
        <v>206</v>
      </c>
      <c r="F554" s="5" t="s">
        <v>206</v>
      </c>
      <c r="G554" s="5" t="s">
        <v>206</v>
      </c>
      <c r="H554" s="5" t="s">
        <v>206</v>
      </c>
      <c r="L554" s="5" t="s">
        <v>236</v>
      </c>
      <c r="P554" s="5" t="s">
        <v>237</v>
      </c>
      <c r="U554" s="5" t="s">
        <v>237</v>
      </c>
      <c r="Y554" s="5" t="s">
        <v>209</v>
      </c>
      <c r="AF554" s="5" t="s">
        <v>236</v>
      </c>
      <c r="AH554" s="5" t="s">
        <v>210</v>
      </c>
      <c r="AI554" s="5">
        <v>1996</v>
      </c>
      <c r="AJ554" s="5" t="s">
        <v>330</v>
      </c>
      <c r="AK554" s="5" t="str">
        <f t="shared" si="1735"/>
        <v>Asalariada</v>
      </c>
      <c r="AQ554" s="5" t="s">
        <v>204</v>
      </c>
      <c r="AR554" s="5" t="s">
        <v>241</v>
      </c>
      <c r="AS554" s="5" t="s">
        <v>241</v>
      </c>
      <c r="AT554" s="5" t="s">
        <v>241</v>
      </c>
      <c r="AU554" s="5" t="s">
        <v>241</v>
      </c>
      <c r="AV554" s="5" t="s">
        <v>285</v>
      </c>
      <c r="AW554" s="5" t="s">
        <v>204</v>
      </c>
      <c r="AX554" s="5" t="s">
        <v>204</v>
      </c>
      <c r="AY554" s="5" t="s">
        <v>270</v>
      </c>
      <c r="AZ554" s="5" t="s">
        <v>204</v>
      </c>
      <c r="BA554" s="5" t="s">
        <v>263</v>
      </c>
      <c r="BF554" s="5" t="s">
        <v>204</v>
      </c>
      <c r="BG554" s="5" t="s">
        <v>271</v>
      </c>
      <c r="BH554" s="5" t="s">
        <v>271</v>
      </c>
      <c r="BI554" s="5" t="s">
        <v>242</v>
      </c>
      <c r="BJ554" s="5" t="s">
        <v>242</v>
      </c>
      <c r="BK554" s="5" t="s">
        <v>246</v>
      </c>
      <c r="BL554" s="5" t="s">
        <v>243</v>
      </c>
      <c r="BM554" s="5" t="s">
        <v>246</v>
      </c>
      <c r="BN554" s="5" t="s">
        <v>246</v>
      </c>
      <c r="BO554" s="5" t="s">
        <v>246</v>
      </c>
      <c r="BP554" s="5" t="s">
        <v>246</v>
      </c>
      <c r="BQ554" s="5" t="s">
        <v>246</v>
      </c>
      <c r="BR554" s="5" t="s">
        <v>246</v>
      </c>
      <c r="BS554" s="5" t="s">
        <v>247</v>
      </c>
      <c r="BT554" s="5" t="s">
        <v>248</v>
      </c>
      <c r="BU554" s="5" t="s">
        <v>247</v>
      </c>
      <c r="BV554" s="5" t="s">
        <v>248</v>
      </c>
      <c r="BW554" s="5" t="s">
        <v>247</v>
      </c>
      <c r="BX554" s="5" t="s">
        <v>248</v>
      </c>
      <c r="BY554" s="5" t="s">
        <v>248</v>
      </c>
      <c r="BZ554" s="5" t="s">
        <v>246</v>
      </c>
      <c r="CA554" s="5" t="s">
        <v>246</v>
      </c>
      <c r="CB554" s="5" t="s">
        <v>246</v>
      </c>
      <c r="CC554" s="5" t="s">
        <v>246</v>
      </c>
      <c r="CD554" s="5" t="s">
        <v>206</v>
      </c>
      <c r="CH554" s="5" t="s">
        <v>206</v>
      </c>
      <c r="CI554" s="5" t="s">
        <v>249</v>
      </c>
      <c r="CJ554" s="5">
        <v>1</v>
      </c>
      <c r="CK554" s="5" t="s">
        <v>223</v>
      </c>
      <c r="CU554" s="5" t="s">
        <v>206</v>
      </c>
      <c r="DA554" s="5" t="s">
        <v>231</v>
      </c>
      <c r="DB554" s="5">
        <f t="shared" si="1736"/>
        <v>2</v>
      </c>
      <c r="DC554" s="5" t="s">
        <v>251</v>
      </c>
      <c r="DD554" s="5">
        <f t="shared" si="1737"/>
        <v>1</v>
      </c>
      <c r="DE554" s="5" t="s">
        <v>230</v>
      </c>
      <c r="DF554" s="5">
        <f t="shared" si="1738"/>
        <v>2</v>
      </c>
      <c r="DG554" s="5" t="s">
        <v>230</v>
      </c>
      <c r="DH554" s="5">
        <f t="shared" si="1739"/>
        <v>2</v>
      </c>
      <c r="DI554" s="5" t="s">
        <v>251</v>
      </c>
      <c r="DJ554" s="5">
        <f t="shared" si="1740"/>
        <v>1</v>
      </c>
      <c r="DK554" s="5" t="s">
        <v>251</v>
      </c>
      <c r="DL554" s="5">
        <f t="shared" si="1741"/>
        <v>1</v>
      </c>
      <c r="DM554" s="5" t="s">
        <v>251</v>
      </c>
      <c r="DN554" s="5">
        <f t="shared" si="1742"/>
        <v>1</v>
      </c>
      <c r="DO554" s="5" t="s">
        <v>231</v>
      </c>
      <c r="DP554" s="5">
        <f t="shared" si="1743"/>
        <v>2</v>
      </c>
      <c r="DQ554" s="5" t="s">
        <v>231</v>
      </c>
      <c r="DR554" s="5">
        <f t="shared" si="1744"/>
        <v>2</v>
      </c>
      <c r="DS554" s="5" t="s">
        <v>231</v>
      </c>
      <c r="DT554" s="5">
        <f t="shared" si="1745"/>
        <v>2</v>
      </c>
      <c r="DU554" s="5" t="s">
        <v>231</v>
      </c>
      <c r="DV554" s="5">
        <f t="shared" si="1746"/>
        <v>2</v>
      </c>
      <c r="DW554" s="5" t="s">
        <v>231</v>
      </c>
      <c r="DX554" s="5">
        <f t="shared" si="1747"/>
        <v>2</v>
      </c>
      <c r="DY554" s="5">
        <f t="shared" si="1748"/>
        <v>20</v>
      </c>
      <c r="DZ554" s="5" t="str">
        <f t="shared" si="1749"/>
        <v>Nivel de riesgo medio</v>
      </c>
      <c r="EA554" s="5" t="s">
        <v>248</v>
      </c>
      <c r="EB554" s="5">
        <f t="shared" si="1750"/>
        <v>1</v>
      </c>
      <c r="EC554" s="5" t="s">
        <v>247</v>
      </c>
      <c r="ED554" s="5">
        <f t="shared" si="1751"/>
        <v>2</v>
      </c>
      <c r="EE554" s="5" t="s">
        <v>248</v>
      </c>
      <c r="EF554" s="5">
        <f t="shared" si="1752"/>
        <v>1</v>
      </c>
      <c r="EG554" s="5">
        <f t="shared" si="1753"/>
        <v>4</v>
      </c>
      <c r="EH554" s="5" t="str">
        <f t="shared" si="1754"/>
        <v>Nivel de riesgo medio</v>
      </c>
      <c r="EI554" s="5" t="s">
        <v>253</v>
      </c>
      <c r="EJ554" s="5">
        <f t="shared" si="1755"/>
        <v>0</v>
      </c>
      <c r="EK554" s="5" t="s">
        <v>253</v>
      </c>
      <c r="EL554" s="5">
        <f t="shared" si="1756"/>
        <v>0</v>
      </c>
      <c r="EM554" s="5" t="s">
        <v>253</v>
      </c>
      <c r="EN554" s="5">
        <f t="shared" si="1757"/>
        <v>0</v>
      </c>
      <c r="EO554" s="5">
        <f t="shared" si="1758"/>
        <v>0</v>
      </c>
      <c r="EP554" s="5" t="str">
        <f t="shared" si="1759"/>
        <v>Nivel de riesgo bajo</v>
      </c>
      <c r="EQ554" s="5" t="s">
        <v>248</v>
      </c>
      <c r="ER554" s="5">
        <f t="shared" si="1760"/>
        <v>3</v>
      </c>
      <c r="ES554" s="5" t="s">
        <v>248</v>
      </c>
      <c r="ET554" s="5">
        <f t="shared" si="1761"/>
        <v>3</v>
      </c>
      <c r="EU554" s="5" t="s">
        <v>232</v>
      </c>
      <c r="EV554" s="5">
        <f t="shared" si="1762"/>
        <v>1</v>
      </c>
      <c r="EW554" s="5" t="s">
        <v>232</v>
      </c>
      <c r="EX554" s="5">
        <f t="shared" si="1763"/>
        <v>1</v>
      </c>
      <c r="EY554" s="5">
        <f t="shared" si="1764"/>
        <v>8</v>
      </c>
      <c r="EZ554" s="5" t="str">
        <f t="shared" si="1765"/>
        <v>Nivel de riesgo alto</v>
      </c>
      <c r="FA554" s="5" t="s">
        <v>253</v>
      </c>
      <c r="FB554" s="5">
        <f t="shared" si="1766"/>
        <v>0</v>
      </c>
      <c r="FC554" s="5" t="s">
        <v>253</v>
      </c>
      <c r="FD554" s="5">
        <f t="shared" si="1767"/>
        <v>0</v>
      </c>
      <c r="FE554" s="5" t="s">
        <v>253</v>
      </c>
      <c r="FF554" s="5">
        <f t="shared" si="1768"/>
        <v>0</v>
      </c>
      <c r="FG554" s="5">
        <f t="shared" si="1769"/>
        <v>0</v>
      </c>
      <c r="FH554" s="5" t="str">
        <f t="shared" si="1770"/>
        <v>Nivel de riesgo bajo</v>
      </c>
      <c r="FI554" s="5" t="s">
        <v>253</v>
      </c>
      <c r="FJ554" s="5">
        <f t="shared" si="1771"/>
        <v>0</v>
      </c>
      <c r="FK554" s="5" t="s">
        <v>253</v>
      </c>
      <c r="FL554" s="5">
        <f t="shared" si="1772"/>
        <v>0</v>
      </c>
      <c r="FM554" s="5" t="s">
        <v>253</v>
      </c>
      <c r="FN554" s="5">
        <f t="shared" si="1773"/>
        <v>0</v>
      </c>
      <c r="FO554" s="5">
        <f t="shared" si="1774"/>
        <v>0</v>
      </c>
      <c r="FP554" s="5" t="str">
        <f t="shared" si="1775"/>
        <v>Nivel de riesgo bajo</v>
      </c>
      <c r="FQ554" s="5" t="s">
        <v>206</v>
      </c>
      <c r="FR554" s="5">
        <f t="shared" si="1776"/>
        <v>0</v>
      </c>
      <c r="FS554" s="5" t="s">
        <v>206</v>
      </c>
      <c r="FT554" s="5">
        <f t="shared" si="1777"/>
        <v>0</v>
      </c>
      <c r="FU554" s="5" t="s">
        <v>206</v>
      </c>
      <c r="FV554" s="5">
        <f t="shared" si="1778"/>
        <v>0</v>
      </c>
      <c r="FW554" s="5" t="s">
        <v>206</v>
      </c>
      <c r="FX554" s="5">
        <f t="shared" si="1779"/>
        <v>0</v>
      </c>
      <c r="FY554" s="5" t="s">
        <v>206</v>
      </c>
      <c r="FZ554" s="5">
        <f t="shared" si="1780"/>
        <v>0</v>
      </c>
      <c r="GA554" s="5" t="s">
        <v>206</v>
      </c>
      <c r="GB554" s="5">
        <f t="shared" si="1781"/>
        <v>0</v>
      </c>
      <c r="GC554" s="5" t="s">
        <v>206</v>
      </c>
      <c r="GD554" s="5">
        <f t="shared" si="1782"/>
        <v>0</v>
      </c>
      <c r="GE554" s="5">
        <f t="shared" si="1783"/>
        <v>0</v>
      </c>
      <c r="GF554" s="5" t="str">
        <f t="shared" si="1784"/>
        <v>Nivel de riesgo bajo</v>
      </c>
      <c r="GG554" s="5" t="s">
        <v>255</v>
      </c>
      <c r="GH554" s="5" t="s">
        <v>266</v>
      </c>
      <c r="GI554" s="5" t="s">
        <v>255</v>
      </c>
      <c r="GJ554" s="5" t="s">
        <v>255</v>
      </c>
      <c r="GK554" s="5" t="s">
        <v>233</v>
      </c>
      <c r="GL554" s="5" t="s">
        <v>298</v>
      </c>
      <c r="GM554" s="5" t="s">
        <v>273</v>
      </c>
      <c r="GN554" s="5" t="s">
        <v>243</v>
      </c>
      <c r="GO554" s="5" t="s">
        <v>257</v>
      </c>
      <c r="GP554" s="5" t="s">
        <v>257</v>
      </c>
      <c r="GQ554" s="5" t="s">
        <v>257</v>
      </c>
      <c r="GR554" s="5" t="s">
        <v>257</v>
      </c>
      <c r="GS554" s="5" t="s">
        <v>257</v>
      </c>
      <c r="GT554" s="5" t="s">
        <v>257</v>
      </c>
      <c r="GU554" s="5" t="s">
        <v>916</v>
      </c>
      <c r="GV554" s="5" t="str">
        <f>TEXT("6291775624511038750","0")</f>
        <v>6291775624511030000</v>
      </c>
    </row>
    <row r="555" spans="1:204" ht="15.75" customHeight="1" x14ac:dyDescent="0.15">
      <c r="A555" s="1">
        <f t="shared" si="1734"/>
        <v>555</v>
      </c>
      <c r="B555" s="4">
        <v>45862.585092592592</v>
      </c>
      <c r="C555" s="5" t="s">
        <v>204</v>
      </c>
      <c r="D555" s="5" t="s">
        <v>206</v>
      </c>
      <c r="F555" s="5" t="s">
        <v>206</v>
      </c>
      <c r="G555" s="5" t="s">
        <v>204</v>
      </c>
      <c r="H555" s="5" t="s">
        <v>206</v>
      </c>
      <c r="K555" s="5" t="s">
        <v>237</v>
      </c>
      <c r="Q555" s="5" t="s">
        <v>236</v>
      </c>
      <c r="S555" s="5" t="s">
        <v>208</v>
      </c>
      <c r="Z555" s="5" t="s">
        <v>237</v>
      </c>
      <c r="AC555" s="5" t="s">
        <v>208</v>
      </c>
      <c r="AH555" s="5" t="s">
        <v>259</v>
      </c>
      <c r="AI555" s="5">
        <v>2018</v>
      </c>
      <c r="AJ555" s="5" t="s">
        <v>238</v>
      </c>
      <c r="AK555" s="5" t="str">
        <f t="shared" si="1735"/>
        <v>Trabajadora por cuenta propia</v>
      </c>
      <c r="AL555" s="5" t="s">
        <v>239</v>
      </c>
      <c r="AP555" s="5" t="s">
        <v>240</v>
      </c>
      <c r="AR555" s="5" t="s">
        <v>301</v>
      </c>
      <c r="AS555" s="5" t="s">
        <v>301</v>
      </c>
      <c r="AT555" s="5" t="s">
        <v>301</v>
      </c>
      <c r="AU555" s="5" t="s">
        <v>301</v>
      </c>
      <c r="AV555" s="5" t="s">
        <v>285</v>
      </c>
      <c r="AW555" s="5" t="s">
        <v>204</v>
      </c>
      <c r="AX555" s="5" t="s">
        <v>204</v>
      </c>
      <c r="AY555" s="5" t="s">
        <v>270</v>
      </c>
      <c r="AZ555" s="5" t="s">
        <v>204</v>
      </c>
      <c r="BA555" s="5" t="s">
        <v>348</v>
      </c>
      <c r="BF555" s="5" t="s">
        <v>204</v>
      </c>
      <c r="BG555" s="5" t="s">
        <v>278</v>
      </c>
      <c r="BH555" s="5" t="s">
        <v>278</v>
      </c>
      <c r="BI555" s="5" t="s">
        <v>278</v>
      </c>
      <c r="BJ555" s="5" t="s">
        <v>278</v>
      </c>
      <c r="BK555" s="5" t="s">
        <v>245</v>
      </c>
      <c r="BL555" s="5" t="s">
        <v>243</v>
      </c>
      <c r="BM555" s="5" t="s">
        <v>243</v>
      </c>
      <c r="BN555" s="5" t="s">
        <v>245</v>
      </c>
      <c r="BO555" s="5" t="s">
        <v>245</v>
      </c>
      <c r="BP555" s="5" t="s">
        <v>245</v>
      </c>
      <c r="BQ555" s="5" t="s">
        <v>245</v>
      </c>
      <c r="BR555" s="5" t="s">
        <v>245</v>
      </c>
      <c r="BS555" s="5" t="s">
        <v>254</v>
      </c>
      <c r="BT555" s="5" t="s">
        <v>232</v>
      </c>
      <c r="BU555" s="5" t="s">
        <v>254</v>
      </c>
      <c r="BV555" s="5" t="s">
        <v>254</v>
      </c>
      <c r="BW555" s="5" t="s">
        <v>254</v>
      </c>
      <c r="BX555" s="5" t="s">
        <v>232</v>
      </c>
      <c r="BY555" s="5" t="s">
        <v>232</v>
      </c>
      <c r="BZ555" s="5" t="s">
        <v>245</v>
      </c>
      <c r="CA555" s="5" t="s">
        <v>243</v>
      </c>
      <c r="CB555" s="5" t="s">
        <v>245</v>
      </c>
      <c r="CC555" s="5" t="s">
        <v>245</v>
      </c>
      <c r="CD555" s="5" t="s">
        <v>206</v>
      </c>
      <c r="CH555" s="5" t="s">
        <v>206</v>
      </c>
      <c r="CI555" s="5" t="s">
        <v>249</v>
      </c>
      <c r="CJ555" s="5">
        <v>1</v>
      </c>
      <c r="CK555" s="5" t="s">
        <v>223</v>
      </c>
      <c r="CU555" s="5" t="s">
        <v>206</v>
      </c>
      <c r="DA555" s="5" t="s">
        <v>252</v>
      </c>
      <c r="DB555" s="5">
        <f t="shared" si="1736"/>
        <v>3</v>
      </c>
      <c r="DC555" s="5" t="s">
        <v>280</v>
      </c>
      <c r="DD555" s="5">
        <f t="shared" si="1737"/>
        <v>4</v>
      </c>
      <c r="DE555" s="5" t="s">
        <v>280</v>
      </c>
      <c r="DF555" s="5">
        <f t="shared" si="1738"/>
        <v>4</v>
      </c>
      <c r="DG555" s="5" t="s">
        <v>280</v>
      </c>
      <c r="DH555" s="5">
        <f t="shared" si="1739"/>
        <v>4</v>
      </c>
      <c r="DI555" s="5" t="s">
        <v>280</v>
      </c>
      <c r="DJ555" s="5">
        <f t="shared" si="1740"/>
        <v>4</v>
      </c>
      <c r="DK555" s="5" t="s">
        <v>280</v>
      </c>
      <c r="DL555" s="5">
        <f t="shared" si="1741"/>
        <v>4</v>
      </c>
      <c r="DM555" s="5" t="s">
        <v>250</v>
      </c>
      <c r="DN555" s="5">
        <f t="shared" si="1742"/>
        <v>3</v>
      </c>
      <c r="DO555" s="5" t="s">
        <v>252</v>
      </c>
      <c r="DP555" s="5">
        <f t="shared" si="1743"/>
        <v>3</v>
      </c>
      <c r="DQ555" s="5" t="s">
        <v>252</v>
      </c>
      <c r="DR555" s="5">
        <f t="shared" si="1744"/>
        <v>3</v>
      </c>
      <c r="DS555" s="5" t="s">
        <v>229</v>
      </c>
      <c r="DT555" s="5">
        <f t="shared" si="1745"/>
        <v>4</v>
      </c>
      <c r="DU555" s="5" t="s">
        <v>252</v>
      </c>
      <c r="DV555" s="5">
        <f t="shared" si="1746"/>
        <v>3</v>
      </c>
      <c r="DW555" s="5" t="s">
        <v>229</v>
      </c>
      <c r="DX555" s="5">
        <f t="shared" si="1747"/>
        <v>4</v>
      </c>
      <c r="DY555" s="5">
        <f t="shared" si="1748"/>
        <v>43</v>
      </c>
      <c r="DZ555" s="5" t="str">
        <f t="shared" si="1749"/>
        <v>Nivel de riesgo alto</v>
      </c>
      <c r="EA555" s="5" t="s">
        <v>232</v>
      </c>
      <c r="EB555" s="5">
        <f t="shared" si="1750"/>
        <v>3</v>
      </c>
      <c r="EC555" s="5" t="s">
        <v>254</v>
      </c>
      <c r="ED555" s="5">
        <f t="shared" si="1751"/>
        <v>4</v>
      </c>
      <c r="EE555" s="5" t="s">
        <v>253</v>
      </c>
      <c r="EF555" s="5">
        <f t="shared" si="1752"/>
        <v>0</v>
      </c>
      <c r="EG555" s="5">
        <f t="shared" si="1753"/>
        <v>7</v>
      </c>
      <c r="EH555" s="5" t="str">
        <f t="shared" si="1754"/>
        <v>Nivel de riesgo alto</v>
      </c>
      <c r="EI555" s="5" t="s">
        <v>253</v>
      </c>
      <c r="EJ555" s="5">
        <f t="shared" si="1755"/>
        <v>0</v>
      </c>
      <c r="EK555" s="5" t="s">
        <v>248</v>
      </c>
      <c r="EL555" s="5">
        <f t="shared" si="1756"/>
        <v>1</v>
      </c>
      <c r="EM555" s="5" t="s">
        <v>254</v>
      </c>
      <c r="EN555" s="5">
        <f t="shared" si="1757"/>
        <v>4</v>
      </c>
      <c r="EO555" s="5">
        <f t="shared" si="1758"/>
        <v>5</v>
      </c>
      <c r="EP555" s="5" t="str">
        <f t="shared" si="1759"/>
        <v>Nivel de riesgo medio</v>
      </c>
      <c r="EQ555" s="5" t="s">
        <v>253</v>
      </c>
      <c r="ER555" s="5">
        <f t="shared" si="1760"/>
        <v>4</v>
      </c>
      <c r="ES555" s="5" t="s">
        <v>253</v>
      </c>
      <c r="ET555" s="5">
        <f t="shared" si="1761"/>
        <v>4</v>
      </c>
      <c r="EU555" s="5" t="s">
        <v>253</v>
      </c>
      <c r="EV555" s="5">
        <f t="shared" si="1762"/>
        <v>4</v>
      </c>
      <c r="EW555" s="5" t="s">
        <v>253</v>
      </c>
      <c r="EX555" s="5">
        <f t="shared" si="1763"/>
        <v>4</v>
      </c>
      <c r="EY555" s="5">
        <f t="shared" si="1764"/>
        <v>16</v>
      </c>
      <c r="EZ555" s="5" t="str">
        <f t="shared" si="1765"/>
        <v>Nivel de riesgo alto</v>
      </c>
      <c r="FA555" s="5" t="s">
        <v>254</v>
      </c>
      <c r="FB555" s="5">
        <f t="shared" si="1766"/>
        <v>4</v>
      </c>
      <c r="FC555" s="5" t="s">
        <v>253</v>
      </c>
      <c r="FD555" s="5">
        <f t="shared" si="1767"/>
        <v>0</v>
      </c>
      <c r="FE555" s="5" t="s">
        <v>253</v>
      </c>
      <c r="FF555" s="5">
        <f t="shared" si="1768"/>
        <v>0</v>
      </c>
      <c r="FG555" s="5">
        <f t="shared" si="1769"/>
        <v>4</v>
      </c>
      <c r="FH555" s="5" t="str">
        <f t="shared" si="1770"/>
        <v>Nivel de riesgo medio</v>
      </c>
      <c r="FI555" s="5" t="s">
        <v>232</v>
      </c>
      <c r="FJ555" s="5">
        <f t="shared" si="1771"/>
        <v>3</v>
      </c>
      <c r="FK555" s="5" t="s">
        <v>232</v>
      </c>
      <c r="FL555" s="5">
        <f t="shared" si="1772"/>
        <v>3</v>
      </c>
      <c r="FM555" s="5" t="s">
        <v>232</v>
      </c>
      <c r="FN555" s="5">
        <f t="shared" si="1773"/>
        <v>3</v>
      </c>
      <c r="FO555" s="5">
        <f t="shared" si="1774"/>
        <v>9</v>
      </c>
      <c r="FP555" s="5" t="str">
        <f t="shared" si="1775"/>
        <v>Nivel de riesgo alto</v>
      </c>
      <c r="FQ555" s="5" t="s">
        <v>206</v>
      </c>
      <c r="FR555" s="5">
        <f t="shared" si="1776"/>
        <v>0</v>
      </c>
      <c r="FS555" s="5" t="s">
        <v>206</v>
      </c>
      <c r="FT555" s="5">
        <f t="shared" si="1777"/>
        <v>0</v>
      </c>
      <c r="FU555" s="5" t="s">
        <v>206</v>
      </c>
      <c r="FV555" s="5">
        <f t="shared" si="1778"/>
        <v>0</v>
      </c>
      <c r="FW555" s="5" t="s">
        <v>206</v>
      </c>
      <c r="FX555" s="5">
        <f t="shared" si="1779"/>
        <v>0</v>
      </c>
      <c r="FY555" s="5" t="s">
        <v>206</v>
      </c>
      <c r="FZ555" s="5">
        <f t="shared" si="1780"/>
        <v>0</v>
      </c>
      <c r="GA555" s="5" t="s">
        <v>206</v>
      </c>
      <c r="GB555" s="5">
        <f t="shared" si="1781"/>
        <v>0</v>
      </c>
      <c r="GC555" s="5" t="s">
        <v>206</v>
      </c>
      <c r="GD555" s="5">
        <f t="shared" si="1782"/>
        <v>0</v>
      </c>
      <c r="GE555" s="5">
        <f t="shared" si="1783"/>
        <v>0</v>
      </c>
      <c r="GF555" s="5" t="str">
        <f t="shared" si="1784"/>
        <v>Nivel de riesgo bajo</v>
      </c>
      <c r="GG555" s="5" t="s">
        <v>255</v>
      </c>
      <c r="GH555" s="5" t="s">
        <v>255</v>
      </c>
      <c r="GI555" s="5" t="s">
        <v>255</v>
      </c>
      <c r="GJ555" s="5" t="s">
        <v>266</v>
      </c>
      <c r="GK555" s="5" t="s">
        <v>233</v>
      </c>
      <c r="GL555" s="5" t="s">
        <v>273</v>
      </c>
      <c r="GM555" s="5" t="s">
        <v>266</v>
      </c>
      <c r="GN555" s="5" t="s">
        <v>256</v>
      </c>
      <c r="GO555" s="5" t="s">
        <v>257</v>
      </c>
      <c r="GP555" s="5" t="s">
        <v>257</v>
      </c>
      <c r="GQ555" s="5" t="s">
        <v>234</v>
      </c>
      <c r="GR555" s="5" t="s">
        <v>234</v>
      </c>
      <c r="GS555" s="5" t="s">
        <v>234</v>
      </c>
      <c r="GT555" s="5" t="s">
        <v>256</v>
      </c>
      <c r="GU555" s="5" t="s">
        <v>917</v>
      </c>
      <c r="GV555" s="5" t="str">
        <f>TEXT("6291893528613347630","0")</f>
        <v>6291893528613340000</v>
      </c>
    </row>
    <row r="556" spans="1:204" ht="15.75" customHeight="1" x14ac:dyDescent="0.15">
      <c r="A556" s="1">
        <f t="shared" si="1734"/>
        <v>556</v>
      </c>
      <c r="B556" s="4">
        <v>45862.653055555558</v>
      </c>
      <c r="C556" s="5" t="s">
        <v>204</v>
      </c>
      <c r="D556" s="5" t="s">
        <v>206</v>
      </c>
      <c r="F556" s="5" t="s">
        <v>206</v>
      </c>
      <c r="G556" s="5" t="s">
        <v>206</v>
      </c>
      <c r="H556" s="5" t="s">
        <v>206</v>
      </c>
      <c r="K556" s="5" t="s">
        <v>237</v>
      </c>
      <c r="O556" s="5" t="s">
        <v>209</v>
      </c>
      <c r="S556" s="5" t="s">
        <v>208</v>
      </c>
      <c r="X556" s="5" t="s">
        <v>208</v>
      </c>
      <c r="AC556" s="5" t="s">
        <v>208</v>
      </c>
      <c r="AH556" s="5" t="s">
        <v>210</v>
      </c>
      <c r="AI556" s="5">
        <v>2015</v>
      </c>
      <c r="AJ556" s="5" t="s">
        <v>238</v>
      </c>
      <c r="AK556" s="5" t="str">
        <f t="shared" si="1735"/>
        <v>Trabajadora por cuenta propia</v>
      </c>
      <c r="AM556" s="5" t="s">
        <v>309</v>
      </c>
      <c r="AP556" s="5" t="s">
        <v>240</v>
      </c>
      <c r="AR556" s="5" t="s">
        <v>241</v>
      </c>
      <c r="AS556" s="5" t="s">
        <v>241</v>
      </c>
      <c r="AT556" s="5" t="s">
        <v>241</v>
      </c>
      <c r="AU556" s="5" t="s">
        <v>241</v>
      </c>
      <c r="AV556" s="5" t="s">
        <v>269</v>
      </c>
      <c r="AW556" s="5" t="s">
        <v>204</v>
      </c>
      <c r="AX556" s="5" t="s">
        <v>204</v>
      </c>
      <c r="AY556" s="5" t="s">
        <v>214</v>
      </c>
      <c r="AZ556" s="5" t="s">
        <v>204</v>
      </c>
      <c r="BA556" s="5" t="s">
        <v>263</v>
      </c>
      <c r="BF556" s="5" t="s">
        <v>204</v>
      </c>
      <c r="BG556" s="5" t="s">
        <v>278</v>
      </c>
      <c r="BH556" s="5" t="s">
        <v>242</v>
      </c>
      <c r="BI556" s="5" t="s">
        <v>278</v>
      </c>
      <c r="BJ556" s="5" t="s">
        <v>242</v>
      </c>
      <c r="BK556" s="5" t="s">
        <v>246</v>
      </c>
      <c r="BL556" s="5" t="s">
        <v>243</v>
      </c>
      <c r="BM556" s="5" t="s">
        <v>246</v>
      </c>
      <c r="BN556" s="5" t="s">
        <v>246</v>
      </c>
      <c r="BO556" s="5" t="s">
        <v>246</v>
      </c>
      <c r="BP556" s="5" t="s">
        <v>243</v>
      </c>
      <c r="BQ556" s="5" t="s">
        <v>246</v>
      </c>
      <c r="BR556" s="5" t="s">
        <v>246</v>
      </c>
      <c r="BS556" s="5" t="s">
        <v>247</v>
      </c>
      <c r="BT556" s="5" t="s">
        <v>254</v>
      </c>
      <c r="BU556" s="5" t="s">
        <v>248</v>
      </c>
      <c r="BV556" s="5" t="s">
        <v>248</v>
      </c>
      <c r="BW556" s="5" t="s">
        <v>248</v>
      </c>
      <c r="BX556" s="5" t="s">
        <v>248</v>
      </c>
      <c r="BY556" s="5" t="s">
        <v>248</v>
      </c>
      <c r="BZ556" s="5" t="s">
        <v>246</v>
      </c>
      <c r="CA556" s="5" t="s">
        <v>246</v>
      </c>
      <c r="CB556" s="5" t="s">
        <v>244</v>
      </c>
      <c r="CC556" s="5" t="s">
        <v>246</v>
      </c>
      <c r="CD556" s="5" t="s">
        <v>206</v>
      </c>
      <c r="CH556" s="5" t="s">
        <v>206</v>
      </c>
      <c r="CI556" s="5" t="s">
        <v>383</v>
      </c>
      <c r="CJ556" s="5">
        <v>3</v>
      </c>
      <c r="CK556" s="5" t="s">
        <v>223</v>
      </c>
      <c r="CU556" s="5" t="s">
        <v>206</v>
      </c>
      <c r="DA556" s="5" t="s">
        <v>231</v>
      </c>
      <c r="DB556" s="5">
        <f t="shared" si="1736"/>
        <v>2</v>
      </c>
      <c r="DC556" s="5" t="s">
        <v>251</v>
      </c>
      <c r="DD556" s="5">
        <f t="shared" si="1737"/>
        <v>1</v>
      </c>
      <c r="DE556" s="5" t="s">
        <v>230</v>
      </c>
      <c r="DF556" s="5">
        <f t="shared" si="1738"/>
        <v>2</v>
      </c>
      <c r="DG556" s="5" t="s">
        <v>230</v>
      </c>
      <c r="DH556" s="5">
        <f t="shared" si="1739"/>
        <v>2</v>
      </c>
      <c r="DI556" s="5" t="s">
        <v>230</v>
      </c>
      <c r="DJ556" s="5">
        <f t="shared" si="1740"/>
        <v>2</v>
      </c>
      <c r="DK556" s="5" t="s">
        <v>230</v>
      </c>
      <c r="DL556" s="5">
        <f t="shared" si="1741"/>
        <v>2</v>
      </c>
      <c r="DM556" s="5" t="s">
        <v>230</v>
      </c>
      <c r="DN556" s="5">
        <f t="shared" si="1742"/>
        <v>2</v>
      </c>
      <c r="DO556" s="5" t="s">
        <v>231</v>
      </c>
      <c r="DP556" s="5">
        <f t="shared" si="1743"/>
        <v>2</v>
      </c>
      <c r="DQ556" s="5" t="s">
        <v>231</v>
      </c>
      <c r="DR556" s="5">
        <f t="shared" si="1744"/>
        <v>2</v>
      </c>
      <c r="DS556" s="5" t="s">
        <v>231</v>
      </c>
      <c r="DT556" s="5">
        <f t="shared" si="1745"/>
        <v>2</v>
      </c>
      <c r="DU556" s="5" t="s">
        <v>231</v>
      </c>
      <c r="DV556" s="5">
        <f t="shared" si="1746"/>
        <v>2</v>
      </c>
      <c r="DW556" s="5" t="s">
        <v>231</v>
      </c>
      <c r="DX556" s="5">
        <f t="shared" si="1747"/>
        <v>2</v>
      </c>
      <c r="DY556" s="5">
        <f t="shared" si="1748"/>
        <v>23</v>
      </c>
      <c r="DZ556" s="5" t="str">
        <f t="shared" si="1749"/>
        <v>Nivel de riesgo medio</v>
      </c>
      <c r="EA556" s="5" t="s">
        <v>248</v>
      </c>
      <c r="EB556" s="5">
        <f t="shared" si="1750"/>
        <v>1</v>
      </c>
      <c r="EC556" s="5" t="s">
        <v>248</v>
      </c>
      <c r="ED556" s="5">
        <f t="shared" si="1751"/>
        <v>1</v>
      </c>
      <c r="EE556" s="5" t="s">
        <v>253</v>
      </c>
      <c r="EF556" s="5">
        <f t="shared" si="1752"/>
        <v>0</v>
      </c>
      <c r="EG556" s="5">
        <f t="shared" si="1753"/>
        <v>2</v>
      </c>
      <c r="EH556" s="5" t="str">
        <f t="shared" si="1754"/>
        <v>Nivel de riesgo medio</v>
      </c>
      <c r="EI556" s="5" t="s">
        <v>253</v>
      </c>
      <c r="EJ556" s="5">
        <f t="shared" si="1755"/>
        <v>0</v>
      </c>
      <c r="EK556" s="5" t="s">
        <v>248</v>
      </c>
      <c r="EL556" s="5">
        <f t="shared" si="1756"/>
        <v>1</v>
      </c>
      <c r="EM556" s="5" t="s">
        <v>253</v>
      </c>
      <c r="EN556" s="5">
        <f t="shared" si="1757"/>
        <v>0</v>
      </c>
      <c r="EO556" s="5">
        <f t="shared" si="1758"/>
        <v>1</v>
      </c>
      <c r="EP556" s="5" t="str">
        <f t="shared" si="1759"/>
        <v>Nivel de riesgo bajo</v>
      </c>
      <c r="EQ556" s="5" t="s">
        <v>248</v>
      </c>
      <c r="ER556" s="5">
        <f t="shared" si="1760"/>
        <v>3</v>
      </c>
      <c r="ES556" s="5" t="s">
        <v>248</v>
      </c>
      <c r="ET556" s="5">
        <f t="shared" si="1761"/>
        <v>3</v>
      </c>
      <c r="EU556" s="5" t="s">
        <v>232</v>
      </c>
      <c r="EV556" s="5">
        <f t="shared" si="1762"/>
        <v>1</v>
      </c>
      <c r="EW556" s="5" t="s">
        <v>232</v>
      </c>
      <c r="EX556" s="5">
        <f t="shared" si="1763"/>
        <v>1</v>
      </c>
      <c r="EY556" s="5">
        <f t="shared" si="1764"/>
        <v>8</v>
      </c>
      <c r="EZ556" s="5" t="str">
        <f t="shared" si="1765"/>
        <v>Nivel de riesgo alto</v>
      </c>
      <c r="FA556" s="5" t="s">
        <v>253</v>
      </c>
      <c r="FB556" s="5">
        <f t="shared" si="1766"/>
        <v>0</v>
      </c>
      <c r="FC556" s="5" t="s">
        <v>253</v>
      </c>
      <c r="FD556" s="5">
        <f t="shared" si="1767"/>
        <v>0</v>
      </c>
      <c r="FE556" s="5" t="s">
        <v>253</v>
      </c>
      <c r="FF556" s="5">
        <f t="shared" si="1768"/>
        <v>0</v>
      </c>
      <c r="FG556" s="5">
        <f t="shared" si="1769"/>
        <v>0</v>
      </c>
      <c r="FH556" s="5" t="str">
        <f t="shared" si="1770"/>
        <v>Nivel de riesgo bajo</v>
      </c>
      <c r="FI556" s="5" t="s">
        <v>248</v>
      </c>
      <c r="FJ556" s="5">
        <f t="shared" si="1771"/>
        <v>1</v>
      </c>
      <c r="FK556" s="5" t="s">
        <v>248</v>
      </c>
      <c r="FL556" s="5">
        <f t="shared" si="1772"/>
        <v>1</v>
      </c>
      <c r="FM556" s="5" t="s">
        <v>248</v>
      </c>
      <c r="FN556" s="5">
        <f t="shared" si="1773"/>
        <v>1</v>
      </c>
      <c r="FO556" s="5">
        <f t="shared" si="1774"/>
        <v>3</v>
      </c>
      <c r="FP556" s="5" t="str">
        <f t="shared" si="1775"/>
        <v>Nivel de riesgo medio</v>
      </c>
      <c r="FQ556" s="5" t="s">
        <v>206</v>
      </c>
      <c r="FR556" s="5">
        <f t="shared" si="1776"/>
        <v>0</v>
      </c>
      <c r="FS556" s="5" t="s">
        <v>206</v>
      </c>
      <c r="FT556" s="5">
        <f t="shared" si="1777"/>
        <v>0</v>
      </c>
      <c r="FU556" s="5" t="s">
        <v>206</v>
      </c>
      <c r="FV556" s="5">
        <f t="shared" si="1778"/>
        <v>0</v>
      </c>
      <c r="FW556" s="5" t="s">
        <v>206</v>
      </c>
      <c r="FX556" s="5">
        <f t="shared" si="1779"/>
        <v>0</v>
      </c>
      <c r="FY556" s="5" t="s">
        <v>206</v>
      </c>
      <c r="FZ556" s="5">
        <f t="shared" si="1780"/>
        <v>0</v>
      </c>
      <c r="GA556" s="5" t="s">
        <v>206</v>
      </c>
      <c r="GB556" s="5">
        <f t="shared" si="1781"/>
        <v>0</v>
      </c>
      <c r="GC556" s="5" t="s">
        <v>206</v>
      </c>
      <c r="GD556" s="5">
        <f t="shared" si="1782"/>
        <v>0</v>
      </c>
      <c r="GE556" s="5">
        <f t="shared" si="1783"/>
        <v>0</v>
      </c>
      <c r="GF556" s="5" t="str">
        <f t="shared" si="1784"/>
        <v>Nivel de riesgo bajo</v>
      </c>
      <c r="GG556" s="5" t="s">
        <v>255</v>
      </c>
      <c r="GH556" s="5" t="s">
        <v>255</v>
      </c>
      <c r="GI556" s="5" t="s">
        <v>255</v>
      </c>
      <c r="GJ556" s="5" t="s">
        <v>266</v>
      </c>
      <c r="GK556" s="5" t="s">
        <v>233</v>
      </c>
      <c r="GL556" s="5" t="s">
        <v>266</v>
      </c>
      <c r="GM556" s="5" t="s">
        <v>266</v>
      </c>
      <c r="GN556" s="5" t="s">
        <v>243</v>
      </c>
      <c r="GO556" s="5" t="s">
        <v>257</v>
      </c>
      <c r="GP556" s="5" t="s">
        <v>243</v>
      </c>
      <c r="GQ556" s="5" t="s">
        <v>257</v>
      </c>
      <c r="GR556" s="5" t="s">
        <v>257</v>
      </c>
      <c r="GS556" s="5" t="s">
        <v>257</v>
      </c>
      <c r="GT556" s="5" t="s">
        <v>243</v>
      </c>
      <c r="GU556" s="5" t="s">
        <v>918</v>
      </c>
      <c r="GV556" s="5" t="str">
        <f>TEXT("6291952243889865260","0")</f>
        <v>6291952243889860000</v>
      </c>
    </row>
    <row r="557" spans="1:204" ht="15.75" customHeight="1" x14ac:dyDescent="0.15">
      <c r="A557" s="1">
        <f t="shared" si="1734"/>
        <v>557</v>
      </c>
      <c r="B557" s="4">
        <v>45862.704571759263</v>
      </c>
      <c r="C557" s="5" t="s">
        <v>204</v>
      </c>
      <c r="D557" s="5" t="s">
        <v>206</v>
      </c>
      <c r="F557" s="5" t="s">
        <v>206</v>
      </c>
      <c r="G557" s="5" t="s">
        <v>204</v>
      </c>
      <c r="H557" s="5" t="s">
        <v>206</v>
      </c>
      <c r="K557" s="5" t="s">
        <v>237</v>
      </c>
      <c r="P557" s="5" t="s">
        <v>237</v>
      </c>
      <c r="T557" s="5" t="s">
        <v>209</v>
      </c>
      <c r="Z557" s="5" t="s">
        <v>237</v>
      </c>
      <c r="AE557" s="5" t="s">
        <v>237</v>
      </c>
      <c r="AH557" s="5" t="s">
        <v>259</v>
      </c>
      <c r="AI557" s="5">
        <v>2025</v>
      </c>
      <c r="AJ557" s="5" t="s">
        <v>330</v>
      </c>
      <c r="AK557" s="5" t="str">
        <f t="shared" si="1735"/>
        <v>Asalariada</v>
      </c>
      <c r="AQ557" s="5" t="s">
        <v>204</v>
      </c>
      <c r="AR557" s="5" t="s">
        <v>261</v>
      </c>
      <c r="AS557" s="5" t="s">
        <v>241</v>
      </c>
      <c r="AT557" s="5" t="s">
        <v>294</v>
      </c>
      <c r="AU557" s="5" t="s">
        <v>241</v>
      </c>
      <c r="AV557" s="5" t="s">
        <v>213</v>
      </c>
      <c r="AW557" s="5" t="s">
        <v>206</v>
      </c>
      <c r="BF557" s="5" t="s">
        <v>204</v>
      </c>
      <c r="BG557" s="5" t="s">
        <v>278</v>
      </c>
      <c r="BH557" s="5" t="s">
        <v>278</v>
      </c>
      <c r="BI557" s="5" t="s">
        <v>242</v>
      </c>
      <c r="BJ557" s="5" t="s">
        <v>242</v>
      </c>
      <c r="BK557" s="5" t="s">
        <v>246</v>
      </c>
      <c r="BL557" s="5" t="s">
        <v>243</v>
      </c>
      <c r="BM557" s="5" t="s">
        <v>243</v>
      </c>
      <c r="BN557" s="5" t="s">
        <v>246</v>
      </c>
      <c r="BO557" s="5" t="s">
        <v>246</v>
      </c>
      <c r="BP557" s="5" t="s">
        <v>243</v>
      </c>
      <c r="BQ557" s="5" t="s">
        <v>246</v>
      </c>
      <c r="BR557" s="5" t="s">
        <v>244</v>
      </c>
      <c r="BS557" s="5" t="s">
        <v>254</v>
      </c>
      <c r="BT557" s="5" t="s">
        <v>247</v>
      </c>
      <c r="BU557" s="5" t="s">
        <v>217</v>
      </c>
      <c r="BV557" s="5" t="s">
        <v>247</v>
      </c>
      <c r="BW557" s="5" t="s">
        <v>248</v>
      </c>
      <c r="BX557" s="5" t="s">
        <v>248</v>
      </c>
      <c r="BY557" s="5" t="s">
        <v>248</v>
      </c>
      <c r="CD557" s="5" t="s">
        <v>206</v>
      </c>
      <c r="CH557" s="5" t="s">
        <v>465</v>
      </c>
      <c r="CI557" s="5" t="s">
        <v>347</v>
      </c>
      <c r="CJ557" s="5">
        <v>2</v>
      </c>
      <c r="CK557" s="5" t="s">
        <v>223</v>
      </c>
      <c r="CU557" s="5" t="s">
        <v>206</v>
      </c>
      <c r="DA557" s="5" t="s">
        <v>229</v>
      </c>
      <c r="DB557" s="5">
        <f t="shared" si="1736"/>
        <v>4</v>
      </c>
      <c r="DC557" s="5" t="s">
        <v>280</v>
      </c>
      <c r="DD557" s="5">
        <f t="shared" si="1737"/>
        <v>4</v>
      </c>
      <c r="DE557" s="5" t="s">
        <v>280</v>
      </c>
      <c r="DF557" s="5">
        <f t="shared" si="1738"/>
        <v>4</v>
      </c>
      <c r="DG557" s="5" t="s">
        <v>250</v>
      </c>
      <c r="DH557" s="5">
        <f t="shared" si="1739"/>
        <v>3</v>
      </c>
      <c r="DI557" s="5" t="s">
        <v>280</v>
      </c>
      <c r="DJ557" s="5">
        <f t="shared" si="1740"/>
        <v>4</v>
      </c>
      <c r="DK557" s="5" t="s">
        <v>230</v>
      </c>
      <c r="DL557" s="5">
        <f t="shared" si="1741"/>
        <v>2</v>
      </c>
      <c r="DM557" s="5" t="s">
        <v>251</v>
      </c>
      <c r="DN557" s="5">
        <f t="shared" si="1742"/>
        <v>1</v>
      </c>
      <c r="DO557" s="5" t="s">
        <v>231</v>
      </c>
      <c r="DP557" s="5">
        <f t="shared" si="1743"/>
        <v>2</v>
      </c>
      <c r="DQ557" s="5" t="s">
        <v>231</v>
      </c>
      <c r="DR557" s="5">
        <f t="shared" si="1744"/>
        <v>2</v>
      </c>
      <c r="DS557" s="5" t="s">
        <v>231</v>
      </c>
      <c r="DT557" s="5">
        <f t="shared" si="1745"/>
        <v>2</v>
      </c>
      <c r="DU557" s="5" t="s">
        <v>231</v>
      </c>
      <c r="DV557" s="5">
        <f t="shared" si="1746"/>
        <v>2</v>
      </c>
      <c r="DW557" s="5" t="s">
        <v>231</v>
      </c>
      <c r="DX557" s="5">
        <f t="shared" si="1747"/>
        <v>2</v>
      </c>
      <c r="DY557" s="5">
        <f t="shared" si="1748"/>
        <v>32</v>
      </c>
      <c r="DZ557" s="5" t="str">
        <f t="shared" si="1749"/>
        <v>Nivel de riesgo alto</v>
      </c>
      <c r="EA557" s="5" t="s">
        <v>247</v>
      </c>
      <c r="EB557" s="5">
        <f t="shared" si="1750"/>
        <v>2</v>
      </c>
      <c r="EC557" s="5" t="s">
        <v>247</v>
      </c>
      <c r="ED557" s="5">
        <f t="shared" si="1751"/>
        <v>2</v>
      </c>
      <c r="EE557" s="5" t="s">
        <v>253</v>
      </c>
      <c r="EF557" s="5">
        <f t="shared" si="1752"/>
        <v>0</v>
      </c>
      <c r="EG557" s="5">
        <f t="shared" si="1753"/>
        <v>4</v>
      </c>
      <c r="EH557" s="5" t="str">
        <f t="shared" si="1754"/>
        <v>Nivel de riesgo medio</v>
      </c>
      <c r="EI557" s="5" t="s">
        <v>253</v>
      </c>
      <c r="EJ557" s="5">
        <f t="shared" si="1755"/>
        <v>0</v>
      </c>
      <c r="EK557" s="5" t="s">
        <v>253</v>
      </c>
      <c r="EL557" s="5">
        <f t="shared" si="1756"/>
        <v>0</v>
      </c>
      <c r="EM557" s="5" t="s">
        <v>253</v>
      </c>
      <c r="EN557" s="5">
        <f t="shared" si="1757"/>
        <v>0</v>
      </c>
      <c r="EO557" s="5">
        <f t="shared" si="1758"/>
        <v>0</v>
      </c>
      <c r="EP557" s="5" t="str">
        <f t="shared" si="1759"/>
        <v>Nivel de riesgo bajo</v>
      </c>
      <c r="EQ557" s="5" t="s">
        <v>247</v>
      </c>
      <c r="ER557" s="5">
        <f t="shared" si="1760"/>
        <v>2</v>
      </c>
      <c r="ES557" s="5" t="s">
        <v>247</v>
      </c>
      <c r="ET557" s="5">
        <f t="shared" si="1761"/>
        <v>2</v>
      </c>
      <c r="EU557" s="5" t="s">
        <v>247</v>
      </c>
      <c r="EV557" s="5">
        <f t="shared" si="1762"/>
        <v>2</v>
      </c>
      <c r="EW557" s="5" t="s">
        <v>247</v>
      </c>
      <c r="EX557" s="5">
        <f t="shared" si="1763"/>
        <v>2</v>
      </c>
      <c r="EY557" s="5">
        <f t="shared" si="1764"/>
        <v>8</v>
      </c>
      <c r="EZ557" s="5" t="str">
        <f t="shared" si="1765"/>
        <v>Nivel de riesgo alto</v>
      </c>
      <c r="FA557" s="5" t="s">
        <v>247</v>
      </c>
      <c r="FB557" s="5">
        <f t="shared" si="1766"/>
        <v>2</v>
      </c>
      <c r="FC557" s="5" t="s">
        <v>247</v>
      </c>
      <c r="FD557" s="5">
        <f t="shared" si="1767"/>
        <v>2</v>
      </c>
      <c r="FE557" s="5" t="s">
        <v>247</v>
      </c>
      <c r="FF557" s="5">
        <f t="shared" si="1768"/>
        <v>2</v>
      </c>
      <c r="FG557" s="5">
        <f t="shared" si="1769"/>
        <v>6</v>
      </c>
      <c r="FH557" s="5" t="str">
        <f t="shared" si="1770"/>
        <v>Nivel de riesgo alto</v>
      </c>
      <c r="FI557" s="5" t="s">
        <v>247</v>
      </c>
      <c r="FJ557" s="5">
        <f t="shared" si="1771"/>
        <v>2</v>
      </c>
      <c r="FK557" s="5" t="s">
        <v>232</v>
      </c>
      <c r="FL557" s="5">
        <f t="shared" si="1772"/>
        <v>3</v>
      </c>
      <c r="FM557" s="5" t="s">
        <v>247</v>
      </c>
      <c r="FN557" s="5">
        <f t="shared" si="1773"/>
        <v>2</v>
      </c>
      <c r="FO557" s="5">
        <f t="shared" si="1774"/>
        <v>7</v>
      </c>
      <c r="FP557" s="5" t="str">
        <f t="shared" si="1775"/>
        <v>Nivel de riesgo alto</v>
      </c>
      <c r="FQ557" s="5" t="s">
        <v>206</v>
      </c>
      <c r="FR557" s="5">
        <f t="shared" si="1776"/>
        <v>0</v>
      </c>
      <c r="FS557" s="5" t="s">
        <v>206</v>
      </c>
      <c r="FT557" s="5">
        <f t="shared" si="1777"/>
        <v>0</v>
      </c>
      <c r="FU557" s="5" t="s">
        <v>206</v>
      </c>
      <c r="FV557" s="5">
        <f t="shared" si="1778"/>
        <v>0</v>
      </c>
      <c r="FW557" s="5" t="s">
        <v>206</v>
      </c>
      <c r="FX557" s="5">
        <f t="shared" si="1779"/>
        <v>0</v>
      </c>
      <c r="FY557" s="5" t="s">
        <v>206</v>
      </c>
      <c r="FZ557" s="5">
        <f t="shared" si="1780"/>
        <v>0</v>
      </c>
      <c r="GA557" s="5" t="s">
        <v>325</v>
      </c>
      <c r="GB557" s="5">
        <f t="shared" si="1781"/>
        <v>2</v>
      </c>
      <c r="GC557" s="5" t="s">
        <v>206</v>
      </c>
      <c r="GD557" s="5">
        <f t="shared" si="1782"/>
        <v>0</v>
      </c>
      <c r="GE557" s="5">
        <f t="shared" si="1783"/>
        <v>2</v>
      </c>
      <c r="GF557" s="5" t="str">
        <f t="shared" si="1784"/>
        <v>Nivel de riesgo medio</v>
      </c>
      <c r="GG557" s="5" t="s">
        <v>255</v>
      </c>
      <c r="GH557" s="5" t="s">
        <v>255</v>
      </c>
      <c r="GI557" s="5" t="s">
        <v>255</v>
      </c>
      <c r="GJ557" s="5" t="s">
        <v>255</v>
      </c>
      <c r="GK557" s="5" t="s">
        <v>233</v>
      </c>
      <c r="GL557" s="5" t="s">
        <v>233</v>
      </c>
      <c r="GM557" s="5" t="s">
        <v>255</v>
      </c>
      <c r="GN557" s="5" t="s">
        <v>243</v>
      </c>
      <c r="GO557" s="5" t="s">
        <v>243</v>
      </c>
      <c r="GP557" s="5" t="s">
        <v>243</v>
      </c>
      <c r="GQ557" s="5" t="s">
        <v>243</v>
      </c>
      <c r="GR557" s="5" t="s">
        <v>243</v>
      </c>
      <c r="GS557" s="5" t="s">
        <v>243</v>
      </c>
      <c r="GT557" s="5" t="s">
        <v>243</v>
      </c>
      <c r="GU557" s="5" t="s">
        <v>919</v>
      </c>
      <c r="GV557" s="5" t="str">
        <f>TEXT("6291996751328298963","0")</f>
        <v>6291996751328290000</v>
      </c>
    </row>
    <row r="558" spans="1:204" ht="15.75" customHeight="1" x14ac:dyDescent="0.15">
      <c r="A558" s="1">
        <f t="shared" si="1734"/>
        <v>558</v>
      </c>
      <c r="B558" s="4">
        <v>45862.868518518517</v>
      </c>
      <c r="C558" s="5" t="s">
        <v>204</v>
      </c>
      <c r="D558" s="5" t="s">
        <v>206</v>
      </c>
      <c r="F558" s="5" t="s">
        <v>204</v>
      </c>
      <c r="G558" s="5" t="s">
        <v>204</v>
      </c>
      <c r="H558" s="5" t="s">
        <v>206</v>
      </c>
      <c r="L558" s="5" t="s">
        <v>236</v>
      </c>
      <c r="N558" s="5" t="s">
        <v>208</v>
      </c>
      <c r="T558" s="5" t="s">
        <v>209</v>
      </c>
      <c r="AA558" s="5" t="s">
        <v>236</v>
      </c>
      <c r="AD558" s="5" t="s">
        <v>209</v>
      </c>
      <c r="AH558" s="5" t="s">
        <v>275</v>
      </c>
      <c r="AI558" s="5">
        <v>2020</v>
      </c>
      <c r="AJ558" s="5" t="s">
        <v>238</v>
      </c>
      <c r="AK558" s="5" t="str">
        <f t="shared" si="1735"/>
        <v>Trabajadora por cuenta propia</v>
      </c>
      <c r="AN558" s="5" t="s">
        <v>288</v>
      </c>
      <c r="AP558" s="5" t="s">
        <v>240</v>
      </c>
      <c r="AR558" s="5" t="s">
        <v>241</v>
      </c>
      <c r="AS558" s="5" t="s">
        <v>294</v>
      </c>
      <c r="AT558" s="5" t="s">
        <v>294</v>
      </c>
      <c r="AU558" s="5" t="s">
        <v>294</v>
      </c>
      <c r="AV558" s="5" t="s">
        <v>213</v>
      </c>
      <c r="AW558" s="5" t="s">
        <v>206</v>
      </c>
      <c r="BF558" s="5" t="s">
        <v>204</v>
      </c>
      <c r="BG558" s="5" t="s">
        <v>278</v>
      </c>
      <c r="BH558" s="5" t="s">
        <v>278</v>
      </c>
      <c r="BI558" s="5" t="s">
        <v>278</v>
      </c>
      <c r="BJ558" s="5" t="s">
        <v>278</v>
      </c>
      <c r="BK558" s="5" t="s">
        <v>245</v>
      </c>
      <c r="BL558" s="5" t="s">
        <v>246</v>
      </c>
      <c r="BM558" s="5" t="s">
        <v>245</v>
      </c>
      <c r="BN558" s="5" t="s">
        <v>245</v>
      </c>
      <c r="BO558" s="5" t="s">
        <v>245</v>
      </c>
      <c r="BP558" s="5" t="s">
        <v>245</v>
      </c>
      <c r="BQ558" s="5" t="s">
        <v>245</v>
      </c>
      <c r="BR558" s="5" t="s">
        <v>245</v>
      </c>
      <c r="BS558" s="5" t="s">
        <v>254</v>
      </c>
      <c r="BT558" s="5" t="s">
        <v>254</v>
      </c>
      <c r="BU558" s="5" t="s">
        <v>254</v>
      </c>
      <c r="BV558" s="5" t="s">
        <v>232</v>
      </c>
      <c r="BW558" s="5" t="s">
        <v>254</v>
      </c>
      <c r="BX558" s="5" t="s">
        <v>254</v>
      </c>
      <c r="BY558" s="5" t="s">
        <v>248</v>
      </c>
      <c r="CD558" s="5" t="s">
        <v>206</v>
      </c>
      <c r="CH558" s="5" t="s">
        <v>465</v>
      </c>
      <c r="CI558" s="5" t="s">
        <v>332</v>
      </c>
      <c r="CJ558" s="5">
        <v>2</v>
      </c>
      <c r="CK558" s="5" t="s">
        <v>223</v>
      </c>
      <c r="CU558" s="5" t="s">
        <v>206</v>
      </c>
      <c r="DA558" s="5" t="s">
        <v>229</v>
      </c>
      <c r="DB558" s="5">
        <f t="shared" si="1736"/>
        <v>4</v>
      </c>
      <c r="DC558" s="5" t="s">
        <v>230</v>
      </c>
      <c r="DD558" s="5">
        <f t="shared" si="1737"/>
        <v>2</v>
      </c>
      <c r="DE558" s="5" t="s">
        <v>280</v>
      </c>
      <c r="DF558" s="5">
        <f t="shared" si="1738"/>
        <v>4</v>
      </c>
      <c r="DG558" s="5" t="s">
        <v>280</v>
      </c>
      <c r="DH558" s="5">
        <f t="shared" si="1739"/>
        <v>4</v>
      </c>
      <c r="DI558" s="5" t="s">
        <v>280</v>
      </c>
      <c r="DJ558" s="5">
        <f t="shared" si="1740"/>
        <v>4</v>
      </c>
      <c r="DK558" s="5" t="s">
        <v>251</v>
      </c>
      <c r="DL558" s="5">
        <f t="shared" si="1741"/>
        <v>1</v>
      </c>
      <c r="DM558" s="5" t="s">
        <v>251</v>
      </c>
      <c r="DN558" s="5">
        <f t="shared" si="1742"/>
        <v>1</v>
      </c>
      <c r="DO558" s="5" t="s">
        <v>281</v>
      </c>
      <c r="DP558" s="5">
        <f t="shared" si="1743"/>
        <v>1</v>
      </c>
      <c r="DQ558" s="5" t="s">
        <v>252</v>
      </c>
      <c r="DR558" s="5">
        <f t="shared" si="1744"/>
        <v>3</v>
      </c>
      <c r="DS558" s="5" t="s">
        <v>229</v>
      </c>
      <c r="DT558" s="5">
        <f t="shared" si="1745"/>
        <v>4</v>
      </c>
      <c r="DU558" s="5" t="s">
        <v>229</v>
      </c>
      <c r="DV558" s="5">
        <f t="shared" si="1746"/>
        <v>4</v>
      </c>
      <c r="DW558" s="5" t="s">
        <v>229</v>
      </c>
      <c r="DX558" s="5">
        <f t="shared" si="1747"/>
        <v>4</v>
      </c>
      <c r="DY558" s="5">
        <f t="shared" si="1748"/>
        <v>36</v>
      </c>
      <c r="DZ558" s="5" t="str">
        <f t="shared" si="1749"/>
        <v>Nivel de riesgo alto</v>
      </c>
      <c r="EA558" s="5" t="s">
        <v>254</v>
      </c>
      <c r="EB558" s="5">
        <f t="shared" si="1750"/>
        <v>4</v>
      </c>
      <c r="EC558" s="5" t="s">
        <v>254</v>
      </c>
      <c r="ED558" s="5">
        <f t="shared" si="1751"/>
        <v>4</v>
      </c>
      <c r="EE558" s="5" t="s">
        <v>254</v>
      </c>
      <c r="EF558" s="5">
        <f t="shared" si="1752"/>
        <v>4</v>
      </c>
      <c r="EG558" s="5">
        <f t="shared" si="1753"/>
        <v>12</v>
      </c>
      <c r="EH558" s="5" t="str">
        <f t="shared" si="1754"/>
        <v>Nivel de riesgo alto</v>
      </c>
      <c r="EI558" s="5" t="s">
        <v>253</v>
      </c>
      <c r="EJ558" s="5">
        <f t="shared" si="1755"/>
        <v>0</v>
      </c>
      <c r="EK558" s="5" t="s">
        <v>253</v>
      </c>
      <c r="EL558" s="5">
        <f t="shared" si="1756"/>
        <v>0</v>
      </c>
      <c r="EM558" s="5" t="s">
        <v>253</v>
      </c>
      <c r="EN558" s="5">
        <f t="shared" si="1757"/>
        <v>0</v>
      </c>
      <c r="EO558" s="5">
        <f t="shared" si="1758"/>
        <v>0</v>
      </c>
      <c r="EP558" s="5" t="str">
        <f t="shared" si="1759"/>
        <v>Nivel de riesgo bajo</v>
      </c>
      <c r="EQ558" s="5" t="s">
        <v>253</v>
      </c>
      <c r="ER558" s="5">
        <f t="shared" si="1760"/>
        <v>4</v>
      </c>
      <c r="ES558" s="5" t="s">
        <v>253</v>
      </c>
      <c r="ET558" s="5">
        <f t="shared" si="1761"/>
        <v>4</v>
      </c>
      <c r="EU558" s="5" t="s">
        <v>253</v>
      </c>
      <c r="EV558" s="5">
        <f t="shared" si="1762"/>
        <v>4</v>
      </c>
      <c r="EW558" s="5" t="s">
        <v>253</v>
      </c>
      <c r="EX558" s="5">
        <f t="shared" si="1763"/>
        <v>4</v>
      </c>
      <c r="EY558" s="5">
        <f t="shared" si="1764"/>
        <v>16</v>
      </c>
      <c r="EZ558" s="5" t="str">
        <f t="shared" si="1765"/>
        <v>Nivel de riesgo alto</v>
      </c>
      <c r="FA558" s="5" t="s">
        <v>253</v>
      </c>
      <c r="FB558" s="5">
        <f t="shared" si="1766"/>
        <v>0</v>
      </c>
      <c r="FC558" s="5" t="s">
        <v>253</v>
      </c>
      <c r="FD558" s="5">
        <f t="shared" si="1767"/>
        <v>0</v>
      </c>
      <c r="FE558" s="5" t="s">
        <v>253</v>
      </c>
      <c r="FF558" s="5">
        <f t="shared" si="1768"/>
        <v>0</v>
      </c>
      <c r="FG558" s="5">
        <f t="shared" si="1769"/>
        <v>0</v>
      </c>
      <c r="FH558" s="5" t="str">
        <f t="shared" si="1770"/>
        <v>Nivel de riesgo bajo</v>
      </c>
      <c r="FI558" s="5" t="s">
        <v>254</v>
      </c>
      <c r="FJ558" s="5">
        <f t="shared" si="1771"/>
        <v>4</v>
      </c>
      <c r="FK558" s="5" t="s">
        <v>254</v>
      </c>
      <c r="FL558" s="5">
        <f t="shared" si="1772"/>
        <v>4</v>
      </c>
      <c r="FM558" s="5" t="s">
        <v>254</v>
      </c>
      <c r="FN558" s="5">
        <f t="shared" si="1773"/>
        <v>4</v>
      </c>
      <c r="FO558" s="5">
        <f t="shared" si="1774"/>
        <v>12</v>
      </c>
      <c r="FP558" s="5" t="str">
        <f t="shared" si="1775"/>
        <v>Nivel de riesgo alto</v>
      </c>
      <c r="FQ558" s="5" t="s">
        <v>361</v>
      </c>
      <c r="FR558" s="5">
        <f t="shared" si="1776"/>
        <v>3</v>
      </c>
      <c r="FS558" s="5" t="s">
        <v>206</v>
      </c>
      <c r="FT558" s="5">
        <f t="shared" si="1777"/>
        <v>0</v>
      </c>
      <c r="FU558" s="5" t="s">
        <v>206</v>
      </c>
      <c r="FV558" s="5">
        <f t="shared" si="1778"/>
        <v>0</v>
      </c>
      <c r="FW558" s="5" t="s">
        <v>206</v>
      </c>
      <c r="FX558" s="5">
        <f t="shared" si="1779"/>
        <v>0</v>
      </c>
      <c r="FY558" s="5" t="s">
        <v>206</v>
      </c>
      <c r="FZ558" s="5">
        <f t="shared" si="1780"/>
        <v>0</v>
      </c>
      <c r="GA558" s="5" t="s">
        <v>206</v>
      </c>
      <c r="GB558" s="5">
        <f t="shared" si="1781"/>
        <v>0</v>
      </c>
      <c r="GC558" s="5" t="s">
        <v>206</v>
      </c>
      <c r="GD558" s="5">
        <f t="shared" si="1782"/>
        <v>0</v>
      </c>
      <c r="GE558" s="5">
        <f t="shared" si="1783"/>
        <v>3</v>
      </c>
      <c r="GF558" s="5" t="str">
        <f t="shared" si="1784"/>
        <v>Nivel de riesgo medio</v>
      </c>
      <c r="GG558" s="5" t="s">
        <v>255</v>
      </c>
      <c r="GH558" s="5" t="s">
        <v>255</v>
      </c>
      <c r="GI558" s="5" t="s">
        <v>255</v>
      </c>
      <c r="GJ558" s="5" t="s">
        <v>255</v>
      </c>
      <c r="GK558" s="5" t="s">
        <v>233</v>
      </c>
      <c r="GL558" s="5" t="s">
        <v>233</v>
      </c>
      <c r="GM558" s="5" t="s">
        <v>233</v>
      </c>
      <c r="GN558" s="5" t="s">
        <v>256</v>
      </c>
      <c r="GO558" s="5" t="s">
        <v>256</v>
      </c>
      <c r="GP558" s="5" t="s">
        <v>256</v>
      </c>
      <c r="GQ558" s="5" t="s">
        <v>234</v>
      </c>
      <c r="GR558" s="5" t="s">
        <v>234</v>
      </c>
      <c r="GS558" s="5" t="s">
        <v>234</v>
      </c>
      <c r="GT558" s="5" t="s">
        <v>256</v>
      </c>
      <c r="GU558" s="5" t="s">
        <v>920</v>
      </c>
      <c r="GV558" s="5" t="str">
        <f>TEXT("6292138403882305192","0")</f>
        <v>6292138403882300000</v>
      </c>
    </row>
    <row r="559" spans="1:204" ht="15.75" customHeight="1" x14ac:dyDescent="0.15">
      <c r="A559" s="1">
        <f t="shared" si="1734"/>
        <v>559</v>
      </c>
      <c r="B559" s="4">
        <v>45862.876840277779</v>
      </c>
      <c r="C559" s="5" t="s">
        <v>204</v>
      </c>
      <c r="D559" s="5" t="s">
        <v>206</v>
      </c>
      <c r="F559" s="5" t="s">
        <v>206</v>
      </c>
      <c r="G559" s="5" t="s">
        <v>206</v>
      </c>
      <c r="H559" s="5" t="s">
        <v>206</v>
      </c>
      <c r="J559" s="5" t="s">
        <v>209</v>
      </c>
      <c r="O559" s="5" t="s">
        <v>209</v>
      </c>
      <c r="S559" s="5" t="s">
        <v>208</v>
      </c>
      <c r="X559" s="5" t="s">
        <v>208</v>
      </c>
      <c r="AC559" s="5" t="s">
        <v>208</v>
      </c>
      <c r="AH559" s="5" t="s">
        <v>210</v>
      </c>
      <c r="AI559" s="5">
        <v>2024</v>
      </c>
      <c r="AJ559" s="5" t="s">
        <v>330</v>
      </c>
      <c r="AK559" s="5" t="str">
        <f t="shared" si="1735"/>
        <v>Asalariada</v>
      </c>
      <c r="AQ559" s="5" t="s">
        <v>204</v>
      </c>
      <c r="AR559" s="5" t="s">
        <v>276</v>
      </c>
      <c r="AS559" s="5" t="s">
        <v>276</v>
      </c>
      <c r="AT559" s="5" t="s">
        <v>276</v>
      </c>
      <c r="AU559" s="5" t="s">
        <v>276</v>
      </c>
      <c r="AV559" s="5" t="s">
        <v>213</v>
      </c>
      <c r="AW559" s="5" t="s">
        <v>206</v>
      </c>
      <c r="BF559" s="5" t="s">
        <v>204</v>
      </c>
      <c r="BG559" s="5" t="s">
        <v>264</v>
      </c>
      <c r="BH559" s="5" t="s">
        <v>215</v>
      </c>
      <c r="BI559" s="5" t="s">
        <v>264</v>
      </c>
      <c r="BJ559" s="5" t="s">
        <v>264</v>
      </c>
      <c r="BK559" s="5" t="s">
        <v>243</v>
      </c>
      <c r="BL559" s="5" t="s">
        <v>243</v>
      </c>
      <c r="BM559" s="5" t="s">
        <v>243</v>
      </c>
      <c r="BN559" s="5" t="s">
        <v>243</v>
      </c>
      <c r="BO559" s="5" t="s">
        <v>243</v>
      </c>
      <c r="BP559" s="5" t="s">
        <v>243</v>
      </c>
      <c r="BQ559" s="5" t="s">
        <v>243</v>
      </c>
      <c r="BR559" s="5" t="s">
        <v>243</v>
      </c>
      <c r="BS559" s="5" t="s">
        <v>232</v>
      </c>
      <c r="BT559" s="5" t="s">
        <v>232</v>
      </c>
      <c r="BU559" s="5" t="s">
        <v>232</v>
      </c>
      <c r="BV559" s="5" t="s">
        <v>247</v>
      </c>
      <c r="BW559" s="5" t="s">
        <v>247</v>
      </c>
      <c r="BX559" s="5" t="s">
        <v>247</v>
      </c>
      <c r="BY559" s="5" t="s">
        <v>247</v>
      </c>
      <c r="CD559" s="5" t="s">
        <v>206</v>
      </c>
      <c r="CH559" s="5" t="s">
        <v>369</v>
      </c>
      <c r="CI559" s="5" t="s">
        <v>249</v>
      </c>
      <c r="CJ559" s="5">
        <v>1</v>
      </c>
      <c r="CM559" s="5" t="s">
        <v>358</v>
      </c>
      <c r="CU559" s="5" t="s">
        <v>204</v>
      </c>
      <c r="CV559" s="5" t="s">
        <v>350</v>
      </c>
      <c r="CW559" s="5" t="s">
        <v>351</v>
      </c>
      <c r="CX559" s="5" t="s">
        <v>352</v>
      </c>
      <c r="CY559" s="5" t="s">
        <v>353</v>
      </c>
      <c r="CZ559" s="5" t="s">
        <v>228</v>
      </c>
      <c r="DA559" s="5" t="s">
        <v>231</v>
      </c>
      <c r="DB559" s="5">
        <f t="shared" si="1736"/>
        <v>2</v>
      </c>
      <c r="DC559" s="5" t="s">
        <v>230</v>
      </c>
      <c r="DD559" s="5">
        <f t="shared" si="1737"/>
        <v>2</v>
      </c>
      <c r="DE559" s="5" t="s">
        <v>230</v>
      </c>
      <c r="DF559" s="5">
        <f t="shared" si="1738"/>
        <v>2</v>
      </c>
      <c r="DG559" s="5" t="s">
        <v>230</v>
      </c>
      <c r="DH559" s="5">
        <f t="shared" si="1739"/>
        <v>2</v>
      </c>
      <c r="DI559" s="5" t="s">
        <v>230</v>
      </c>
      <c r="DJ559" s="5">
        <f t="shared" si="1740"/>
        <v>2</v>
      </c>
      <c r="DK559" s="5" t="s">
        <v>230</v>
      </c>
      <c r="DL559" s="5">
        <f t="shared" si="1741"/>
        <v>2</v>
      </c>
      <c r="DM559" s="5" t="s">
        <v>230</v>
      </c>
      <c r="DN559" s="5">
        <f t="shared" si="1742"/>
        <v>2</v>
      </c>
      <c r="DO559" s="5" t="s">
        <v>281</v>
      </c>
      <c r="DP559" s="5">
        <f t="shared" si="1743"/>
        <v>1</v>
      </c>
      <c r="DQ559" s="5" t="s">
        <v>281</v>
      </c>
      <c r="DR559" s="5">
        <f t="shared" si="1744"/>
        <v>1</v>
      </c>
      <c r="DS559" s="5" t="s">
        <v>231</v>
      </c>
      <c r="DT559" s="5">
        <f t="shared" si="1745"/>
        <v>2</v>
      </c>
      <c r="DU559" s="5" t="s">
        <v>231</v>
      </c>
      <c r="DV559" s="5">
        <f t="shared" si="1746"/>
        <v>2</v>
      </c>
      <c r="DW559" s="5" t="s">
        <v>231</v>
      </c>
      <c r="DX559" s="5">
        <f t="shared" si="1747"/>
        <v>2</v>
      </c>
      <c r="DY559" s="5">
        <f t="shared" si="1748"/>
        <v>22</v>
      </c>
      <c r="DZ559" s="5" t="str">
        <f t="shared" si="1749"/>
        <v>Nivel de riesgo medio</v>
      </c>
      <c r="EA559" s="5" t="s">
        <v>232</v>
      </c>
      <c r="EB559" s="5">
        <f t="shared" si="1750"/>
        <v>3</v>
      </c>
      <c r="EC559" s="5" t="s">
        <v>247</v>
      </c>
      <c r="ED559" s="5">
        <f t="shared" si="1751"/>
        <v>2</v>
      </c>
      <c r="EE559" s="5" t="s">
        <v>232</v>
      </c>
      <c r="EF559" s="5">
        <f t="shared" si="1752"/>
        <v>3</v>
      </c>
      <c r="EG559" s="5">
        <f t="shared" si="1753"/>
        <v>8</v>
      </c>
      <c r="EH559" s="5" t="str">
        <f t="shared" si="1754"/>
        <v>Nivel de riesgo alto</v>
      </c>
      <c r="EI559" s="5" t="s">
        <v>247</v>
      </c>
      <c r="EJ559" s="5">
        <f t="shared" si="1755"/>
        <v>2</v>
      </c>
      <c r="EK559" s="5" t="s">
        <v>232</v>
      </c>
      <c r="EL559" s="5">
        <f t="shared" si="1756"/>
        <v>3</v>
      </c>
      <c r="EM559" s="5" t="s">
        <v>247</v>
      </c>
      <c r="EN559" s="5">
        <f t="shared" si="1757"/>
        <v>2</v>
      </c>
      <c r="EO559" s="5">
        <f t="shared" si="1758"/>
        <v>7</v>
      </c>
      <c r="EP559" s="5" t="str">
        <f t="shared" si="1759"/>
        <v>Nivel de riesgo alto</v>
      </c>
      <c r="EQ559" s="5" t="s">
        <v>232</v>
      </c>
      <c r="ER559" s="5">
        <f t="shared" si="1760"/>
        <v>1</v>
      </c>
      <c r="ES559" s="5" t="s">
        <v>247</v>
      </c>
      <c r="ET559" s="5">
        <f t="shared" si="1761"/>
        <v>2</v>
      </c>
      <c r="EU559" s="5" t="s">
        <v>232</v>
      </c>
      <c r="EV559" s="5">
        <f t="shared" si="1762"/>
        <v>1</v>
      </c>
      <c r="EW559" s="5" t="s">
        <v>247</v>
      </c>
      <c r="EX559" s="5">
        <f t="shared" si="1763"/>
        <v>2</v>
      </c>
      <c r="EY559" s="5">
        <f t="shared" si="1764"/>
        <v>6</v>
      </c>
      <c r="EZ559" s="5" t="str">
        <f t="shared" si="1765"/>
        <v>Nivel de riesgo alto</v>
      </c>
      <c r="FA559" s="5" t="s">
        <v>232</v>
      </c>
      <c r="FB559" s="5">
        <f t="shared" si="1766"/>
        <v>3</v>
      </c>
      <c r="FC559" s="5" t="s">
        <v>247</v>
      </c>
      <c r="FD559" s="5">
        <f t="shared" si="1767"/>
        <v>2</v>
      </c>
      <c r="FE559" s="5" t="s">
        <v>232</v>
      </c>
      <c r="FF559" s="5">
        <f t="shared" si="1768"/>
        <v>3</v>
      </c>
      <c r="FG559" s="5">
        <f t="shared" si="1769"/>
        <v>8</v>
      </c>
      <c r="FH559" s="5" t="str">
        <f t="shared" si="1770"/>
        <v>Nivel de riesgo alto</v>
      </c>
      <c r="FI559" s="5" t="s">
        <v>247</v>
      </c>
      <c r="FJ559" s="5">
        <f t="shared" si="1771"/>
        <v>2</v>
      </c>
      <c r="FK559" s="5" t="s">
        <v>232</v>
      </c>
      <c r="FL559" s="5">
        <f t="shared" si="1772"/>
        <v>3</v>
      </c>
      <c r="FM559" s="5" t="s">
        <v>247</v>
      </c>
      <c r="FN559" s="5">
        <f t="shared" si="1773"/>
        <v>2</v>
      </c>
      <c r="FO559" s="5">
        <f t="shared" si="1774"/>
        <v>7</v>
      </c>
      <c r="FP559" s="5" t="str">
        <f t="shared" si="1775"/>
        <v>Nivel de riesgo alto</v>
      </c>
      <c r="FQ559" s="5" t="s">
        <v>206</v>
      </c>
      <c r="FR559" s="5">
        <f t="shared" si="1776"/>
        <v>0</v>
      </c>
      <c r="FS559" s="5" t="s">
        <v>265</v>
      </c>
      <c r="FT559" s="5">
        <f t="shared" si="1777"/>
        <v>1</v>
      </c>
      <c r="FU559" s="5" t="s">
        <v>265</v>
      </c>
      <c r="FV559" s="5">
        <f t="shared" si="1778"/>
        <v>1</v>
      </c>
      <c r="FW559" s="5" t="s">
        <v>265</v>
      </c>
      <c r="FX559" s="5">
        <f t="shared" si="1779"/>
        <v>1</v>
      </c>
      <c r="FY559" s="5" t="s">
        <v>265</v>
      </c>
      <c r="FZ559" s="5">
        <f t="shared" si="1780"/>
        <v>1</v>
      </c>
      <c r="GA559" s="5" t="s">
        <v>265</v>
      </c>
      <c r="GB559" s="5">
        <f t="shared" si="1781"/>
        <v>1</v>
      </c>
      <c r="GC559" s="5" t="s">
        <v>265</v>
      </c>
      <c r="GD559" s="5">
        <f t="shared" si="1782"/>
        <v>1</v>
      </c>
      <c r="GE559" s="5">
        <f t="shared" si="1783"/>
        <v>6</v>
      </c>
      <c r="GF559" s="5" t="str">
        <f t="shared" si="1784"/>
        <v>Nivel de riesgo medio</v>
      </c>
      <c r="GG559" s="5" t="s">
        <v>266</v>
      </c>
      <c r="GH559" s="5" t="s">
        <v>273</v>
      </c>
      <c r="GI559" s="5" t="s">
        <v>266</v>
      </c>
      <c r="GJ559" s="5" t="s">
        <v>273</v>
      </c>
      <c r="GK559" s="5" t="s">
        <v>273</v>
      </c>
      <c r="GL559" s="5" t="s">
        <v>273</v>
      </c>
      <c r="GM559" s="5" t="s">
        <v>266</v>
      </c>
      <c r="GN559" s="5" t="s">
        <v>243</v>
      </c>
      <c r="GO559" s="5" t="s">
        <v>243</v>
      </c>
      <c r="GP559" s="5" t="s">
        <v>243</v>
      </c>
      <c r="GQ559" s="5" t="s">
        <v>243</v>
      </c>
      <c r="GR559" s="5" t="s">
        <v>243</v>
      </c>
      <c r="GS559" s="5" t="s">
        <v>243</v>
      </c>
      <c r="GT559" s="5" t="s">
        <v>243</v>
      </c>
      <c r="GU559" s="5" t="s">
        <v>921</v>
      </c>
      <c r="GV559" s="5" t="str">
        <f>TEXT("6292145598124108604","0")</f>
        <v>6292145598124100000</v>
      </c>
    </row>
    <row r="560" spans="1:204" ht="15.75" customHeight="1" x14ac:dyDescent="0.15">
      <c r="A560" s="1">
        <f t="shared" si="1734"/>
        <v>560</v>
      </c>
      <c r="B560" s="4">
        <v>45862.91028935185</v>
      </c>
      <c r="C560" s="5" t="s">
        <v>204</v>
      </c>
      <c r="D560" s="5" t="s">
        <v>204</v>
      </c>
      <c r="E560" s="5" t="s">
        <v>922</v>
      </c>
      <c r="F560" s="5" t="s">
        <v>206</v>
      </c>
      <c r="G560" s="5" t="s">
        <v>206</v>
      </c>
      <c r="H560" s="5" t="s">
        <v>206</v>
      </c>
      <c r="K560" s="5" t="s">
        <v>237</v>
      </c>
      <c r="O560" s="5" t="s">
        <v>209</v>
      </c>
      <c r="S560" s="5" t="s">
        <v>208</v>
      </c>
      <c r="AB560" s="5" t="s">
        <v>207</v>
      </c>
      <c r="AD560" s="5" t="s">
        <v>209</v>
      </c>
      <c r="AH560" s="5" t="s">
        <v>268</v>
      </c>
      <c r="AI560" s="5">
        <v>2005</v>
      </c>
      <c r="AJ560" s="5" t="s">
        <v>337</v>
      </c>
      <c r="AK560" s="5" t="str">
        <f t="shared" si="1735"/>
        <v>Asalariada</v>
      </c>
      <c r="AQ560" s="5" t="s">
        <v>204</v>
      </c>
      <c r="AR560" s="5" t="s">
        <v>276</v>
      </c>
      <c r="AS560" s="5" t="s">
        <v>276</v>
      </c>
      <c r="AT560" s="5" t="s">
        <v>261</v>
      </c>
      <c r="AU560" s="5" t="s">
        <v>261</v>
      </c>
      <c r="AV560" s="5" t="s">
        <v>269</v>
      </c>
      <c r="AW560" s="5" t="s">
        <v>204</v>
      </c>
      <c r="AX560" s="5" t="s">
        <v>204</v>
      </c>
      <c r="AY560" s="5" t="s">
        <v>214</v>
      </c>
      <c r="AZ560" s="5" t="s">
        <v>204</v>
      </c>
      <c r="BA560" s="5" t="s">
        <v>344</v>
      </c>
      <c r="BF560" s="5" t="s">
        <v>204</v>
      </c>
      <c r="BG560" s="5" t="s">
        <v>271</v>
      </c>
      <c r="BH560" s="5" t="s">
        <v>242</v>
      </c>
      <c r="BI560" s="5" t="s">
        <v>271</v>
      </c>
      <c r="BJ560" s="5" t="s">
        <v>242</v>
      </c>
      <c r="BK560" s="5" t="s">
        <v>244</v>
      </c>
      <c r="BL560" s="5" t="s">
        <v>244</v>
      </c>
      <c r="BM560" s="5" t="s">
        <v>244</v>
      </c>
      <c r="BN560" s="5" t="s">
        <v>244</v>
      </c>
      <c r="BO560" s="5" t="s">
        <v>244</v>
      </c>
      <c r="BP560" s="5" t="s">
        <v>244</v>
      </c>
      <c r="BQ560" s="5" t="s">
        <v>244</v>
      </c>
      <c r="BR560" s="5" t="s">
        <v>244</v>
      </c>
      <c r="BS560" s="5" t="s">
        <v>217</v>
      </c>
      <c r="BT560" s="5" t="s">
        <v>248</v>
      </c>
      <c r="BU560" s="5" t="s">
        <v>217</v>
      </c>
      <c r="BV560" s="5" t="s">
        <v>217</v>
      </c>
      <c r="BW560" s="5" t="s">
        <v>217</v>
      </c>
      <c r="BX560" s="5" t="s">
        <v>248</v>
      </c>
      <c r="BY560" s="5" t="s">
        <v>217</v>
      </c>
      <c r="BZ560" s="5" t="s">
        <v>244</v>
      </c>
      <c r="CA560" s="5" t="s">
        <v>244</v>
      </c>
      <c r="CB560" s="5" t="s">
        <v>244</v>
      </c>
      <c r="CC560" s="5" t="s">
        <v>244</v>
      </c>
      <c r="CD560" s="5" t="s">
        <v>206</v>
      </c>
      <c r="CH560" s="5" t="s">
        <v>206</v>
      </c>
      <c r="CI560" s="5" t="s">
        <v>206</v>
      </c>
      <c r="CJ560" s="5">
        <v>0</v>
      </c>
      <c r="CK560" s="5" t="s">
        <v>223</v>
      </c>
      <c r="CU560" s="5" t="s">
        <v>206</v>
      </c>
      <c r="DA560" s="5" t="s">
        <v>229</v>
      </c>
      <c r="DB560" s="5">
        <f t="shared" si="1736"/>
        <v>4</v>
      </c>
      <c r="DC560" s="5" t="s">
        <v>251</v>
      </c>
      <c r="DD560" s="5">
        <f t="shared" si="1737"/>
        <v>1</v>
      </c>
      <c r="DE560" s="5" t="s">
        <v>251</v>
      </c>
      <c r="DF560" s="5">
        <f t="shared" si="1738"/>
        <v>1</v>
      </c>
      <c r="DG560" s="5" t="s">
        <v>251</v>
      </c>
      <c r="DH560" s="5">
        <f t="shared" si="1739"/>
        <v>1</v>
      </c>
      <c r="DI560" s="5" t="s">
        <v>251</v>
      </c>
      <c r="DJ560" s="5">
        <f t="shared" si="1740"/>
        <v>1</v>
      </c>
      <c r="DK560" s="5" t="s">
        <v>251</v>
      </c>
      <c r="DL560" s="5">
        <f t="shared" si="1741"/>
        <v>1</v>
      </c>
      <c r="DM560" s="5" t="s">
        <v>251</v>
      </c>
      <c r="DN560" s="5">
        <f t="shared" si="1742"/>
        <v>1</v>
      </c>
      <c r="DO560" s="5" t="s">
        <v>229</v>
      </c>
      <c r="DP560" s="5">
        <f t="shared" si="1743"/>
        <v>4</v>
      </c>
      <c r="DQ560" s="5" t="s">
        <v>229</v>
      </c>
      <c r="DR560" s="5">
        <f t="shared" si="1744"/>
        <v>4</v>
      </c>
      <c r="DS560" s="5" t="s">
        <v>229</v>
      </c>
      <c r="DT560" s="5">
        <f t="shared" si="1745"/>
        <v>4</v>
      </c>
      <c r="DU560" s="5" t="s">
        <v>229</v>
      </c>
      <c r="DV560" s="5">
        <f t="shared" si="1746"/>
        <v>4</v>
      </c>
      <c r="DW560" s="5" t="s">
        <v>229</v>
      </c>
      <c r="DX560" s="5">
        <f t="shared" si="1747"/>
        <v>4</v>
      </c>
      <c r="DY560" s="5">
        <f t="shared" si="1748"/>
        <v>30</v>
      </c>
      <c r="DZ560" s="5" t="str">
        <f t="shared" si="1749"/>
        <v>Nivel de riesgo alto</v>
      </c>
      <c r="EA560" s="5" t="s">
        <v>248</v>
      </c>
      <c r="EB560" s="5">
        <f t="shared" si="1750"/>
        <v>1</v>
      </c>
      <c r="EC560" s="5" t="s">
        <v>247</v>
      </c>
      <c r="ED560" s="5">
        <f t="shared" si="1751"/>
        <v>2</v>
      </c>
      <c r="EE560" s="5" t="s">
        <v>253</v>
      </c>
      <c r="EF560" s="5">
        <f t="shared" si="1752"/>
        <v>0</v>
      </c>
      <c r="EG560" s="5">
        <f t="shared" si="1753"/>
        <v>3</v>
      </c>
      <c r="EH560" s="5" t="str">
        <f t="shared" si="1754"/>
        <v>Nivel de riesgo medio</v>
      </c>
      <c r="EI560" s="5" t="s">
        <v>248</v>
      </c>
      <c r="EJ560" s="5">
        <f t="shared" si="1755"/>
        <v>1</v>
      </c>
      <c r="EK560" s="5" t="s">
        <v>253</v>
      </c>
      <c r="EL560" s="5">
        <f t="shared" si="1756"/>
        <v>0</v>
      </c>
      <c r="EM560" s="5" t="s">
        <v>253</v>
      </c>
      <c r="EN560" s="5">
        <f t="shared" si="1757"/>
        <v>0</v>
      </c>
      <c r="EO560" s="5">
        <f t="shared" si="1758"/>
        <v>1</v>
      </c>
      <c r="EP560" s="5" t="str">
        <f t="shared" si="1759"/>
        <v>Nivel de riesgo bajo</v>
      </c>
      <c r="EQ560" s="5" t="s">
        <v>253</v>
      </c>
      <c r="ER560" s="5">
        <f t="shared" si="1760"/>
        <v>4</v>
      </c>
      <c r="ES560" s="5" t="s">
        <v>253</v>
      </c>
      <c r="ET560" s="5">
        <f t="shared" si="1761"/>
        <v>4</v>
      </c>
      <c r="EU560" s="5" t="s">
        <v>253</v>
      </c>
      <c r="EV560" s="5">
        <f t="shared" si="1762"/>
        <v>4</v>
      </c>
      <c r="EW560" s="5" t="s">
        <v>253</v>
      </c>
      <c r="EX560" s="5">
        <f t="shared" si="1763"/>
        <v>4</v>
      </c>
      <c r="EY560" s="5">
        <f t="shared" si="1764"/>
        <v>16</v>
      </c>
      <c r="EZ560" s="5" t="str">
        <f t="shared" si="1765"/>
        <v>Nivel de riesgo alto</v>
      </c>
      <c r="FA560" s="5" t="s">
        <v>253</v>
      </c>
      <c r="FB560" s="5">
        <f t="shared" si="1766"/>
        <v>0</v>
      </c>
      <c r="FC560" s="5" t="s">
        <v>253</v>
      </c>
      <c r="FD560" s="5">
        <f t="shared" si="1767"/>
        <v>0</v>
      </c>
      <c r="FE560" s="5" t="s">
        <v>253</v>
      </c>
      <c r="FF560" s="5">
        <f t="shared" si="1768"/>
        <v>0</v>
      </c>
      <c r="FG560" s="5">
        <f t="shared" si="1769"/>
        <v>0</v>
      </c>
      <c r="FH560" s="5" t="str">
        <f t="shared" si="1770"/>
        <v>Nivel de riesgo bajo</v>
      </c>
      <c r="FI560" s="5" t="s">
        <v>253</v>
      </c>
      <c r="FJ560" s="5">
        <f t="shared" si="1771"/>
        <v>0</v>
      </c>
      <c r="FK560" s="5" t="s">
        <v>253</v>
      </c>
      <c r="FL560" s="5">
        <f t="shared" si="1772"/>
        <v>0</v>
      </c>
      <c r="FM560" s="5" t="s">
        <v>253</v>
      </c>
      <c r="FN560" s="5">
        <f t="shared" si="1773"/>
        <v>0</v>
      </c>
      <c r="FO560" s="5">
        <f t="shared" si="1774"/>
        <v>0</v>
      </c>
      <c r="FP560" s="5" t="str">
        <f t="shared" si="1775"/>
        <v>Nivel de riesgo bajo</v>
      </c>
      <c r="FQ560" s="5" t="s">
        <v>206</v>
      </c>
      <c r="FR560" s="5">
        <f t="shared" si="1776"/>
        <v>0</v>
      </c>
      <c r="FS560" s="5" t="s">
        <v>206</v>
      </c>
      <c r="FT560" s="5">
        <f t="shared" si="1777"/>
        <v>0</v>
      </c>
      <c r="FU560" s="5" t="s">
        <v>206</v>
      </c>
      <c r="FV560" s="5">
        <f t="shared" si="1778"/>
        <v>0</v>
      </c>
      <c r="FW560" s="5" t="s">
        <v>206</v>
      </c>
      <c r="FX560" s="5">
        <f t="shared" si="1779"/>
        <v>0</v>
      </c>
      <c r="FY560" s="5" t="s">
        <v>206</v>
      </c>
      <c r="FZ560" s="5">
        <f t="shared" si="1780"/>
        <v>0</v>
      </c>
      <c r="GA560" s="5" t="s">
        <v>206</v>
      </c>
      <c r="GB560" s="5">
        <f t="shared" si="1781"/>
        <v>0</v>
      </c>
      <c r="GC560" s="5" t="s">
        <v>206</v>
      </c>
      <c r="GD560" s="5">
        <f t="shared" si="1782"/>
        <v>0</v>
      </c>
      <c r="GE560" s="5">
        <f t="shared" si="1783"/>
        <v>0</v>
      </c>
      <c r="GF560" s="5" t="str">
        <f t="shared" si="1784"/>
        <v>Nivel de riesgo bajo</v>
      </c>
      <c r="GG560" s="5" t="s">
        <v>273</v>
      </c>
      <c r="GH560" s="5" t="s">
        <v>273</v>
      </c>
      <c r="GI560" s="5" t="s">
        <v>273</v>
      </c>
      <c r="GJ560" s="5" t="s">
        <v>266</v>
      </c>
      <c r="GK560" s="5" t="s">
        <v>233</v>
      </c>
      <c r="GL560" s="5" t="s">
        <v>233</v>
      </c>
      <c r="GM560" s="5" t="s">
        <v>266</v>
      </c>
      <c r="GN560" s="5" t="s">
        <v>243</v>
      </c>
      <c r="GO560" s="5" t="s">
        <v>243</v>
      </c>
      <c r="GP560" s="5" t="s">
        <v>243</v>
      </c>
      <c r="GQ560" s="5" t="s">
        <v>243</v>
      </c>
      <c r="GR560" s="5" t="s">
        <v>243</v>
      </c>
      <c r="GS560" s="5" t="s">
        <v>243</v>
      </c>
      <c r="GT560" s="5" t="s">
        <v>243</v>
      </c>
      <c r="GU560" s="5" t="s">
        <v>923</v>
      </c>
      <c r="GV560" s="5" t="str">
        <f>TEXT("6292174492257837975","0")</f>
        <v>6292174492257830000</v>
      </c>
    </row>
    <row r="561" spans="1:204" ht="15.75" customHeight="1" x14ac:dyDescent="0.15">
      <c r="A561" s="1">
        <f t="shared" si="1734"/>
        <v>561</v>
      </c>
      <c r="B561" s="4">
        <v>45862.954560185186</v>
      </c>
      <c r="C561" s="5" t="s">
        <v>204</v>
      </c>
      <c r="D561" s="5" t="s">
        <v>206</v>
      </c>
      <c r="F561" s="5" t="s">
        <v>204</v>
      </c>
      <c r="G561" s="5" t="s">
        <v>204</v>
      </c>
      <c r="H561" s="5" t="s">
        <v>206</v>
      </c>
      <c r="K561" s="5" t="s">
        <v>237</v>
      </c>
      <c r="O561" s="5" t="s">
        <v>209</v>
      </c>
      <c r="S561" s="5" t="s">
        <v>208</v>
      </c>
      <c r="X561" s="5" t="s">
        <v>208</v>
      </c>
      <c r="AG561" s="5" t="s">
        <v>207</v>
      </c>
      <c r="AH561" s="5" t="s">
        <v>210</v>
      </c>
      <c r="AI561" s="5">
        <v>2010</v>
      </c>
      <c r="AJ561" s="5" t="s">
        <v>238</v>
      </c>
      <c r="AK561" s="5" t="str">
        <f t="shared" si="1735"/>
        <v>Trabajadora por cuenta propia</v>
      </c>
      <c r="AM561" s="5" t="s">
        <v>309</v>
      </c>
      <c r="AP561" s="5" t="s">
        <v>284</v>
      </c>
      <c r="AR561" s="5" t="s">
        <v>241</v>
      </c>
      <c r="AS561" s="5" t="s">
        <v>301</v>
      </c>
      <c r="AT561" s="5" t="s">
        <v>241</v>
      </c>
      <c r="AU561" s="5" t="s">
        <v>241</v>
      </c>
      <c r="AV561" s="5" t="s">
        <v>457</v>
      </c>
      <c r="AW561" s="5" t="s">
        <v>206</v>
      </c>
      <c r="BF561" s="5" t="s">
        <v>204</v>
      </c>
      <c r="BG561" s="5" t="s">
        <v>207</v>
      </c>
      <c r="BH561" s="5" t="s">
        <v>215</v>
      </c>
      <c r="BI561" s="5" t="s">
        <v>207</v>
      </c>
      <c r="BJ561" s="5" t="s">
        <v>242</v>
      </c>
      <c r="BK561" s="5" t="s">
        <v>244</v>
      </c>
      <c r="BL561" s="5" t="s">
        <v>246</v>
      </c>
      <c r="BM561" s="5" t="s">
        <v>246</v>
      </c>
      <c r="BN561" s="5" t="s">
        <v>244</v>
      </c>
      <c r="BO561" s="5" t="s">
        <v>244</v>
      </c>
      <c r="BP561" s="5" t="s">
        <v>246</v>
      </c>
      <c r="BQ561" s="5" t="s">
        <v>244</v>
      </c>
      <c r="BR561" s="5" t="s">
        <v>244</v>
      </c>
      <c r="BS561" s="5" t="s">
        <v>248</v>
      </c>
      <c r="BT561" s="5" t="s">
        <v>248</v>
      </c>
      <c r="BU561" s="5" t="s">
        <v>248</v>
      </c>
      <c r="BV561" s="5" t="s">
        <v>247</v>
      </c>
      <c r="BW561" s="5" t="s">
        <v>248</v>
      </c>
      <c r="BX561" s="5" t="s">
        <v>248</v>
      </c>
      <c r="BY561" s="5" t="s">
        <v>247</v>
      </c>
      <c r="CD561" s="5" t="s">
        <v>204</v>
      </c>
      <c r="CE561" s="5" t="s">
        <v>218</v>
      </c>
      <c r="CF561" s="5" t="s">
        <v>219</v>
      </c>
      <c r="CG561" s="5" t="s">
        <v>220</v>
      </c>
      <c r="CH561" s="5" t="s">
        <v>206</v>
      </c>
      <c r="CI561" s="5" t="s">
        <v>291</v>
      </c>
      <c r="CJ561" s="5">
        <v>2</v>
      </c>
      <c r="CK561" s="5" t="s">
        <v>223</v>
      </c>
      <c r="CU561" s="5" t="s">
        <v>206</v>
      </c>
      <c r="DA561" s="5" t="s">
        <v>272</v>
      </c>
      <c r="DB561" s="5">
        <f t="shared" si="1736"/>
        <v>1</v>
      </c>
      <c r="DC561" s="5" t="s">
        <v>230</v>
      </c>
      <c r="DD561" s="5">
        <f t="shared" si="1737"/>
        <v>2</v>
      </c>
      <c r="DE561" s="5" t="s">
        <v>230</v>
      </c>
      <c r="DF561" s="5">
        <f t="shared" si="1738"/>
        <v>2</v>
      </c>
      <c r="DG561" s="5" t="s">
        <v>251</v>
      </c>
      <c r="DH561" s="5">
        <f t="shared" si="1739"/>
        <v>1</v>
      </c>
      <c r="DI561" s="5" t="s">
        <v>251</v>
      </c>
      <c r="DJ561" s="5">
        <f t="shared" si="1740"/>
        <v>1</v>
      </c>
      <c r="DK561" s="5" t="s">
        <v>251</v>
      </c>
      <c r="DL561" s="5">
        <f t="shared" si="1741"/>
        <v>1</v>
      </c>
      <c r="DM561" s="5" t="s">
        <v>251</v>
      </c>
      <c r="DN561" s="5">
        <f t="shared" si="1742"/>
        <v>1</v>
      </c>
      <c r="DO561" s="5" t="s">
        <v>281</v>
      </c>
      <c r="DP561" s="5">
        <f t="shared" si="1743"/>
        <v>1</v>
      </c>
      <c r="DQ561" s="5" t="s">
        <v>281</v>
      </c>
      <c r="DR561" s="5">
        <f t="shared" si="1744"/>
        <v>1</v>
      </c>
      <c r="DS561" s="5" t="s">
        <v>281</v>
      </c>
      <c r="DT561" s="5">
        <f t="shared" si="1745"/>
        <v>1</v>
      </c>
      <c r="DU561" s="5" t="s">
        <v>281</v>
      </c>
      <c r="DV561" s="5">
        <f t="shared" si="1746"/>
        <v>1</v>
      </c>
      <c r="DW561" s="5" t="s">
        <v>281</v>
      </c>
      <c r="DX561" s="5">
        <f t="shared" si="1747"/>
        <v>1</v>
      </c>
      <c r="DY561" s="5">
        <f t="shared" si="1748"/>
        <v>14</v>
      </c>
      <c r="DZ561" s="5" t="str">
        <f t="shared" si="1749"/>
        <v>Nivel de riesgo bajo</v>
      </c>
      <c r="EA561" s="5" t="s">
        <v>248</v>
      </c>
      <c r="EB561" s="5">
        <f t="shared" si="1750"/>
        <v>1</v>
      </c>
      <c r="EC561" s="5" t="s">
        <v>248</v>
      </c>
      <c r="ED561" s="5">
        <f t="shared" si="1751"/>
        <v>1</v>
      </c>
      <c r="EE561" s="5" t="s">
        <v>248</v>
      </c>
      <c r="EF561" s="5">
        <f t="shared" si="1752"/>
        <v>1</v>
      </c>
      <c r="EG561" s="5">
        <f t="shared" si="1753"/>
        <v>3</v>
      </c>
      <c r="EH561" s="5" t="str">
        <f t="shared" si="1754"/>
        <v>Nivel de riesgo medio</v>
      </c>
      <c r="EI561" s="5" t="s">
        <v>248</v>
      </c>
      <c r="EJ561" s="5">
        <f t="shared" si="1755"/>
        <v>1</v>
      </c>
      <c r="EK561" s="5" t="s">
        <v>247</v>
      </c>
      <c r="EL561" s="5">
        <f t="shared" si="1756"/>
        <v>2</v>
      </c>
      <c r="EM561" s="5" t="s">
        <v>247</v>
      </c>
      <c r="EN561" s="5">
        <f t="shared" si="1757"/>
        <v>2</v>
      </c>
      <c r="EO561" s="5">
        <f t="shared" si="1758"/>
        <v>5</v>
      </c>
      <c r="EP561" s="5" t="str">
        <f t="shared" si="1759"/>
        <v>Nivel de riesgo medio</v>
      </c>
      <c r="EQ561" s="5" t="s">
        <v>248</v>
      </c>
      <c r="ER561" s="5">
        <f t="shared" si="1760"/>
        <v>3</v>
      </c>
      <c r="ES561" s="5" t="s">
        <v>248</v>
      </c>
      <c r="ET561" s="5">
        <f t="shared" si="1761"/>
        <v>3</v>
      </c>
      <c r="EU561" s="5" t="s">
        <v>232</v>
      </c>
      <c r="EV561" s="5">
        <f t="shared" si="1762"/>
        <v>1</v>
      </c>
      <c r="EW561" s="5" t="s">
        <v>247</v>
      </c>
      <c r="EX561" s="5">
        <f t="shared" si="1763"/>
        <v>2</v>
      </c>
      <c r="EY561" s="5">
        <f t="shared" si="1764"/>
        <v>9</v>
      </c>
      <c r="EZ561" s="5" t="str">
        <f t="shared" si="1765"/>
        <v>Nivel de riesgo alto</v>
      </c>
      <c r="FA561" s="5" t="s">
        <v>248</v>
      </c>
      <c r="FB561" s="5">
        <f t="shared" si="1766"/>
        <v>1</v>
      </c>
      <c r="FC561" s="5" t="s">
        <v>253</v>
      </c>
      <c r="FD561" s="5">
        <f t="shared" si="1767"/>
        <v>0</v>
      </c>
      <c r="FE561" s="5" t="s">
        <v>253</v>
      </c>
      <c r="FF561" s="5">
        <f t="shared" si="1768"/>
        <v>0</v>
      </c>
      <c r="FG561" s="5">
        <f t="shared" si="1769"/>
        <v>1</v>
      </c>
      <c r="FH561" s="5" t="str">
        <f t="shared" si="1770"/>
        <v>Nivel de riesgo bajo</v>
      </c>
      <c r="FI561" s="5" t="s">
        <v>253</v>
      </c>
      <c r="FJ561" s="5">
        <f t="shared" si="1771"/>
        <v>0</v>
      </c>
      <c r="FK561" s="5" t="s">
        <v>253</v>
      </c>
      <c r="FL561" s="5">
        <f t="shared" si="1772"/>
        <v>0</v>
      </c>
      <c r="FM561" s="5" t="s">
        <v>248</v>
      </c>
      <c r="FN561" s="5">
        <f t="shared" si="1773"/>
        <v>1</v>
      </c>
      <c r="FO561" s="5">
        <f t="shared" si="1774"/>
        <v>1</v>
      </c>
      <c r="FP561" s="5" t="str">
        <f t="shared" si="1775"/>
        <v>Nivel de riesgo bajo</v>
      </c>
      <c r="FQ561" s="5" t="s">
        <v>206</v>
      </c>
      <c r="FR561" s="5">
        <f t="shared" si="1776"/>
        <v>0</v>
      </c>
      <c r="FS561" s="5" t="s">
        <v>206</v>
      </c>
      <c r="FT561" s="5">
        <f t="shared" si="1777"/>
        <v>0</v>
      </c>
      <c r="FU561" s="5" t="s">
        <v>206</v>
      </c>
      <c r="FV561" s="5">
        <f t="shared" si="1778"/>
        <v>0</v>
      </c>
      <c r="FW561" s="5" t="s">
        <v>206</v>
      </c>
      <c r="FX561" s="5">
        <f t="shared" si="1779"/>
        <v>0</v>
      </c>
      <c r="FY561" s="5" t="s">
        <v>206</v>
      </c>
      <c r="FZ561" s="5">
        <f t="shared" si="1780"/>
        <v>0</v>
      </c>
      <c r="GA561" s="5" t="s">
        <v>206</v>
      </c>
      <c r="GB561" s="5">
        <f t="shared" si="1781"/>
        <v>0</v>
      </c>
      <c r="GC561" s="5" t="s">
        <v>206</v>
      </c>
      <c r="GD561" s="5">
        <f t="shared" si="1782"/>
        <v>0</v>
      </c>
      <c r="GE561" s="5">
        <f t="shared" si="1783"/>
        <v>0</v>
      </c>
      <c r="GF561" s="5" t="str">
        <f t="shared" si="1784"/>
        <v>Nivel de riesgo bajo</v>
      </c>
      <c r="GG561" s="5" t="s">
        <v>255</v>
      </c>
      <c r="GH561" s="5" t="s">
        <v>255</v>
      </c>
      <c r="GI561" s="5" t="s">
        <v>255</v>
      </c>
      <c r="GJ561" s="5" t="s">
        <v>266</v>
      </c>
      <c r="GK561" s="5" t="s">
        <v>233</v>
      </c>
      <c r="GL561" s="5" t="s">
        <v>255</v>
      </c>
      <c r="GM561" s="5" t="s">
        <v>255</v>
      </c>
      <c r="GN561" s="5" t="s">
        <v>234</v>
      </c>
      <c r="GO561" s="5" t="s">
        <v>234</v>
      </c>
      <c r="GP561" s="5" t="s">
        <v>234</v>
      </c>
      <c r="GQ561" s="5" t="s">
        <v>234</v>
      </c>
      <c r="GR561" s="5" t="s">
        <v>234</v>
      </c>
      <c r="GS561" s="5" t="s">
        <v>234</v>
      </c>
      <c r="GT561" s="5" t="s">
        <v>234</v>
      </c>
      <c r="GU561" s="5" t="s">
        <v>924</v>
      </c>
      <c r="GV561" s="5" t="str">
        <f>TEXT("6292212746119559949","0")</f>
        <v>6292212746119550000</v>
      </c>
    </row>
    <row r="562" spans="1:204" ht="15.75" customHeight="1" x14ac:dyDescent="0.15">
      <c r="A562" s="1">
        <f t="shared" si="1734"/>
        <v>562</v>
      </c>
      <c r="B562" s="4">
        <v>45863.239953703705</v>
      </c>
      <c r="C562" s="5" t="s">
        <v>204</v>
      </c>
      <c r="D562" s="5" t="s">
        <v>206</v>
      </c>
      <c r="F562" s="5" t="s">
        <v>206</v>
      </c>
      <c r="G562" s="5" t="s">
        <v>206</v>
      </c>
      <c r="H562" s="5" t="s">
        <v>206</v>
      </c>
      <c r="L562" s="5" t="s">
        <v>236</v>
      </c>
      <c r="O562" s="5" t="s">
        <v>209</v>
      </c>
      <c r="S562" s="5" t="s">
        <v>208</v>
      </c>
      <c r="X562" s="5" t="s">
        <v>208</v>
      </c>
      <c r="AE562" s="5" t="s">
        <v>237</v>
      </c>
      <c r="AH562" s="5" t="s">
        <v>275</v>
      </c>
      <c r="AI562" s="5">
        <v>2008</v>
      </c>
      <c r="AJ562" s="5" t="s">
        <v>238</v>
      </c>
      <c r="AK562" s="5" t="str">
        <f t="shared" si="1735"/>
        <v>Trabajadora por cuenta propia</v>
      </c>
      <c r="AL562" s="5" t="s">
        <v>239</v>
      </c>
      <c r="AP562" s="5" t="s">
        <v>284</v>
      </c>
      <c r="AR562" s="5" t="s">
        <v>301</v>
      </c>
      <c r="AS562" s="5" t="s">
        <v>301</v>
      </c>
      <c r="AT562" s="5" t="s">
        <v>241</v>
      </c>
      <c r="AU562" s="5" t="s">
        <v>241</v>
      </c>
      <c r="AV562" s="5" t="s">
        <v>285</v>
      </c>
      <c r="AW562" s="5" t="s">
        <v>204</v>
      </c>
      <c r="AX562" s="5" t="s">
        <v>204</v>
      </c>
      <c r="AY562" s="5" t="s">
        <v>339</v>
      </c>
      <c r="AZ562" s="5" t="s">
        <v>204</v>
      </c>
      <c r="BA562" s="5" t="s">
        <v>263</v>
      </c>
      <c r="BF562" s="5" t="s">
        <v>204</v>
      </c>
      <c r="BG562" s="5" t="s">
        <v>215</v>
      </c>
      <c r="BH562" s="5" t="s">
        <v>264</v>
      </c>
      <c r="BI562" s="5" t="s">
        <v>242</v>
      </c>
      <c r="BJ562" s="5" t="s">
        <v>215</v>
      </c>
      <c r="BK562" s="5" t="s">
        <v>246</v>
      </c>
      <c r="BL562" s="5" t="s">
        <v>246</v>
      </c>
      <c r="BM562" s="5" t="s">
        <v>246</v>
      </c>
      <c r="BN562" s="5" t="s">
        <v>243</v>
      </c>
      <c r="BO562" s="5" t="s">
        <v>243</v>
      </c>
      <c r="BP562" s="5" t="s">
        <v>243</v>
      </c>
      <c r="BQ562" s="5" t="s">
        <v>246</v>
      </c>
      <c r="BR562" s="5" t="s">
        <v>246</v>
      </c>
      <c r="BS562" s="5" t="s">
        <v>247</v>
      </c>
      <c r="BT562" s="5" t="s">
        <v>247</v>
      </c>
      <c r="BU562" s="5" t="s">
        <v>248</v>
      </c>
      <c r="BV562" s="5" t="s">
        <v>247</v>
      </c>
      <c r="BW562" s="5" t="s">
        <v>232</v>
      </c>
      <c r="BX562" s="5" t="s">
        <v>232</v>
      </c>
      <c r="BY562" s="5" t="s">
        <v>232</v>
      </c>
      <c r="BZ562" s="5" t="s">
        <v>243</v>
      </c>
      <c r="CA562" s="5" t="s">
        <v>246</v>
      </c>
      <c r="CB562" s="5" t="s">
        <v>244</v>
      </c>
      <c r="CC562" s="5" t="s">
        <v>246</v>
      </c>
      <c r="CD562" s="5" t="s">
        <v>206</v>
      </c>
      <c r="CH562" s="5" t="s">
        <v>206</v>
      </c>
      <c r="CI562" s="5" t="s">
        <v>206</v>
      </c>
      <c r="CJ562" s="5">
        <v>0</v>
      </c>
      <c r="CK562" s="5" t="s">
        <v>223</v>
      </c>
      <c r="CU562" s="5" t="s">
        <v>206</v>
      </c>
      <c r="DA562" s="5" t="s">
        <v>252</v>
      </c>
      <c r="DB562" s="5">
        <f t="shared" si="1736"/>
        <v>3</v>
      </c>
      <c r="DC562" s="5" t="s">
        <v>230</v>
      </c>
      <c r="DD562" s="5">
        <f t="shared" si="1737"/>
        <v>2</v>
      </c>
      <c r="DE562" s="5" t="s">
        <v>230</v>
      </c>
      <c r="DF562" s="5">
        <f t="shared" si="1738"/>
        <v>2</v>
      </c>
      <c r="DG562" s="5" t="s">
        <v>250</v>
      </c>
      <c r="DH562" s="5">
        <f t="shared" si="1739"/>
        <v>3</v>
      </c>
      <c r="DI562" s="5" t="s">
        <v>230</v>
      </c>
      <c r="DJ562" s="5">
        <f t="shared" si="1740"/>
        <v>2</v>
      </c>
      <c r="DK562" s="5" t="s">
        <v>251</v>
      </c>
      <c r="DL562" s="5">
        <f t="shared" si="1741"/>
        <v>1</v>
      </c>
      <c r="DM562" s="5" t="s">
        <v>251</v>
      </c>
      <c r="DN562" s="5">
        <f t="shared" si="1742"/>
        <v>1</v>
      </c>
      <c r="DO562" s="5" t="s">
        <v>281</v>
      </c>
      <c r="DP562" s="5">
        <f t="shared" si="1743"/>
        <v>1</v>
      </c>
      <c r="DQ562" s="5" t="s">
        <v>281</v>
      </c>
      <c r="DR562" s="5">
        <f t="shared" si="1744"/>
        <v>1</v>
      </c>
      <c r="DS562" s="5" t="s">
        <v>281</v>
      </c>
      <c r="DT562" s="5">
        <f t="shared" si="1745"/>
        <v>1</v>
      </c>
      <c r="DU562" s="5" t="s">
        <v>281</v>
      </c>
      <c r="DV562" s="5">
        <f t="shared" si="1746"/>
        <v>1</v>
      </c>
      <c r="DW562" s="5" t="s">
        <v>281</v>
      </c>
      <c r="DX562" s="5">
        <f t="shared" si="1747"/>
        <v>1</v>
      </c>
      <c r="DY562" s="5">
        <f t="shared" si="1748"/>
        <v>19</v>
      </c>
      <c r="DZ562" s="5" t="str">
        <f t="shared" si="1749"/>
        <v>Nivel de riesgo medio</v>
      </c>
      <c r="EA562" s="5" t="s">
        <v>248</v>
      </c>
      <c r="EB562" s="5">
        <f t="shared" si="1750"/>
        <v>1</v>
      </c>
      <c r="EC562" s="5" t="s">
        <v>247</v>
      </c>
      <c r="ED562" s="5">
        <f t="shared" si="1751"/>
        <v>2</v>
      </c>
      <c r="EE562" s="5" t="s">
        <v>247</v>
      </c>
      <c r="EF562" s="5">
        <f t="shared" si="1752"/>
        <v>2</v>
      </c>
      <c r="EG562" s="5">
        <f t="shared" si="1753"/>
        <v>5</v>
      </c>
      <c r="EH562" s="5" t="str">
        <f t="shared" si="1754"/>
        <v>Nivel de riesgo alto</v>
      </c>
      <c r="EI562" s="5" t="s">
        <v>253</v>
      </c>
      <c r="EJ562" s="5">
        <f t="shared" si="1755"/>
        <v>0</v>
      </c>
      <c r="EK562" s="5" t="s">
        <v>247</v>
      </c>
      <c r="EL562" s="5">
        <f t="shared" si="1756"/>
        <v>2</v>
      </c>
      <c r="EM562" s="5" t="s">
        <v>232</v>
      </c>
      <c r="EN562" s="5">
        <f t="shared" si="1757"/>
        <v>3</v>
      </c>
      <c r="EO562" s="5">
        <f t="shared" si="1758"/>
        <v>5</v>
      </c>
      <c r="EP562" s="5" t="str">
        <f t="shared" si="1759"/>
        <v>Nivel de riesgo medio</v>
      </c>
      <c r="EQ562" s="5" t="s">
        <v>247</v>
      </c>
      <c r="ER562" s="5">
        <f t="shared" si="1760"/>
        <v>2</v>
      </c>
      <c r="ES562" s="5" t="s">
        <v>247</v>
      </c>
      <c r="ET562" s="5">
        <f t="shared" si="1761"/>
        <v>2</v>
      </c>
      <c r="EU562" s="5" t="s">
        <v>248</v>
      </c>
      <c r="EV562" s="5">
        <f t="shared" si="1762"/>
        <v>3</v>
      </c>
      <c r="EW562" s="5" t="s">
        <v>247</v>
      </c>
      <c r="EX562" s="5">
        <f t="shared" si="1763"/>
        <v>2</v>
      </c>
      <c r="EY562" s="5">
        <f t="shared" si="1764"/>
        <v>9</v>
      </c>
      <c r="EZ562" s="5" t="str">
        <f t="shared" si="1765"/>
        <v>Nivel de riesgo alto</v>
      </c>
      <c r="FA562" s="5" t="s">
        <v>247</v>
      </c>
      <c r="FB562" s="5">
        <f t="shared" si="1766"/>
        <v>2</v>
      </c>
      <c r="FC562" s="5" t="s">
        <v>247</v>
      </c>
      <c r="FD562" s="5">
        <f t="shared" si="1767"/>
        <v>2</v>
      </c>
      <c r="FE562" s="5" t="s">
        <v>248</v>
      </c>
      <c r="FF562" s="5">
        <f t="shared" si="1768"/>
        <v>1</v>
      </c>
      <c r="FG562" s="5">
        <f t="shared" si="1769"/>
        <v>5</v>
      </c>
      <c r="FH562" s="5" t="str">
        <f t="shared" si="1770"/>
        <v>Nivel de riesgo medio</v>
      </c>
      <c r="FI562" s="5" t="s">
        <v>248</v>
      </c>
      <c r="FJ562" s="5">
        <f t="shared" si="1771"/>
        <v>1</v>
      </c>
      <c r="FK562" s="5" t="s">
        <v>248</v>
      </c>
      <c r="FL562" s="5">
        <f t="shared" si="1772"/>
        <v>1</v>
      </c>
      <c r="FM562" s="5" t="s">
        <v>248</v>
      </c>
      <c r="FN562" s="5">
        <f t="shared" si="1773"/>
        <v>1</v>
      </c>
      <c r="FO562" s="5">
        <f t="shared" si="1774"/>
        <v>3</v>
      </c>
      <c r="FP562" s="5" t="str">
        <f t="shared" si="1775"/>
        <v>Nivel de riesgo medio</v>
      </c>
      <c r="FQ562" s="5" t="s">
        <v>206</v>
      </c>
      <c r="FR562" s="5">
        <f t="shared" si="1776"/>
        <v>0</v>
      </c>
      <c r="FS562" s="5" t="s">
        <v>206</v>
      </c>
      <c r="FT562" s="5">
        <f t="shared" si="1777"/>
        <v>0</v>
      </c>
      <c r="FU562" s="5" t="s">
        <v>206</v>
      </c>
      <c r="FV562" s="5">
        <f t="shared" si="1778"/>
        <v>0</v>
      </c>
      <c r="FW562" s="5" t="s">
        <v>206</v>
      </c>
      <c r="FX562" s="5">
        <f t="shared" si="1779"/>
        <v>0</v>
      </c>
      <c r="FY562" s="5" t="s">
        <v>206</v>
      </c>
      <c r="FZ562" s="5">
        <f t="shared" si="1780"/>
        <v>0</v>
      </c>
      <c r="GA562" s="5" t="s">
        <v>206</v>
      </c>
      <c r="GB562" s="5">
        <f t="shared" si="1781"/>
        <v>0</v>
      </c>
      <c r="GC562" s="5" t="s">
        <v>206</v>
      </c>
      <c r="GD562" s="5">
        <f t="shared" si="1782"/>
        <v>0</v>
      </c>
      <c r="GE562" s="5">
        <f t="shared" si="1783"/>
        <v>0</v>
      </c>
      <c r="GF562" s="5" t="str">
        <f t="shared" si="1784"/>
        <v>Nivel de riesgo bajo</v>
      </c>
      <c r="GG562" s="5" t="s">
        <v>255</v>
      </c>
      <c r="GH562" s="5" t="s">
        <v>255</v>
      </c>
      <c r="GI562" s="5" t="s">
        <v>255</v>
      </c>
      <c r="GJ562" s="5" t="s">
        <v>255</v>
      </c>
      <c r="GK562" s="5" t="s">
        <v>233</v>
      </c>
      <c r="GL562" s="5" t="s">
        <v>233</v>
      </c>
      <c r="GM562" s="5" t="s">
        <v>233</v>
      </c>
      <c r="GN562" s="5" t="s">
        <v>256</v>
      </c>
      <c r="GO562" s="5" t="s">
        <v>256</v>
      </c>
      <c r="GP562" s="5" t="s">
        <v>256</v>
      </c>
      <c r="GQ562" s="5" t="s">
        <v>243</v>
      </c>
      <c r="GR562" s="5" t="s">
        <v>243</v>
      </c>
      <c r="GS562" s="5" t="s">
        <v>243</v>
      </c>
      <c r="GT562" s="5" t="s">
        <v>256</v>
      </c>
      <c r="GU562" s="5" t="s">
        <v>925</v>
      </c>
      <c r="GV562" s="5" t="str">
        <f>TEXT("6292459327919630887","0")</f>
        <v>6292459327919630000</v>
      </c>
    </row>
    <row r="563" spans="1:204" ht="15.75" customHeight="1" x14ac:dyDescent="0.15">
      <c r="A563" s="1">
        <f t="shared" si="1734"/>
        <v>563</v>
      </c>
      <c r="B563" s="4">
        <v>45863.379270833335</v>
      </c>
      <c r="C563" s="5" t="s">
        <v>204</v>
      </c>
      <c r="D563" s="5" t="s">
        <v>206</v>
      </c>
      <c r="F563" s="5" t="s">
        <v>206</v>
      </c>
      <c r="G563" s="5" t="s">
        <v>204</v>
      </c>
      <c r="H563" s="5" t="s">
        <v>206</v>
      </c>
      <c r="J563" s="5" t="s">
        <v>209</v>
      </c>
      <c r="P563" s="5" t="s">
        <v>237</v>
      </c>
      <c r="S563" s="5" t="s">
        <v>208</v>
      </c>
      <c r="X563" s="5" t="s">
        <v>208</v>
      </c>
      <c r="AC563" s="5" t="s">
        <v>208</v>
      </c>
      <c r="AH563" s="5" t="s">
        <v>259</v>
      </c>
      <c r="AI563" s="5">
        <v>2023</v>
      </c>
      <c r="AJ563" s="5" t="s">
        <v>330</v>
      </c>
      <c r="AK563" s="5" t="str">
        <f t="shared" si="1735"/>
        <v>Asalariada</v>
      </c>
      <c r="AQ563" s="5" t="s">
        <v>204</v>
      </c>
      <c r="AR563" s="5" t="s">
        <v>301</v>
      </c>
      <c r="AS563" s="5" t="s">
        <v>241</v>
      </c>
      <c r="AT563" s="5" t="s">
        <v>261</v>
      </c>
      <c r="AU563" s="5" t="s">
        <v>301</v>
      </c>
      <c r="AV563" s="5" t="s">
        <v>269</v>
      </c>
      <c r="AW563" s="5" t="s">
        <v>204</v>
      </c>
      <c r="AX563" s="5" t="s">
        <v>204</v>
      </c>
      <c r="AY563" s="5" t="s">
        <v>406</v>
      </c>
      <c r="AZ563" s="5" t="s">
        <v>204</v>
      </c>
      <c r="BA563" s="5" t="s">
        <v>263</v>
      </c>
      <c r="BF563" s="5" t="s">
        <v>204</v>
      </c>
      <c r="BG563" s="5" t="s">
        <v>242</v>
      </c>
      <c r="BH563" s="5" t="s">
        <v>242</v>
      </c>
      <c r="BI563" s="5" t="s">
        <v>207</v>
      </c>
      <c r="BJ563" s="5" t="s">
        <v>207</v>
      </c>
      <c r="BK563" s="5" t="s">
        <v>216</v>
      </c>
      <c r="BL563" s="5" t="s">
        <v>216</v>
      </c>
      <c r="BM563" s="5" t="s">
        <v>216</v>
      </c>
      <c r="BN563" s="5" t="s">
        <v>216</v>
      </c>
      <c r="BO563" s="5" t="s">
        <v>216</v>
      </c>
      <c r="BP563" s="5" t="s">
        <v>216</v>
      </c>
      <c r="BQ563" s="5" t="s">
        <v>216</v>
      </c>
      <c r="BR563" s="5" t="s">
        <v>216</v>
      </c>
      <c r="BS563" s="5" t="s">
        <v>217</v>
      </c>
      <c r="BT563" s="5" t="s">
        <v>217</v>
      </c>
      <c r="BU563" s="5" t="s">
        <v>232</v>
      </c>
      <c r="BV563" s="5" t="s">
        <v>217</v>
      </c>
      <c r="BW563" s="5" t="s">
        <v>247</v>
      </c>
      <c r="BX563" s="5" t="s">
        <v>247</v>
      </c>
      <c r="BY563" s="5" t="s">
        <v>247</v>
      </c>
      <c r="BZ563" s="5" t="s">
        <v>216</v>
      </c>
      <c r="CA563" s="5" t="s">
        <v>216</v>
      </c>
      <c r="CB563" s="5" t="s">
        <v>216</v>
      </c>
      <c r="CC563" s="5" t="s">
        <v>216</v>
      </c>
      <c r="CD563" s="5" t="s">
        <v>206</v>
      </c>
      <c r="CH563" s="5" t="s">
        <v>221</v>
      </c>
      <c r="CI563" s="5" t="s">
        <v>307</v>
      </c>
      <c r="CJ563" s="5">
        <v>3</v>
      </c>
      <c r="CK563" s="5" t="s">
        <v>223</v>
      </c>
      <c r="CU563" s="5" t="s">
        <v>206</v>
      </c>
      <c r="DA563" s="5" t="s">
        <v>231</v>
      </c>
      <c r="DB563" s="5">
        <f t="shared" si="1736"/>
        <v>2</v>
      </c>
      <c r="DC563" s="5" t="s">
        <v>251</v>
      </c>
      <c r="DD563" s="5">
        <f t="shared" si="1737"/>
        <v>1</v>
      </c>
      <c r="DE563" s="5" t="s">
        <v>251</v>
      </c>
      <c r="DF563" s="5">
        <f t="shared" si="1738"/>
        <v>1</v>
      </c>
      <c r="DG563" s="5" t="s">
        <v>251</v>
      </c>
      <c r="DH563" s="5">
        <f t="shared" si="1739"/>
        <v>1</v>
      </c>
      <c r="DI563" s="5" t="s">
        <v>251</v>
      </c>
      <c r="DJ563" s="5">
        <f t="shared" si="1740"/>
        <v>1</v>
      </c>
      <c r="DK563" s="5" t="s">
        <v>251</v>
      </c>
      <c r="DL563" s="5">
        <f t="shared" si="1741"/>
        <v>1</v>
      </c>
      <c r="DM563" s="5" t="s">
        <v>251</v>
      </c>
      <c r="DN563" s="5">
        <f t="shared" si="1742"/>
        <v>1</v>
      </c>
      <c r="DO563" s="5" t="s">
        <v>281</v>
      </c>
      <c r="DP563" s="5">
        <f t="shared" si="1743"/>
        <v>1</v>
      </c>
      <c r="DQ563" s="5" t="s">
        <v>281</v>
      </c>
      <c r="DR563" s="5">
        <f t="shared" si="1744"/>
        <v>1</v>
      </c>
      <c r="DS563" s="5" t="s">
        <v>281</v>
      </c>
      <c r="DT563" s="5">
        <f t="shared" si="1745"/>
        <v>1</v>
      </c>
      <c r="DU563" s="5" t="s">
        <v>281</v>
      </c>
      <c r="DV563" s="5">
        <f t="shared" si="1746"/>
        <v>1</v>
      </c>
      <c r="DW563" s="5" t="s">
        <v>281</v>
      </c>
      <c r="DX563" s="5">
        <f t="shared" si="1747"/>
        <v>1</v>
      </c>
      <c r="DY563" s="5">
        <f t="shared" si="1748"/>
        <v>13</v>
      </c>
      <c r="DZ563" s="5" t="str">
        <f t="shared" si="1749"/>
        <v>Nivel de riesgo bajo</v>
      </c>
      <c r="EA563" s="5" t="s">
        <v>253</v>
      </c>
      <c r="EB563" s="5">
        <f t="shared" si="1750"/>
        <v>0</v>
      </c>
      <c r="EC563" s="5" t="s">
        <v>248</v>
      </c>
      <c r="ED563" s="5">
        <f t="shared" si="1751"/>
        <v>1</v>
      </c>
      <c r="EE563" s="5" t="s">
        <v>253</v>
      </c>
      <c r="EF563" s="5">
        <f t="shared" si="1752"/>
        <v>0</v>
      </c>
      <c r="EG563" s="5">
        <f t="shared" si="1753"/>
        <v>1</v>
      </c>
      <c r="EH563" s="5" t="str">
        <f t="shared" si="1754"/>
        <v>Nivel de riesgo bajo</v>
      </c>
      <c r="EI563" s="5" t="s">
        <v>254</v>
      </c>
      <c r="EJ563" s="5">
        <f t="shared" si="1755"/>
        <v>4</v>
      </c>
      <c r="EK563" s="5" t="s">
        <v>247</v>
      </c>
      <c r="EL563" s="5">
        <f t="shared" si="1756"/>
        <v>2</v>
      </c>
      <c r="EM563" s="5" t="s">
        <v>254</v>
      </c>
      <c r="EN563" s="5">
        <f t="shared" si="1757"/>
        <v>4</v>
      </c>
      <c r="EO563" s="5">
        <f t="shared" si="1758"/>
        <v>10</v>
      </c>
      <c r="EP563" s="5" t="str">
        <f t="shared" si="1759"/>
        <v>Nivel de riesgo alto</v>
      </c>
      <c r="EQ563" s="5" t="s">
        <v>232</v>
      </c>
      <c r="ER563" s="5">
        <f t="shared" si="1760"/>
        <v>1</v>
      </c>
      <c r="ES563" s="5" t="s">
        <v>248</v>
      </c>
      <c r="ET563" s="5">
        <f t="shared" si="1761"/>
        <v>3</v>
      </c>
      <c r="EU563" s="5" t="s">
        <v>248</v>
      </c>
      <c r="EV563" s="5">
        <f t="shared" si="1762"/>
        <v>3</v>
      </c>
      <c r="EW563" s="5" t="s">
        <v>232</v>
      </c>
      <c r="EX563" s="5">
        <f t="shared" si="1763"/>
        <v>1</v>
      </c>
      <c r="EY563" s="5">
        <f t="shared" si="1764"/>
        <v>8</v>
      </c>
      <c r="EZ563" s="5" t="str">
        <f t="shared" si="1765"/>
        <v>Nivel de riesgo alto</v>
      </c>
      <c r="FA563" s="5" t="s">
        <v>232</v>
      </c>
      <c r="FB563" s="5">
        <f t="shared" si="1766"/>
        <v>3</v>
      </c>
      <c r="FC563" s="5" t="s">
        <v>232</v>
      </c>
      <c r="FD563" s="5">
        <f t="shared" si="1767"/>
        <v>3</v>
      </c>
      <c r="FE563" s="5" t="s">
        <v>232</v>
      </c>
      <c r="FF563" s="5">
        <f t="shared" si="1768"/>
        <v>3</v>
      </c>
      <c r="FG563" s="5">
        <f t="shared" si="1769"/>
        <v>9</v>
      </c>
      <c r="FH563" s="5" t="str">
        <f t="shared" si="1770"/>
        <v>Nivel de riesgo alto</v>
      </c>
      <c r="FI563" s="5" t="s">
        <v>254</v>
      </c>
      <c r="FJ563" s="5">
        <f t="shared" si="1771"/>
        <v>4</v>
      </c>
      <c r="FK563" s="5" t="s">
        <v>254</v>
      </c>
      <c r="FL563" s="5">
        <f t="shared" si="1772"/>
        <v>4</v>
      </c>
      <c r="FM563" s="5" t="s">
        <v>247</v>
      </c>
      <c r="FN563" s="5">
        <f t="shared" si="1773"/>
        <v>2</v>
      </c>
      <c r="FO563" s="5">
        <f t="shared" si="1774"/>
        <v>10</v>
      </c>
      <c r="FP563" s="5" t="str">
        <f t="shared" si="1775"/>
        <v>Nivel de riesgo alto</v>
      </c>
      <c r="FQ563" s="5" t="s">
        <v>265</v>
      </c>
      <c r="FR563" s="5">
        <f t="shared" si="1776"/>
        <v>1</v>
      </c>
      <c r="FS563" s="5" t="s">
        <v>265</v>
      </c>
      <c r="FT563" s="5">
        <f t="shared" si="1777"/>
        <v>1</v>
      </c>
      <c r="FU563" s="5" t="s">
        <v>325</v>
      </c>
      <c r="FV563" s="5">
        <f t="shared" si="1778"/>
        <v>2</v>
      </c>
      <c r="FW563" s="5" t="s">
        <v>206</v>
      </c>
      <c r="FX563" s="5">
        <f t="shared" si="1779"/>
        <v>0</v>
      </c>
      <c r="FY563" s="5" t="s">
        <v>206</v>
      </c>
      <c r="FZ563" s="5">
        <f t="shared" si="1780"/>
        <v>0</v>
      </c>
      <c r="GA563" s="5" t="s">
        <v>206</v>
      </c>
      <c r="GB563" s="5">
        <f t="shared" si="1781"/>
        <v>0</v>
      </c>
      <c r="GC563" s="5" t="s">
        <v>265</v>
      </c>
      <c r="GD563" s="5">
        <f t="shared" si="1782"/>
        <v>1</v>
      </c>
      <c r="GE563" s="5">
        <f t="shared" si="1783"/>
        <v>5</v>
      </c>
      <c r="GF563" s="5" t="str">
        <f t="shared" si="1784"/>
        <v>Nivel de riesgo medio</v>
      </c>
      <c r="GG563" s="5" t="s">
        <v>255</v>
      </c>
      <c r="GH563" s="5" t="s">
        <v>255</v>
      </c>
      <c r="GI563" s="5" t="s">
        <v>255</v>
      </c>
      <c r="GJ563" s="5" t="s">
        <v>255</v>
      </c>
      <c r="GK563" s="5" t="s">
        <v>233</v>
      </c>
      <c r="GL563" s="5" t="s">
        <v>255</v>
      </c>
      <c r="GM563" s="5" t="s">
        <v>255</v>
      </c>
      <c r="GN563" s="5" t="s">
        <v>256</v>
      </c>
      <c r="GO563" s="5" t="s">
        <v>256</v>
      </c>
      <c r="GP563" s="5" t="s">
        <v>256</v>
      </c>
      <c r="GQ563" s="5" t="s">
        <v>256</v>
      </c>
      <c r="GR563" s="5" t="s">
        <v>256</v>
      </c>
      <c r="GS563" s="5" t="s">
        <v>256</v>
      </c>
      <c r="GT563" s="5" t="s">
        <v>256</v>
      </c>
      <c r="GU563" s="5" t="s">
        <v>926</v>
      </c>
      <c r="GV563" s="5" t="str">
        <f>TEXT("6292579696218708128","0")</f>
        <v>6292579696218700000</v>
      </c>
    </row>
    <row r="564" spans="1:204" ht="15.75" customHeight="1" x14ac:dyDescent="0.15">
      <c r="A564" s="1">
        <f t="shared" si="1734"/>
        <v>564</v>
      </c>
      <c r="B564" s="4">
        <v>45863.468888888892</v>
      </c>
      <c r="C564" s="5" t="s">
        <v>204</v>
      </c>
      <c r="D564" s="5" t="s">
        <v>204</v>
      </c>
      <c r="E564" s="5" t="s">
        <v>335</v>
      </c>
      <c r="F564" s="5" t="s">
        <v>206</v>
      </c>
      <c r="G564" s="5" t="s">
        <v>204</v>
      </c>
      <c r="H564" s="5" t="s">
        <v>206</v>
      </c>
      <c r="K564" s="5" t="s">
        <v>237</v>
      </c>
      <c r="O564" s="5" t="s">
        <v>209</v>
      </c>
      <c r="T564" s="5" t="s">
        <v>209</v>
      </c>
      <c r="Y564" s="5" t="s">
        <v>209</v>
      </c>
      <c r="AD564" s="5" t="s">
        <v>209</v>
      </c>
      <c r="AH564" s="5" t="s">
        <v>210</v>
      </c>
      <c r="AI564" s="5">
        <v>2018</v>
      </c>
      <c r="AJ564" s="5" t="s">
        <v>238</v>
      </c>
      <c r="AK564" s="5" t="str">
        <f t="shared" si="1735"/>
        <v>Trabajadora por cuenta propia</v>
      </c>
      <c r="AL564" s="5" t="s">
        <v>239</v>
      </c>
      <c r="AP564" s="5" t="s">
        <v>240</v>
      </c>
      <c r="AR564" s="5" t="s">
        <v>241</v>
      </c>
      <c r="AS564" s="5" t="s">
        <v>241</v>
      </c>
      <c r="AT564" s="5" t="s">
        <v>241</v>
      </c>
      <c r="AU564" s="5" t="s">
        <v>241</v>
      </c>
      <c r="AV564" s="5" t="s">
        <v>269</v>
      </c>
      <c r="AW564" s="5" t="s">
        <v>204</v>
      </c>
      <c r="AX564" s="5" t="s">
        <v>204</v>
      </c>
      <c r="AY564" s="5" t="s">
        <v>339</v>
      </c>
      <c r="AZ564" s="5" t="s">
        <v>204</v>
      </c>
      <c r="BA564" s="5" t="s">
        <v>263</v>
      </c>
      <c r="BF564" s="5" t="s">
        <v>204</v>
      </c>
      <c r="BG564" s="5" t="s">
        <v>278</v>
      </c>
      <c r="BH564" s="5" t="s">
        <v>278</v>
      </c>
      <c r="BI564" s="5" t="s">
        <v>271</v>
      </c>
      <c r="BJ564" s="5" t="s">
        <v>271</v>
      </c>
      <c r="BK564" s="5" t="s">
        <v>246</v>
      </c>
      <c r="BL564" s="5" t="s">
        <v>246</v>
      </c>
      <c r="BM564" s="5" t="s">
        <v>246</v>
      </c>
      <c r="BN564" s="5" t="s">
        <v>246</v>
      </c>
      <c r="BO564" s="5" t="s">
        <v>246</v>
      </c>
      <c r="BP564" s="5" t="s">
        <v>246</v>
      </c>
      <c r="BQ564" s="5" t="s">
        <v>246</v>
      </c>
      <c r="BR564" s="5" t="s">
        <v>246</v>
      </c>
      <c r="BS564" s="5" t="s">
        <v>232</v>
      </c>
      <c r="BT564" s="5" t="s">
        <v>232</v>
      </c>
      <c r="BU564" s="5" t="s">
        <v>247</v>
      </c>
      <c r="BV564" s="5" t="s">
        <v>247</v>
      </c>
      <c r="BW564" s="5" t="s">
        <v>247</v>
      </c>
      <c r="BX564" s="5" t="s">
        <v>247</v>
      </c>
      <c r="BY564" s="5" t="s">
        <v>247</v>
      </c>
      <c r="BZ564" s="5" t="s">
        <v>243</v>
      </c>
      <c r="CA564" s="5" t="s">
        <v>243</v>
      </c>
      <c r="CB564" s="5" t="s">
        <v>243</v>
      </c>
      <c r="CC564" s="5" t="s">
        <v>245</v>
      </c>
      <c r="CD564" s="5" t="s">
        <v>204</v>
      </c>
      <c r="CE564" s="5" t="s">
        <v>286</v>
      </c>
      <c r="CF564" s="5" t="s">
        <v>279</v>
      </c>
      <c r="CG564" s="5" t="s">
        <v>206</v>
      </c>
      <c r="CH564" s="5" t="s">
        <v>206</v>
      </c>
      <c r="CI564" s="5" t="s">
        <v>206</v>
      </c>
      <c r="CJ564" s="5">
        <v>0</v>
      </c>
      <c r="CK564" s="5" t="s">
        <v>223</v>
      </c>
      <c r="CU564" s="5" t="s">
        <v>206</v>
      </c>
      <c r="DA564" s="5" t="s">
        <v>231</v>
      </c>
      <c r="DB564" s="5">
        <f t="shared" si="1736"/>
        <v>2</v>
      </c>
      <c r="DC564" s="5" t="s">
        <v>250</v>
      </c>
      <c r="DD564" s="5">
        <f t="shared" si="1737"/>
        <v>3</v>
      </c>
      <c r="DE564" s="5" t="s">
        <v>230</v>
      </c>
      <c r="DF564" s="5">
        <f t="shared" si="1738"/>
        <v>2</v>
      </c>
      <c r="DG564" s="5" t="s">
        <v>230</v>
      </c>
      <c r="DH564" s="5">
        <f t="shared" si="1739"/>
        <v>2</v>
      </c>
      <c r="DI564" s="5" t="s">
        <v>230</v>
      </c>
      <c r="DJ564" s="5">
        <f t="shared" si="1740"/>
        <v>2</v>
      </c>
      <c r="DK564" s="5" t="s">
        <v>251</v>
      </c>
      <c r="DL564" s="5">
        <f t="shared" si="1741"/>
        <v>1</v>
      </c>
      <c r="DM564" s="5" t="s">
        <v>251</v>
      </c>
      <c r="DN564" s="5">
        <f t="shared" si="1742"/>
        <v>1</v>
      </c>
      <c r="DO564" s="5" t="s">
        <v>281</v>
      </c>
      <c r="DP564" s="5">
        <f t="shared" si="1743"/>
        <v>1</v>
      </c>
      <c r="DQ564" s="5" t="s">
        <v>231</v>
      </c>
      <c r="DR564" s="5">
        <f t="shared" si="1744"/>
        <v>2</v>
      </c>
      <c r="DS564" s="5" t="s">
        <v>231</v>
      </c>
      <c r="DT564" s="5">
        <f t="shared" si="1745"/>
        <v>2</v>
      </c>
      <c r="DU564" s="5" t="s">
        <v>281</v>
      </c>
      <c r="DV564" s="5">
        <f t="shared" si="1746"/>
        <v>1</v>
      </c>
      <c r="DW564" s="5" t="s">
        <v>231</v>
      </c>
      <c r="DX564" s="5">
        <f t="shared" si="1747"/>
        <v>2</v>
      </c>
      <c r="DY564" s="5">
        <f t="shared" si="1748"/>
        <v>21</v>
      </c>
      <c r="DZ564" s="5" t="str">
        <f t="shared" si="1749"/>
        <v>Nivel de riesgo medio</v>
      </c>
      <c r="EA564" s="5" t="s">
        <v>247</v>
      </c>
      <c r="EB564" s="5">
        <f t="shared" si="1750"/>
        <v>2</v>
      </c>
      <c r="EC564" s="5" t="s">
        <v>247</v>
      </c>
      <c r="ED564" s="5">
        <f t="shared" si="1751"/>
        <v>2</v>
      </c>
      <c r="EE564" s="5" t="s">
        <v>248</v>
      </c>
      <c r="EF564" s="5">
        <f t="shared" si="1752"/>
        <v>1</v>
      </c>
      <c r="EG564" s="5">
        <f t="shared" si="1753"/>
        <v>5</v>
      </c>
      <c r="EH564" s="5" t="str">
        <f t="shared" si="1754"/>
        <v>Nivel de riesgo alto</v>
      </c>
      <c r="EI564" s="5" t="s">
        <v>248</v>
      </c>
      <c r="EJ564" s="5">
        <f t="shared" si="1755"/>
        <v>1</v>
      </c>
      <c r="EK564" s="5" t="s">
        <v>248</v>
      </c>
      <c r="EL564" s="5">
        <f t="shared" si="1756"/>
        <v>1</v>
      </c>
      <c r="EM564" s="5" t="s">
        <v>232</v>
      </c>
      <c r="EN564" s="5">
        <f t="shared" si="1757"/>
        <v>3</v>
      </c>
      <c r="EO564" s="5">
        <f t="shared" si="1758"/>
        <v>5</v>
      </c>
      <c r="EP564" s="5" t="str">
        <f t="shared" si="1759"/>
        <v>Nivel de riesgo medio</v>
      </c>
      <c r="EQ564" s="5" t="s">
        <v>247</v>
      </c>
      <c r="ER564" s="5">
        <f t="shared" si="1760"/>
        <v>2</v>
      </c>
      <c r="ES564" s="5" t="s">
        <v>232</v>
      </c>
      <c r="ET564" s="5">
        <f t="shared" si="1761"/>
        <v>1</v>
      </c>
      <c r="EU564" s="5" t="s">
        <v>232</v>
      </c>
      <c r="EV564" s="5">
        <f t="shared" si="1762"/>
        <v>1</v>
      </c>
      <c r="EW564" s="5" t="s">
        <v>232</v>
      </c>
      <c r="EX564" s="5">
        <f t="shared" si="1763"/>
        <v>1</v>
      </c>
      <c r="EY564" s="5">
        <f t="shared" si="1764"/>
        <v>5</v>
      </c>
      <c r="EZ564" s="5" t="str">
        <f t="shared" si="1765"/>
        <v>Nivel de riesgo alto</v>
      </c>
      <c r="FA564" s="5" t="s">
        <v>247</v>
      </c>
      <c r="FB564" s="5">
        <f t="shared" si="1766"/>
        <v>2</v>
      </c>
      <c r="FC564" s="5" t="s">
        <v>248</v>
      </c>
      <c r="FD564" s="5">
        <f t="shared" si="1767"/>
        <v>1</v>
      </c>
      <c r="FE564" s="5" t="s">
        <v>248</v>
      </c>
      <c r="FF564" s="5">
        <f t="shared" si="1768"/>
        <v>1</v>
      </c>
      <c r="FG564" s="5">
        <f t="shared" si="1769"/>
        <v>4</v>
      </c>
      <c r="FH564" s="5" t="str">
        <f t="shared" si="1770"/>
        <v>Nivel de riesgo medio</v>
      </c>
      <c r="FI564" s="5" t="s">
        <v>247</v>
      </c>
      <c r="FJ564" s="5">
        <f t="shared" si="1771"/>
        <v>2</v>
      </c>
      <c r="FK564" s="5" t="s">
        <v>247</v>
      </c>
      <c r="FL564" s="5">
        <f t="shared" si="1772"/>
        <v>2</v>
      </c>
      <c r="FM564" s="5" t="s">
        <v>247</v>
      </c>
      <c r="FN564" s="5">
        <f t="shared" si="1773"/>
        <v>2</v>
      </c>
      <c r="FO564" s="5">
        <f t="shared" si="1774"/>
        <v>6</v>
      </c>
      <c r="FP564" s="5" t="str">
        <f t="shared" si="1775"/>
        <v>Nivel de riesgo alto</v>
      </c>
      <c r="FQ564" s="5" t="s">
        <v>325</v>
      </c>
      <c r="FR564" s="5">
        <f t="shared" si="1776"/>
        <v>2</v>
      </c>
      <c r="FS564" s="5" t="s">
        <v>265</v>
      </c>
      <c r="FT564" s="5">
        <f t="shared" si="1777"/>
        <v>1</v>
      </c>
      <c r="FU564" s="5" t="s">
        <v>325</v>
      </c>
      <c r="FV564" s="5">
        <f t="shared" si="1778"/>
        <v>2</v>
      </c>
      <c r="FW564" s="5" t="s">
        <v>265</v>
      </c>
      <c r="FX564" s="5">
        <f t="shared" si="1779"/>
        <v>1</v>
      </c>
      <c r="FY564" s="5" t="s">
        <v>325</v>
      </c>
      <c r="FZ564" s="5">
        <f t="shared" si="1780"/>
        <v>2</v>
      </c>
      <c r="GA564" s="5" t="s">
        <v>361</v>
      </c>
      <c r="GB564" s="5">
        <f t="shared" si="1781"/>
        <v>3</v>
      </c>
      <c r="GC564" s="5" t="s">
        <v>325</v>
      </c>
      <c r="GD564" s="5">
        <f t="shared" si="1782"/>
        <v>2</v>
      </c>
      <c r="GE564" s="5">
        <f t="shared" si="1783"/>
        <v>13</v>
      </c>
      <c r="GF564" s="5" t="str">
        <f t="shared" si="1784"/>
        <v>Nivel de riesgo medio</v>
      </c>
      <c r="GG564" s="5" t="s">
        <v>298</v>
      </c>
      <c r="GH564" s="5" t="s">
        <v>266</v>
      </c>
      <c r="GI564" s="5" t="s">
        <v>273</v>
      </c>
      <c r="GJ564" s="5" t="s">
        <v>266</v>
      </c>
      <c r="GK564" s="5" t="s">
        <v>273</v>
      </c>
      <c r="GL564" s="5" t="s">
        <v>298</v>
      </c>
      <c r="GM564" s="5" t="s">
        <v>273</v>
      </c>
      <c r="GN564" s="5" t="s">
        <v>244</v>
      </c>
      <c r="GO564" s="5" t="s">
        <v>244</v>
      </c>
      <c r="GP564" s="5" t="s">
        <v>244</v>
      </c>
      <c r="GQ564" s="5" t="s">
        <v>257</v>
      </c>
      <c r="GR564" s="5" t="s">
        <v>244</v>
      </c>
      <c r="GS564" s="5" t="s">
        <v>257</v>
      </c>
      <c r="GT564" s="5" t="s">
        <v>244</v>
      </c>
      <c r="GU564" s="5" t="s">
        <v>927</v>
      </c>
      <c r="GV564" s="5" t="str">
        <f>TEXT("6292657128713065800","0")</f>
        <v>6292657128713060000</v>
      </c>
    </row>
    <row r="565" spans="1:204" ht="15.75" customHeight="1" x14ac:dyDescent="0.15">
      <c r="A565" s="1">
        <f t="shared" si="1734"/>
        <v>565</v>
      </c>
      <c r="B565" s="4">
        <v>45863.65283564815</v>
      </c>
      <c r="C565" s="5" t="s">
        <v>204</v>
      </c>
      <c r="D565" s="5" t="s">
        <v>206</v>
      </c>
      <c r="F565" s="5" t="s">
        <v>206</v>
      </c>
      <c r="G565" s="5" t="s">
        <v>206</v>
      </c>
      <c r="H565" s="5" t="s">
        <v>206</v>
      </c>
      <c r="K565" s="5" t="s">
        <v>237</v>
      </c>
      <c r="N565" s="5" t="s">
        <v>208</v>
      </c>
      <c r="S565" s="5" t="s">
        <v>208</v>
      </c>
      <c r="X565" s="5" t="s">
        <v>208</v>
      </c>
      <c r="AD565" s="5" t="s">
        <v>209</v>
      </c>
      <c r="AH565" s="5" t="s">
        <v>210</v>
      </c>
      <c r="AI565" s="5">
        <v>2024</v>
      </c>
      <c r="AJ565" s="5" t="s">
        <v>238</v>
      </c>
      <c r="AK565" s="5" t="str">
        <f t="shared" si="1735"/>
        <v>Trabajadora por cuenta propia</v>
      </c>
      <c r="AM565" s="5" t="s">
        <v>309</v>
      </c>
      <c r="AP565" s="5" t="s">
        <v>240</v>
      </c>
      <c r="AR565" s="5" t="s">
        <v>241</v>
      </c>
      <c r="AS565" s="5" t="s">
        <v>241</v>
      </c>
      <c r="AT565" s="5" t="s">
        <v>241</v>
      </c>
      <c r="AU565" s="5" t="s">
        <v>261</v>
      </c>
      <c r="AV565" s="5" t="s">
        <v>285</v>
      </c>
      <c r="AW565" s="5" t="s">
        <v>204</v>
      </c>
      <c r="AX565" s="5" t="s">
        <v>204</v>
      </c>
      <c r="AY565" s="5" t="s">
        <v>214</v>
      </c>
      <c r="AZ565" s="5" t="s">
        <v>204</v>
      </c>
      <c r="BA565" s="5" t="s">
        <v>344</v>
      </c>
      <c r="BF565" s="5" t="s">
        <v>204</v>
      </c>
      <c r="BG565" s="5" t="s">
        <v>215</v>
      </c>
      <c r="BH565" s="5" t="s">
        <v>215</v>
      </c>
      <c r="BI565" s="5" t="s">
        <v>215</v>
      </c>
      <c r="BJ565" s="5" t="s">
        <v>215</v>
      </c>
      <c r="BK565" s="5" t="s">
        <v>243</v>
      </c>
      <c r="BL565" s="5" t="s">
        <v>244</v>
      </c>
      <c r="BM565" s="5" t="s">
        <v>244</v>
      </c>
      <c r="BN565" s="5" t="s">
        <v>243</v>
      </c>
      <c r="BO565" s="5" t="s">
        <v>244</v>
      </c>
      <c r="BP565" s="5" t="s">
        <v>243</v>
      </c>
      <c r="BQ565" s="5" t="s">
        <v>246</v>
      </c>
      <c r="BR565" s="5" t="s">
        <v>243</v>
      </c>
      <c r="BS565" s="5" t="s">
        <v>232</v>
      </c>
      <c r="BT565" s="5" t="s">
        <v>232</v>
      </c>
      <c r="BU565" s="5" t="s">
        <v>232</v>
      </c>
      <c r="BV565" s="5" t="s">
        <v>247</v>
      </c>
      <c r="BW565" s="5" t="s">
        <v>247</v>
      </c>
      <c r="BX565" s="5" t="s">
        <v>247</v>
      </c>
      <c r="BY565" s="5" t="s">
        <v>247</v>
      </c>
      <c r="BZ565" s="5" t="s">
        <v>246</v>
      </c>
      <c r="CA565" s="5" t="s">
        <v>244</v>
      </c>
      <c r="CB565" s="5" t="s">
        <v>244</v>
      </c>
      <c r="CC565" s="5" t="s">
        <v>246</v>
      </c>
      <c r="CD565" s="5" t="s">
        <v>204</v>
      </c>
      <c r="CE565" s="5" t="s">
        <v>218</v>
      </c>
      <c r="CF565" s="5" t="s">
        <v>219</v>
      </c>
      <c r="CG565" s="5" t="s">
        <v>373</v>
      </c>
      <c r="CH565" s="5" t="s">
        <v>206</v>
      </c>
      <c r="CI565" s="5" t="s">
        <v>206</v>
      </c>
      <c r="CJ565" s="5">
        <v>2</v>
      </c>
      <c r="CK565" s="5" t="s">
        <v>223</v>
      </c>
      <c r="CU565" s="5" t="s">
        <v>206</v>
      </c>
      <c r="DA565" s="5" t="s">
        <v>272</v>
      </c>
      <c r="DB565" s="5">
        <f t="shared" si="1736"/>
        <v>1</v>
      </c>
      <c r="DC565" s="5" t="s">
        <v>251</v>
      </c>
      <c r="DD565" s="5">
        <f t="shared" si="1737"/>
        <v>1</v>
      </c>
      <c r="DE565" s="5" t="s">
        <v>251</v>
      </c>
      <c r="DF565" s="5">
        <f t="shared" si="1738"/>
        <v>1</v>
      </c>
      <c r="DG565" s="5" t="s">
        <v>251</v>
      </c>
      <c r="DH565" s="5">
        <f t="shared" si="1739"/>
        <v>1</v>
      </c>
      <c r="DI565" s="5" t="s">
        <v>251</v>
      </c>
      <c r="DJ565" s="5">
        <f t="shared" si="1740"/>
        <v>1</v>
      </c>
      <c r="DK565" s="5" t="s">
        <v>251</v>
      </c>
      <c r="DL565" s="5">
        <f t="shared" si="1741"/>
        <v>1</v>
      </c>
      <c r="DM565" s="5" t="s">
        <v>251</v>
      </c>
      <c r="DN565" s="5">
        <f t="shared" si="1742"/>
        <v>1</v>
      </c>
      <c r="DO565" s="5" t="s">
        <v>231</v>
      </c>
      <c r="DP565" s="5">
        <f t="shared" si="1743"/>
        <v>2</v>
      </c>
      <c r="DQ565" s="5" t="s">
        <v>231</v>
      </c>
      <c r="DR565" s="5">
        <f t="shared" si="1744"/>
        <v>2</v>
      </c>
      <c r="DS565" s="5" t="s">
        <v>231</v>
      </c>
      <c r="DT565" s="5">
        <f t="shared" si="1745"/>
        <v>2</v>
      </c>
      <c r="DU565" s="5" t="s">
        <v>281</v>
      </c>
      <c r="DV565" s="5">
        <f t="shared" si="1746"/>
        <v>1</v>
      </c>
      <c r="DW565" s="5" t="s">
        <v>281</v>
      </c>
      <c r="DX565" s="5">
        <f t="shared" si="1747"/>
        <v>1</v>
      </c>
      <c r="DY565" s="5">
        <f t="shared" si="1748"/>
        <v>15</v>
      </c>
      <c r="DZ565" s="5" t="str">
        <f t="shared" si="1749"/>
        <v>Nivel de riesgo bajo</v>
      </c>
      <c r="EA565" s="5" t="s">
        <v>232</v>
      </c>
      <c r="EB565" s="5">
        <f t="shared" si="1750"/>
        <v>3</v>
      </c>
      <c r="EC565" s="5" t="s">
        <v>247</v>
      </c>
      <c r="ED565" s="5">
        <f t="shared" si="1751"/>
        <v>2</v>
      </c>
      <c r="EE565" s="5" t="s">
        <v>248</v>
      </c>
      <c r="EF565" s="5">
        <f t="shared" si="1752"/>
        <v>1</v>
      </c>
      <c r="EG565" s="5">
        <f t="shared" si="1753"/>
        <v>6</v>
      </c>
      <c r="EH565" s="5" t="str">
        <f t="shared" si="1754"/>
        <v>Nivel de riesgo alto</v>
      </c>
      <c r="EI565" s="5" t="s">
        <v>253</v>
      </c>
      <c r="EJ565" s="5">
        <f t="shared" si="1755"/>
        <v>0</v>
      </c>
      <c r="EK565" s="5" t="s">
        <v>247</v>
      </c>
      <c r="EL565" s="5">
        <f t="shared" si="1756"/>
        <v>2</v>
      </c>
      <c r="EM565" s="5" t="s">
        <v>247</v>
      </c>
      <c r="EN565" s="5">
        <f t="shared" si="1757"/>
        <v>2</v>
      </c>
      <c r="EO565" s="5">
        <f t="shared" si="1758"/>
        <v>4</v>
      </c>
      <c r="EP565" s="5" t="str">
        <f t="shared" si="1759"/>
        <v>Nivel de riesgo medio</v>
      </c>
      <c r="EQ565" s="5" t="s">
        <v>247</v>
      </c>
      <c r="ER565" s="5">
        <f t="shared" si="1760"/>
        <v>2</v>
      </c>
      <c r="ES565" s="5" t="s">
        <v>247</v>
      </c>
      <c r="ET565" s="5">
        <f t="shared" si="1761"/>
        <v>2</v>
      </c>
      <c r="EU565" s="5" t="s">
        <v>232</v>
      </c>
      <c r="EV565" s="5">
        <f t="shared" si="1762"/>
        <v>1</v>
      </c>
      <c r="EW565" s="5" t="s">
        <v>232</v>
      </c>
      <c r="EX565" s="5">
        <f t="shared" si="1763"/>
        <v>1</v>
      </c>
      <c r="EY565" s="5">
        <f t="shared" si="1764"/>
        <v>6</v>
      </c>
      <c r="EZ565" s="5" t="str">
        <f t="shared" si="1765"/>
        <v>Nivel de riesgo alto</v>
      </c>
      <c r="FA565" s="5" t="s">
        <v>253</v>
      </c>
      <c r="FB565" s="5">
        <f t="shared" si="1766"/>
        <v>0</v>
      </c>
      <c r="FC565" s="5" t="s">
        <v>253</v>
      </c>
      <c r="FD565" s="5">
        <f t="shared" si="1767"/>
        <v>0</v>
      </c>
      <c r="FE565" s="5" t="s">
        <v>253</v>
      </c>
      <c r="FF565" s="5">
        <f t="shared" si="1768"/>
        <v>0</v>
      </c>
      <c r="FG565" s="5">
        <f t="shared" si="1769"/>
        <v>0</v>
      </c>
      <c r="FH565" s="5" t="str">
        <f t="shared" si="1770"/>
        <v>Nivel de riesgo bajo</v>
      </c>
      <c r="FI565" s="5" t="s">
        <v>248</v>
      </c>
      <c r="FJ565" s="5">
        <f t="shared" si="1771"/>
        <v>1</v>
      </c>
      <c r="FK565" s="5" t="s">
        <v>253</v>
      </c>
      <c r="FL565" s="5">
        <f t="shared" si="1772"/>
        <v>0</v>
      </c>
      <c r="FM565" s="5" t="s">
        <v>253</v>
      </c>
      <c r="FN565" s="5">
        <f t="shared" si="1773"/>
        <v>0</v>
      </c>
      <c r="FO565" s="5">
        <f t="shared" si="1774"/>
        <v>1</v>
      </c>
      <c r="FP565" s="5" t="str">
        <f t="shared" si="1775"/>
        <v>Nivel de riesgo bajo</v>
      </c>
      <c r="FQ565" s="5" t="s">
        <v>206</v>
      </c>
      <c r="FR565" s="5">
        <f t="shared" si="1776"/>
        <v>0</v>
      </c>
      <c r="FS565" s="5" t="s">
        <v>206</v>
      </c>
      <c r="FT565" s="5">
        <f t="shared" si="1777"/>
        <v>0</v>
      </c>
      <c r="FU565" s="5" t="s">
        <v>206</v>
      </c>
      <c r="FV565" s="5">
        <f t="shared" si="1778"/>
        <v>0</v>
      </c>
      <c r="FW565" s="5" t="s">
        <v>206</v>
      </c>
      <c r="FX565" s="5">
        <f t="shared" si="1779"/>
        <v>0</v>
      </c>
      <c r="FY565" s="5" t="s">
        <v>206</v>
      </c>
      <c r="FZ565" s="5">
        <f t="shared" si="1780"/>
        <v>0</v>
      </c>
      <c r="GA565" s="5" t="s">
        <v>206</v>
      </c>
      <c r="GB565" s="5">
        <f t="shared" si="1781"/>
        <v>0</v>
      </c>
      <c r="GC565" s="5" t="s">
        <v>206</v>
      </c>
      <c r="GD565" s="5">
        <f t="shared" si="1782"/>
        <v>0</v>
      </c>
      <c r="GE565" s="5">
        <f t="shared" si="1783"/>
        <v>0</v>
      </c>
      <c r="GF565" s="5" t="str">
        <f t="shared" si="1784"/>
        <v>Nivel de riesgo bajo</v>
      </c>
      <c r="GG565" s="5" t="s">
        <v>273</v>
      </c>
      <c r="GH565" s="5" t="s">
        <v>298</v>
      </c>
      <c r="GI565" s="5" t="s">
        <v>266</v>
      </c>
      <c r="GJ565" s="5" t="s">
        <v>233</v>
      </c>
      <c r="GK565" s="5" t="s">
        <v>233</v>
      </c>
      <c r="GL565" s="5" t="s">
        <v>233</v>
      </c>
      <c r="GM565" s="5" t="s">
        <v>233</v>
      </c>
      <c r="GN565" s="5" t="s">
        <v>243</v>
      </c>
      <c r="GO565" s="5" t="s">
        <v>243</v>
      </c>
      <c r="GP565" s="5" t="s">
        <v>243</v>
      </c>
      <c r="GQ565" s="5" t="s">
        <v>257</v>
      </c>
      <c r="GR565" s="5" t="s">
        <v>257</v>
      </c>
      <c r="GS565" s="5" t="s">
        <v>257</v>
      </c>
      <c r="GT565" s="5" t="s">
        <v>243</v>
      </c>
      <c r="GU565" s="5" t="s">
        <v>928</v>
      </c>
      <c r="GV565" s="5" t="str">
        <f>TEXT("6292816056819312099","0")</f>
        <v>6292816056819310000</v>
      </c>
    </row>
    <row r="566" spans="1:204" ht="15.75" hidden="1" customHeight="1" x14ac:dyDescent="0.15">
      <c r="B566" s="4">
        <v>45863.686284722222</v>
      </c>
      <c r="C566" s="5" t="s">
        <v>206</v>
      </c>
      <c r="GV566" s="5" t="str">
        <f>TEXT("6292844957236162469","0")</f>
        <v>6292844957236160000</v>
      </c>
    </row>
    <row r="567" spans="1:204" ht="15.75" customHeight="1" x14ac:dyDescent="0.15">
      <c r="A567" s="1">
        <f t="shared" ref="A567:A572" si="1785">ROW(A567)</f>
        <v>567</v>
      </c>
      <c r="B567" s="4">
        <v>45863.726967592593</v>
      </c>
      <c r="C567" s="5" t="s">
        <v>204</v>
      </c>
      <c r="D567" s="5" t="s">
        <v>206</v>
      </c>
      <c r="F567" s="5" t="s">
        <v>204</v>
      </c>
      <c r="G567" s="5" t="s">
        <v>204</v>
      </c>
      <c r="H567" s="5" t="s">
        <v>206</v>
      </c>
      <c r="K567" s="5" t="s">
        <v>237</v>
      </c>
      <c r="O567" s="5" t="s">
        <v>209</v>
      </c>
      <c r="S567" s="5" t="s">
        <v>208</v>
      </c>
      <c r="AB567" s="5" t="s">
        <v>207</v>
      </c>
      <c r="AG567" s="5" t="s">
        <v>207</v>
      </c>
      <c r="AH567" s="5" t="s">
        <v>929</v>
      </c>
      <c r="AI567" s="5">
        <v>2020</v>
      </c>
      <c r="AJ567" s="5" t="s">
        <v>238</v>
      </c>
      <c r="AK567" s="5" t="str">
        <f t="shared" ref="AK567:AK572" si="1786">IF(OR(AJ567="Empleada del sector privado",AJ567="Empleada del sector público"),"Asalariada",
IF(AJ567="Trabajadora por cuenta propia","Trabajadora por cuenta propia",""))</f>
        <v>Trabajadora por cuenta propia</v>
      </c>
      <c r="AL567" s="5" t="s">
        <v>239</v>
      </c>
      <c r="AP567" s="5" t="s">
        <v>284</v>
      </c>
      <c r="AR567" s="5" t="s">
        <v>241</v>
      </c>
      <c r="AS567" s="5" t="s">
        <v>241</v>
      </c>
      <c r="AT567" s="5" t="s">
        <v>241</v>
      </c>
      <c r="AU567" s="5" t="s">
        <v>241</v>
      </c>
      <c r="AV567" s="5" t="s">
        <v>285</v>
      </c>
      <c r="AW567" s="5" t="s">
        <v>204</v>
      </c>
      <c r="AX567" s="5" t="s">
        <v>204</v>
      </c>
      <c r="AY567" s="5" t="s">
        <v>214</v>
      </c>
      <c r="AZ567" s="5" t="s">
        <v>204</v>
      </c>
      <c r="BA567" s="5" t="s">
        <v>263</v>
      </c>
      <c r="BF567" s="5" t="s">
        <v>204</v>
      </c>
      <c r="BG567" s="5" t="s">
        <v>242</v>
      </c>
      <c r="BH567" s="5" t="s">
        <v>271</v>
      </c>
      <c r="BI567" s="5" t="s">
        <v>207</v>
      </c>
      <c r="BJ567" s="5" t="s">
        <v>207</v>
      </c>
      <c r="BK567" s="5" t="s">
        <v>246</v>
      </c>
      <c r="BL567" s="5" t="s">
        <v>246</v>
      </c>
      <c r="BM567" s="5" t="s">
        <v>246</v>
      </c>
      <c r="BN567" s="5" t="s">
        <v>246</v>
      </c>
      <c r="BO567" s="5" t="s">
        <v>246</v>
      </c>
      <c r="BP567" s="5" t="s">
        <v>246</v>
      </c>
      <c r="BQ567" s="5" t="s">
        <v>246</v>
      </c>
      <c r="BR567" s="5" t="s">
        <v>244</v>
      </c>
      <c r="BS567" s="5" t="s">
        <v>247</v>
      </c>
      <c r="BT567" s="5" t="s">
        <v>217</v>
      </c>
      <c r="BU567" s="5" t="s">
        <v>217</v>
      </c>
      <c r="BV567" s="5" t="s">
        <v>217</v>
      </c>
      <c r="BW567" s="5" t="s">
        <v>248</v>
      </c>
      <c r="BX567" s="5" t="s">
        <v>248</v>
      </c>
      <c r="BY567" s="5" t="s">
        <v>217</v>
      </c>
      <c r="BZ567" s="5" t="s">
        <v>216</v>
      </c>
      <c r="CA567" s="5" t="s">
        <v>244</v>
      </c>
      <c r="CB567" s="5" t="s">
        <v>216</v>
      </c>
      <c r="CC567" s="5" t="s">
        <v>216</v>
      </c>
      <c r="CD567" s="5" t="s">
        <v>206</v>
      </c>
      <c r="CH567" s="5" t="s">
        <v>206</v>
      </c>
      <c r="CI567" s="5" t="s">
        <v>307</v>
      </c>
      <c r="CJ567" s="5">
        <v>1</v>
      </c>
      <c r="CK567" s="5" t="s">
        <v>223</v>
      </c>
      <c r="CU567" s="5" t="s">
        <v>206</v>
      </c>
      <c r="DA567" s="5" t="s">
        <v>231</v>
      </c>
      <c r="DB567" s="5">
        <f t="shared" ref="DB567:DB572" si="1787">IF(DA567="Mejor que lo habitual",1,
IF(DA567="Igual que lo habitual",2,
IF(DA567="Menos que lo habitual",3,
IF(DA567="Mucho menos que lo habitual",4,""))))</f>
        <v>2</v>
      </c>
      <c r="DC567" s="5" t="s">
        <v>251</v>
      </c>
      <c r="DD567" s="5">
        <f t="shared" ref="DD567:DD572" si="1788">IF(DC567="No, en absoluto",1,
IF(DC567="No más que lo habitual",2,
IF(DC567="Bastante más que lo habitual",3,
IF(DC567="Mucho más que lo habitual",4,""))))</f>
        <v>1</v>
      </c>
      <c r="DE567" s="5" t="s">
        <v>230</v>
      </c>
      <c r="DF567" s="5">
        <f t="shared" ref="DF567:DF572" si="1789">IF(DE567="No, en absoluto",1,
IF(DE567="No más que lo habitual",2,
IF(DE567="Bastante más que lo habitual",3,
IF(DE567="Mucho más que lo habitual",4,""))))</f>
        <v>2</v>
      </c>
      <c r="DG567" s="5" t="s">
        <v>230</v>
      </c>
      <c r="DH567" s="5">
        <f t="shared" ref="DH567:DH572" si="1790">IF(DG567="No, en absoluto",1,
IF(DG567="No más que lo habitual",2,
IF(DG567="Bastante más que lo habitual",3,
IF(DG567="Mucho más que lo habitual",4,""))))</f>
        <v>2</v>
      </c>
      <c r="DI567" s="5" t="s">
        <v>230</v>
      </c>
      <c r="DJ567" s="5">
        <f t="shared" ref="DJ567:DJ572" si="1791">IF(DI567="No, en absoluto",1,
IF(DI567="No más que lo habitual",2,
IF(DI567="Bastante más que lo habitual",3,
IF(DI567="Mucho más que lo habitual",4,""))))</f>
        <v>2</v>
      </c>
      <c r="DK567" s="5" t="s">
        <v>230</v>
      </c>
      <c r="DL567" s="5">
        <f t="shared" ref="DL567:DL572" si="1792">IF(DK567="No, en absoluto",1,
IF(DK567="No más que lo habitual",2,
IF(DK567="Bastante más que lo habitual",3,
IF(DK567="Mucho más que lo habitual",4,""))))</f>
        <v>2</v>
      </c>
      <c r="DM567" s="5" t="s">
        <v>230</v>
      </c>
      <c r="DN567" s="5">
        <f t="shared" ref="DN567:DN572" si="1793">IF(DM567="No, en absoluto",1,
IF(DM567="No más que lo habitual",2,
IF(DM567="Bastante más que lo habitual",3,
IF(DM567="Mucho más que lo habitual",4,""))))</f>
        <v>2</v>
      </c>
      <c r="DO567" s="5" t="s">
        <v>281</v>
      </c>
      <c r="DP567" s="5">
        <f t="shared" ref="DP567:DP572" si="1794">IF(DO567="Más que lo habitual",1,
IF(DO567="Igual que lo habitual",2,
IF(DO567="Menos que lo habitual",3,
IF(DO567="Mucho menos que lo habitual",4,""))))</f>
        <v>1</v>
      </c>
      <c r="DQ567" s="5" t="s">
        <v>281</v>
      </c>
      <c r="DR567" s="5">
        <f t="shared" ref="DR567:DR572" si="1795">IF(DQ567="Más que lo habitual",1,
IF(DQ567="Igual que lo habitual",2,
IF(DQ567="Menos que lo habitual",3,
IF(DQ567="Mucho menos que lo habitual",4,""))))</f>
        <v>1</v>
      </c>
      <c r="DS567" s="5" t="s">
        <v>252</v>
      </c>
      <c r="DT567" s="5">
        <f t="shared" ref="DT567:DT572" si="1796">IF(DS567="Más que lo habitual",1,
IF(DS567="Igual que lo habitual",2,
IF(DS567="Menos que lo habitual",3,
IF(DS567="Mucho menos que lo habitual",4,""))))</f>
        <v>3</v>
      </c>
      <c r="DU567" s="5" t="s">
        <v>281</v>
      </c>
      <c r="DV567" s="5">
        <f t="shared" ref="DV567:DV572" si="1797">IF(DU567="Más que lo habitual",1,
IF(DU567="Igual que lo habitual",2,
IF(DU567="Menos que lo habitual",3,
IF(DU567="Mucho menos que lo habitual",4,""))))</f>
        <v>1</v>
      </c>
      <c r="DW567" s="5" t="s">
        <v>281</v>
      </c>
      <c r="DX567" s="5">
        <f t="shared" ref="DX567:DX572" si="1798">IF(DW567="Más que lo habitual",1,
IF(DW567="Igual que lo habitual",2,
IF(DW567="Menos que lo habitual",3,
IF(DW567="Mucho menos que lo habitual",4,""))))</f>
        <v>1</v>
      </c>
      <c r="DY567" s="5">
        <f t="shared" ref="DY567:DY572" si="1799">SUM(DB567,DD567,DF567,DH567,DJ567,DL567,DN567,DP567,DR567,DT567,DV567,DX567)</f>
        <v>20</v>
      </c>
      <c r="DZ567" s="5" t="str">
        <f t="shared" ref="DZ567:DZ572" si="1800">IF(DY567&lt;=18,"Nivel de riesgo bajo",
IF(DY567&lt;=23,"Nivel de riesgo medio",
"Nivel de riesgo alto"))</f>
        <v>Nivel de riesgo medio</v>
      </c>
      <c r="EA567" s="5" t="s">
        <v>248</v>
      </c>
      <c r="EB567" s="5">
        <f t="shared" ref="EB567:EB572" si="1801">IF(EA567="Nunca/ casi nunca",0,
IF(EA567="Rara vez",1,
IF(EA567="A veces",2,
IF(EA567="A menudo",3,
IF(EA567="Siempre",4,"")))))</f>
        <v>1</v>
      </c>
      <c r="EC567" s="5" t="s">
        <v>248</v>
      </c>
      <c r="ED567" s="5">
        <f t="shared" ref="ED567:ED572" si="1802">IF(EC567="Nunca/ casi nunca",0,
IF(EC567="Rara vez",1,
IF(EC567="A veces",2,
IF(EC567="A menudo",3,
IF(EC567="Siempre",4,"")))))</f>
        <v>1</v>
      </c>
      <c r="EE567" s="5" t="s">
        <v>247</v>
      </c>
      <c r="EF567" s="5">
        <f t="shared" ref="EF567:EF572" si="1803">IF(EE567="Nunca/ casi nunca",0,
IF(EE567="Rara vez",1,
IF(EE567="A veces",2,
IF(EE567="A menudo",3,
IF(EE567="Siempre",4,"")))))</f>
        <v>2</v>
      </c>
      <c r="EG567" s="5">
        <f t="shared" ref="EG567:EG572" si="1804">SUM(EB567,ED567,EF567)</f>
        <v>4</v>
      </c>
      <c r="EH567" s="5" t="str">
        <f t="shared" ref="EH567:EH572" si="1805">IF(EG567&lt;=1,"Nivel de riesgo bajo",
IF(EG567&lt;=4,"Nivel de riesgo medio",
"Nivel de riesgo alto"))</f>
        <v>Nivel de riesgo medio</v>
      </c>
      <c r="EI567" s="5" t="s">
        <v>253</v>
      </c>
      <c r="EJ567" s="5">
        <f t="shared" ref="EJ567:EJ572" si="1806">IF(EI567="Nunca/ casi nunca",0,
IF(EI567="Rara vez",1,
IF(EI567="A veces",2,
IF(EI567="A menudo",3,
IF(EI567="Siempre",4,"")))))</f>
        <v>0</v>
      </c>
      <c r="EK567" s="5" t="s">
        <v>247</v>
      </c>
      <c r="EL567" s="5">
        <f t="shared" ref="EL567:EL572" si="1807">IF(EK567="Nunca/ casi nunca",0,
IF(EK567="Rara vez",1,
IF(EK567="A veces",2,
IF(EK567="A menudo",3,
IF(EK567="Siempre",4,"")))))</f>
        <v>2</v>
      </c>
      <c r="EM567" s="5" t="s">
        <v>247</v>
      </c>
      <c r="EN567" s="5">
        <f t="shared" ref="EN567:EN572" si="1808">IF(EM567="Nunca/ casi nunca",0,
IF(EM567="Rara vez",1,
IF(EM567="A veces",2,
IF(EM567="A menudo",3,
IF(EM567="Siempre",4,"")))))</f>
        <v>2</v>
      </c>
      <c r="EO567" s="5">
        <f t="shared" ref="EO567:EO572" si="1809">SUM(EJ567,EL567,EN567)</f>
        <v>4</v>
      </c>
      <c r="EP567" s="5" t="str">
        <f t="shared" ref="EP567:EP572" si="1810">IF(EO567&lt;=1,"Nivel de riesgo bajo",
IF(EO567&lt;=5,"Nivel de riesgo medio",
"Nivel de riesgo alto"))</f>
        <v>Nivel de riesgo medio</v>
      </c>
      <c r="EQ567" s="5" t="s">
        <v>254</v>
      </c>
      <c r="ER567" s="5">
        <f t="shared" ref="ER567:ER572" si="1811">IF(EQ567="Nunca/ casi nunca",4,
IF(EQ567="Rara vez",3,
IF(EQ567="A veces",2,
IF(EQ567="A menudo",1,
IF(EQ567="Siempre",0,"")))))</f>
        <v>0</v>
      </c>
      <c r="ES567" s="5" t="s">
        <v>253</v>
      </c>
      <c r="ET567" s="5">
        <f t="shared" ref="ET567:ET572" si="1812">IF(ES567="Nunca/ casi nunca",4,
IF(ES567="Rara vez",3,
IF(ES567="A veces",2,
IF(ES567="A menudo",1,
IF(ES567="Siempre",0,"")))))</f>
        <v>4</v>
      </c>
      <c r="EU567" s="5" t="s">
        <v>253</v>
      </c>
      <c r="EV567" s="5">
        <f t="shared" ref="EV567:EV572" si="1813">IF(EU567="Nunca/ casi nunca",4,
IF(EU567="Rara vez",3,
IF(EU567="A veces",2,
IF(EU567="A menudo",1,
IF(EU567="Siempre",0,"")))))</f>
        <v>4</v>
      </c>
      <c r="EW567" s="5" t="s">
        <v>254</v>
      </c>
      <c r="EX567" s="5">
        <f t="shared" ref="EX567:EX572" si="1814">IF(EW567="Nunca/ casi nunca",4,
IF(EW567="Rara vez",3,
IF(EW567="A veces",2,
IF(EW567="A menudo",1,
IF(EW567="Siempre",0,"")))))</f>
        <v>0</v>
      </c>
      <c r="EY567" s="5">
        <f t="shared" ref="EY567:EY572" si="1815">SUM(ER567,ET567,EV567,EX567)</f>
        <v>8</v>
      </c>
      <c r="EZ567" s="5" t="str">
        <f t="shared" ref="EZ567:EZ572" si="1816">IF(EY567&lt;=0,"Nivel de riesgo bajo",
IF(EY567&lt;=4,"Nivel de riesgo medio",
"Nivel de riesgo alto"))</f>
        <v>Nivel de riesgo alto</v>
      </c>
      <c r="FA567" s="5" t="s">
        <v>253</v>
      </c>
      <c r="FB567" s="5">
        <f t="shared" ref="FB567:FB572" si="1817">IF(FA567="Nunca/ casi nunca",0,
IF(FA567="Rara vez",1,
IF(FA567="A veces",2,
IF(FA567="A menudo",3,
IF(FA567="Siempre",4,"")))))</f>
        <v>0</v>
      </c>
      <c r="FC567" s="5" t="s">
        <v>253</v>
      </c>
      <c r="FD567" s="5">
        <f t="shared" ref="FD567:FD572" si="1818">IF(FC567="Nunca/ casi nunca",0,
IF(FC567="Rara vez",1,
IF(FC567="A veces",2,
IF(FC567="A menudo",3,
IF(FC567="Siempre",4,"")))))</f>
        <v>0</v>
      </c>
      <c r="FE567" s="5" t="s">
        <v>253</v>
      </c>
      <c r="FF567" s="5">
        <f t="shared" ref="FF567:FF572" si="1819">IF(FE567="Nunca/ casi nunca",0,
IF(FE567="Rara vez",1,
IF(FE567="A veces",2,
IF(FE567="A menudo",3,
IF(FE567="Siempre",4,"")))))</f>
        <v>0</v>
      </c>
      <c r="FG567" s="5">
        <f t="shared" ref="FG567:FG572" si="1820">SUM(FB567,FD567,FF567)</f>
        <v>0</v>
      </c>
      <c r="FH567" s="5" t="str">
        <f t="shared" ref="FH567:FH572" si="1821">IF(FG567&lt;=2,"Nivel de riesgo bajo",
IF(FG567&lt;=5,"Nivel de riesgo medio",
"Nivel de riesgo alto"))</f>
        <v>Nivel de riesgo bajo</v>
      </c>
      <c r="FI567" s="5" t="s">
        <v>253</v>
      </c>
      <c r="FJ567" s="5">
        <f t="shared" ref="FJ567:FJ572" si="1822">IF(FI567="Nunca/ casi nunca",0,
IF(FI567="Rara vez",1,
IF(FI567="A veces",2,
IF(FI567="A menudo",3,
IF(FI567="Siempre",4,"")))))</f>
        <v>0</v>
      </c>
      <c r="FK567" s="5" t="s">
        <v>253</v>
      </c>
      <c r="FL567" s="5">
        <f t="shared" ref="FL567:FL572" si="1823">IF(FK567="Nunca/ casi nunca",0,
IF(FK567="Rara vez",1,
IF(FK567="A veces",2,
IF(FK567="A menudo",3,
IF(FK567="Siempre",4,"")))))</f>
        <v>0</v>
      </c>
      <c r="FM567" s="5" t="s">
        <v>253</v>
      </c>
      <c r="FN567" s="5">
        <f t="shared" ref="FN567:FN572" si="1824">IF(FM567="Nunca/ casi nunca",0,
IF(FM567="Rara vez",1,
IF(FM567="A veces",2,
IF(FM567="A menudo",3,
IF(FM567="Siempre",4,"")))))</f>
        <v>0</v>
      </c>
      <c r="FO567" s="5">
        <f t="shared" ref="FO567:FO572" si="1825">SUM(FJ567,FL567,FN567)</f>
        <v>0</v>
      </c>
      <c r="FP567" s="5" t="str">
        <f t="shared" ref="FP567:FP572" si="1826">IF(FO567&lt;=2,"Nivel de riesgo bajo",
IF(FO567&lt;=5,"Nivel de riesgo medio",
"Nivel de riesgo alto"))</f>
        <v>Nivel de riesgo bajo</v>
      </c>
      <c r="FQ567" s="5" t="s">
        <v>206</v>
      </c>
      <c r="FR567" s="5">
        <f t="shared" ref="FR567:FR572" si="1827">IF(FQ567="No",0,
IF(FQ567="Sí, unas pocas veces",1,
IF(FQ567="Sí, mensualmente",2,
IF(FQ567="Sí, semanalmente",3,
IF(FQ567="Sí, diariamente",4,"")))))</f>
        <v>0</v>
      </c>
      <c r="FS567" s="5" t="s">
        <v>206</v>
      </c>
      <c r="FT567" s="5">
        <f t="shared" ref="FT567:FT572" si="1828">IF(FS567="No",0,
IF(FS567="Sí, unas pocas veces",1,
IF(FS567="Sí, mensualmente",2,
IF(FS567="Sí, semanalmente",3,
IF(FS567="Sí, diariamente",4,"")))))</f>
        <v>0</v>
      </c>
      <c r="FU567" s="5" t="s">
        <v>206</v>
      </c>
      <c r="FV567" s="5">
        <f t="shared" ref="FV567:FV572" si="1829">IF(FU567="No",0,
IF(FU567="Sí, unas pocas veces",1,
IF(FU567="Sí, mensualmente",2,
IF(FU567="Sí, semanalmente",3,
IF(FU567="Sí, diariamente",4,"")))))</f>
        <v>0</v>
      </c>
      <c r="FW567" s="5" t="s">
        <v>206</v>
      </c>
      <c r="FX567" s="5">
        <f t="shared" ref="FX567:FX572" si="1830">IF(FW567="No",0,
IF(FW567="Sí, unas pocas veces",1,
IF(FW567="Sí, mensualmente",2,
IF(FW567="Sí, semanalmente",3,
IF(FW567="Sí, diariamente",4,"")))))</f>
        <v>0</v>
      </c>
      <c r="FY567" s="5" t="s">
        <v>206</v>
      </c>
      <c r="FZ567" s="5">
        <f t="shared" ref="FZ567:FZ572" si="1831">IF(FY567="No",0,
IF(FY567="Sí, unas pocas veces",1,
IF(FY567="Sí, mensualmente",2,
IF(FY567="Sí, semanalmente",3,
IF(FY567="Sí, diariamente",4,"")))))</f>
        <v>0</v>
      </c>
      <c r="GA567" s="5" t="s">
        <v>206</v>
      </c>
      <c r="GB567" s="5">
        <f t="shared" ref="GB567:GB572" si="1832">IF(GA567="No",0,
IF(GA567="Sí, unas pocas veces",1,
IF(GA567="Sí, mensualmente",2,
IF(GA567="Sí, semanalmente",3,
IF(GA567="Sí, diariamente",4,"")))))</f>
        <v>0</v>
      </c>
      <c r="GC567" s="5" t="s">
        <v>206</v>
      </c>
      <c r="GD567" s="5">
        <f t="shared" ref="GD567:GD572" si="1833">IF(GC567="No",0,
IF(GC567="Sí, unas pocas veces",1,
IF(GC567="Sí, mensualmente",2,
IF(GC567="Sí, semanalmente",3,
IF(GC567="Sí, diariamente",4,"")))))</f>
        <v>0</v>
      </c>
      <c r="GE567" s="5">
        <f t="shared" ref="GE567:GE572" si="1834">SUM(FR567,FT567,FV567,FX567,FZ567,GB567,GD567)</f>
        <v>0</v>
      </c>
      <c r="GF567" s="5" t="str">
        <f t="shared" ref="GF567:GF572" si="1835">IF(GE567&lt;=0,"Nivel de riesgo bajo",
IF(GE567&lt;=14,"Nivel de riesgo medio",
"Nivel de riesgo alto"))</f>
        <v>Nivel de riesgo bajo</v>
      </c>
      <c r="GG567" s="5" t="s">
        <v>255</v>
      </c>
      <c r="GH567" s="5" t="s">
        <v>255</v>
      </c>
      <c r="GI567" s="5" t="s">
        <v>255</v>
      </c>
      <c r="GJ567" s="5" t="s">
        <v>255</v>
      </c>
      <c r="GK567" s="5" t="s">
        <v>233</v>
      </c>
      <c r="GL567" s="5" t="s">
        <v>266</v>
      </c>
      <c r="GM567" s="5" t="s">
        <v>255</v>
      </c>
      <c r="GN567" s="5" t="s">
        <v>256</v>
      </c>
      <c r="GO567" s="5" t="s">
        <v>256</v>
      </c>
      <c r="GP567" s="5" t="s">
        <v>256</v>
      </c>
      <c r="GQ567" s="5" t="s">
        <v>256</v>
      </c>
      <c r="GR567" s="5" t="s">
        <v>256</v>
      </c>
      <c r="GS567" s="5" t="s">
        <v>256</v>
      </c>
      <c r="GT567" s="5" t="s">
        <v>256</v>
      </c>
      <c r="GU567" s="5" t="s">
        <v>930</v>
      </c>
      <c r="GV567" s="5" t="str">
        <f>TEXT("6292880103525905449","0")</f>
        <v>6292880103525900000</v>
      </c>
    </row>
    <row r="568" spans="1:204" ht="15.75" customHeight="1" x14ac:dyDescent="0.15">
      <c r="A568" s="1">
        <f t="shared" si="1785"/>
        <v>568</v>
      </c>
      <c r="B568" s="4">
        <v>45863.966319444444</v>
      </c>
      <c r="C568" s="5" t="s">
        <v>204</v>
      </c>
      <c r="D568" s="5" t="s">
        <v>204</v>
      </c>
      <c r="E568" s="5" t="s">
        <v>335</v>
      </c>
      <c r="F568" s="5" t="s">
        <v>206</v>
      </c>
      <c r="G568" s="5" t="s">
        <v>206</v>
      </c>
      <c r="H568" s="5" t="s">
        <v>206</v>
      </c>
      <c r="J568" s="5" t="s">
        <v>209</v>
      </c>
      <c r="N568" s="5" t="s">
        <v>208</v>
      </c>
      <c r="S568" s="5" t="s">
        <v>208</v>
      </c>
      <c r="Y568" s="5" t="s">
        <v>209</v>
      </c>
      <c r="AC568" s="5" t="s">
        <v>208</v>
      </c>
      <c r="AH568" s="5" t="s">
        <v>210</v>
      </c>
      <c r="AI568" s="5">
        <v>2019</v>
      </c>
      <c r="AJ568" s="5" t="s">
        <v>238</v>
      </c>
      <c r="AK568" s="5" t="str">
        <f t="shared" si="1786"/>
        <v>Trabajadora por cuenta propia</v>
      </c>
      <c r="AO568" s="5" t="s">
        <v>532</v>
      </c>
      <c r="AP568" s="5" t="s">
        <v>284</v>
      </c>
      <c r="AR568" s="5" t="s">
        <v>261</v>
      </c>
      <c r="AS568" s="5" t="s">
        <v>261</v>
      </c>
      <c r="AT568" s="5" t="s">
        <v>261</v>
      </c>
      <c r="AU568" s="5" t="s">
        <v>261</v>
      </c>
      <c r="AV568" s="5" t="s">
        <v>285</v>
      </c>
      <c r="AW568" s="5" t="s">
        <v>204</v>
      </c>
      <c r="AX568" s="5" t="s">
        <v>204</v>
      </c>
      <c r="AY568" s="5" t="s">
        <v>366</v>
      </c>
      <c r="AZ568" s="5" t="s">
        <v>204</v>
      </c>
      <c r="BA568" s="5" t="s">
        <v>263</v>
      </c>
      <c r="BF568" s="5" t="s">
        <v>204</v>
      </c>
      <c r="BG568" s="5" t="s">
        <v>207</v>
      </c>
      <c r="BH568" s="5" t="s">
        <v>264</v>
      </c>
      <c r="BI568" s="5" t="s">
        <v>207</v>
      </c>
      <c r="BJ568" s="5" t="s">
        <v>264</v>
      </c>
      <c r="BK568" s="5" t="s">
        <v>216</v>
      </c>
      <c r="BL568" s="5" t="s">
        <v>244</v>
      </c>
      <c r="BM568" s="5" t="s">
        <v>246</v>
      </c>
      <c r="BN568" s="5" t="s">
        <v>244</v>
      </c>
      <c r="BO568" s="5" t="s">
        <v>244</v>
      </c>
      <c r="BP568" s="5" t="s">
        <v>216</v>
      </c>
      <c r="BQ568" s="5" t="s">
        <v>216</v>
      </c>
      <c r="BR568" s="5" t="s">
        <v>244</v>
      </c>
      <c r="BS568" s="5" t="s">
        <v>217</v>
      </c>
      <c r="BT568" s="5" t="s">
        <v>217</v>
      </c>
      <c r="BU568" s="5" t="s">
        <v>217</v>
      </c>
      <c r="BV568" s="5" t="s">
        <v>217</v>
      </c>
      <c r="BW568" s="5" t="s">
        <v>217</v>
      </c>
      <c r="BX568" s="5" t="s">
        <v>217</v>
      </c>
      <c r="BY568" s="5" t="s">
        <v>217</v>
      </c>
      <c r="BZ568" s="5" t="s">
        <v>216</v>
      </c>
      <c r="CA568" s="5" t="s">
        <v>216</v>
      </c>
      <c r="CB568" s="5" t="s">
        <v>216</v>
      </c>
      <c r="CC568" s="5" t="s">
        <v>244</v>
      </c>
      <c r="CD568" s="5" t="s">
        <v>206</v>
      </c>
      <c r="CH568" s="5" t="s">
        <v>206</v>
      </c>
      <c r="CI568" s="5" t="s">
        <v>291</v>
      </c>
      <c r="CJ568" s="5">
        <v>2</v>
      </c>
      <c r="CK568" s="5" t="s">
        <v>223</v>
      </c>
      <c r="CU568" s="5" t="s">
        <v>206</v>
      </c>
      <c r="DA568" s="5" t="s">
        <v>272</v>
      </c>
      <c r="DB568" s="5">
        <f t="shared" si="1787"/>
        <v>1</v>
      </c>
      <c r="DC568" s="5" t="s">
        <v>251</v>
      </c>
      <c r="DD568" s="5">
        <f t="shared" si="1788"/>
        <v>1</v>
      </c>
      <c r="DE568" s="5" t="s">
        <v>251</v>
      </c>
      <c r="DF568" s="5">
        <f t="shared" si="1789"/>
        <v>1</v>
      </c>
      <c r="DG568" s="5" t="s">
        <v>251</v>
      </c>
      <c r="DH568" s="5">
        <f t="shared" si="1790"/>
        <v>1</v>
      </c>
      <c r="DI568" s="5" t="s">
        <v>251</v>
      </c>
      <c r="DJ568" s="5">
        <f t="shared" si="1791"/>
        <v>1</v>
      </c>
      <c r="DK568" s="5" t="s">
        <v>251</v>
      </c>
      <c r="DL568" s="5">
        <f t="shared" si="1792"/>
        <v>1</v>
      </c>
      <c r="DM568" s="5" t="s">
        <v>251</v>
      </c>
      <c r="DN568" s="5">
        <f t="shared" si="1793"/>
        <v>1</v>
      </c>
      <c r="DO568" s="5" t="s">
        <v>281</v>
      </c>
      <c r="DP568" s="5">
        <f t="shared" si="1794"/>
        <v>1</v>
      </c>
      <c r="DQ568" s="5" t="s">
        <v>281</v>
      </c>
      <c r="DR568" s="5">
        <f t="shared" si="1795"/>
        <v>1</v>
      </c>
      <c r="DS568" s="5" t="s">
        <v>231</v>
      </c>
      <c r="DT568" s="5">
        <f t="shared" si="1796"/>
        <v>2</v>
      </c>
      <c r="DU568" s="5" t="s">
        <v>231</v>
      </c>
      <c r="DV568" s="5">
        <f t="shared" si="1797"/>
        <v>2</v>
      </c>
      <c r="DW568" s="5" t="s">
        <v>281</v>
      </c>
      <c r="DX568" s="5">
        <f t="shared" si="1798"/>
        <v>1</v>
      </c>
      <c r="DY568" s="5">
        <f t="shared" si="1799"/>
        <v>14</v>
      </c>
      <c r="DZ568" s="5" t="str">
        <f t="shared" si="1800"/>
        <v>Nivel de riesgo bajo</v>
      </c>
      <c r="EA568" s="5" t="s">
        <v>253</v>
      </c>
      <c r="EB568" s="5">
        <f t="shared" si="1801"/>
        <v>0</v>
      </c>
      <c r="EC568" s="5" t="s">
        <v>248</v>
      </c>
      <c r="ED568" s="5">
        <f t="shared" si="1802"/>
        <v>1</v>
      </c>
      <c r="EE568" s="5" t="s">
        <v>253</v>
      </c>
      <c r="EF568" s="5">
        <f t="shared" si="1803"/>
        <v>0</v>
      </c>
      <c r="EG568" s="5">
        <f t="shared" si="1804"/>
        <v>1</v>
      </c>
      <c r="EH568" s="5" t="str">
        <f t="shared" si="1805"/>
        <v>Nivel de riesgo bajo</v>
      </c>
      <c r="EI568" s="5" t="s">
        <v>253</v>
      </c>
      <c r="EJ568" s="5">
        <f t="shared" si="1806"/>
        <v>0</v>
      </c>
      <c r="EK568" s="5" t="s">
        <v>253</v>
      </c>
      <c r="EL568" s="5">
        <f t="shared" si="1807"/>
        <v>0</v>
      </c>
      <c r="EM568" s="5" t="s">
        <v>253</v>
      </c>
      <c r="EN568" s="5">
        <f t="shared" si="1808"/>
        <v>0</v>
      </c>
      <c r="EO568" s="5">
        <f t="shared" si="1809"/>
        <v>0</v>
      </c>
      <c r="EP568" s="5" t="str">
        <f t="shared" si="1810"/>
        <v>Nivel de riesgo bajo</v>
      </c>
      <c r="EQ568" s="5" t="s">
        <v>248</v>
      </c>
      <c r="ER568" s="5">
        <f t="shared" si="1811"/>
        <v>3</v>
      </c>
      <c r="ES568" s="5" t="s">
        <v>253</v>
      </c>
      <c r="ET568" s="5">
        <f t="shared" si="1812"/>
        <v>4</v>
      </c>
      <c r="EU568" s="5" t="s">
        <v>254</v>
      </c>
      <c r="EV568" s="5">
        <f t="shared" si="1813"/>
        <v>0</v>
      </c>
      <c r="EW568" s="5" t="s">
        <v>254</v>
      </c>
      <c r="EX568" s="5">
        <f t="shared" si="1814"/>
        <v>0</v>
      </c>
      <c r="EY568" s="5">
        <f t="shared" si="1815"/>
        <v>7</v>
      </c>
      <c r="EZ568" s="5" t="str">
        <f t="shared" si="1816"/>
        <v>Nivel de riesgo alto</v>
      </c>
      <c r="FA568" s="5" t="s">
        <v>253</v>
      </c>
      <c r="FB568" s="5">
        <f t="shared" si="1817"/>
        <v>0</v>
      </c>
      <c r="FC568" s="5" t="s">
        <v>253</v>
      </c>
      <c r="FD568" s="5">
        <f t="shared" si="1818"/>
        <v>0</v>
      </c>
      <c r="FE568" s="5" t="s">
        <v>253</v>
      </c>
      <c r="FF568" s="5">
        <f t="shared" si="1819"/>
        <v>0</v>
      </c>
      <c r="FG568" s="5">
        <f t="shared" si="1820"/>
        <v>0</v>
      </c>
      <c r="FH568" s="5" t="str">
        <f t="shared" si="1821"/>
        <v>Nivel de riesgo bajo</v>
      </c>
      <c r="FI568" s="5" t="s">
        <v>253</v>
      </c>
      <c r="FJ568" s="5">
        <f t="shared" si="1822"/>
        <v>0</v>
      </c>
      <c r="FK568" s="5" t="s">
        <v>253</v>
      </c>
      <c r="FL568" s="5">
        <f t="shared" si="1823"/>
        <v>0</v>
      </c>
      <c r="FM568" s="5" t="s">
        <v>253</v>
      </c>
      <c r="FN568" s="5">
        <f t="shared" si="1824"/>
        <v>0</v>
      </c>
      <c r="FO568" s="5">
        <f t="shared" si="1825"/>
        <v>0</v>
      </c>
      <c r="FP568" s="5" t="str">
        <f t="shared" si="1826"/>
        <v>Nivel de riesgo bajo</v>
      </c>
      <c r="FQ568" s="5" t="s">
        <v>206</v>
      </c>
      <c r="FR568" s="5">
        <f t="shared" si="1827"/>
        <v>0</v>
      </c>
      <c r="FS568" s="5" t="s">
        <v>206</v>
      </c>
      <c r="FT568" s="5">
        <f t="shared" si="1828"/>
        <v>0</v>
      </c>
      <c r="FU568" s="5" t="s">
        <v>265</v>
      </c>
      <c r="FV568" s="5">
        <f t="shared" si="1829"/>
        <v>1</v>
      </c>
      <c r="FW568" s="5" t="s">
        <v>206</v>
      </c>
      <c r="FX568" s="5">
        <f t="shared" si="1830"/>
        <v>0</v>
      </c>
      <c r="FY568" s="5" t="s">
        <v>206</v>
      </c>
      <c r="FZ568" s="5">
        <f t="shared" si="1831"/>
        <v>0</v>
      </c>
      <c r="GA568" s="5" t="s">
        <v>206</v>
      </c>
      <c r="GB568" s="5">
        <f t="shared" si="1832"/>
        <v>0</v>
      </c>
      <c r="GC568" s="5" t="s">
        <v>206</v>
      </c>
      <c r="GD568" s="5">
        <f t="shared" si="1833"/>
        <v>0</v>
      </c>
      <c r="GE568" s="5">
        <f t="shared" si="1834"/>
        <v>1</v>
      </c>
      <c r="GF568" s="5" t="str">
        <f t="shared" si="1835"/>
        <v>Nivel de riesgo medio</v>
      </c>
      <c r="GG568" s="5" t="s">
        <v>273</v>
      </c>
      <c r="GH568" s="5" t="s">
        <v>266</v>
      </c>
      <c r="GI568" s="5" t="s">
        <v>273</v>
      </c>
      <c r="GJ568" s="5" t="s">
        <v>273</v>
      </c>
      <c r="GK568" s="5" t="s">
        <v>233</v>
      </c>
      <c r="GL568" s="5" t="s">
        <v>233</v>
      </c>
      <c r="GM568" s="5" t="s">
        <v>266</v>
      </c>
      <c r="GN568" s="5" t="s">
        <v>256</v>
      </c>
      <c r="GO568" s="5" t="s">
        <v>256</v>
      </c>
      <c r="GP568" s="5" t="s">
        <v>243</v>
      </c>
      <c r="GQ568" s="5" t="s">
        <v>243</v>
      </c>
      <c r="GR568" s="5" t="s">
        <v>243</v>
      </c>
      <c r="GS568" s="5" t="s">
        <v>244</v>
      </c>
      <c r="GT568" s="5" t="s">
        <v>256</v>
      </c>
      <c r="GU568" s="5" t="s">
        <v>931</v>
      </c>
      <c r="GV568" s="5" t="str">
        <f>TEXT("6293086909323330414","0")</f>
        <v>6293086909323330000</v>
      </c>
    </row>
    <row r="569" spans="1:204" ht="15.75" customHeight="1" x14ac:dyDescent="0.15">
      <c r="A569" s="1">
        <f t="shared" si="1785"/>
        <v>569</v>
      </c>
      <c r="B569" s="4">
        <v>45864.443078703705</v>
      </c>
      <c r="C569" s="5" t="s">
        <v>204</v>
      </c>
      <c r="D569" s="5" t="s">
        <v>206</v>
      </c>
      <c r="F569" s="5" t="s">
        <v>206</v>
      </c>
      <c r="G569" s="5" t="s">
        <v>204</v>
      </c>
      <c r="H569" s="5" t="s">
        <v>206</v>
      </c>
      <c r="I569" s="5" t="s">
        <v>208</v>
      </c>
      <c r="N569" s="5" t="s">
        <v>208</v>
      </c>
      <c r="S569" s="5" t="s">
        <v>208</v>
      </c>
      <c r="X569" s="5" t="s">
        <v>208</v>
      </c>
      <c r="AC569" s="5" t="s">
        <v>208</v>
      </c>
      <c r="AH569" s="5" t="s">
        <v>275</v>
      </c>
      <c r="AI569" s="5">
        <v>2015</v>
      </c>
      <c r="AJ569" s="5" t="s">
        <v>238</v>
      </c>
      <c r="AK569" s="5" t="str">
        <f t="shared" si="1786"/>
        <v>Trabajadora por cuenta propia</v>
      </c>
      <c r="AL569" s="5" t="s">
        <v>239</v>
      </c>
      <c r="AP569" s="5" t="s">
        <v>932</v>
      </c>
      <c r="AR569" s="5" t="s">
        <v>301</v>
      </c>
      <c r="AS569" s="5" t="s">
        <v>301</v>
      </c>
      <c r="AT569" s="5" t="s">
        <v>301</v>
      </c>
      <c r="AU569" s="5" t="s">
        <v>301</v>
      </c>
      <c r="AV569" s="5" t="s">
        <v>213</v>
      </c>
      <c r="AW569" s="5" t="s">
        <v>206</v>
      </c>
      <c r="BF569" s="5" t="s">
        <v>204</v>
      </c>
      <c r="BG569" s="5" t="s">
        <v>215</v>
      </c>
      <c r="BH569" s="5" t="s">
        <v>215</v>
      </c>
      <c r="BI569" s="5" t="s">
        <v>278</v>
      </c>
      <c r="BJ569" s="5" t="s">
        <v>215</v>
      </c>
      <c r="BK569" s="5" t="s">
        <v>216</v>
      </c>
      <c r="BL569" s="5" t="s">
        <v>216</v>
      </c>
      <c r="BM569" s="5" t="s">
        <v>216</v>
      </c>
      <c r="BN569" s="5" t="s">
        <v>216</v>
      </c>
      <c r="BO569" s="5" t="s">
        <v>216</v>
      </c>
      <c r="BP569" s="5" t="s">
        <v>216</v>
      </c>
      <c r="BQ569" s="5" t="s">
        <v>216</v>
      </c>
      <c r="BR569" s="5" t="s">
        <v>216</v>
      </c>
      <c r="BS569" s="5" t="s">
        <v>217</v>
      </c>
      <c r="BT569" s="5" t="s">
        <v>217</v>
      </c>
      <c r="BU569" s="5" t="s">
        <v>217</v>
      </c>
      <c r="BV569" s="5" t="s">
        <v>217</v>
      </c>
      <c r="BW569" s="5" t="s">
        <v>217</v>
      </c>
      <c r="BX569" s="5" t="s">
        <v>217</v>
      </c>
      <c r="BY569" s="5" t="s">
        <v>217</v>
      </c>
      <c r="CD569" s="5" t="s">
        <v>206</v>
      </c>
      <c r="CH569" s="5" t="s">
        <v>206</v>
      </c>
      <c r="CI569" s="5" t="s">
        <v>206</v>
      </c>
      <c r="CJ569" s="5">
        <v>0</v>
      </c>
      <c r="CK569" s="5" t="s">
        <v>223</v>
      </c>
      <c r="CU569" s="5" t="s">
        <v>206</v>
      </c>
      <c r="DA569" s="5" t="s">
        <v>272</v>
      </c>
      <c r="DB569" s="5">
        <f t="shared" si="1787"/>
        <v>1</v>
      </c>
      <c r="DC569" s="5" t="s">
        <v>230</v>
      </c>
      <c r="DD569" s="5">
        <f t="shared" si="1788"/>
        <v>2</v>
      </c>
      <c r="DE569" s="5" t="s">
        <v>230</v>
      </c>
      <c r="DF569" s="5">
        <f t="shared" si="1789"/>
        <v>2</v>
      </c>
      <c r="DG569" s="5" t="s">
        <v>230</v>
      </c>
      <c r="DH569" s="5">
        <f t="shared" si="1790"/>
        <v>2</v>
      </c>
      <c r="DI569" s="5" t="s">
        <v>251</v>
      </c>
      <c r="DJ569" s="5">
        <f t="shared" si="1791"/>
        <v>1</v>
      </c>
      <c r="DK569" s="5" t="s">
        <v>251</v>
      </c>
      <c r="DL569" s="5">
        <f t="shared" si="1792"/>
        <v>1</v>
      </c>
      <c r="DM569" s="5" t="s">
        <v>230</v>
      </c>
      <c r="DN569" s="5">
        <f t="shared" si="1793"/>
        <v>2</v>
      </c>
      <c r="DO569" s="5" t="s">
        <v>231</v>
      </c>
      <c r="DP569" s="5">
        <f t="shared" si="1794"/>
        <v>2</v>
      </c>
      <c r="DQ569" s="5" t="s">
        <v>231</v>
      </c>
      <c r="DR569" s="5">
        <f t="shared" si="1795"/>
        <v>2</v>
      </c>
      <c r="DS569" s="5" t="s">
        <v>231</v>
      </c>
      <c r="DT569" s="5">
        <f t="shared" si="1796"/>
        <v>2</v>
      </c>
      <c r="DU569" s="5" t="s">
        <v>231</v>
      </c>
      <c r="DV569" s="5">
        <f t="shared" si="1797"/>
        <v>2</v>
      </c>
      <c r="DW569" s="5" t="s">
        <v>231</v>
      </c>
      <c r="DX569" s="5">
        <f t="shared" si="1798"/>
        <v>2</v>
      </c>
      <c r="DY569" s="5">
        <f t="shared" si="1799"/>
        <v>21</v>
      </c>
      <c r="DZ569" s="5" t="str">
        <f t="shared" si="1800"/>
        <v>Nivel de riesgo medio</v>
      </c>
      <c r="EA569" s="5" t="s">
        <v>253</v>
      </c>
      <c r="EB569" s="5">
        <f t="shared" si="1801"/>
        <v>0</v>
      </c>
      <c r="EC569" s="5" t="s">
        <v>253</v>
      </c>
      <c r="ED569" s="5">
        <f t="shared" si="1802"/>
        <v>0</v>
      </c>
      <c r="EE569" s="5" t="s">
        <v>253</v>
      </c>
      <c r="EF569" s="5">
        <f t="shared" si="1803"/>
        <v>0</v>
      </c>
      <c r="EG569" s="5">
        <f t="shared" si="1804"/>
        <v>0</v>
      </c>
      <c r="EH569" s="5" t="str">
        <f t="shared" si="1805"/>
        <v>Nivel de riesgo bajo</v>
      </c>
      <c r="EI569" s="5" t="s">
        <v>253</v>
      </c>
      <c r="EJ569" s="5">
        <f t="shared" si="1806"/>
        <v>0</v>
      </c>
      <c r="EK569" s="5" t="s">
        <v>253</v>
      </c>
      <c r="EL569" s="5">
        <f t="shared" si="1807"/>
        <v>0</v>
      </c>
      <c r="EM569" s="5" t="s">
        <v>253</v>
      </c>
      <c r="EN569" s="5">
        <f t="shared" si="1808"/>
        <v>0</v>
      </c>
      <c r="EO569" s="5">
        <f t="shared" si="1809"/>
        <v>0</v>
      </c>
      <c r="EP569" s="5" t="str">
        <f t="shared" si="1810"/>
        <v>Nivel de riesgo bajo</v>
      </c>
      <c r="EQ569" s="5" t="s">
        <v>253</v>
      </c>
      <c r="ER569" s="5">
        <f t="shared" si="1811"/>
        <v>4</v>
      </c>
      <c r="ES569" s="5" t="s">
        <v>253</v>
      </c>
      <c r="ET569" s="5">
        <f t="shared" si="1812"/>
        <v>4</v>
      </c>
      <c r="EU569" s="5" t="s">
        <v>253</v>
      </c>
      <c r="EV569" s="5">
        <f t="shared" si="1813"/>
        <v>4</v>
      </c>
      <c r="EW569" s="5" t="s">
        <v>253</v>
      </c>
      <c r="EX569" s="5">
        <f t="shared" si="1814"/>
        <v>4</v>
      </c>
      <c r="EY569" s="5">
        <f t="shared" si="1815"/>
        <v>16</v>
      </c>
      <c r="EZ569" s="5" t="str">
        <f t="shared" si="1816"/>
        <v>Nivel de riesgo alto</v>
      </c>
      <c r="FA569" s="5" t="s">
        <v>253</v>
      </c>
      <c r="FB569" s="5">
        <f t="shared" si="1817"/>
        <v>0</v>
      </c>
      <c r="FC569" s="5" t="s">
        <v>253</v>
      </c>
      <c r="FD569" s="5">
        <f t="shared" si="1818"/>
        <v>0</v>
      </c>
      <c r="FE569" s="5" t="s">
        <v>253</v>
      </c>
      <c r="FF569" s="5">
        <f t="shared" si="1819"/>
        <v>0</v>
      </c>
      <c r="FG569" s="5">
        <f t="shared" si="1820"/>
        <v>0</v>
      </c>
      <c r="FH569" s="5" t="str">
        <f t="shared" si="1821"/>
        <v>Nivel de riesgo bajo</v>
      </c>
      <c r="FI569" s="5" t="s">
        <v>253</v>
      </c>
      <c r="FJ569" s="5">
        <f t="shared" si="1822"/>
        <v>0</v>
      </c>
      <c r="FK569" s="5" t="s">
        <v>253</v>
      </c>
      <c r="FL569" s="5">
        <f t="shared" si="1823"/>
        <v>0</v>
      </c>
      <c r="FM569" s="5" t="s">
        <v>253</v>
      </c>
      <c r="FN569" s="5">
        <f t="shared" si="1824"/>
        <v>0</v>
      </c>
      <c r="FO569" s="5">
        <f t="shared" si="1825"/>
        <v>0</v>
      </c>
      <c r="FP569" s="5" t="str">
        <f t="shared" si="1826"/>
        <v>Nivel de riesgo bajo</v>
      </c>
      <c r="FQ569" s="5" t="s">
        <v>206</v>
      </c>
      <c r="FR569" s="5">
        <f t="shared" si="1827"/>
        <v>0</v>
      </c>
      <c r="FS569" s="5" t="s">
        <v>206</v>
      </c>
      <c r="FT569" s="5">
        <f t="shared" si="1828"/>
        <v>0</v>
      </c>
      <c r="FU569" s="5" t="s">
        <v>206</v>
      </c>
      <c r="FV569" s="5">
        <f t="shared" si="1829"/>
        <v>0</v>
      </c>
      <c r="FW569" s="5" t="s">
        <v>206</v>
      </c>
      <c r="FX569" s="5">
        <f t="shared" si="1830"/>
        <v>0</v>
      </c>
      <c r="FY569" s="5" t="s">
        <v>206</v>
      </c>
      <c r="FZ569" s="5">
        <f t="shared" si="1831"/>
        <v>0</v>
      </c>
      <c r="GA569" s="5" t="s">
        <v>206</v>
      </c>
      <c r="GB569" s="5">
        <f t="shared" si="1832"/>
        <v>0</v>
      </c>
      <c r="GC569" s="5" t="s">
        <v>206</v>
      </c>
      <c r="GD569" s="5">
        <f t="shared" si="1833"/>
        <v>0</v>
      </c>
      <c r="GE569" s="5">
        <f t="shared" si="1834"/>
        <v>0</v>
      </c>
      <c r="GF569" s="5" t="str">
        <f t="shared" si="1835"/>
        <v>Nivel de riesgo bajo</v>
      </c>
      <c r="GG569" s="5" t="s">
        <v>255</v>
      </c>
      <c r="GH569" s="5" t="s">
        <v>273</v>
      </c>
      <c r="GI569" s="5" t="s">
        <v>273</v>
      </c>
      <c r="GJ569" s="5" t="s">
        <v>273</v>
      </c>
      <c r="GK569" s="5" t="s">
        <v>233</v>
      </c>
      <c r="GL569" s="5" t="s">
        <v>233</v>
      </c>
      <c r="GM569" s="5" t="s">
        <v>233</v>
      </c>
      <c r="GN569" s="5" t="s">
        <v>243</v>
      </c>
      <c r="GO569" s="5" t="s">
        <v>243</v>
      </c>
      <c r="GP569" s="5" t="s">
        <v>257</v>
      </c>
      <c r="GQ569" s="5" t="s">
        <v>234</v>
      </c>
      <c r="GR569" s="5" t="s">
        <v>234</v>
      </c>
      <c r="GS569" s="5" t="s">
        <v>234</v>
      </c>
      <c r="GT569" s="5" t="s">
        <v>234</v>
      </c>
      <c r="GU569" s="5" t="s">
        <v>933</v>
      </c>
      <c r="GV569" s="5" t="str">
        <f>TEXT("6293498827117511716","0")</f>
        <v>6293498827117510000</v>
      </c>
    </row>
    <row r="570" spans="1:204" ht="15.75" customHeight="1" x14ac:dyDescent="0.15">
      <c r="A570" s="1">
        <f t="shared" si="1785"/>
        <v>570</v>
      </c>
      <c r="B570" s="4">
        <v>45864.522581018522</v>
      </c>
      <c r="C570" s="5" t="s">
        <v>204</v>
      </c>
      <c r="D570" s="5" t="s">
        <v>204</v>
      </c>
      <c r="E570" s="5" t="s">
        <v>335</v>
      </c>
      <c r="F570" s="5" t="s">
        <v>206</v>
      </c>
      <c r="G570" s="5" t="s">
        <v>206</v>
      </c>
      <c r="H570" s="5" t="s">
        <v>206</v>
      </c>
      <c r="J570" s="5" t="s">
        <v>209</v>
      </c>
      <c r="K570" s="5" t="s">
        <v>237</v>
      </c>
      <c r="Q570" s="5" t="s">
        <v>236</v>
      </c>
      <c r="T570" s="5" t="s">
        <v>209</v>
      </c>
      <c r="Y570" s="5" t="s">
        <v>209</v>
      </c>
      <c r="AD570" s="5" t="s">
        <v>209</v>
      </c>
      <c r="AH570" s="5" t="s">
        <v>210</v>
      </c>
      <c r="AI570" s="5">
        <v>2021</v>
      </c>
      <c r="AJ570" s="5" t="s">
        <v>238</v>
      </c>
      <c r="AK570" s="5" t="str">
        <f t="shared" si="1786"/>
        <v>Trabajadora por cuenta propia</v>
      </c>
      <c r="AL570" s="5" t="s">
        <v>239</v>
      </c>
      <c r="AP570" s="5" t="s">
        <v>284</v>
      </c>
      <c r="AR570" s="5" t="s">
        <v>294</v>
      </c>
      <c r="AS570" s="5" t="s">
        <v>241</v>
      </c>
      <c r="AT570" s="5" t="s">
        <v>301</v>
      </c>
      <c r="AU570" s="5" t="s">
        <v>301</v>
      </c>
      <c r="AV570" s="5" t="s">
        <v>285</v>
      </c>
      <c r="AW570" s="5" t="s">
        <v>204</v>
      </c>
      <c r="AX570" s="5" t="s">
        <v>204</v>
      </c>
      <c r="AY570" s="5" t="s">
        <v>366</v>
      </c>
      <c r="AZ570" s="5" t="s">
        <v>204</v>
      </c>
      <c r="BA570" s="5" t="s">
        <v>295</v>
      </c>
      <c r="BB570" s="5" t="s">
        <v>206</v>
      </c>
      <c r="BC570" s="5" t="s">
        <v>206</v>
      </c>
      <c r="BD570" s="5" t="s">
        <v>206</v>
      </c>
      <c r="BE570" s="5" t="s">
        <v>206</v>
      </c>
      <c r="BF570" s="5" t="s">
        <v>204</v>
      </c>
      <c r="BG570" s="5" t="s">
        <v>207</v>
      </c>
      <c r="BH570" s="5" t="s">
        <v>278</v>
      </c>
      <c r="BI570" s="5" t="s">
        <v>278</v>
      </c>
      <c r="BJ570" s="5" t="s">
        <v>278</v>
      </c>
      <c r="BK570" s="5" t="s">
        <v>216</v>
      </c>
      <c r="BL570" s="5" t="s">
        <v>246</v>
      </c>
      <c r="BM570" s="5" t="s">
        <v>216</v>
      </c>
      <c r="BN570" s="5" t="s">
        <v>243</v>
      </c>
      <c r="BO570" s="5" t="s">
        <v>244</v>
      </c>
      <c r="BP570" s="5" t="s">
        <v>216</v>
      </c>
      <c r="BQ570" s="5" t="s">
        <v>244</v>
      </c>
      <c r="BR570" s="5" t="s">
        <v>216</v>
      </c>
      <c r="BS570" s="5" t="s">
        <v>254</v>
      </c>
      <c r="BT570" s="5" t="s">
        <v>254</v>
      </c>
      <c r="BU570" s="5" t="s">
        <v>254</v>
      </c>
      <c r="BV570" s="5" t="s">
        <v>247</v>
      </c>
      <c r="BW570" s="5" t="s">
        <v>247</v>
      </c>
      <c r="BX570" s="5" t="s">
        <v>254</v>
      </c>
      <c r="BY570" s="5" t="s">
        <v>247</v>
      </c>
      <c r="BZ570" s="5" t="s">
        <v>244</v>
      </c>
      <c r="CA570" s="5" t="s">
        <v>246</v>
      </c>
      <c r="CB570" s="5" t="s">
        <v>216</v>
      </c>
      <c r="CC570" s="5" t="s">
        <v>246</v>
      </c>
      <c r="CD570" s="5" t="s">
        <v>204</v>
      </c>
      <c r="CE570" s="5" t="s">
        <v>286</v>
      </c>
      <c r="CF570" s="5" t="s">
        <v>279</v>
      </c>
      <c r="CG570" s="5" t="s">
        <v>206</v>
      </c>
      <c r="CH570" s="5" t="s">
        <v>310</v>
      </c>
      <c r="CI570" s="5" t="s">
        <v>307</v>
      </c>
      <c r="CJ570" s="5">
        <v>4</v>
      </c>
      <c r="CK570" s="5" t="s">
        <v>223</v>
      </c>
      <c r="CU570" s="5" t="s">
        <v>206</v>
      </c>
      <c r="DA570" s="5" t="s">
        <v>272</v>
      </c>
      <c r="DB570" s="5">
        <f t="shared" si="1787"/>
        <v>1</v>
      </c>
      <c r="DC570" s="5" t="s">
        <v>251</v>
      </c>
      <c r="DD570" s="5">
        <f t="shared" si="1788"/>
        <v>1</v>
      </c>
      <c r="DE570" s="5" t="s">
        <v>251</v>
      </c>
      <c r="DF570" s="5">
        <f t="shared" si="1789"/>
        <v>1</v>
      </c>
      <c r="DG570" s="5" t="s">
        <v>251</v>
      </c>
      <c r="DH570" s="5">
        <f t="shared" si="1790"/>
        <v>1</v>
      </c>
      <c r="DI570" s="5" t="s">
        <v>251</v>
      </c>
      <c r="DJ570" s="5">
        <f t="shared" si="1791"/>
        <v>1</v>
      </c>
      <c r="DK570" s="5" t="s">
        <v>251</v>
      </c>
      <c r="DL570" s="5">
        <f t="shared" si="1792"/>
        <v>1</v>
      </c>
      <c r="DM570" s="5" t="s">
        <v>251</v>
      </c>
      <c r="DN570" s="5">
        <f t="shared" si="1793"/>
        <v>1</v>
      </c>
      <c r="DO570" s="5" t="s">
        <v>231</v>
      </c>
      <c r="DP570" s="5">
        <f t="shared" si="1794"/>
        <v>2</v>
      </c>
      <c r="DQ570" s="5" t="s">
        <v>231</v>
      </c>
      <c r="DR570" s="5">
        <f t="shared" si="1795"/>
        <v>2</v>
      </c>
      <c r="DS570" s="5" t="s">
        <v>252</v>
      </c>
      <c r="DT570" s="5">
        <f t="shared" si="1796"/>
        <v>3</v>
      </c>
      <c r="DU570" s="5" t="s">
        <v>281</v>
      </c>
      <c r="DV570" s="5">
        <f t="shared" si="1797"/>
        <v>1</v>
      </c>
      <c r="DW570" s="5" t="s">
        <v>231</v>
      </c>
      <c r="DX570" s="5">
        <f t="shared" si="1798"/>
        <v>2</v>
      </c>
      <c r="DY570" s="5">
        <f t="shared" si="1799"/>
        <v>17</v>
      </c>
      <c r="DZ570" s="5" t="str">
        <f t="shared" si="1800"/>
        <v>Nivel de riesgo bajo</v>
      </c>
      <c r="EA570" s="5" t="s">
        <v>253</v>
      </c>
      <c r="EB570" s="5">
        <f t="shared" si="1801"/>
        <v>0</v>
      </c>
      <c r="EC570" s="5" t="s">
        <v>254</v>
      </c>
      <c r="ED570" s="5">
        <f t="shared" si="1802"/>
        <v>4</v>
      </c>
      <c r="EE570" s="5" t="s">
        <v>253</v>
      </c>
      <c r="EF570" s="5">
        <f t="shared" si="1803"/>
        <v>0</v>
      </c>
      <c r="EG570" s="5">
        <f t="shared" si="1804"/>
        <v>4</v>
      </c>
      <c r="EH570" s="5" t="str">
        <f t="shared" si="1805"/>
        <v>Nivel de riesgo medio</v>
      </c>
      <c r="EI570" s="5" t="s">
        <v>248</v>
      </c>
      <c r="EJ570" s="5">
        <f t="shared" si="1806"/>
        <v>1</v>
      </c>
      <c r="EK570" s="5" t="s">
        <v>248</v>
      </c>
      <c r="EL570" s="5">
        <f t="shared" si="1807"/>
        <v>1</v>
      </c>
      <c r="EM570" s="5" t="s">
        <v>248</v>
      </c>
      <c r="EN570" s="5">
        <f t="shared" si="1808"/>
        <v>1</v>
      </c>
      <c r="EO570" s="5">
        <f t="shared" si="1809"/>
        <v>3</v>
      </c>
      <c r="EP570" s="5" t="str">
        <f t="shared" si="1810"/>
        <v>Nivel de riesgo medio</v>
      </c>
      <c r="EQ570" s="5" t="s">
        <v>248</v>
      </c>
      <c r="ER570" s="5">
        <f t="shared" si="1811"/>
        <v>3</v>
      </c>
      <c r="ES570" s="5" t="s">
        <v>253</v>
      </c>
      <c r="ET570" s="5">
        <f t="shared" si="1812"/>
        <v>4</v>
      </c>
      <c r="EU570" s="5" t="s">
        <v>254</v>
      </c>
      <c r="EV570" s="5">
        <f t="shared" si="1813"/>
        <v>0</v>
      </c>
      <c r="EW570" s="5" t="s">
        <v>254</v>
      </c>
      <c r="EX570" s="5">
        <f t="shared" si="1814"/>
        <v>0</v>
      </c>
      <c r="EY570" s="5">
        <f t="shared" si="1815"/>
        <v>7</v>
      </c>
      <c r="EZ570" s="5" t="str">
        <f t="shared" si="1816"/>
        <v>Nivel de riesgo alto</v>
      </c>
      <c r="FA570" s="5" t="s">
        <v>253</v>
      </c>
      <c r="FB570" s="5">
        <f t="shared" si="1817"/>
        <v>0</v>
      </c>
      <c r="FC570" s="5" t="s">
        <v>253</v>
      </c>
      <c r="FD570" s="5">
        <f t="shared" si="1818"/>
        <v>0</v>
      </c>
      <c r="FE570" s="5" t="s">
        <v>253</v>
      </c>
      <c r="FF570" s="5">
        <f t="shared" si="1819"/>
        <v>0</v>
      </c>
      <c r="FG570" s="5">
        <f t="shared" si="1820"/>
        <v>0</v>
      </c>
      <c r="FH570" s="5" t="str">
        <f t="shared" si="1821"/>
        <v>Nivel de riesgo bajo</v>
      </c>
      <c r="FI570" s="5" t="s">
        <v>248</v>
      </c>
      <c r="FJ570" s="5">
        <f t="shared" si="1822"/>
        <v>1</v>
      </c>
      <c r="FK570" s="5" t="s">
        <v>253</v>
      </c>
      <c r="FL570" s="5">
        <f t="shared" si="1823"/>
        <v>0</v>
      </c>
      <c r="FM570" s="5" t="s">
        <v>253</v>
      </c>
      <c r="FN570" s="5">
        <f t="shared" si="1824"/>
        <v>0</v>
      </c>
      <c r="FO570" s="5">
        <f t="shared" si="1825"/>
        <v>1</v>
      </c>
      <c r="FP570" s="5" t="str">
        <f t="shared" si="1826"/>
        <v>Nivel de riesgo bajo</v>
      </c>
      <c r="FQ570" s="5" t="s">
        <v>206</v>
      </c>
      <c r="FR570" s="5">
        <f t="shared" si="1827"/>
        <v>0</v>
      </c>
      <c r="FS570" s="5" t="s">
        <v>206</v>
      </c>
      <c r="FT570" s="5">
        <f t="shared" si="1828"/>
        <v>0</v>
      </c>
      <c r="FU570" s="5" t="s">
        <v>206</v>
      </c>
      <c r="FV570" s="5">
        <f t="shared" si="1829"/>
        <v>0</v>
      </c>
      <c r="FW570" s="5" t="s">
        <v>206</v>
      </c>
      <c r="FX570" s="5">
        <f t="shared" si="1830"/>
        <v>0</v>
      </c>
      <c r="FY570" s="5" t="s">
        <v>206</v>
      </c>
      <c r="FZ570" s="5">
        <f t="shared" si="1831"/>
        <v>0</v>
      </c>
      <c r="GA570" s="5" t="s">
        <v>206</v>
      </c>
      <c r="GB570" s="5">
        <f t="shared" si="1832"/>
        <v>0</v>
      </c>
      <c r="GC570" s="5" t="s">
        <v>206</v>
      </c>
      <c r="GD570" s="5">
        <f t="shared" si="1833"/>
        <v>0</v>
      </c>
      <c r="GE570" s="5">
        <f t="shared" si="1834"/>
        <v>0</v>
      </c>
      <c r="GF570" s="5" t="str">
        <f t="shared" si="1835"/>
        <v>Nivel de riesgo bajo</v>
      </c>
      <c r="GG570" s="5" t="s">
        <v>255</v>
      </c>
      <c r="GH570" s="5" t="s">
        <v>255</v>
      </c>
      <c r="GI570" s="5" t="s">
        <v>273</v>
      </c>
      <c r="GJ570" s="5" t="s">
        <v>266</v>
      </c>
      <c r="GK570" s="5" t="s">
        <v>298</v>
      </c>
      <c r="GL570" s="5" t="s">
        <v>273</v>
      </c>
      <c r="GM570" s="5" t="s">
        <v>233</v>
      </c>
      <c r="GN570" s="5" t="s">
        <v>256</v>
      </c>
      <c r="GO570" s="5" t="s">
        <v>256</v>
      </c>
      <c r="GP570" s="5" t="s">
        <v>257</v>
      </c>
      <c r="GQ570" s="5" t="s">
        <v>257</v>
      </c>
      <c r="GR570" s="5" t="s">
        <v>257</v>
      </c>
      <c r="GS570" s="5" t="s">
        <v>257</v>
      </c>
      <c r="GT570" s="5" t="s">
        <v>256</v>
      </c>
      <c r="GU570" s="5" t="s">
        <v>713</v>
      </c>
      <c r="GV570" s="5" t="str">
        <f>TEXT("6293567518216569060","0")</f>
        <v>6293567518216560000</v>
      </c>
    </row>
    <row r="571" spans="1:204" ht="15.75" customHeight="1" x14ac:dyDescent="0.15">
      <c r="A571" s="1">
        <f t="shared" si="1785"/>
        <v>571</v>
      </c>
      <c r="B571" s="4">
        <v>45864.532581018517</v>
      </c>
      <c r="C571" s="5" t="s">
        <v>204</v>
      </c>
      <c r="D571" s="5" t="s">
        <v>206</v>
      </c>
      <c r="F571" s="5" t="s">
        <v>204</v>
      </c>
      <c r="G571" s="5" t="s">
        <v>204</v>
      </c>
      <c r="H571" s="5" t="s">
        <v>204</v>
      </c>
      <c r="I571" s="5" t="s">
        <v>208</v>
      </c>
      <c r="N571" s="5" t="s">
        <v>208</v>
      </c>
      <c r="S571" s="5" t="s">
        <v>208</v>
      </c>
      <c r="X571" s="5" t="s">
        <v>208</v>
      </c>
      <c r="AC571" s="5" t="s">
        <v>208</v>
      </c>
      <c r="AH571" s="5" t="s">
        <v>268</v>
      </c>
      <c r="AI571" s="5">
        <v>2015</v>
      </c>
      <c r="AJ571" s="5" t="s">
        <v>238</v>
      </c>
      <c r="AK571" s="5" t="str">
        <f t="shared" si="1786"/>
        <v>Trabajadora por cuenta propia</v>
      </c>
      <c r="AM571" s="5" t="s">
        <v>309</v>
      </c>
      <c r="AP571" s="5" t="s">
        <v>240</v>
      </c>
      <c r="AR571" s="5" t="s">
        <v>241</v>
      </c>
      <c r="AS571" s="5" t="s">
        <v>241</v>
      </c>
      <c r="AT571" s="5" t="s">
        <v>301</v>
      </c>
      <c r="AU571" s="5" t="s">
        <v>301</v>
      </c>
      <c r="AV571" s="5" t="s">
        <v>285</v>
      </c>
      <c r="AW571" s="5" t="s">
        <v>204</v>
      </c>
      <c r="AX571" s="5" t="s">
        <v>206</v>
      </c>
      <c r="BF571" s="5" t="s">
        <v>204</v>
      </c>
      <c r="BG571" s="5" t="s">
        <v>264</v>
      </c>
      <c r="BH571" s="5" t="s">
        <v>242</v>
      </c>
      <c r="BI571" s="5" t="s">
        <v>207</v>
      </c>
      <c r="BJ571" s="5" t="s">
        <v>207</v>
      </c>
      <c r="BK571" s="5" t="s">
        <v>245</v>
      </c>
      <c r="BL571" s="5" t="s">
        <v>245</v>
      </c>
      <c r="BM571" s="5" t="s">
        <v>245</v>
      </c>
      <c r="BN571" s="5" t="s">
        <v>246</v>
      </c>
      <c r="BO571" s="5" t="s">
        <v>216</v>
      </c>
      <c r="BP571" s="5" t="s">
        <v>246</v>
      </c>
      <c r="BQ571" s="5" t="s">
        <v>244</v>
      </c>
      <c r="BR571" s="5" t="s">
        <v>216</v>
      </c>
      <c r="BS571" s="5" t="s">
        <v>254</v>
      </c>
      <c r="BT571" s="5" t="s">
        <v>247</v>
      </c>
      <c r="BU571" s="5" t="s">
        <v>232</v>
      </c>
      <c r="BV571" s="5" t="s">
        <v>248</v>
      </c>
      <c r="BW571" s="5" t="s">
        <v>232</v>
      </c>
      <c r="BX571" s="5" t="s">
        <v>217</v>
      </c>
      <c r="BY571" s="5" t="s">
        <v>254</v>
      </c>
      <c r="BZ571" s="5" t="s">
        <v>216</v>
      </c>
      <c r="CA571" s="5" t="s">
        <v>243</v>
      </c>
      <c r="CB571" s="5" t="s">
        <v>243</v>
      </c>
      <c r="CC571" s="5" t="s">
        <v>243</v>
      </c>
      <c r="CD571" s="5" t="s">
        <v>206</v>
      </c>
      <c r="CH571" s="5" t="s">
        <v>206</v>
      </c>
      <c r="CI571" s="5" t="s">
        <v>206</v>
      </c>
      <c r="CJ571" s="5">
        <v>2</v>
      </c>
      <c r="CK571" s="5" t="s">
        <v>223</v>
      </c>
      <c r="CU571" s="5" t="s">
        <v>206</v>
      </c>
      <c r="DA571" s="5" t="s">
        <v>272</v>
      </c>
      <c r="DB571" s="5">
        <f t="shared" si="1787"/>
        <v>1</v>
      </c>
      <c r="DC571" s="5" t="s">
        <v>251</v>
      </c>
      <c r="DD571" s="5">
        <f t="shared" si="1788"/>
        <v>1</v>
      </c>
      <c r="DE571" s="5" t="s">
        <v>251</v>
      </c>
      <c r="DF571" s="5">
        <f t="shared" si="1789"/>
        <v>1</v>
      </c>
      <c r="DG571" s="5" t="s">
        <v>230</v>
      </c>
      <c r="DH571" s="5">
        <f t="shared" si="1790"/>
        <v>2</v>
      </c>
      <c r="DI571" s="5" t="s">
        <v>250</v>
      </c>
      <c r="DJ571" s="5">
        <f t="shared" si="1791"/>
        <v>3</v>
      </c>
      <c r="DK571" s="5" t="s">
        <v>250</v>
      </c>
      <c r="DL571" s="5">
        <f t="shared" si="1792"/>
        <v>3</v>
      </c>
      <c r="DM571" s="5" t="s">
        <v>251</v>
      </c>
      <c r="DN571" s="5">
        <f t="shared" si="1793"/>
        <v>1</v>
      </c>
      <c r="DO571" s="5" t="s">
        <v>281</v>
      </c>
      <c r="DP571" s="5">
        <f t="shared" si="1794"/>
        <v>1</v>
      </c>
      <c r="DQ571" s="5" t="s">
        <v>252</v>
      </c>
      <c r="DR571" s="5">
        <f t="shared" si="1795"/>
        <v>3</v>
      </c>
      <c r="DS571" s="5" t="s">
        <v>281</v>
      </c>
      <c r="DT571" s="5">
        <f t="shared" si="1796"/>
        <v>1</v>
      </c>
      <c r="DU571" s="5" t="s">
        <v>281</v>
      </c>
      <c r="DV571" s="5">
        <f t="shared" si="1797"/>
        <v>1</v>
      </c>
      <c r="DW571" s="5" t="s">
        <v>281</v>
      </c>
      <c r="DX571" s="5">
        <f t="shared" si="1798"/>
        <v>1</v>
      </c>
      <c r="DY571" s="5">
        <f t="shared" si="1799"/>
        <v>19</v>
      </c>
      <c r="DZ571" s="5" t="str">
        <f t="shared" si="1800"/>
        <v>Nivel de riesgo medio</v>
      </c>
      <c r="EA571" s="5" t="s">
        <v>232</v>
      </c>
      <c r="EB571" s="5">
        <f t="shared" si="1801"/>
        <v>3</v>
      </c>
      <c r="EC571" s="5" t="s">
        <v>254</v>
      </c>
      <c r="ED571" s="5">
        <f t="shared" si="1802"/>
        <v>4</v>
      </c>
      <c r="EE571" s="5" t="s">
        <v>247</v>
      </c>
      <c r="EF571" s="5">
        <f t="shared" si="1803"/>
        <v>2</v>
      </c>
      <c r="EG571" s="5">
        <f t="shared" si="1804"/>
        <v>9</v>
      </c>
      <c r="EH571" s="5" t="str">
        <f t="shared" si="1805"/>
        <v>Nivel de riesgo alto</v>
      </c>
      <c r="EI571" s="5" t="s">
        <v>248</v>
      </c>
      <c r="EJ571" s="5">
        <f t="shared" si="1806"/>
        <v>1</v>
      </c>
      <c r="EK571" s="5" t="s">
        <v>253</v>
      </c>
      <c r="EL571" s="5">
        <f t="shared" si="1807"/>
        <v>0</v>
      </c>
      <c r="EM571" s="5" t="s">
        <v>247</v>
      </c>
      <c r="EN571" s="5">
        <f t="shared" si="1808"/>
        <v>2</v>
      </c>
      <c r="EO571" s="5">
        <f t="shared" si="1809"/>
        <v>3</v>
      </c>
      <c r="EP571" s="5" t="str">
        <f t="shared" si="1810"/>
        <v>Nivel de riesgo medio</v>
      </c>
      <c r="EQ571" s="5" t="s">
        <v>247</v>
      </c>
      <c r="ER571" s="5">
        <f t="shared" si="1811"/>
        <v>2</v>
      </c>
      <c r="ES571" s="5" t="s">
        <v>232</v>
      </c>
      <c r="ET571" s="5">
        <f t="shared" si="1812"/>
        <v>1</v>
      </c>
      <c r="EU571" s="5" t="s">
        <v>254</v>
      </c>
      <c r="EV571" s="5">
        <f t="shared" si="1813"/>
        <v>0</v>
      </c>
      <c r="EW571" s="5" t="s">
        <v>247</v>
      </c>
      <c r="EX571" s="5">
        <f t="shared" si="1814"/>
        <v>2</v>
      </c>
      <c r="EY571" s="5">
        <f t="shared" si="1815"/>
        <v>5</v>
      </c>
      <c r="EZ571" s="5" t="str">
        <f t="shared" si="1816"/>
        <v>Nivel de riesgo alto</v>
      </c>
      <c r="FA571" s="5" t="s">
        <v>253</v>
      </c>
      <c r="FB571" s="5">
        <f t="shared" si="1817"/>
        <v>0</v>
      </c>
      <c r="FC571" s="5" t="s">
        <v>232</v>
      </c>
      <c r="FD571" s="5">
        <f t="shared" si="1818"/>
        <v>3</v>
      </c>
      <c r="FE571" s="5" t="s">
        <v>254</v>
      </c>
      <c r="FF571" s="5">
        <f t="shared" si="1819"/>
        <v>4</v>
      </c>
      <c r="FG571" s="5">
        <f t="shared" si="1820"/>
        <v>7</v>
      </c>
      <c r="FH571" s="5" t="str">
        <f t="shared" si="1821"/>
        <v>Nivel de riesgo alto</v>
      </c>
      <c r="FI571" s="5" t="s">
        <v>248</v>
      </c>
      <c r="FJ571" s="5">
        <f t="shared" si="1822"/>
        <v>1</v>
      </c>
      <c r="FK571" s="5" t="s">
        <v>232</v>
      </c>
      <c r="FL571" s="5">
        <f t="shared" si="1823"/>
        <v>3</v>
      </c>
      <c r="FM571" s="5" t="s">
        <v>247</v>
      </c>
      <c r="FN571" s="5">
        <f t="shared" si="1824"/>
        <v>2</v>
      </c>
      <c r="FO571" s="5">
        <f t="shared" si="1825"/>
        <v>6</v>
      </c>
      <c r="FP571" s="5" t="str">
        <f t="shared" si="1826"/>
        <v>Nivel de riesgo alto</v>
      </c>
      <c r="FQ571" s="5" t="s">
        <v>206</v>
      </c>
      <c r="FR571" s="5">
        <f t="shared" si="1827"/>
        <v>0</v>
      </c>
      <c r="FS571" s="5" t="s">
        <v>206</v>
      </c>
      <c r="FT571" s="5">
        <f t="shared" si="1828"/>
        <v>0</v>
      </c>
      <c r="FU571" s="5" t="s">
        <v>206</v>
      </c>
      <c r="FV571" s="5">
        <f t="shared" si="1829"/>
        <v>0</v>
      </c>
      <c r="FW571" s="5" t="s">
        <v>206</v>
      </c>
      <c r="FX571" s="5">
        <f t="shared" si="1830"/>
        <v>0</v>
      </c>
      <c r="FY571" s="5" t="s">
        <v>265</v>
      </c>
      <c r="FZ571" s="5">
        <f t="shared" si="1831"/>
        <v>1</v>
      </c>
      <c r="GA571" s="5" t="s">
        <v>206</v>
      </c>
      <c r="GB571" s="5">
        <f t="shared" si="1832"/>
        <v>0</v>
      </c>
      <c r="GC571" s="5" t="s">
        <v>325</v>
      </c>
      <c r="GD571" s="5">
        <f t="shared" si="1833"/>
        <v>2</v>
      </c>
      <c r="GE571" s="5">
        <f t="shared" si="1834"/>
        <v>3</v>
      </c>
      <c r="GF571" s="5" t="str">
        <f t="shared" si="1835"/>
        <v>Nivel de riesgo medio</v>
      </c>
      <c r="GG571" s="5" t="s">
        <v>233</v>
      </c>
      <c r="GH571" s="5" t="s">
        <v>266</v>
      </c>
      <c r="GI571" s="5" t="s">
        <v>255</v>
      </c>
      <c r="GJ571" s="5" t="s">
        <v>273</v>
      </c>
      <c r="GK571" s="5" t="s">
        <v>233</v>
      </c>
      <c r="GL571" s="5" t="s">
        <v>233</v>
      </c>
      <c r="GM571" s="5" t="s">
        <v>233</v>
      </c>
      <c r="GN571" s="5" t="s">
        <v>234</v>
      </c>
      <c r="GO571" s="5" t="s">
        <v>244</v>
      </c>
      <c r="GP571" s="5" t="s">
        <v>234</v>
      </c>
      <c r="GQ571" s="5" t="s">
        <v>257</v>
      </c>
      <c r="GR571" s="5" t="s">
        <v>234</v>
      </c>
      <c r="GS571" s="5" t="s">
        <v>257</v>
      </c>
      <c r="GT571" s="5" t="s">
        <v>244</v>
      </c>
      <c r="GU571" s="5" t="s">
        <v>934</v>
      </c>
      <c r="GV571" s="5" t="str">
        <f>TEXT("6293576154029574809","0")</f>
        <v>6293576154029570000</v>
      </c>
    </row>
    <row r="572" spans="1:204" ht="15.75" customHeight="1" x14ac:dyDescent="0.15">
      <c r="A572" s="1">
        <f t="shared" si="1785"/>
        <v>572</v>
      </c>
      <c r="B572" s="4">
        <v>45864.659062500003</v>
      </c>
      <c r="C572" s="5" t="s">
        <v>204</v>
      </c>
      <c r="D572" s="5" t="s">
        <v>206</v>
      </c>
      <c r="F572" s="5" t="s">
        <v>206</v>
      </c>
      <c r="G572" s="5" t="s">
        <v>204</v>
      </c>
      <c r="H572" s="5" t="s">
        <v>206</v>
      </c>
      <c r="J572" s="5" t="s">
        <v>209</v>
      </c>
      <c r="P572" s="5" t="s">
        <v>237</v>
      </c>
      <c r="S572" s="5" t="s">
        <v>208</v>
      </c>
      <c r="X572" s="5" t="s">
        <v>208</v>
      </c>
      <c r="AC572" s="5" t="s">
        <v>208</v>
      </c>
      <c r="AH572" s="5" t="s">
        <v>275</v>
      </c>
      <c r="AI572" s="5">
        <v>1998</v>
      </c>
      <c r="AJ572" s="5" t="s">
        <v>238</v>
      </c>
      <c r="AK572" s="5" t="str">
        <f t="shared" si="1786"/>
        <v>Trabajadora por cuenta propia</v>
      </c>
      <c r="AL572" s="5" t="s">
        <v>239</v>
      </c>
      <c r="AP572" s="5" t="s">
        <v>284</v>
      </c>
      <c r="AR572" s="5" t="s">
        <v>241</v>
      </c>
      <c r="AS572" s="5" t="s">
        <v>241</v>
      </c>
      <c r="AT572" s="5" t="s">
        <v>261</v>
      </c>
      <c r="AU572" s="5" t="s">
        <v>241</v>
      </c>
      <c r="AV572" s="5" t="s">
        <v>317</v>
      </c>
      <c r="AW572" s="5" t="s">
        <v>204</v>
      </c>
      <c r="AX572" s="5" t="s">
        <v>204</v>
      </c>
      <c r="AY572" s="5" t="s">
        <v>214</v>
      </c>
      <c r="AZ572" s="5" t="s">
        <v>204</v>
      </c>
      <c r="BA572" s="5" t="s">
        <v>289</v>
      </c>
      <c r="BB572" s="5" t="s">
        <v>204</v>
      </c>
      <c r="BC572" s="5" t="s">
        <v>204</v>
      </c>
      <c r="BD572" s="5" t="s">
        <v>290</v>
      </c>
      <c r="BE572" s="5" t="s">
        <v>204</v>
      </c>
      <c r="BF572" s="5" t="s">
        <v>204</v>
      </c>
      <c r="BG572" s="5" t="s">
        <v>215</v>
      </c>
      <c r="BH572" s="5" t="s">
        <v>207</v>
      </c>
      <c r="BI572" s="5" t="s">
        <v>207</v>
      </c>
      <c r="BJ572" s="5" t="s">
        <v>207</v>
      </c>
      <c r="BK572" s="5" t="s">
        <v>244</v>
      </c>
      <c r="BL572" s="5" t="s">
        <v>244</v>
      </c>
      <c r="BM572" s="5" t="s">
        <v>244</v>
      </c>
      <c r="BN572" s="5" t="s">
        <v>244</v>
      </c>
      <c r="BO572" s="5" t="s">
        <v>244</v>
      </c>
      <c r="BP572" s="5" t="s">
        <v>244</v>
      </c>
      <c r="BQ572" s="5" t="s">
        <v>244</v>
      </c>
      <c r="BR572" s="5" t="s">
        <v>244</v>
      </c>
      <c r="BS572" s="5" t="s">
        <v>217</v>
      </c>
      <c r="BT572" s="5" t="s">
        <v>217</v>
      </c>
      <c r="BU572" s="5" t="s">
        <v>247</v>
      </c>
      <c r="BV572" s="5" t="s">
        <v>217</v>
      </c>
      <c r="BW572" s="5" t="s">
        <v>217</v>
      </c>
      <c r="BX572" s="5" t="s">
        <v>247</v>
      </c>
      <c r="BY572" s="5" t="s">
        <v>247</v>
      </c>
      <c r="BZ572" s="5" t="s">
        <v>216</v>
      </c>
      <c r="CA572" s="5" t="s">
        <v>216</v>
      </c>
      <c r="CB572" s="5" t="s">
        <v>216</v>
      </c>
      <c r="CC572" s="5" t="s">
        <v>216</v>
      </c>
      <c r="CD572" s="5" t="s">
        <v>206</v>
      </c>
      <c r="CH572" s="5" t="s">
        <v>206</v>
      </c>
      <c r="CI572" s="5" t="s">
        <v>206</v>
      </c>
      <c r="CJ572" s="5">
        <v>0</v>
      </c>
      <c r="CK572" s="5" t="s">
        <v>223</v>
      </c>
      <c r="CU572" s="5" t="s">
        <v>206</v>
      </c>
      <c r="DA572" s="5" t="s">
        <v>231</v>
      </c>
      <c r="DB572" s="5">
        <f t="shared" si="1787"/>
        <v>2</v>
      </c>
      <c r="DC572" s="5" t="s">
        <v>230</v>
      </c>
      <c r="DD572" s="5">
        <f t="shared" si="1788"/>
        <v>2</v>
      </c>
      <c r="DE572" s="5" t="s">
        <v>251</v>
      </c>
      <c r="DF572" s="5">
        <f t="shared" si="1789"/>
        <v>1</v>
      </c>
      <c r="DG572" s="5" t="s">
        <v>251</v>
      </c>
      <c r="DH572" s="5">
        <f t="shared" si="1790"/>
        <v>1</v>
      </c>
      <c r="DI572" s="5" t="s">
        <v>230</v>
      </c>
      <c r="DJ572" s="5">
        <f t="shared" si="1791"/>
        <v>2</v>
      </c>
      <c r="DK572" s="5" t="s">
        <v>251</v>
      </c>
      <c r="DL572" s="5">
        <f t="shared" si="1792"/>
        <v>1</v>
      </c>
      <c r="DM572" s="5" t="s">
        <v>251</v>
      </c>
      <c r="DN572" s="5">
        <f t="shared" si="1793"/>
        <v>1</v>
      </c>
      <c r="DO572" s="5" t="s">
        <v>231</v>
      </c>
      <c r="DP572" s="5">
        <f t="shared" si="1794"/>
        <v>2</v>
      </c>
      <c r="DQ572" s="5" t="s">
        <v>281</v>
      </c>
      <c r="DR572" s="5">
        <f t="shared" si="1795"/>
        <v>1</v>
      </c>
      <c r="DS572" s="5" t="s">
        <v>231</v>
      </c>
      <c r="DT572" s="5">
        <f t="shared" si="1796"/>
        <v>2</v>
      </c>
      <c r="DU572" s="5" t="s">
        <v>231</v>
      </c>
      <c r="DV572" s="5">
        <f t="shared" si="1797"/>
        <v>2</v>
      </c>
      <c r="DW572" s="5" t="s">
        <v>281</v>
      </c>
      <c r="DX572" s="5">
        <f t="shared" si="1798"/>
        <v>1</v>
      </c>
      <c r="DY572" s="5">
        <f t="shared" si="1799"/>
        <v>18</v>
      </c>
      <c r="DZ572" s="5" t="str">
        <f t="shared" si="1800"/>
        <v>Nivel de riesgo bajo</v>
      </c>
      <c r="EA572" s="5" t="s">
        <v>247</v>
      </c>
      <c r="EB572" s="5">
        <f t="shared" si="1801"/>
        <v>2</v>
      </c>
      <c r="EC572" s="5" t="s">
        <v>247</v>
      </c>
      <c r="ED572" s="5">
        <f t="shared" si="1802"/>
        <v>2</v>
      </c>
      <c r="EE572" s="5" t="s">
        <v>247</v>
      </c>
      <c r="EF572" s="5">
        <f t="shared" si="1803"/>
        <v>2</v>
      </c>
      <c r="EG572" s="5">
        <f t="shared" si="1804"/>
        <v>6</v>
      </c>
      <c r="EH572" s="5" t="str">
        <f t="shared" si="1805"/>
        <v>Nivel de riesgo alto</v>
      </c>
      <c r="EI572" s="5" t="s">
        <v>247</v>
      </c>
      <c r="EJ572" s="5">
        <f t="shared" si="1806"/>
        <v>2</v>
      </c>
      <c r="EK572" s="5" t="s">
        <v>247</v>
      </c>
      <c r="EL572" s="5">
        <f t="shared" si="1807"/>
        <v>2</v>
      </c>
      <c r="EM572" s="5" t="s">
        <v>247</v>
      </c>
      <c r="EN572" s="5">
        <f t="shared" si="1808"/>
        <v>2</v>
      </c>
      <c r="EO572" s="5">
        <f t="shared" si="1809"/>
        <v>6</v>
      </c>
      <c r="EP572" s="5" t="str">
        <f t="shared" si="1810"/>
        <v>Nivel de riesgo alto</v>
      </c>
      <c r="EQ572" s="5" t="s">
        <v>247</v>
      </c>
      <c r="ER572" s="5">
        <f t="shared" si="1811"/>
        <v>2</v>
      </c>
      <c r="ES572" s="5" t="s">
        <v>247</v>
      </c>
      <c r="ET572" s="5">
        <f t="shared" si="1812"/>
        <v>2</v>
      </c>
      <c r="EU572" s="5" t="s">
        <v>247</v>
      </c>
      <c r="EV572" s="5">
        <f t="shared" si="1813"/>
        <v>2</v>
      </c>
      <c r="EW572" s="5" t="s">
        <v>247</v>
      </c>
      <c r="EX572" s="5">
        <f t="shared" si="1814"/>
        <v>2</v>
      </c>
      <c r="EY572" s="5">
        <f t="shared" si="1815"/>
        <v>8</v>
      </c>
      <c r="EZ572" s="5" t="str">
        <f t="shared" si="1816"/>
        <v>Nivel de riesgo alto</v>
      </c>
      <c r="FA572" s="5" t="s">
        <v>247</v>
      </c>
      <c r="FB572" s="5">
        <f t="shared" si="1817"/>
        <v>2</v>
      </c>
      <c r="FC572" s="5" t="s">
        <v>247</v>
      </c>
      <c r="FD572" s="5">
        <f t="shared" si="1818"/>
        <v>2</v>
      </c>
      <c r="FE572" s="5" t="s">
        <v>247</v>
      </c>
      <c r="FF572" s="5">
        <f t="shared" si="1819"/>
        <v>2</v>
      </c>
      <c r="FG572" s="5">
        <f t="shared" si="1820"/>
        <v>6</v>
      </c>
      <c r="FH572" s="5" t="str">
        <f t="shared" si="1821"/>
        <v>Nivel de riesgo alto</v>
      </c>
      <c r="FI572" s="5" t="s">
        <v>247</v>
      </c>
      <c r="FJ572" s="5">
        <f t="shared" si="1822"/>
        <v>2</v>
      </c>
      <c r="FK572" s="5" t="s">
        <v>247</v>
      </c>
      <c r="FL572" s="5">
        <f t="shared" si="1823"/>
        <v>2</v>
      </c>
      <c r="FM572" s="5" t="s">
        <v>247</v>
      </c>
      <c r="FN572" s="5">
        <f t="shared" si="1824"/>
        <v>2</v>
      </c>
      <c r="FO572" s="5">
        <f t="shared" si="1825"/>
        <v>6</v>
      </c>
      <c r="FP572" s="5" t="str">
        <f t="shared" si="1826"/>
        <v>Nivel de riesgo alto</v>
      </c>
      <c r="FQ572" s="5" t="s">
        <v>206</v>
      </c>
      <c r="FR572" s="5">
        <f t="shared" si="1827"/>
        <v>0</v>
      </c>
      <c r="FS572" s="5" t="s">
        <v>206</v>
      </c>
      <c r="FT572" s="5">
        <f t="shared" si="1828"/>
        <v>0</v>
      </c>
      <c r="FU572" s="5" t="s">
        <v>206</v>
      </c>
      <c r="FV572" s="5">
        <f t="shared" si="1829"/>
        <v>0</v>
      </c>
      <c r="FW572" s="5" t="s">
        <v>206</v>
      </c>
      <c r="FX572" s="5">
        <f t="shared" si="1830"/>
        <v>0</v>
      </c>
      <c r="FY572" s="5" t="s">
        <v>206</v>
      </c>
      <c r="FZ572" s="5">
        <f t="shared" si="1831"/>
        <v>0</v>
      </c>
      <c r="GA572" s="5" t="s">
        <v>206</v>
      </c>
      <c r="GB572" s="5">
        <f t="shared" si="1832"/>
        <v>0</v>
      </c>
      <c r="GC572" s="5" t="s">
        <v>206</v>
      </c>
      <c r="GD572" s="5">
        <f t="shared" si="1833"/>
        <v>0</v>
      </c>
      <c r="GE572" s="5">
        <f t="shared" si="1834"/>
        <v>0</v>
      </c>
      <c r="GF572" s="5" t="str">
        <f t="shared" si="1835"/>
        <v>Nivel de riesgo bajo</v>
      </c>
      <c r="GG572" s="5" t="s">
        <v>255</v>
      </c>
      <c r="GH572" s="5" t="s">
        <v>266</v>
      </c>
      <c r="GI572" s="5" t="s">
        <v>255</v>
      </c>
      <c r="GJ572" s="5" t="s">
        <v>273</v>
      </c>
      <c r="GK572" s="5" t="s">
        <v>233</v>
      </c>
      <c r="GL572" s="5" t="s">
        <v>298</v>
      </c>
      <c r="GM572" s="5" t="s">
        <v>273</v>
      </c>
      <c r="GN572" s="5" t="s">
        <v>243</v>
      </c>
      <c r="GO572" s="5" t="s">
        <v>243</v>
      </c>
      <c r="GP572" s="5" t="s">
        <v>243</v>
      </c>
      <c r="GQ572" s="5" t="s">
        <v>243</v>
      </c>
      <c r="GR572" s="5" t="s">
        <v>243</v>
      </c>
      <c r="GS572" s="5" t="s">
        <v>243</v>
      </c>
      <c r="GT572" s="5" t="s">
        <v>256</v>
      </c>
      <c r="GU572" s="5" t="s">
        <v>935</v>
      </c>
      <c r="GV572" s="5" t="str">
        <f>TEXT("6293685438718024272","0")</f>
        <v>6293685438718020000</v>
      </c>
    </row>
    <row r="573" spans="1:204" ht="15.75" hidden="1" customHeight="1" x14ac:dyDescent="0.15">
      <c r="B573" s="4">
        <v>45864.887060185189</v>
      </c>
      <c r="C573" s="5" t="s">
        <v>204</v>
      </c>
      <c r="D573" s="5" t="s">
        <v>206</v>
      </c>
      <c r="F573" s="5" t="s">
        <v>206</v>
      </c>
      <c r="G573" s="5" t="s">
        <v>206</v>
      </c>
      <c r="H573" s="5" t="s">
        <v>204</v>
      </c>
      <c r="J573" s="5" t="s">
        <v>209</v>
      </c>
      <c r="O573" s="5" t="s">
        <v>209</v>
      </c>
      <c r="S573" s="5" t="s">
        <v>208</v>
      </c>
      <c r="Y573" s="5" t="s">
        <v>209</v>
      </c>
      <c r="AD573" s="5" t="s">
        <v>209</v>
      </c>
      <c r="AH573" s="5" t="s">
        <v>259</v>
      </c>
      <c r="AI573" s="5">
        <v>2023</v>
      </c>
      <c r="AJ573" s="5" t="s">
        <v>211</v>
      </c>
      <c r="AK573" s="5"/>
      <c r="AQ573" s="5" t="s">
        <v>206</v>
      </c>
      <c r="AR573" s="5" t="s">
        <v>241</v>
      </c>
      <c r="AS573" s="5" t="s">
        <v>241</v>
      </c>
      <c r="AT573" s="5" t="s">
        <v>241</v>
      </c>
      <c r="AU573" s="5" t="s">
        <v>301</v>
      </c>
      <c r="AV573" s="5" t="s">
        <v>269</v>
      </c>
      <c r="AW573" s="5" t="s">
        <v>204</v>
      </c>
      <c r="AX573" s="5" t="s">
        <v>206</v>
      </c>
      <c r="BF573" s="5" t="s">
        <v>204</v>
      </c>
      <c r="BG573" s="5" t="s">
        <v>207</v>
      </c>
      <c r="BH573" s="5" t="s">
        <v>278</v>
      </c>
      <c r="BI573" s="5" t="s">
        <v>207</v>
      </c>
      <c r="BJ573" s="5" t="s">
        <v>271</v>
      </c>
      <c r="BK573" s="5" t="s">
        <v>243</v>
      </c>
      <c r="BL573" s="5" t="s">
        <v>243</v>
      </c>
      <c r="BM573" s="5" t="s">
        <v>243</v>
      </c>
      <c r="BN573" s="5" t="s">
        <v>246</v>
      </c>
      <c r="BO573" s="5" t="s">
        <v>243</v>
      </c>
      <c r="BP573" s="5" t="s">
        <v>245</v>
      </c>
      <c r="BQ573" s="5" t="s">
        <v>244</v>
      </c>
      <c r="BR573" s="5" t="s">
        <v>246</v>
      </c>
      <c r="BS573" s="5" t="s">
        <v>247</v>
      </c>
      <c r="BT573" s="5" t="s">
        <v>247</v>
      </c>
      <c r="BU573" s="5" t="s">
        <v>232</v>
      </c>
      <c r="BV573" s="5" t="s">
        <v>247</v>
      </c>
      <c r="BW573" s="5" t="s">
        <v>248</v>
      </c>
      <c r="BX573" s="5" t="s">
        <v>247</v>
      </c>
      <c r="BY573" s="5" t="s">
        <v>248</v>
      </c>
      <c r="BZ573" s="5" t="s">
        <v>243</v>
      </c>
      <c r="CA573" s="5" t="s">
        <v>243</v>
      </c>
      <c r="CB573" s="5" t="s">
        <v>243</v>
      </c>
      <c r="CC573" s="5" t="s">
        <v>243</v>
      </c>
      <c r="CD573" s="5" t="s">
        <v>206</v>
      </c>
      <c r="CH573" s="5" t="s">
        <v>367</v>
      </c>
      <c r="CI573" s="5" t="s">
        <v>307</v>
      </c>
      <c r="CJ573" s="5">
        <v>2</v>
      </c>
      <c r="CK573" s="5" t="s">
        <v>223</v>
      </c>
      <c r="CU573" s="5" t="s">
        <v>206</v>
      </c>
      <c r="DA573" s="5" t="s">
        <v>272</v>
      </c>
      <c r="DB573" s="5"/>
      <c r="DC573" s="5" t="s">
        <v>230</v>
      </c>
      <c r="DD573" s="5"/>
      <c r="DE573" s="5" t="s">
        <v>230</v>
      </c>
      <c r="DF573" s="5"/>
      <c r="DG573" s="5" t="s">
        <v>230</v>
      </c>
      <c r="DH573" s="5"/>
      <c r="DI573" s="5" t="s">
        <v>230</v>
      </c>
      <c r="DJ573" s="5"/>
      <c r="DK573" s="5" t="s">
        <v>230</v>
      </c>
      <c r="DL573" s="5"/>
      <c r="DM573" s="5" t="s">
        <v>250</v>
      </c>
      <c r="DN573" s="5"/>
      <c r="DO573" s="5" t="s">
        <v>281</v>
      </c>
      <c r="DP573" s="5"/>
      <c r="DQ573" s="5" t="s">
        <v>231</v>
      </c>
      <c r="DR573" s="5"/>
      <c r="DS573" s="5" t="s">
        <v>231</v>
      </c>
      <c r="DT573" s="5"/>
      <c r="DU573" s="5" t="s">
        <v>231</v>
      </c>
      <c r="DV573" s="5"/>
      <c r="DW573" s="5" t="s">
        <v>231</v>
      </c>
      <c r="DX573" s="5"/>
      <c r="DY573" s="5"/>
      <c r="DZ573" s="5"/>
      <c r="EA573" s="5" t="s">
        <v>247</v>
      </c>
      <c r="EB573" s="5"/>
      <c r="EC573" s="5" t="s">
        <v>247</v>
      </c>
      <c r="ED573" s="5"/>
      <c r="EE573" s="5" t="s">
        <v>247</v>
      </c>
      <c r="EF573" s="5"/>
      <c r="EG573" s="5"/>
      <c r="EH573" s="5"/>
      <c r="EI573" s="5" t="s">
        <v>248</v>
      </c>
      <c r="EJ573" s="5"/>
      <c r="EK573" s="5" t="s">
        <v>232</v>
      </c>
      <c r="EL573" s="5"/>
      <c r="EM573" s="5" t="s">
        <v>232</v>
      </c>
      <c r="EN573" s="5"/>
      <c r="EO573" s="5"/>
      <c r="EP573" s="5"/>
      <c r="EQ573" s="5" t="s">
        <v>247</v>
      </c>
      <c r="ER573" s="5"/>
      <c r="ES573" s="5" t="s">
        <v>248</v>
      </c>
      <c r="ET573" s="5"/>
      <c r="EU573" s="5" t="s">
        <v>247</v>
      </c>
      <c r="EV573" s="5"/>
      <c r="EW573" s="5" t="s">
        <v>247</v>
      </c>
      <c r="EX573" s="5"/>
      <c r="EY573" s="5"/>
      <c r="EZ573" s="5"/>
      <c r="FA573" s="5" t="s">
        <v>247</v>
      </c>
      <c r="FB573" s="5"/>
      <c r="FC573" s="5" t="s">
        <v>232</v>
      </c>
      <c r="FD573" s="5"/>
      <c r="FE573" s="5" t="s">
        <v>232</v>
      </c>
      <c r="FF573" s="5"/>
      <c r="FG573" s="5"/>
      <c r="FH573" s="5"/>
      <c r="FI573" s="5" t="s">
        <v>248</v>
      </c>
      <c r="FJ573" s="5"/>
      <c r="FK573" s="5" t="s">
        <v>247</v>
      </c>
      <c r="FL573" s="5"/>
      <c r="FM573" s="5" t="s">
        <v>248</v>
      </c>
      <c r="FN573" s="5"/>
      <c r="FO573" s="5"/>
      <c r="FP573" s="5"/>
      <c r="FQ573" s="5" t="s">
        <v>206</v>
      </c>
      <c r="FR573" s="5"/>
      <c r="FS573" s="5" t="s">
        <v>265</v>
      </c>
      <c r="FT573" s="5"/>
      <c r="FU573" s="5" t="s">
        <v>206</v>
      </c>
      <c r="FV573" s="5"/>
      <c r="FW573" s="5" t="s">
        <v>206</v>
      </c>
      <c r="FX573" s="5"/>
      <c r="FY573" s="5" t="s">
        <v>206</v>
      </c>
      <c r="FZ573" s="5"/>
      <c r="GA573" s="5" t="s">
        <v>206</v>
      </c>
      <c r="GB573" s="5"/>
      <c r="GC573" s="5" t="s">
        <v>265</v>
      </c>
      <c r="GD573" s="5"/>
      <c r="GE573" s="5"/>
      <c r="GF573" s="5"/>
      <c r="GG573" s="5" t="s">
        <v>273</v>
      </c>
      <c r="GH573" s="5" t="s">
        <v>266</v>
      </c>
      <c r="GI573" s="5" t="s">
        <v>273</v>
      </c>
      <c r="GJ573" s="5" t="s">
        <v>233</v>
      </c>
      <c r="GK573" s="5" t="s">
        <v>233</v>
      </c>
      <c r="GL573" s="5" t="s">
        <v>266</v>
      </c>
      <c r="GM573" s="5" t="s">
        <v>266</v>
      </c>
      <c r="GN573" s="5" t="s">
        <v>243</v>
      </c>
      <c r="GO573" s="5" t="s">
        <v>243</v>
      </c>
      <c r="GP573" s="5" t="s">
        <v>256</v>
      </c>
      <c r="GQ573" s="5" t="s">
        <v>256</v>
      </c>
      <c r="GR573" s="5" t="s">
        <v>257</v>
      </c>
      <c r="GS573" s="5" t="s">
        <v>243</v>
      </c>
      <c r="GT573" s="5" t="s">
        <v>243</v>
      </c>
      <c r="GU573" s="5" t="s">
        <v>936</v>
      </c>
      <c r="GV573" s="5" t="str">
        <f>TEXT("6293882420907691432","0")</f>
        <v>6293882420907690000</v>
      </c>
    </row>
    <row r="574" spans="1:204" ht="15.75" customHeight="1" x14ac:dyDescent="0.15">
      <c r="A574" s="1">
        <f t="shared" ref="A574:A579" si="1836">ROW(A574)</f>
        <v>574</v>
      </c>
      <c r="B574" s="4">
        <v>45864.996087962965</v>
      </c>
      <c r="C574" s="5" t="s">
        <v>204</v>
      </c>
      <c r="D574" s="5" t="s">
        <v>206</v>
      </c>
      <c r="F574" s="5" t="s">
        <v>206</v>
      </c>
      <c r="G574" s="5" t="s">
        <v>206</v>
      </c>
      <c r="H574" s="5" t="s">
        <v>206</v>
      </c>
      <c r="K574" s="5" t="s">
        <v>237</v>
      </c>
      <c r="P574" s="5" t="s">
        <v>237</v>
      </c>
      <c r="U574" s="5" t="s">
        <v>237</v>
      </c>
      <c r="Y574" s="5" t="s">
        <v>209</v>
      </c>
      <c r="AE574" s="5" t="s">
        <v>237</v>
      </c>
      <c r="AH574" s="5" t="s">
        <v>268</v>
      </c>
      <c r="AI574" s="5">
        <v>2021</v>
      </c>
      <c r="AJ574" s="5" t="s">
        <v>330</v>
      </c>
      <c r="AK574" s="5" t="str">
        <f t="shared" ref="AK574:AK579" si="1837">IF(OR(AJ574="Empleada del sector privado",AJ574="Empleada del sector público"),"Asalariada",
IF(AJ574="Trabajadora por cuenta propia","Trabajadora por cuenta propia",""))</f>
        <v>Asalariada</v>
      </c>
      <c r="AQ574" s="5" t="s">
        <v>204</v>
      </c>
      <c r="AR574" s="5" t="s">
        <v>241</v>
      </c>
      <c r="AS574" s="5" t="s">
        <v>241</v>
      </c>
      <c r="AT574" s="5" t="s">
        <v>241</v>
      </c>
      <c r="AU574" s="5" t="s">
        <v>261</v>
      </c>
      <c r="AV574" s="5" t="s">
        <v>285</v>
      </c>
      <c r="AW574" s="5" t="s">
        <v>204</v>
      </c>
      <c r="AX574" s="5" t="s">
        <v>204</v>
      </c>
      <c r="AY574" s="5" t="s">
        <v>214</v>
      </c>
      <c r="AZ574" s="5" t="s">
        <v>204</v>
      </c>
      <c r="BA574" s="5" t="s">
        <v>295</v>
      </c>
      <c r="BB574" s="5" t="s">
        <v>204</v>
      </c>
      <c r="BC574" s="5" t="s">
        <v>204</v>
      </c>
      <c r="BD574" s="5" t="s">
        <v>206</v>
      </c>
      <c r="BE574" s="5" t="s">
        <v>206</v>
      </c>
      <c r="BF574" s="5" t="s">
        <v>204</v>
      </c>
      <c r="BG574" s="5" t="s">
        <v>278</v>
      </c>
      <c r="BH574" s="5" t="s">
        <v>278</v>
      </c>
      <c r="BI574" s="5" t="s">
        <v>278</v>
      </c>
      <c r="BJ574" s="5" t="s">
        <v>278</v>
      </c>
      <c r="BK574" s="5" t="s">
        <v>246</v>
      </c>
      <c r="BL574" s="5" t="s">
        <v>246</v>
      </c>
      <c r="BM574" s="5" t="s">
        <v>246</v>
      </c>
      <c r="BN574" s="5" t="s">
        <v>246</v>
      </c>
      <c r="BO574" s="5" t="s">
        <v>246</v>
      </c>
      <c r="BP574" s="5" t="s">
        <v>246</v>
      </c>
      <c r="BQ574" s="5" t="s">
        <v>246</v>
      </c>
      <c r="BR574" s="5" t="s">
        <v>246</v>
      </c>
      <c r="BS574" s="5" t="s">
        <v>232</v>
      </c>
      <c r="BT574" s="5" t="s">
        <v>232</v>
      </c>
      <c r="BU574" s="5" t="s">
        <v>247</v>
      </c>
      <c r="BV574" s="5" t="s">
        <v>247</v>
      </c>
      <c r="BW574" s="5" t="s">
        <v>247</v>
      </c>
      <c r="BX574" s="5" t="s">
        <v>247</v>
      </c>
      <c r="BY574" s="5" t="s">
        <v>247</v>
      </c>
      <c r="BZ574" s="5" t="s">
        <v>246</v>
      </c>
      <c r="CA574" s="5" t="s">
        <v>246</v>
      </c>
      <c r="CB574" s="5" t="s">
        <v>246</v>
      </c>
      <c r="CC574" s="5" t="s">
        <v>246</v>
      </c>
      <c r="CD574" s="5" t="s">
        <v>206</v>
      </c>
      <c r="CH574" s="5" t="s">
        <v>206</v>
      </c>
      <c r="CI574" s="5" t="s">
        <v>291</v>
      </c>
      <c r="CJ574" s="5">
        <v>1</v>
      </c>
      <c r="CK574" s="5" t="s">
        <v>223</v>
      </c>
      <c r="CU574" s="5" t="s">
        <v>206</v>
      </c>
      <c r="DA574" s="5" t="s">
        <v>231</v>
      </c>
      <c r="DB574" s="5">
        <f t="shared" ref="DB574:DB579" si="1838">IF(DA574="Mejor que lo habitual",1,
IF(DA574="Igual que lo habitual",2,
IF(DA574="Menos que lo habitual",3,
IF(DA574="Mucho menos que lo habitual",4,""))))</f>
        <v>2</v>
      </c>
      <c r="DC574" s="5" t="s">
        <v>230</v>
      </c>
      <c r="DD574" s="5">
        <f t="shared" ref="DD574:DD579" si="1839">IF(DC574="No, en absoluto",1,
IF(DC574="No más que lo habitual",2,
IF(DC574="Bastante más que lo habitual",3,
IF(DC574="Mucho más que lo habitual",4,""))))</f>
        <v>2</v>
      </c>
      <c r="DE574" s="5" t="s">
        <v>230</v>
      </c>
      <c r="DF574" s="5">
        <f t="shared" ref="DF574:DF579" si="1840">IF(DE574="No, en absoluto",1,
IF(DE574="No más que lo habitual",2,
IF(DE574="Bastante más que lo habitual",3,
IF(DE574="Mucho más que lo habitual",4,""))))</f>
        <v>2</v>
      </c>
      <c r="DG574" s="5" t="s">
        <v>230</v>
      </c>
      <c r="DH574" s="5">
        <f t="shared" ref="DH574:DH579" si="1841">IF(DG574="No, en absoluto",1,
IF(DG574="No más que lo habitual",2,
IF(DG574="Bastante más que lo habitual",3,
IF(DG574="Mucho más que lo habitual",4,""))))</f>
        <v>2</v>
      </c>
      <c r="DI574" s="5" t="s">
        <v>230</v>
      </c>
      <c r="DJ574" s="5">
        <f t="shared" ref="DJ574:DJ579" si="1842">IF(DI574="No, en absoluto",1,
IF(DI574="No más que lo habitual",2,
IF(DI574="Bastante más que lo habitual",3,
IF(DI574="Mucho más que lo habitual",4,""))))</f>
        <v>2</v>
      </c>
      <c r="DK574" s="5" t="s">
        <v>230</v>
      </c>
      <c r="DL574" s="5">
        <f t="shared" ref="DL574:DL579" si="1843">IF(DK574="No, en absoluto",1,
IF(DK574="No más que lo habitual",2,
IF(DK574="Bastante más que lo habitual",3,
IF(DK574="Mucho más que lo habitual",4,""))))</f>
        <v>2</v>
      </c>
      <c r="DM574" s="5" t="s">
        <v>230</v>
      </c>
      <c r="DN574" s="5">
        <f t="shared" ref="DN574:DN579" si="1844">IF(DM574="No, en absoluto",1,
IF(DM574="No más que lo habitual",2,
IF(DM574="Bastante más que lo habitual",3,
IF(DM574="Mucho más que lo habitual",4,""))))</f>
        <v>2</v>
      </c>
      <c r="DO574" s="5" t="s">
        <v>231</v>
      </c>
      <c r="DP574" s="5">
        <f t="shared" ref="DP574:DP579" si="1845">IF(DO574="Más que lo habitual",1,
IF(DO574="Igual que lo habitual",2,
IF(DO574="Menos que lo habitual",3,
IF(DO574="Mucho menos que lo habitual",4,""))))</f>
        <v>2</v>
      </c>
      <c r="DQ574" s="5" t="s">
        <v>231</v>
      </c>
      <c r="DR574" s="5">
        <f t="shared" ref="DR574:DR579" si="1846">IF(DQ574="Más que lo habitual",1,
IF(DQ574="Igual que lo habitual",2,
IF(DQ574="Menos que lo habitual",3,
IF(DQ574="Mucho menos que lo habitual",4,""))))</f>
        <v>2</v>
      </c>
      <c r="DS574" s="5" t="s">
        <v>231</v>
      </c>
      <c r="DT574" s="5">
        <f t="shared" ref="DT574:DT579" si="1847">IF(DS574="Más que lo habitual",1,
IF(DS574="Igual que lo habitual",2,
IF(DS574="Menos que lo habitual",3,
IF(DS574="Mucho menos que lo habitual",4,""))))</f>
        <v>2</v>
      </c>
      <c r="DU574" s="5" t="s">
        <v>231</v>
      </c>
      <c r="DV574" s="5">
        <f t="shared" ref="DV574:DV579" si="1848">IF(DU574="Más que lo habitual",1,
IF(DU574="Igual que lo habitual",2,
IF(DU574="Menos que lo habitual",3,
IF(DU574="Mucho menos que lo habitual",4,""))))</f>
        <v>2</v>
      </c>
      <c r="DW574" s="5" t="s">
        <v>231</v>
      </c>
      <c r="DX574" s="5">
        <f t="shared" ref="DX574:DX579" si="1849">IF(DW574="Más que lo habitual",1,
IF(DW574="Igual que lo habitual",2,
IF(DW574="Menos que lo habitual",3,
IF(DW574="Mucho menos que lo habitual",4,""))))</f>
        <v>2</v>
      </c>
      <c r="DY574" s="5">
        <f t="shared" ref="DY574:DY579" si="1850">SUM(DB574,DD574,DF574,DH574,DJ574,DL574,DN574,DP574,DR574,DT574,DV574,DX574)</f>
        <v>24</v>
      </c>
      <c r="DZ574" s="5" t="str">
        <f t="shared" ref="DZ574:DZ579" si="1851">IF(DY574&lt;=18,"Nivel de riesgo bajo",
IF(DY574&lt;=23,"Nivel de riesgo medio",
"Nivel de riesgo alto"))</f>
        <v>Nivel de riesgo alto</v>
      </c>
      <c r="EA574" s="5" t="s">
        <v>247</v>
      </c>
      <c r="EB574" s="5">
        <f t="shared" ref="EB574:EB579" si="1852">IF(EA574="Nunca/ casi nunca",0,
IF(EA574="Rara vez",1,
IF(EA574="A veces",2,
IF(EA574="A menudo",3,
IF(EA574="Siempre",4,"")))))</f>
        <v>2</v>
      </c>
      <c r="EC574" s="5" t="s">
        <v>247</v>
      </c>
      <c r="ED574" s="5">
        <f t="shared" ref="ED574:ED579" si="1853">IF(EC574="Nunca/ casi nunca",0,
IF(EC574="Rara vez",1,
IF(EC574="A veces",2,
IF(EC574="A menudo",3,
IF(EC574="Siempre",4,"")))))</f>
        <v>2</v>
      </c>
      <c r="EE574" s="5" t="s">
        <v>247</v>
      </c>
      <c r="EF574" s="5">
        <f t="shared" ref="EF574:EF579" si="1854">IF(EE574="Nunca/ casi nunca",0,
IF(EE574="Rara vez",1,
IF(EE574="A veces",2,
IF(EE574="A menudo",3,
IF(EE574="Siempre",4,"")))))</f>
        <v>2</v>
      </c>
      <c r="EG574" s="5">
        <f t="shared" ref="EG574:EG579" si="1855">SUM(EB574,ED574,EF574)</f>
        <v>6</v>
      </c>
      <c r="EH574" s="5" t="str">
        <f t="shared" ref="EH574:EH579" si="1856">IF(EG574&lt;=1,"Nivel de riesgo bajo",
IF(EG574&lt;=4,"Nivel de riesgo medio",
"Nivel de riesgo alto"))</f>
        <v>Nivel de riesgo alto</v>
      </c>
      <c r="EI574" s="5" t="s">
        <v>247</v>
      </c>
      <c r="EJ574" s="5">
        <f t="shared" ref="EJ574:EJ579" si="1857">IF(EI574="Nunca/ casi nunca",0,
IF(EI574="Rara vez",1,
IF(EI574="A veces",2,
IF(EI574="A menudo",3,
IF(EI574="Siempre",4,"")))))</f>
        <v>2</v>
      </c>
      <c r="EK574" s="5" t="s">
        <v>247</v>
      </c>
      <c r="EL574" s="5">
        <f t="shared" ref="EL574:EL579" si="1858">IF(EK574="Nunca/ casi nunca",0,
IF(EK574="Rara vez",1,
IF(EK574="A veces",2,
IF(EK574="A menudo",3,
IF(EK574="Siempre",4,"")))))</f>
        <v>2</v>
      </c>
      <c r="EM574" s="5" t="s">
        <v>247</v>
      </c>
      <c r="EN574" s="5">
        <f t="shared" ref="EN574:EN579" si="1859">IF(EM574="Nunca/ casi nunca",0,
IF(EM574="Rara vez",1,
IF(EM574="A veces",2,
IF(EM574="A menudo",3,
IF(EM574="Siempre",4,"")))))</f>
        <v>2</v>
      </c>
      <c r="EO574" s="5">
        <f t="shared" ref="EO574:EO579" si="1860">SUM(EJ574,EL574,EN574)</f>
        <v>6</v>
      </c>
      <c r="EP574" s="5" t="str">
        <f t="shared" ref="EP574:EP579" si="1861">IF(EO574&lt;=1,"Nivel de riesgo bajo",
IF(EO574&lt;=5,"Nivel de riesgo medio",
"Nivel de riesgo alto"))</f>
        <v>Nivel de riesgo alto</v>
      </c>
      <c r="EQ574" s="5" t="s">
        <v>247</v>
      </c>
      <c r="ER574" s="5">
        <f t="shared" ref="ER574:ER579" si="1862">IF(EQ574="Nunca/ casi nunca",4,
IF(EQ574="Rara vez",3,
IF(EQ574="A veces",2,
IF(EQ574="A menudo",1,
IF(EQ574="Siempre",0,"")))))</f>
        <v>2</v>
      </c>
      <c r="ES574" s="5" t="s">
        <v>247</v>
      </c>
      <c r="ET574" s="5">
        <f t="shared" ref="ET574:ET579" si="1863">IF(ES574="Nunca/ casi nunca",4,
IF(ES574="Rara vez",3,
IF(ES574="A veces",2,
IF(ES574="A menudo",1,
IF(ES574="Siempre",0,"")))))</f>
        <v>2</v>
      </c>
      <c r="EU574" s="5" t="s">
        <v>247</v>
      </c>
      <c r="EV574" s="5">
        <f t="shared" ref="EV574:EV579" si="1864">IF(EU574="Nunca/ casi nunca",4,
IF(EU574="Rara vez",3,
IF(EU574="A veces",2,
IF(EU574="A menudo",1,
IF(EU574="Siempre",0,"")))))</f>
        <v>2</v>
      </c>
      <c r="EW574" s="5" t="s">
        <v>247</v>
      </c>
      <c r="EX574" s="5">
        <f t="shared" ref="EX574:EX579" si="1865">IF(EW574="Nunca/ casi nunca",4,
IF(EW574="Rara vez",3,
IF(EW574="A veces",2,
IF(EW574="A menudo",1,
IF(EW574="Siempre",0,"")))))</f>
        <v>2</v>
      </c>
      <c r="EY574" s="5">
        <f t="shared" ref="EY574:EY579" si="1866">SUM(ER574,ET574,EV574,EX574)</f>
        <v>8</v>
      </c>
      <c r="EZ574" s="5" t="str">
        <f t="shared" ref="EZ574:EZ579" si="1867">IF(EY574&lt;=0,"Nivel de riesgo bajo",
IF(EY574&lt;=4,"Nivel de riesgo medio",
"Nivel de riesgo alto"))</f>
        <v>Nivel de riesgo alto</v>
      </c>
      <c r="FA574" s="5" t="s">
        <v>247</v>
      </c>
      <c r="FB574" s="5">
        <f t="shared" ref="FB574:FB579" si="1868">IF(FA574="Nunca/ casi nunca",0,
IF(FA574="Rara vez",1,
IF(FA574="A veces",2,
IF(FA574="A menudo",3,
IF(FA574="Siempre",4,"")))))</f>
        <v>2</v>
      </c>
      <c r="FC574" s="5" t="s">
        <v>247</v>
      </c>
      <c r="FD574" s="5">
        <f t="shared" ref="FD574:FD579" si="1869">IF(FC574="Nunca/ casi nunca",0,
IF(FC574="Rara vez",1,
IF(FC574="A veces",2,
IF(FC574="A menudo",3,
IF(FC574="Siempre",4,"")))))</f>
        <v>2</v>
      </c>
      <c r="FE574" s="5" t="s">
        <v>247</v>
      </c>
      <c r="FF574" s="5">
        <f t="shared" ref="FF574:FF579" si="1870">IF(FE574="Nunca/ casi nunca",0,
IF(FE574="Rara vez",1,
IF(FE574="A veces",2,
IF(FE574="A menudo",3,
IF(FE574="Siempre",4,"")))))</f>
        <v>2</v>
      </c>
      <c r="FG574" s="5">
        <f t="shared" ref="FG574:FG579" si="1871">SUM(FB574,FD574,FF574)</f>
        <v>6</v>
      </c>
      <c r="FH574" s="5" t="str">
        <f t="shared" ref="FH574:FH579" si="1872">IF(FG574&lt;=2,"Nivel de riesgo bajo",
IF(FG574&lt;=5,"Nivel de riesgo medio",
"Nivel de riesgo alto"))</f>
        <v>Nivel de riesgo alto</v>
      </c>
      <c r="FI574" s="5" t="s">
        <v>247</v>
      </c>
      <c r="FJ574" s="5">
        <f t="shared" ref="FJ574:FJ579" si="1873">IF(FI574="Nunca/ casi nunca",0,
IF(FI574="Rara vez",1,
IF(FI574="A veces",2,
IF(FI574="A menudo",3,
IF(FI574="Siempre",4,"")))))</f>
        <v>2</v>
      </c>
      <c r="FK574" s="5" t="s">
        <v>247</v>
      </c>
      <c r="FL574" s="5">
        <f t="shared" ref="FL574:FL579" si="1874">IF(FK574="Nunca/ casi nunca",0,
IF(FK574="Rara vez",1,
IF(FK574="A veces",2,
IF(FK574="A menudo",3,
IF(FK574="Siempre",4,"")))))</f>
        <v>2</v>
      </c>
      <c r="FM574" s="5" t="s">
        <v>247</v>
      </c>
      <c r="FN574" s="5">
        <f t="shared" ref="FN574:FN579" si="1875">IF(FM574="Nunca/ casi nunca",0,
IF(FM574="Rara vez",1,
IF(FM574="A veces",2,
IF(FM574="A menudo",3,
IF(FM574="Siempre",4,"")))))</f>
        <v>2</v>
      </c>
      <c r="FO574" s="5">
        <f t="shared" ref="FO574:FO579" si="1876">SUM(FJ574,FL574,FN574)</f>
        <v>6</v>
      </c>
      <c r="FP574" s="5" t="str">
        <f t="shared" ref="FP574:FP579" si="1877">IF(FO574&lt;=2,"Nivel de riesgo bajo",
IF(FO574&lt;=5,"Nivel de riesgo medio",
"Nivel de riesgo alto"))</f>
        <v>Nivel de riesgo alto</v>
      </c>
      <c r="FQ574" s="5" t="s">
        <v>206</v>
      </c>
      <c r="FR574" s="5">
        <f t="shared" ref="FR574:FR579" si="1878">IF(FQ574="No",0,
IF(FQ574="Sí, unas pocas veces",1,
IF(FQ574="Sí, mensualmente",2,
IF(FQ574="Sí, semanalmente",3,
IF(FQ574="Sí, diariamente",4,"")))))</f>
        <v>0</v>
      </c>
      <c r="FS574" s="5" t="s">
        <v>206</v>
      </c>
      <c r="FT574" s="5">
        <f t="shared" ref="FT574:FT579" si="1879">IF(FS574="No",0,
IF(FS574="Sí, unas pocas veces",1,
IF(FS574="Sí, mensualmente",2,
IF(FS574="Sí, semanalmente",3,
IF(FS574="Sí, diariamente",4,"")))))</f>
        <v>0</v>
      </c>
      <c r="FU574" s="5" t="s">
        <v>206</v>
      </c>
      <c r="FV574" s="5">
        <f t="shared" ref="FV574:FV579" si="1880">IF(FU574="No",0,
IF(FU574="Sí, unas pocas veces",1,
IF(FU574="Sí, mensualmente",2,
IF(FU574="Sí, semanalmente",3,
IF(FU574="Sí, diariamente",4,"")))))</f>
        <v>0</v>
      </c>
      <c r="FW574" s="5" t="s">
        <v>206</v>
      </c>
      <c r="FX574" s="5">
        <f t="shared" ref="FX574:FX579" si="1881">IF(FW574="No",0,
IF(FW574="Sí, unas pocas veces",1,
IF(FW574="Sí, mensualmente",2,
IF(FW574="Sí, semanalmente",3,
IF(FW574="Sí, diariamente",4,"")))))</f>
        <v>0</v>
      </c>
      <c r="FY574" s="5" t="s">
        <v>206</v>
      </c>
      <c r="FZ574" s="5">
        <f t="shared" ref="FZ574:FZ579" si="1882">IF(FY574="No",0,
IF(FY574="Sí, unas pocas veces",1,
IF(FY574="Sí, mensualmente",2,
IF(FY574="Sí, semanalmente",3,
IF(FY574="Sí, diariamente",4,"")))))</f>
        <v>0</v>
      </c>
      <c r="GA574" s="5" t="s">
        <v>206</v>
      </c>
      <c r="GB574" s="5">
        <f t="shared" ref="GB574:GB579" si="1883">IF(GA574="No",0,
IF(GA574="Sí, unas pocas veces",1,
IF(GA574="Sí, mensualmente",2,
IF(GA574="Sí, semanalmente",3,
IF(GA574="Sí, diariamente",4,"")))))</f>
        <v>0</v>
      </c>
      <c r="GC574" s="5" t="s">
        <v>206</v>
      </c>
      <c r="GD574" s="5">
        <f t="shared" ref="GD574:GD579" si="1884">IF(GC574="No",0,
IF(GC574="Sí, unas pocas veces",1,
IF(GC574="Sí, mensualmente",2,
IF(GC574="Sí, semanalmente",3,
IF(GC574="Sí, diariamente",4,"")))))</f>
        <v>0</v>
      </c>
      <c r="GE574" s="5">
        <f t="shared" ref="GE574:GE579" si="1885">SUM(FR574,FT574,FV574,FX574,FZ574,GB574,GD574)</f>
        <v>0</v>
      </c>
      <c r="GF574" s="5" t="str">
        <f t="shared" ref="GF574:GF579" si="1886">IF(GE574&lt;=0,"Nivel de riesgo bajo",
IF(GE574&lt;=14,"Nivel de riesgo medio",
"Nivel de riesgo alto"))</f>
        <v>Nivel de riesgo bajo</v>
      </c>
      <c r="GG574" s="5" t="s">
        <v>273</v>
      </c>
      <c r="GH574" s="5" t="s">
        <v>298</v>
      </c>
      <c r="GI574" s="5" t="s">
        <v>273</v>
      </c>
      <c r="GJ574" s="5" t="s">
        <v>273</v>
      </c>
      <c r="GK574" s="5" t="s">
        <v>233</v>
      </c>
      <c r="GL574" s="5" t="s">
        <v>298</v>
      </c>
      <c r="GM574" s="5" t="s">
        <v>266</v>
      </c>
      <c r="GN574" s="5" t="s">
        <v>257</v>
      </c>
      <c r="GO574" s="5" t="s">
        <v>257</v>
      </c>
      <c r="GP574" s="5" t="s">
        <v>257</v>
      </c>
      <c r="GQ574" s="5" t="s">
        <v>257</v>
      </c>
      <c r="GR574" s="5" t="s">
        <v>257</v>
      </c>
      <c r="GS574" s="5" t="s">
        <v>257</v>
      </c>
      <c r="GT574" s="5" t="s">
        <v>257</v>
      </c>
      <c r="GU574" s="5" t="s">
        <v>937</v>
      </c>
      <c r="GV574" s="5" t="str">
        <f>TEXT("6293976622076776311","0")</f>
        <v>6293976622076770000</v>
      </c>
    </row>
    <row r="575" spans="1:204" ht="15.75" customHeight="1" x14ac:dyDescent="0.15">
      <c r="A575" s="1">
        <f t="shared" si="1836"/>
        <v>575</v>
      </c>
      <c r="B575" s="4">
        <v>45865.417662037034</v>
      </c>
      <c r="C575" s="5" t="s">
        <v>204</v>
      </c>
      <c r="D575" s="5" t="s">
        <v>206</v>
      </c>
      <c r="F575" s="5" t="s">
        <v>206</v>
      </c>
      <c r="G575" s="5" t="s">
        <v>206</v>
      </c>
      <c r="H575" s="5" t="s">
        <v>206</v>
      </c>
      <c r="K575" s="5" t="s">
        <v>237</v>
      </c>
      <c r="O575" s="5" t="s">
        <v>209</v>
      </c>
      <c r="S575" s="5" t="s">
        <v>208</v>
      </c>
      <c r="X575" s="5" t="s">
        <v>208</v>
      </c>
      <c r="AC575" s="5" t="s">
        <v>208</v>
      </c>
      <c r="AH575" s="5" t="s">
        <v>275</v>
      </c>
      <c r="AI575" s="5">
        <v>2020</v>
      </c>
      <c r="AJ575" s="5" t="s">
        <v>238</v>
      </c>
      <c r="AK575" s="5" t="str">
        <f t="shared" si="1837"/>
        <v>Trabajadora por cuenta propia</v>
      </c>
      <c r="AM575" s="5" t="s">
        <v>309</v>
      </c>
      <c r="AP575" s="5" t="s">
        <v>297</v>
      </c>
      <c r="AR575" s="5" t="s">
        <v>241</v>
      </c>
      <c r="AS575" s="5" t="s">
        <v>261</v>
      </c>
      <c r="AT575" s="5" t="s">
        <v>301</v>
      </c>
      <c r="AU575" s="5" t="s">
        <v>294</v>
      </c>
      <c r="AV575" s="5" t="s">
        <v>213</v>
      </c>
      <c r="AW575" s="5" t="s">
        <v>206</v>
      </c>
      <c r="BF575" s="5" t="s">
        <v>204</v>
      </c>
      <c r="BG575" s="5" t="s">
        <v>207</v>
      </c>
      <c r="BH575" s="5" t="s">
        <v>242</v>
      </c>
      <c r="BI575" s="5" t="s">
        <v>207</v>
      </c>
      <c r="BJ575" s="5" t="s">
        <v>242</v>
      </c>
      <c r="BK575" s="5" t="s">
        <v>246</v>
      </c>
      <c r="BL575" s="5" t="s">
        <v>244</v>
      </c>
      <c r="BM575" s="5" t="s">
        <v>244</v>
      </c>
      <c r="BN575" s="5" t="s">
        <v>244</v>
      </c>
      <c r="BO575" s="5" t="s">
        <v>216</v>
      </c>
      <c r="BP575" s="5" t="s">
        <v>216</v>
      </c>
      <c r="BQ575" s="5" t="s">
        <v>216</v>
      </c>
      <c r="BR575" s="5" t="s">
        <v>216</v>
      </c>
      <c r="BS575" s="5" t="s">
        <v>248</v>
      </c>
      <c r="BT575" s="5" t="s">
        <v>248</v>
      </c>
      <c r="BU575" s="5" t="s">
        <v>247</v>
      </c>
      <c r="BV575" s="5" t="s">
        <v>247</v>
      </c>
      <c r="BW575" s="5" t="s">
        <v>248</v>
      </c>
      <c r="BX575" s="5" t="s">
        <v>248</v>
      </c>
      <c r="BY575" s="5" t="s">
        <v>248</v>
      </c>
      <c r="CD575" s="5" t="s">
        <v>206</v>
      </c>
      <c r="CH575" s="5" t="s">
        <v>206</v>
      </c>
      <c r="CI575" s="5" t="s">
        <v>206</v>
      </c>
      <c r="CJ575" s="5">
        <v>0</v>
      </c>
      <c r="CK575" s="5" t="s">
        <v>223</v>
      </c>
      <c r="CU575" s="5" t="s">
        <v>206</v>
      </c>
      <c r="DA575" s="5" t="s">
        <v>231</v>
      </c>
      <c r="DB575" s="5">
        <f t="shared" si="1838"/>
        <v>2</v>
      </c>
      <c r="DC575" s="5" t="s">
        <v>230</v>
      </c>
      <c r="DD575" s="5">
        <f t="shared" si="1839"/>
        <v>2</v>
      </c>
      <c r="DE575" s="5" t="s">
        <v>230</v>
      </c>
      <c r="DF575" s="5">
        <f t="shared" si="1840"/>
        <v>2</v>
      </c>
      <c r="DG575" s="5" t="s">
        <v>230</v>
      </c>
      <c r="DH575" s="5">
        <f t="shared" si="1841"/>
        <v>2</v>
      </c>
      <c r="DI575" s="5" t="s">
        <v>251</v>
      </c>
      <c r="DJ575" s="5">
        <f t="shared" si="1842"/>
        <v>1</v>
      </c>
      <c r="DK575" s="5" t="s">
        <v>251</v>
      </c>
      <c r="DL575" s="5">
        <f t="shared" si="1843"/>
        <v>1</v>
      </c>
      <c r="DM575" s="5" t="s">
        <v>251</v>
      </c>
      <c r="DN575" s="5">
        <f t="shared" si="1844"/>
        <v>1</v>
      </c>
      <c r="DO575" s="5" t="s">
        <v>231</v>
      </c>
      <c r="DP575" s="5">
        <f t="shared" si="1845"/>
        <v>2</v>
      </c>
      <c r="DQ575" s="5" t="s">
        <v>281</v>
      </c>
      <c r="DR575" s="5">
        <f t="shared" si="1846"/>
        <v>1</v>
      </c>
      <c r="DS575" s="5" t="s">
        <v>281</v>
      </c>
      <c r="DT575" s="5">
        <f t="shared" si="1847"/>
        <v>1</v>
      </c>
      <c r="DU575" s="5" t="s">
        <v>231</v>
      </c>
      <c r="DV575" s="5">
        <f t="shared" si="1848"/>
        <v>2</v>
      </c>
      <c r="DW575" s="5" t="s">
        <v>281</v>
      </c>
      <c r="DX575" s="5">
        <f t="shared" si="1849"/>
        <v>1</v>
      </c>
      <c r="DY575" s="5">
        <f t="shared" si="1850"/>
        <v>18</v>
      </c>
      <c r="DZ575" s="5" t="str">
        <f t="shared" si="1851"/>
        <v>Nivel de riesgo bajo</v>
      </c>
      <c r="EA575" s="5" t="s">
        <v>247</v>
      </c>
      <c r="EB575" s="5">
        <f t="shared" si="1852"/>
        <v>2</v>
      </c>
      <c r="EC575" s="5" t="s">
        <v>247</v>
      </c>
      <c r="ED575" s="5">
        <f t="shared" si="1853"/>
        <v>2</v>
      </c>
      <c r="EE575" s="5" t="s">
        <v>248</v>
      </c>
      <c r="EF575" s="5">
        <f t="shared" si="1854"/>
        <v>1</v>
      </c>
      <c r="EG575" s="5">
        <f t="shared" si="1855"/>
        <v>5</v>
      </c>
      <c r="EH575" s="5" t="str">
        <f t="shared" si="1856"/>
        <v>Nivel de riesgo alto</v>
      </c>
      <c r="EI575" s="5" t="s">
        <v>253</v>
      </c>
      <c r="EJ575" s="5">
        <f t="shared" si="1857"/>
        <v>0</v>
      </c>
      <c r="EK575" s="5" t="s">
        <v>253</v>
      </c>
      <c r="EL575" s="5">
        <f t="shared" si="1858"/>
        <v>0</v>
      </c>
      <c r="EM575" s="5" t="s">
        <v>253</v>
      </c>
      <c r="EN575" s="5">
        <f t="shared" si="1859"/>
        <v>0</v>
      </c>
      <c r="EO575" s="5">
        <f t="shared" si="1860"/>
        <v>0</v>
      </c>
      <c r="EP575" s="5" t="str">
        <f t="shared" si="1861"/>
        <v>Nivel de riesgo bajo</v>
      </c>
      <c r="EQ575" s="5" t="s">
        <v>248</v>
      </c>
      <c r="ER575" s="5">
        <f t="shared" si="1862"/>
        <v>3</v>
      </c>
      <c r="ES575" s="5" t="s">
        <v>248</v>
      </c>
      <c r="ET575" s="5">
        <f t="shared" si="1863"/>
        <v>3</v>
      </c>
      <c r="EU575" s="5" t="s">
        <v>247</v>
      </c>
      <c r="EV575" s="5">
        <f t="shared" si="1864"/>
        <v>2</v>
      </c>
      <c r="EW575" s="5" t="s">
        <v>232</v>
      </c>
      <c r="EX575" s="5">
        <f t="shared" si="1865"/>
        <v>1</v>
      </c>
      <c r="EY575" s="5">
        <f t="shared" si="1866"/>
        <v>9</v>
      </c>
      <c r="EZ575" s="5" t="str">
        <f t="shared" si="1867"/>
        <v>Nivel de riesgo alto</v>
      </c>
      <c r="FA575" s="5" t="s">
        <v>248</v>
      </c>
      <c r="FB575" s="5">
        <f t="shared" si="1868"/>
        <v>1</v>
      </c>
      <c r="FC575" s="5" t="s">
        <v>248</v>
      </c>
      <c r="FD575" s="5">
        <f t="shared" si="1869"/>
        <v>1</v>
      </c>
      <c r="FE575" s="5" t="s">
        <v>248</v>
      </c>
      <c r="FF575" s="5">
        <f t="shared" si="1870"/>
        <v>1</v>
      </c>
      <c r="FG575" s="5">
        <f t="shared" si="1871"/>
        <v>3</v>
      </c>
      <c r="FH575" s="5" t="str">
        <f t="shared" si="1872"/>
        <v>Nivel de riesgo medio</v>
      </c>
      <c r="FI575" s="5" t="s">
        <v>248</v>
      </c>
      <c r="FJ575" s="5">
        <f t="shared" si="1873"/>
        <v>1</v>
      </c>
      <c r="FK575" s="5" t="s">
        <v>248</v>
      </c>
      <c r="FL575" s="5">
        <f t="shared" si="1874"/>
        <v>1</v>
      </c>
      <c r="FM575" s="5" t="s">
        <v>248</v>
      </c>
      <c r="FN575" s="5">
        <f t="shared" si="1875"/>
        <v>1</v>
      </c>
      <c r="FO575" s="5">
        <f t="shared" si="1876"/>
        <v>3</v>
      </c>
      <c r="FP575" s="5" t="str">
        <f t="shared" si="1877"/>
        <v>Nivel de riesgo medio</v>
      </c>
      <c r="FQ575" s="5" t="s">
        <v>206</v>
      </c>
      <c r="FR575" s="5">
        <f t="shared" si="1878"/>
        <v>0</v>
      </c>
      <c r="FS575" s="5" t="s">
        <v>206</v>
      </c>
      <c r="FT575" s="5">
        <f t="shared" si="1879"/>
        <v>0</v>
      </c>
      <c r="FU575" s="5" t="s">
        <v>206</v>
      </c>
      <c r="FV575" s="5">
        <f t="shared" si="1880"/>
        <v>0</v>
      </c>
      <c r="FW575" s="5" t="s">
        <v>206</v>
      </c>
      <c r="FX575" s="5">
        <f t="shared" si="1881"/>
        <v>0</v>
      </c>
      <c r="FY575" s="5" t="s">
        <v>206</v>
      </c>
      <c r="FZ575" s="5">
        <f t="shared" si="1882"/>
        <v>0</v>
      </c>
      <c r="GA575" s="5" t="s">
        <v>206</v>
      </c>
      <c r="GB575" s="5">
        <f t="shared" si="1883"/>
        <v>0</v>
      </c>
      <c r="GC575" s="5" t="s">
        <v>206</v>
      </c>
      <c r="GD575" s="5">
        <f t="shared" si="1884"/>
        <v>0</v>
      </c>
      <c r="GE575" s="5">
        <f t="shared" si="1885"/>
        <v>0</v>
      </c>
      <c r="GF575" s="5" t="str">
        <f t="shared" si="1886"/>
        <v>Nivel de riesgo bajo</v>
      </c>
      <c r="GG575" s="5" t="s">
        <v>255</v>
      </c>
      <c r="GH575" s="5" t="s">
        <v>255</v>
      </c>
      <c r="GI575" s="5" t="s">
        <v>255</v>
      </c>
      <c r="GJ575" s="5" t="s">
        <v>255</v>
      </c>
      <c r="GK575" s="5" t="s">
        <v>233</v>
      </c>
      <c r="GL575" s="5" t="s">
        <v>255</v>
      </c>
      <c r="GM575" s="5" t="s">
        <v>273</v>
      </c>
      <c r="GN575" s="5" t="s">
        <v>234</v>
      </c>
      <c r="GO575" s="5" t="s">
        <v>234</v>
      </c>
      <c r="GP575" s="5" t="s">
        <v>234</v>
      </c>
      <c r="GQ575" s="5" t="s">
        <v>234</v>
      </c>
      <c r="GR575" s="5" t="s">
        <v>234</v>
      </c>
      <c r="GS575" s="5" t="s">
        <v>234</v>
      </c>
      <c r="GT575" s="5" t="s">
        <v>234</v>
      </c>
      <c r="GU575" s="5" t="s">
        <v>938</v>
      </c>
      <c r="GV575" s="5" t="str">
        <f>TEXT("6294340861981646250","0")</f>
        <v>6294340861981640000</v>
      </c>
    </row>
    <row r="576" spans="1:204" ht="15.75" customHeight="1" x14ac:dyDescent="0.15">
      <c r="A576" s="1">
        <f t="shared" si="1836"/>
        <v>576</v>
      </c>
      <c r="B576" s="4">
        <v>45865.675162037034</v>
      </c>
      <c r="C576" s="5" t="s">
        <v>204</v>
      </c>
      <c r="D576" s="5" t="s">
        <v>204</v>
      </c>
      <c r="E576" s="5" t="s">
        <v>335</v>
      </c>
      <c r="F576" s="5" t="s">
        <v>206</v>
      </c>
      <c r="G576" s="5" t="s">
        <v>206</v>
      </c>
      <c r="H576" s="5" t="s">
        <v>206</v>
      </c>
      <c r="J576" s="5" t="s">
        <v>209</v>
      </c>
      <c r="O576" s="5" t="s">
        <v>209</v>
      </c>
      <c r="T576" s="5" t="s">
        <v>209</v>
      </c>
      <c r="AB576" s="5" t="s">
        <v>207</v>
      </c>
      <c r="AG576" s="5" t="s">
        <v>207</v>
      </c>
      <c r="AH576" s="5" t="s">
        <v>210</v>
      </c>
      <c r="AI576" s="5">
        <v>1992</v>
      </c>
      <c r="AJ576" s="5" t="s">
        <v>238</v>
      </c>
      <c r="AK576" s="5" t="str">
        <f t="shared" si="1837"/>
        <v>Trabajadora por cuenta propia</v>
      </c>
      <c r="AN576" s="5" t="s">
        <v>288</v>
      </c>
      <c r="AP576" s="5" t="s">
        <v>321</v>
      </c>
      <c r="AR576" s="5" t="s">
        <v>261</v>
      </c>
      <c r="AS576" s="5" t="s">
        <v>261</v>
      </c>
      <c r="AT576" s="5" t="s">
        <v>301</v>
      </c>
      <c r="AU576" s="5" t="s">
        <v>261</v>
      </c>
      <c r="AV576" s="5" t="s">
        <v>285</v>
      </c>
      <c r="AW576" s="5" t="s">
        <v>204</v>
      </c>
      <c r="AX576" s="5" t="s">
        <v>206</v>
      </c>
      <c r="BF576" s="5" t="s">
        <v>204</v>
      </c>
      <c r="BG576" s="5" t="s">
        <v>215</v>
      </c>
      <c r="BH576" s="5" t="s">
        <v>264</v>
      </c>
      <c r="BI576" s="5" t="s">
        <v>242</v>
      </c>
      <c r="BJ576" s="5" t="s">
        <v>242</v>
      </c>
      <c r="BK576" s="5" t="s">
        <v>243</v>
      </c>
      <c r="BL576" s="5" t="s">
        <v>246</v>
      </c>
      <c r="BM576" s="5" t="s">
        <v>243</v>
      </c>
      <c r="BN576" s="5" t="s">
        <v>245</v>
      </c>
      <c r="BO576" s="5" t="s">
        <v>246</v>
      </c>
      <c r="BP576" s="5" t="s">
        <v>246</v>
      </c>
      <c r="BQ576" s="5" t="s">
        <v>216</v>
      </c>
      <c r="BR576" s="5" t="s">
        <v>244</v>
      </c>
      <c r="BS576" s="5" t="s">
        <v>232</v>
      </c>
      <c r="BT576" s="5" t="s">
        <v>248</v>
      </c>
      <c r="BU576" s="5" t="s">
        <v>217</v>
      </c>
      <c r="BV576" s="5" t="s">
        <v>217</v>
      </c>
      <c r="BW576" s="5" t="s">
        <v>217</v>
      </c>
      <c r="BX576" s="5" t="s">
        <v>217</v>
      </c>
      <c r="BY576" s="5" t="s">
        <v>217</v>
      </c>
      <c r="BZ576" s="5" t="s">
        <v>246</v>
      </c>
      <c r="CA576" s="5" t="s">
        <v>244</v>
      </c>
      <c r="CB576" s="5" t="s">
        <v>216</v>
      </c>
      <c r="CC576" s="5" t="s">
        <v>246</v>
      </c>
      <c r="CD576" s="5" t="s">
        <v>206</v>
      </c>
      <c r="CH576" s="5" t="s">
        <v>206</v>
      </c>
      <c r="CI576" s="5" t="s">
        <v>206</v>
      </c>
      <c r="CJ576" s="5">
        <v>1</v>
      </c>
      <c r="CK576" s="5" t="s">
        <v>223</v>
      </c>
      <c r="CU576" s="5" t="s">
        <v>206</v>
      </c>
      <c r="DA576" s="5" t="s">
        <v>272</v>
      </c>
      <c r="DB576" s="5">
        <f t="shared" si="1838"/>
        <v>1</v>
      </c>
      <c r="DC576" s="5" t="s">
        <v>250</v>
      </c>
      <c r="DD576" s="5">
        <f t="shared" si="1839"/>
        <v>3</v>
      </c>
      <c r="DE576" s="5" t="s">
        <v>280</v>
      </c>
      <c r="DF576" s="5">
        <f t="shared" si="1840"/>
        <v>4</v>
      </c>
      <c r="DG576" s="5" t="s">
        <v>280</v>
      </c>
      <c r="DH576" s="5">
        <f t="shared" si="1841"/>
        <v>4</v>
      </c>
      <c r="DI576" s="5" t="s">
        <v>251</v>
      </c>
      <c r="DJ576" s="5">
        <f t="shared" si="1842"/>
        <v>1</v>
      </c>
      <c r="DK576" s="5" t="s">
        <v>251</v>
      </c>
      <c r="DL576" s="5">
        <f t="shared" si="1843"/>
        <v>1</v>
      </c>
      <c r="DM576" s="5" t="s">
        <v>251</v>
      </c>
      <c r="DN576" s="5">
        <f t="shared" si="1844"/>
        <v>1</v>
      </c>
      <c r="DO576" s="5" t="s">
        <v>231</v>
      </c>
      <c r="DP576" s="5">
        <f t="shared" si="1845"/>
        <v>2</v>
      </c>
      <c r="DQ576" s="5" t="s">
        <v>281</v>
      </c>
      <c r="DR576" s="5">
        <f t="shared" si="1846"/>
        <v>1</v>
      </c>
      <c r="DS576" s="5" t="s">
        <v>281</v>
      </c>
      <c r="DT576" s="5">
        <f t="shared" si="1847"/>
        <v>1</v>
      </c>
      <c r="DU576" s="5" t="s">
        <v>281</v>
      </c>
      <c r="DV576" s="5">
        <f t="shared" si="1848"/>
        <v>1</v>
      </c>
      <c r="DW576" s="5" t="s">
        <v>281</v>
      </c>
      <c r="DX576" s="5">
        <f t="shared" si="1849"/>
        <v>1</v>
      </c>
      <c r="DY576" s="5">
        <f t="shared" si="1850"/>
        <v>21</v>
      </c>
      <c r="DZ576" s="5" t="str">
        <f t="shared" si="1851"/>
        <v>Nivel de riesgo medio</v>
      </c>
      <c r="EA576" s="5" t="s">
        <v>248</v>
      </c>
      <c r="EB576" s="5">
        <f t="shared" si="1852"/>
        <v>1</v>
      </c>
      <c r="EC576" s="5" t="s">
        <v>248</v>
      </c>
      <c r="ED576" s="5">
        <f t="shared" si="1853"/>
        <v>1</v>
      </c>
      <c r="EE576" s="5" t="s">
        <v>247</v>
      </c>
      <c r="EF576" s="5">
        <f t="shared" si="1854"/>
        <v>2</v>
      </c>
      <c r="EG576" s="5">
        <f t="shared" si="1855"/>
        <v>4</v>
      </c>
      <c r="EH576" s="5" t="str">
        <f t="shared" si="1856"/>
        <v>Nivel de riesgo medio</v>
      </c>
      <c r="EI576" s="5" t="s">
        <v>253</v>
      </c>
      <c r="EJ576" s="5">
        <f t="shared" si="1857"/>
        <v>0</v>
      </c>
      <c r="EK576" s="5" t="s">
        <v>253</v>
      </c>
      <c r="EL576" s="5">
        <f t="shared" si="1858"/>
        <v>0</v>
      </c>
      <c r="EM576" s="5" t="s">
        <v>253</v>
      </c>
      <c r="EN576" s="5">
        <f t="shared" si="1859"/>
        <v>0</v>
      </c>
      <c r="EO576" s="5">
        <f t="shared" si="1860"/>
        <v>0</v>
      </c>
      <c r="EP576" s="5" t="str">
        <f t="shared" si="1861"/>
        <v>Nivel de riesgo bajo</v>
      </c>
      <c r="EQ576" s="5" t="s">
        <v>253</v>
      </c>
      <c r="ER576" s="5">
        <f t="shared" si="1862"/>
        <v>4</v>
      </c>
      <c r="ES576" s="5" t="s">
        <v>248</v>
      </c>
      <c r="ET576" s="5">
        <f t="shared" si="1863"/>
        <v>3</v>
      </c>
      <c r="EU576" s="5" t="s">
        <v>254</v>
      </c>
      <c r="EV576" s="5">
        <f t="shared" si="1864"/>
        <v>0</v>
      </c>
      <c r="EW576" s="5" t="s">
        <v>254</v>
      </c>
      <c r="EX576" s="5">
        <f t="shared" si="1865"/>
        <v>0</v>
      </c>
      <c r="EY576" s="5">
        <f t="shared" si="1866"/>
        <v>7</v>
      </c>
      <c r="EZ576" s="5" t="str">
        <f t="shared" si="1867"/>
        <v>Nivel de riesgo alto</v>
      </c>
      <c r="FA576" s="5" t="s">
        <v>253</v>
      </c>
      <c r="FB576" s="5">
        <f t="shared" si="1868"/>
        <v>0</v>
      </c>
      <c r="FC576" s="5" t="s">
        <v>253</v>
      </c>
      <c r="FD576" s="5">
        <f t="shared" si="1869"/>
        <v>0</v>
      </c>
      <c r="FE576" s="5" t="s">
        <v>253</v>
      </c>
      <c r="FF576" s="5">
        <f t="shared" si="1870"/>
        <v>0</v>
      </c>
      <c r="FG576" s="5">
        <f t="shared" si="1871"/>
        <v>0</v>
      </c>
      <c r="FH576" s="5" t="str">
        <f t="shared" si="1872"/>
        <v>Nivel de riesgo bajo</v>
      </c>
      <c r="FI576" s="5" t="s">
        <v>248</v>
      </c>
      <c r="FJ576" s="5">
        <f t="shared" si="1873"/>
        <v>1</v>
      </c>
      <c r="FK576" s="5" t="s">
        <v>253</v>
      </c>
      <c r="FL576" s="5">
        <f t="shared" si="1874"/>
        <v>0</v>
      </c>
      <c r="FM576" s="5" t="s">
        <v>253</v>
      </c>
      <c r="FN576" s="5">
        <f t="shared" si="1875"/>
        <v>0</v>
      </c>
      <c r="FO576" s="5">
        <f t="shared" si="1876"/>
        <v>1</v>
      </c>
      <c r="FP576" s="5" t="str">
        <f t="shared" si="1877"/>
        <v>Nivel de riesgo bajo</v>
      </c>
      <c r="FQ576" s="5" t="s">
        <v>206</v>
      </c>
      <c r="FR576" s="5">
        <f t="shared" si="1878"/>
        <v>0</v>
      </c>
      <c r="FS576" s="5" t="s">
        <v>206</v>
      </c>
      <c r="FT576" s="5">
        <f t="shared" si="1879"/>
        <v>0</v>
      </c>
      <c r="FU576" s="5" t="s">
        <v>206</v>
      </c>
      <c r="FV576" s="5">
        <f t="shared" si="1880"/>
        <v>0</v>
      </c>
      <c r="FW576" s="5" t="s">
        <v>206</v>
      </c>
      <c r="FX576" s="5">
        <f t="shared" si="1881"/>
        <v>0</v>
      </c>
      <c r="FY576" s="5" t="s">
        <v>206</v>
      </c>
      <c r="FZ576" s="5">
        <f t="shared" si="1882"/>
        <v>0</v>
      </c>
      <c r="GA576" s="5" t="s">
        <v>206</v>
      </c>
      <c r="GB576" s="5">
        <f t="shared" si="1883"/>
        <v>0</v>
      </c>
      <c r="GC576" s="5" t="s">
        <v>206</v>
      </c>
      <c r="GD576" s="5">
        <f t="shared" si="1884"/>
        <v>0</v>
      </c>
      <c r="GE576" s="5">
        <f t="shared" si="1885"/>
        <v>0</v>
      </c>
      <c r="GF576" s="5" t="str">
        <f t="shared" si="1886"/>
        <v>Nivel de riesgo bajo</v>
      </c>
      <c r="GG576" s="5" t="s">
        <v>298</v>
      </c>
      <c r="GH576" s="5" t="s">
        <v>233</v>
      </c>
      <c r="GI576" s="5" t="s">
        <v>266</v>
      </c>
      <c r="GJ576" s="5" t="s">
        <v>298</v>
      </c>
      <c r="GK576" s="5" t="s">
        <v>233</v>
      </c>
      <c r="GL576" s="5" t="s">
        <v>266</v>
      </c>
      <c r="GM576" s="5" t="s">
        <v>233</v>
      </c>
      <c r="GN576" s="5" t="s">
        <v>243</v>
      </c>
      <c r="GO576" s="5" t="s">
        <v>243</v>
      </c>
      <c r="GP576" s="5" t="s">
        <v>257</v>
      </c>
      <c r="GQ576" s="5" t="s">
        <v>244</v>
      </c>
      <c r="GR576" s="5" t="s">
        <v>256</v>
      </c>
      <c r="GS576" s="5" t="s">
        <v>234</v>
      </c>
      <c r="GT576" s="5" t="s">
        <v>256</v>
      </c>
      <c r="GU576" s="5" t="s">
        <v>939</v>
      </c>
      <c r="GV576" s="5" t="str">
        <f>TEXT("6294563345999151412","0")</f>
        <v>6294563345999150000</v>
      </c>
    </row>
    <row r="577" spans="1:204" ht="15.75" customHeight="1" x14ac:dyDescent="0.15">
      <c r="A577" s="1">
        <f t="shared" si="1836"/>
        <v>577</v>
      </c>
      <c r="B577" s="4">
        <v>45865.738576388889</v>
      </c>
      <c r="C577" s="5" t="s">
        <v>204</v>
      </c>
      <c r="D577" s="5" t="s">
        <v>206</v>
      </c>
      <c r="F577" s="5" t="s">
        <v>204</v>
      </c>
      <c r="G577" s="5" t="s">
        <v>204</v>
      </c>
      <c r="H577" s="5" t="s">
        <v>206</v>
      </c>
      <c r="K577" s="5" t="s">
        <v>237</v>
      </c>
      <c r="Q577" s="5" t="s">
        <v>236</v>
      </c>
      <c r="V577" s="5" t="s">
        <v>236</v>
      </c>
      <c r="Y577" s="5" t="s">
        <v>209</v>
      </c>
      <c r="AD577" s="5" t="s">
        <v>209</v>
      </c>
      <c r="AH577" s="5" t="s">
        <v>275</v>
      </c>
      <c r="AI577" s="5">
        <v>2022</v>
      </c>
      <c r="AJ577" s="5" t="s">
        <v>238</v>
      </c>
      <c r="AK577" s="5" t="str">
        <f t="shared" si="1837"/>
        <v>Trabajadora por cuenta propia</v>
      </c>
      <c r="AL577" s="5" t="s">
        <v>239</v>
      </c>
      <c r="AP577" s="5" t="s">
        <v>297</v>
      </c>
      <c r="AR577" s="5" t="s">
        <v>261</v>
      </c>
      <c r="AS577" s="5" t="s">
        <v>294</v>
      </c>
      <c r="AT577" s="5" t="s">
        <v>294</v>
      </c>
      <c r="AU577" s="5" t="s">
        <v>294</v>
      </c>
      <c r="AV577" s="5" t="s">
        <v>269</v>
      </c>
      <c r="AW577" s="5" t="s">
        <v>204</v>
      </c>
      <c r="AX577" s="5" t="s">
        <v>206</v>
      </c>
      <c r="BF577" s="5" t="s">
        <v>204</v>
      </c>
      <c r="BG577" s="5" t="s">
        <v>242</v>
      </c>
      <c r="BH577" s="5" t="s">
        <v>242</v>
      </c>
      <c r="BI577" s="5" t="s">
        <v>242</v>
      </c>
      <c r="BJ577" s="5" t="s">
        <v>242</v>
      </c>
      <c r="BK577" s="5" t="s">
        <v>245</v>
      </c>
      <c r="BL577" s="5" t="s">
        <v>243</v>
      </c>
      <c r="BM577" s="5" t="s">
        <v>246</v>
      </c>
      <c r="BN577" s="5" t="s">
        <v>245</v>
      </c>
      <c r="BO577" s="5" t="s">
        <v>246</v>
      </c>
      <c r="BP577" s="5" t="s">
        <v>245</v>
      </c>
      <c r="BQ577" s="5" t="s">
        <v>245</v>
      </c>
      <c r="BR577" s="5" t="s">
        <v>245</v>
      </c>
      <c r="BS577" s="5" t="s">
        <v>254</v>
      </c>
      <c r="BT577" s="5" t="s">
        <v>254</v>
      </c>
      <c r="BU577" s="5" t="s">
        <v>232</v>
      </c>
      <c r="BV577" s="5" t="s">
        <v>232</v>
      </c>
      <c r="BW577" s="5" t="s">
        <v>232</v>
      </c>
      <c r="BX577" s="5" t="s">
        <v>247</v>
      </c>
      <c r="BY577" s="5" t="s">
        <v>232</v>
      </c>
      <c r="BZ577" s="5" t="s">
        <v>245</v>
      </c>
      <c r="CA577" s="5" t="s">
        <v>245</v>
      </c>
      <c r="CB577" s="5" t="s">
        <v>244</v>
      </c>
      <c r="CC577" s="5" t="s">
        <v>243</v>
      </c>
      <c r="CD577" s="5" t="s">
        <v>204</v>
      </c>
      <c r="CE577" s="5" t="s">
        <v>218</v>
      </c>
      <c r="CF577" s="5" t="s">
        <v>219</v>
      </c>
      <c r="CG577" s="5" t="s">
        <v>206</v>
      </c>
      <c r="CH577" s="5" t="s">
        <v>206</v>
      </c>
      <c r="CI577" s="5" t="s">
        <v>291</v>
      </c>
      <c r="CJ577" s="5">
        <v>1</v>
      </c>
      <c r="CK577" s="5" t="s">
        <v>223</v>
      </c>
      <c r="CU577" s="5" t="s">
        <v>206</v>
      </c>
      <c r="DA577" s="5" t="s">
        <v>252</v>
      </c>
      <c r="DB577" s="5">
        <f t="shared" si="1838"/>
        <v>3</v>
      </c>
      <c r="DC577" s="5" t="s">
        <v>250</v>
      </c>
      <c r="DD577" s="5">
        <f t="shared" si="1839"/>
        <v>3</v>
      </c>
      <c r="DE577" s="5" t="s">
        <v>250</v>
      </c>
      <c r="DF577" s="5">
        <f t="shared" si="1840"/>
        <v>3</v>
      </c>
      <c r="DG577" s="5" t="s">
        <v>230</v>
      </c>
      <c r="DH577" s="5">
        <f t="shared" si="1841"/>
        <v>2</v>
      </c>
      <c r="DI577" s="5" t="s">
        <v>230</v>
      </c>
      <c r="DJ577" s="5">
        <f t="shared" si="1842"/>
        <v>2</v>
      </c>
      <c r="DK577" s="5" t="s">
        <v>230</v>
      </c>
      <c r="DL577" s="5">
        <f t="shared" si="1843"/>
        <v>2</v>
      </c>
      <c r="DM577" s="5" t="s">
        <v>251</v>
      </c>
      <c r="DN577" s="5">
        <f t="shared" si="1844"/>
        <v>1</v>
      </c>
      <c r="DO577" s="5" t="s">
        <v>281</v>
      </c>
      <c r="DP577" s="5">
        <f t="shared" si="1845"/>
        <v>1</v>
      </c>
      <c r="DQ577" s="5" t="s">
        <v>231</v>
      </c>
      <c r="DR577" s="5">
        <f t="shared" si="1846"/>
        <v>2</v>
      </c>
      <c r="DS577" s="5" t="s">
        <v>252</v>
      </c>
      <c r="DT577" s="5">
        <f t="shared" si="1847"/>
        <v>3</v>
      </c>
      <c r="DU577" s="5" t="s">
        <v>231</v>
      </c>
      <c r="DV577" s="5">
        <f t="shared" si="1848"/>
        <v>2</v>
      </c>
      <c r="DW577" s="5" t="s">
        <v>231</v>
      </c>
      <c r="DX577" s="5">
        <f t="shared" si="1849"/>
        <v>2</v>
      </c>
      <c r="DY577" s="5">
        <f t="shared" si="1850"/>
        <v>26</v>
      </c>
      <c r="DZ577" s="5" t="str">
        <f t="shared" si="1851"/>
        <v>Nivel de riesgo alto</v>
      </c>
      <c r="EA577" s="5" t="s">
        <v>248</v>
      </c>
      <c r="EB577" s="5">
        <f t="shared" si="1852"/>
        <v>1</v>
      </c>
      <c r="EC577" s="5" t="s">
        <v>247</v>
      </c>
      <c r="ED577" s="5">
        <f t="shared" si="1853"/>
        <v>2</v>
      </c>
      <c r="EE577" s="5" t="s">
        <v>248</v>
      </c>
      <c r="EF577" s="5">
        <f t="shared" si="1854"/>
        <v>1</v>
      </c>
      <c r="EG577" s="5">
        <f t="shared" si="1855"/>
        <v>4</v>
      </c>
      <c r="EH577" s="5" t="str">
        <f t="shared" si="1856"/>
        <v>Nivel de riesgo medio</v>
      </c>
      <c r="EI577" s="5" t="s">
        <v>248</v>
      </c>
      <c r="EJ577" s="5">
        <f t="shared" si="1857"/>
        <v>1</v>
      </c>
      <c r="EK577" s="5" t="s">
        <v>232</v>
      </c>
      <c r="EL577" s="5">
        <f t="shared" si="1858"/>
        <v>3</v>
      </c>
      <c r="EM577" s="5" t="s">
        <v>232</v>
      </c>
      <c r="EN577" s="5">
        <f t="shared" si="1859"/>
        <v>3</v>
      </c>
      <c r="EO577" s="5">
        <f t="shared" si="1860"/>
        <v>7</v>
      </c>
      <c r="EP577" s="5" t="str">
        <f t="shared" si="1861"/>
        <v>Nivel de riesgo alto</v>
      </c>
      <c r="EQ577" s="5" t="s">
        <v>232</v>
      </c>
      <c r="ER577" s="5">
        <f t="shared" si="1862"/>
        <v>1</v>
      </c>
      <c r="ES577" s="5" t="s">
        <v>247</v>
      </c>
      <c r="ET577" s="5">
        <f t="shared" si="1863"/>
        <v>2</v>
      </c>
      <c r="EU577" s="5" t="s">
        <v>232</v>
      </c>
      <c r="EV577" s="5">
        <f t="shared" si="1864"/>
        <v>1</v>
      </c>
      <c r="EW577" s="5" t="s">
        <v>232</v>
      </c>
      <c r="EX577" s="5">
        <f t="shared" si="1865"/>
        <v>1</v>
      </c>
      <c r="EY577" s="5">
        <f t="shared" si="1866"/>
        <v>5</v>
      </c>
      <c r="EZ577" s="5" t="str">
        <f t="shared" si="1867"/>
        <v>Nivel de riesgo alto</v>
      </c>
      <c r="FA577" s="5" t="s">
        <v>253</v>
      </c>
      <c r="FB577" s="5">
        <f t="shared" si="1868"/>
        <v>0</v>
      </c>
      <c r="FC577" s="5" t="s">
        <v>253</v>
      </c>
      <c r="FD577" s="5">
        <f t="shared" si="1869"/>
        <v>0</v>
      </c>
      <c r="FE577" s="5" t="s">
        <v>253</v>
      </c>
      <c r="FF577" s="5">
        <f t="shared" si="1870"/>
        <v>0</v>
      </c>
      <c r="FG577" s="5">
        <f t="shared" si="1871"/>
        <v>0</v>
      </c>
      <c r="FH577" s="5" t="str">
        <f t="shared" si="1872"/>
        <v>Nivel de riesgo bajo</v>
      </c>
      <c r="FI577" s="5" t="s">
        <v>247</v>
      </c>
      <c r="FJ577" s="5">
        <f t="shared" si="1873"/>
        <v>2</v>
      </c>
      <c r="FK577" s="5" t="s">
        <v>247</v>
      </c>
      <c r="FL577" s="5">
        <f t="shared" si="1874"/>
        <v>2</v>
      </c>
      <c r="FM577" s="5" t="s">
        <v>247</v>
      </c>
      <c r="FN577" s="5">
        <f t="shared" si="1875"/>
        <v>2</v>
      </c>
      <c r="FO577" s="5">
        <f t="shared" si="1876"/>
        <v>6</v>
      </c>
      <c r="FP577" s="5" t="str">
        <f t="shared" si="1877"/>
        <v>Nivel de riesgo alto</v>
      </c>
      <c r="FQ577" s="5" t="s">
        <v>265</v>
      </c>
      <c r="FR577" s="5">
        <f t="shared" si="1878"/>
        <v>1</v>
      </c>
      <c r="FS577" s="5" t="s">
        <v>206</v>
      </c>
      <c r="FT577" s="5">
        <f t="shared" si="1879"/>
        <v>0</v>
      </c>
      <c r="FU577" s="5" t="s">
        <v>206</v>
      </c>
      <c r="FV577" s="5">
        <f t="shared" si="1880"/>
        <v>0</v>
      </c>
      <c r="FW577" s="5" t="s">
        <v>206</v>
      </c>
      <c r="FX577" s="5">
        <f t="shared" si="1881"/>
        <v>0</v>
      </c>
      <c r="FY577" s="5" t="s">
        <v>206</v>
      </c>
      <c r="FZ577" s="5">
        <f t="shared" si="1882"/>
        <v>0</v>
      </c>
      <c r="GA577" s="5" t="s">
        <v>206</v>
      </c>
      <c r="GB577" s="5">
        <f t="shared" si="1883"/>
        <v>0</v>
      </c>
      <c r="GC577" s="5" t="s">
        <v>206</v>
      </c>
      <c r="GD577" s="5">
        <f t="shared" si="1884"/>
        <v>0</v>
      </c>
      <c r="GE577" s="5">
        <f t="shared" si="1885"/>
        <v>1</v>
      </c>
      <c r="GF577" s="5" t="str">
        <f t="shared" si="1886"/>
        <v>Nivel de riesgo medio</v>
      </c>
      <c r="GG577" s="5" t="s">
        <v>255</v>
      </c>
      <c r="GH577" s="5" t="s">
        <v>255</v>
      </c>
      <c r="GI577" s="5" t="s">
        <v>255</v>
      </c>
      <c r="GJ577" s="5" t="s">
        <v>255</v>
      </c>
      <c r="GK577" s="5" t="s">
        <v>233</v>
      </c>
      <c r="GL577" s="5" t="s">
        <v>266</v>
      </c>
      <c r="GM577" s="5" t="s">
        <v>273</v>
      </c>
      <c r="GN577" s="5" t="s">
        <v>256</v>
      </c>
      <c r="GO577" s="5" t="s">
        <v>257</v>
      </c>
      <c r="GP577" s="5" t="s">
        <v>257</v>
      </c>
      <c r="GQ577" s="5" t="s">
        <v>257</v>
      </c>
      <c r="GR577" s="5" t="s">
        <v>244</v>
      </c>
      <c r="GS577" s="5" t="s">
        <v>244</v>
      </c>
      <c r="GT577" s="5" t="s">
        <v>257</v>
      </c>
      <c r="GU577" s="5" t="s">
        <v>940</v>
      </c>
      <c r="GV577" s="5" t="str">
        <f>TEXT("6294618137113454352","0")</f>
        <v>6294618137113450000</v>
      </c>
    </row>
    <row r="578" spans="1:204" ht="15.75" customHeight="1" x14ac:dyDescent="0.15">
      <c r="A578" s="1">
        <f t="shared" si="1836"/>
        <v>578</v>
      </c>
      <c r="B578" s="4">
        <v>45865.758923611109</v>
      </c>
      <c r="C578" s="5" t="s">
        <v>204</v>
      </c>
      <c r="D578" s="5" t="s">
        <v>206</v>
      </c>
      <c r="F578" s="5" t="s">
        <v>206</v>
      </c>
      <c r="G578" s="5" t="s">
        <v>204</v>
      </c>
      <c r="H578" s="5" t="s">
        <v>204</v>
      </c>
      <c r="K578" s="5" t="s">
        <v>237</v>
      </c>
      <c r="O578" s="5" t="s">
        <v>209</v>
      </c>
      <c r="S578" s="5" t="s">
        <v>208</v>
      </c>
      <c r="X578" s="5" t="s">
        <v>208</v>
      </c>
      <c r="AC578" s="5" t="s">
        <v>208</v>
      </c>
      <c r="AH578" s="5" t="s">
        <v>268</v>
      </c>
      <c r="AI578" s="5">
        <v>2005</v>
      </c>
      <c r="AJ578" s="5" t="s">
        <v>238</v>
      </c>
      <c r="AK578" s="5" t="str">
        <f t="shared" si="1837"/>
        <v>Trabajadora por cuenta propia</v>
      </c>
      <c r="AM578" s="5" t="s">
        <v>309</v>
      </c>
      <c r="AP578" s="5" t="s">
        <v>240</v>
      </c>
      <c r="AR578" s="5" t="s">
        <v>241</v>
      </c>
      <c r="AS578" s="5" t="s">
        <v>241</v>
      </c>
      <c r="AT578" s="5" t="s">
        <v>241</v>
      </c>
      <c r="AU578" s="5" t="s">
        <v>241</v>
      </c>
      <c r="AV578" s="5" t="s">
        <v>285</v>
      </c>
      <c r="AW578" s="5" t="s">
        <v>204</v>
      </c>
      <c r="AX578" s="5" t="s">
        <v>204</v>
      </c>
      <c r="AY578" s="5" t="s">
        <v>214</v>
      </c>
      <c r="AZ578" s="5" t="s">
        <v>204</v>
      </c>
      <c r="BA578" s="5" t="s">
        <v>263</v>
      </c>
      <c r="BF578" s="5" t="s">
        <v>204</v>
      </c>
      <c r="BG578" s="5" t="s">
        <v>242</v>
      </c>
      <c r="BH578" s="5" t="s">
        <v>242</v>
      </c>
      <c r="BI578" s="5" t="s">
        <v>242</v>
      </c>
      <c r="BJ578" s="5" t="s">
        <v>242</v>
      </c>
      <c r="BK578" s="5" t="s">
        <v>243</v>
      </c>
      <c r="BL578" s="5" t="s">
        <v>244</v>
      </c>
      <c r="BM578" s="5" t="s">
        <v>243</v>
      </c>
      <c r="BN578" s="5" t="s">
        <v>244</v>
      </c>
      <c r="BO578" s="5" t="s">
        <v>244</v>
      </c>
      <c r="BP578" s="5" t="s">
        <v>243</v>
      </c>
      <c r="BQ578" s="5" t="s">
        <v>244</v>
      </c>
      <c r="BR578" s="5" t="s">
        <v>244</v>
      </c>
      <c r="BS578" s="5" t="s">
        <v>248</v>
      </c>
      <c r="BT578" s="5" t="s">
        <v>248</v>
      </c>
      <c r="BU578" s="5" t="s">
        <v>247</v>
      </c>
      <c r="BV578" s="5" t="s">
        <v>217</v>
      </c>
      <c r="BW578" s="5" t="s">
        <v>248</v>
      </c>
      <c r="BX578" s="5" t="s">
        <v>248</v>
      </c>
      <c r="BY578" s="5" t="s">
        <v>248</v>
      </c>
      <c r="BZ578" s="5" t="s">
        <v>244</v>
      </c>
      <c r="CA578" s="5" t="s">
        <v>244</v>
      </c>
      <c r="CB578" s="5" t="s">
        <v>244</v>
      </c>
      <c r="CC578" s="5" t="s">
        <v>243</v>
      </c>
      <c r="CD578" s="5" t="s">
        <v>206</v>
      </c>
      <c r="CH578" s="5" t="s">
        <v>206</v>
      </c>
      <c r="CI578" s="5" t="s">
        <v>206</v>
      </c>
      <c r="CJ578" s="5">
        <v>1</v>
      </c>
      <c r="CK578" s="5" t="s">
        <v>223</v>
      </c>
      <c r="CU578" s="5" t="s">
        <v>206</v>
      </c>
      <c r="DA578" s="5" t="s">
        <v>231</v>
      </c>
      <c r="DB578" s="5">
        <f t="shared" si="1838"/>
        <v>2</v>
      </c>
      <c r="DC578" s="5" t="s">
        <v>230</v>
      </c>
      <c r="DD578" s="5">
        <f t="shared" si="1839"/>
        <v>2</v>
      </c>
      <c r="DE578" s="5" t="s">
        <v>230</v>
      </c>
      <c r="DF578" s="5">
        <f t="shared" si="1840"/>
        <v>2</v>
      </c>
      <c r="DG578" s="5" t="s">
        <v>230</v>
      </c>
      <c r="DH578" s="5">
        <f t="shared" si="1841"/>
        <v>2</v>
      </c>
      <c r="DI578" s="5" t="s">
        <v>251</v>
      </c>
      <c r="DJ578" s="5">
        <f t="shared" si="1842"/>
        <v>1</v>
      </c>
      <c r="DK578" s="5" t="s">
        <v>251</v>
      </c>
      <c r="DL578" s="5">
        <f t="shared" si="1843"/>
        <v>1</v>
      </c>
      <c r="DM578" s="5" t="s">
        <v>251</v>
      </c>
      <c r="DN578" s="5">
        <f t="shared" si="1844"/>
        <v>1</v>
      </c>
      <c r="DO578" s="5" t="s">
        <v>231</v>
      </c>
      <c r="DP578" s="5">
        <f t="shared" si="1845"/>
        <v>2</v>
      </c>
      <c r="DQ578" s="5" t="s">
        <v>281</v>
      </c>
      <c r="DR578" s="5">
        <f t="shared" si="1846"/>
        <v>1</v>
      </c>
      <c r="DS578" s="5" t="s">
        <v>281</v>
      </c>
      <c r="DT578" s="5">
        <f t="shared" si="1847"/>
        <v>1</v>
      </c>
      <c r="DU578" s="5" t="s">
        <v>281</v>
      </c>
      <c r="DV578" s="5">
        <f t="shared" si="1848"/>
        <v>1</v>
      </c>
      <c r="DW578" s="5" t="s">
        <v>281</v>
      </c>
      <c r="DX578" s="5">
        <f t="shared" si="1849"/>
        <v>1</v>
      </c>
      <c r="DY578" s="5">
        <f t="shared" si="1850"/>
        <v>17</v>
      </c>
      <c r="DZ578" s="5" t="str">
        <f t="shared" si="1851"/>
        <v>Nivel de riesgo bajo</v>
      </c>
      <c r="EA578" s="5" t="s">
        <v>253</v>
      </c>
      <c r="EB578" s="5">
        <f t="shared" si="1852"/>
        <v>0</v>
      </c>
      <c r="EC578" s="5" t="s">
        <v>248</v>
      </c>
      <c r="ED578" s="5">
        <f t="shared" si="1853"/>
        <v>1</v>
      </c>
      <c r="EE578" s="5" t="s">
        <v>253</v>
      </c>
      <c r="EF578" s="5">
        <f t="shared" si="1854"/>
        <v>0</v>
      </c>
      <c r="EG578" s="5">
        <f t="shared" si="1855"/>
        <v>1</v>
      </c>
      <c r="EH578" s="5" t="str">
        <f t="shared" si="1856"/>
        <v>Nivel de riesgo bajo</v>
      </c>
      <c r="EI578" s="5" t="s">
        <v>253</v>
      </c>
      <c r="EJ578" s="5">
        <f t="shared" si="1857"/>
        <v>0</v>
      </c>
      <c r="EK578" s="5" t="s">
        <v>247</v>
      </c>
      <c r="EL578" s="5">
        <f t="shared" si="1858"/>
        <v>2</v>
      </c>
      <c r="EM578" s="5" t="s">
        <v>254</v>
      </c>
      <c r="EN578" s="5">
        <f t="shared" si="1859"/>
        <v>4</v>
      </c>
      <c r="EO578" s="5">
        <f t="shared" si="1860"/>
        <v>6</v>
      </c>
      <c r="EP578" s="5" t="str">
        <f t="shared" si="1861"/>
        <v>Nivel de riesgo alto</v>
      </c>
      <c r="EQ578" s="5" t="s">
        <v>232</v>
      </c>
      <c r="ER578" s="5">
        <f t="shared" si="1862"/>
        <v>1</v>
      </c>
      <c r="ES578" s="5" t="s">
        <v>247</v>
      </c>
      <c r="ET578" s="5">
        <f t="shared" si="1863"/>
        <v>2</v>
      </c>
      <c r="EU578" s="5" t="s">
        <v>254</v>
      </c>
      <c r="EV578" s="5">
        <f t="shared" si="1864"/>
        <v>0</v>
      </c>
      <c r="EW578" s="5" t="s">
        <v>254</v>
      </c>
      <c r="EX578" s="5">
        <f t="shared" si="1865"/>
        <v>0</v>
      </c>
      <c r="EY578" s="5">
        <f t="shared" si="1866"/>
        <v>3</v>
      </c>
      <c r="EZ578" s="5" t="str">
        <f t="shared" si="1867"/>
        <v>Nivel de riesgo medio</v>
      </c>
      <c r="FA578" s="5" t="s">
        <v>248</v>
      </c>
      <c r="FB578" s="5">
        <f t="shared" si="1868"/>
        <v>1</v>
      </c>
      <c r="FC578" s="5" t="s">
        <v>253</v>
      </c>
      <c r="FD578" s="5">
        <f t="shared" si="1869"/>
        <v>0</v>
      </c>
      <c r="FE578" s="5" t="s">
        <v>253</v>
      </c>
      <c r="FF578" s="5">
        <f t="shared" si="1870"/>
        <v>0</v>
      </c>
      <c r="FG578" s="5">
        <f t="shared" si="1871"/>
        <v>1</v>
      </c>
      <c r="FH578" s="5" t="str">
        <f t="shared" si="1872"/>
        <v>Nivel de riesgo bajo</v>
      </c>
      <c r="FI578" s="5" t="s">
        <v>253</v>
      </c>
      <c r="FJ578" s="5">
        <f t="shared" si="1873"/>
        <v>0</v>
      </c>
      <c r="FK578" s="5" t="s">
        <v>253</v>
      </c>
      <c r="FL578" s="5">
        <f t="shared" si="1874"/>
        <v>0</v>
      </c>
      <c r="FM578" s="5" t="s">
        <v>253</v>
      </c>
      <c r="FN578" s="5">
        <f t="shared" si="1875"/>
        <v>0</v>
      </c>
      <c r="FO578" s="5">
        <f t="shared" si="1876"/>
        <v>0</v>
      </c>
      <c r="FP578" s="5" t="str">
        <f t="shared" si="1877"/>
        <v>Nivel de riesgo bajo</v>
      </c>
      <c r="FQ578" s="5" t="s">
        <v>206</v>
      </c>
      <c r="FR578" s="5">
        <f t="shared" si="1878"/>
        <v>0</v>
      </c>
      <c r="FS578" s="5" t="s">
        <v>206</v>
      </c>
      <c r="FT578" s="5">
        <f t="shared" si="1879"/>
        <v>0</v>
      </c>
      <c r="FU578" s="5" t="s">
        <v>206</v>
      </c>
      <c r="FV578" s="5">
        <f t="shared" si="1880"/>
        <v>0</v>
      </c>
      <c r="FW578" s="5" t="s">
        <v>206</v>
      </c>
      <c r="FX578" s="5">
        <f t="shared" si="1881"/>
        <v>0</v>
      </c>
      <c r="FY578" s="5" t="s">
        <v>206</v>
      </c>
      <c r="FZ578" s="5">
        <f t="shared" si="1882"/>
        <v>0</v>
      </c>
      <c r="GA578" s="5" t="s">
        <v>206</v>
      </c>
      <c r="GB578" s="5">
        <f t="shared" si="1883"/>
        <v>0</v>
      </c>
      <c r="GC578" s="5" t="s">
        <v>206</v>
      </c>
      <c r="GD578" s="5">
        <f t="shared" si="1884"/>
        <v>0</v>
      </c>
      <c r="GE578" s="5">
        <f t="shared" si="1885"/>
        <v>0</v>
      </c>
      <c r="GF578" s="5" t="str">
        <f t="shared" si="1886"/>
        <v>Nivel de riesgo bajo</v>
      </c>
      <c r="GG578" s="5" t="s">
        <v>255</v>
      </c>
      <c r="GH578" s="5" t="s">
        <v>255</v>
      </c>
      <c r="GI578" s="5" t="s">
        <v>255</v>
      </c>
      <c r="GJ578" s="5" t="s">
        <v>255</v>
      </c>
      <c r="GK578" s="5" t="s">
        <v>233</v>
      </c>
      <c r="GL578" s="5" t="s">
        <v>266</v>
      </c>
      <c r="GM578" s="5" t="s">
        <v>266</v>
      </c>
      <c r="GN578" s="5" t="s">
        <v>256</v>
      </c>
      <c r="GO578" s="5" t="s">
        <v>256</v>
      </c>
      <c r="GP578" s="5" t="s">
        <v>256</v>
      </c>
      <c r="GQ578" s="5" t="s">
        <v>256</v>
      </c>
      <c r="GR578" s="5" t="s">
        <v>256</v>
      </c>
      <c r="GS578" s="5" t="s">
        <v>256</v>
      </c>
      <c r="GT578" s="5" t="s">
        <v>256</v>
      </c>
      <c r="GU578" s="5" t="s">
        <v>941</v>
      </c>
      <c r="GV578" s="5" t="str">
        <f>TEXT("6294635717126372098","0")</f>
        <v>6294635717126370000</v>
      </c>
    </row>
    <row r="579" spans="1:204" ht="15.75" customHeight="1" x14ac:dyDescent="0.15">
      <c r="A579" s="1">
        <f t="shared" si="1836"/>
        <v>579</v>
      </c>
      <c r="B579" s="4">
        <v>45865.836157407408</v>
      </c>
      <c r="C579" s="5" t="s">
        <v>204</v>
      </c>
      <c r="D579" s="5" t="s">
        <v>206</v>
      </c>
      <c r="F579" s="5" t="s">
        <v>206</v>
      </c>
      <c r="G579" s="5" t="s">
        <v>204</v>
      </c>
      <c r="H579" s="5" t="s">
        <v>206</v>
      </c>
      <c r="K579" s="5" t="s">
        <v>237</v>
      </c>
      <c r="O579" s="5" t="s">
        <v>209</v>
      </c>
      <c r="S579" s="5" t="s">
        <v>208</v>
      </c>
      <c r="X579" s="5" t="s">
        <v>208</v>
      </c>
      <c r="AC579" s="5" t="s">
        <v>208</v>
      </c>
      <c r="AH579" s="5" t="s">
        <v>210</v>
      </c>
      <c r="AI579" s="5">
        <v>2018</v>
      </c>
      <c r="AJ579" s="5" t="s">
        <v>238</v>
      </c>
      <c r="AK579" s="5" t="str">
        <f t="shared" si="1837"/>
        <v>Trabajadora por cuenta propia</v>
      </c>
      <c r="AN579" s="5" t="s">
        <v>288</v>
      </c>
      <c r="AP579" s="5" t="s">
        <v>284</v>
      </c>
      <c r="AR579" s="5" t="s">
        <v>241</v>
      </c>
      <c r="AS579" s="5" t="s">
        <v>241</v>
      </c>
      <c r="AT579" s="5" t="s">
        <v>241</v>
      </c>
      <c r="AU579" s="5" t="s">
        <v>301</v>
      </c>
      <c r="AV579" s="5" t="s">
        <v>285</v>
      </c>
      <c r="AW579" s="5" t="s">
        <v>204</v>
      </c>
      <c r="AX579" s="5" t="s">
        <v>206</v>
      </c>
      <c r="BF579" s="5" t="s">
        <v>204</v>
      </c>
      <c r="BG579" s="5" t="s">
        <v>207</v>
      </c>
      <c r="BH579" s="5" t="s">
        <v>215</v>
      </c>
      <c r="BI579" s="5" t="s">
        <v>207</v>
      </c>
      <c r="BJ579" s="5" t="s">
        <v>264</v>
      </c>
      <c r="BK579" s="5" t="s">
        <v>244</v>
      </c>
      <c r="BL579" s="5" t="s">
        <v>244</v>
      </c>
      <c r="BM579" s="5" t="s">
        <v>216</v>
      </c>
      <c r="BN579" s="5" t="s">
        <v>216</v>
      </c>
      <c r="BO579" s="5" t="s">
        <v>216</v>
      </c>
      <c r="BP579" s="5" t="s">
        <v>216</v>
      </c>
      <c r="BQ579" s="5" t="s">
        <v>216</v>
      </c>
      <c r="BR579" s="5" t="s">
        <v>216</v>
      </c>
      <c r="BS579" s="5" t="s">
        <v>248</v>
      </c>
      <c r="BT579" s="5" t="s">
        <v>248</v>
      </c>
      <c r="BU579" s="5" t="s">
        <v>217</v>
      </c>
      <c r="BV579" s="5" t="s">
        <v>248</v>
      </c>
      <c r="BW579" s="5" t="s">
        <v>217</v>
      </c>
      <c r="BX579" s="5" t="s">
        <v>217</v>
      </c>
      <c r="BY579" s="5" t="s">
        <v>217</v>
      </c>
      <c r="BZ579" s="5" t="s">
        <v>216</v>
      </c>
      <c r="CA579" s="5" t="s">
        <v>216</v>
      </c>
      <c r="CB579" s="5" t="s">
        <v>216</v>
      </c>
      <c r="CC579" s="5" t="s">
        <v>216</v>
      </c>
      <c r="CD579" s="5" t="s">
        <v>206</v>
      </c>
      <c r="CH579" s="5" t="s">
        <v>206</v>
      </c>
      <c r="CI579" s="5" t="s">
        <v>206</v>
      </c>
      <c r="CJ579" s="5">
        <v>0</v>
      </c>
      <c r="CK579" s="5" t="s">
        <v>223</v>
      </c>
      <c r="CU579" s="5" t="s">
        <v>206</v>
      </c>
      <c r="DA579" s="5" t="s">
        <v>272</v>
      </c>
      <c r="DB579" s="5">
        <f t="shared" si="1838"/>
        <v>1</v>
      </c>
      <c r="DC579" s="5" t="s">
        <v>251</v>
      </c>
      <c r="DD579" s="5">
        <f t="shared" si="1839"/>
        <v>1</v>
      </c>
      <c r="DE579" s="5" t="s">
        <v>251</v>
      </c>
      <c r="DF579" s="5">
        <f t="shared" si="1840"/>
        <v>1</v>
      </c>
      <c r="DG579" s="5" t="s">
        <v>251</v>
      </c>
      <c r="DH579" s="5">
        <f t="shared" si="1841"/>
        <v>1</v>
      </c>
      <c r="DI579" s="5" t="s">
        <v>251</v>
      </c>
      <c r="DJ579" s="5">
        <f t="shared" si="1842"/>
        <v>1</v>
      </c>
      <c r="DK579" s="5" t="s">
        <v>251</v>
      </c>
      <c r="DL579" s="5">
        <f t="shared" si="1843"/>
        <v>1</v>
      </c>
      <c r="DM579" s="5" t="s">
        <v>251</v>
      </c>
      <c r="DN579" s="5">
        <f t="shared" si="1844"/>
        <v>1</v>
      </c>
      <c r="DO579" s="5" t="s">
        <v>231</v>
      </c>
      <c r="DP579" s="5">
        <f t="shared" si="1845"/>
        <v>2</v>
      </c>
      <c r="DQ579" s="5" t="s">
        <v>281</v>
      </c>
      <c r="DR579" s="5">
        <f t="shared" si="1846"/>
        <v>1</v>
      </c>
      <c r="DS579" s="5" t="s">
        <v>281</v>
      </c>
      <c r="DT579" s="5">
        <f t="shared" si="1847"/>
        <v>1</v>
      </c>
      <c r="DU579" s="5" t="s">
        <v>281</v>
      </c>
      <c r="DV579" s="5">
        <f t="shared" si="1848"/>
        <v>1</v>
      </c>
      <c r="DW579" s="5" t="s">
        <v>281</v>
      </c>
      <c r="DX579" s="5">
        <f t="shared" si="1849"/>
        <v>1</v>
      </c>
      <c r="DY579" s="5">
        <f t="shared" si="1850"/>
        <v>13</v>
      </c>
      <c r="DZ579" s="5" t="str">
        <f t="shared" si="1851"/>
        <v>Nivel de riesgo bajo</v>
      </c>
      <c r="EA579" s="5" t="s">
        <v>248</v>
      </c>
      <c r="EB579" s="5">
        <f t="shared" si="1852"/>
        <v>1</v>
      </c>
      <c r="EC579" s="5" t="s">
        <v>247</v>
      </c>
      <c r="ED579" s="5">
        <f t="shared" si="1853"/>
        <v>2</v>
      </c>
      <c r="EE579" s="5" t="s">
        <v>253</v>
      </c>
      <c r="EF579" s="5">
        <f t="shared" si="1854"/>
        <v>0</v>
      </c>
      <c r="EG579" s="5">
        <f t="shared" si="1855"/>
        <v>3</v>
      </c>
      <c r="EH579" s="5" t="str">
        <f t="shared" si="1856"/>
        <v>Nivel de riesgo medio</v>
      </c>
      <c r="EI579" s="5" t="s">
        <v>253</v>
      </c>
      <c r="EJ579" s="5">
        <f t="shared" si="1857"/>
        <v>0</v>
      </c>
      <c r="EK579" s="5" t="s">
        <v>247</v>
      </c>
      <c r="EL579" s="5">
        <f t="shared" si="1858"/>
        <v>2</v>
      </c>
      <c r="EM579" s="5" t="s">
        <v>232</v>
      </c>
      <c r="EN579" s="5">
        <f t="shared" si="1859"/>
        <v>3</v>
      </c>
      <c r="EO579" s="5">
        <f t="shared" si="1860"/>
        <v>5</v>
      </c>
      <c r="EP579" s="5" t="str">
        <f t="shared" si="1861"/>
        <v>Nivel de riesgo medio</v>
      </c>
      <c r="EQ579" s="5" t="s">
        <v>253</v>
      </c>
      <c r="ER579" s="5">
        <f t="shared" si="1862"/>
        <v>4</v>
      </c>
      <c r="ES579" s="5" t="s">
        <v>248</v>
      </c>
      <c r="ET579" s="5">
        <f t="shared" si="1863"/>
        <v>3</v>
      </c>
      <c r="EU579" s="5" t="s">
        <v>254</v>
      </c>
      <c r="EV579" s="5">
        <f t="shared" si="1864"/>
        <v>0</v>
      </c>
      <c r="EW579" s="5" t="s">
        <v>254</v>
      </c>
      <c r="EX579" s="5">
        <f t="shared" si="1865"/>
        <v>0</v>
      </c>
      <c r="EY579" s="5">
        <f t="shared" si="1866"/>
        <v>7</v>
      </c>
      <c r="EZ579" s="5" t="str">
        <f t="shared" si="1867"/>
        <v>Nivel de riesgo alto</v>
      </c>
      <c r="FA579" s="5" t="s">
        <v>247</v>
      </c>
      <c r="FB579" s="5">
        <f t="shared" si="1868"/>
        <v>2</v>
      </c>
      <c r="FC579" s="5" t="s">
        <v>247</v>
      </c>
      <c r="FD579" s="5">
        <f t="shared" si="1869"/>
        <v>2</v>
      </c>
      <c r="FE579" s="5" t="s">
        <v>253</v>
      </c>
      <c r="FF579" s="5">
        <f t="shared" si="1870"/>
        <v>0</v>
      </c>
      <c r="FG579" s="5">
        <f t="shared" si="1871"/>
        <v>4</v>
      </c>
      <c r="FH579" s="5" t="str">
        <f t="shared" si="1872"/>
        <v>Nivel de riesgo medio</v>
      </c>
      <c r="FI579" s="5" t="s">
        <v>248</v>
      </c>
      <c r="FJ579" s="5">
        <f t="shared" si="1873"/>
        <v>1</v>
      </c>
      <c r="FK579" s="5" t="s">
        <v>248</v>
      </c>
      <c r="FL579" s="5">
        <f t="shared" si="1874"/>
        <v>1</v>
      </c>
      <c r="FM579" s="5" t="s">
        <v>248</v>
      </c>
      <c r="FN579" s="5">
        <f t="shared" si="1875"/>
        <v>1</v>
      </c>
      <c r="FO579" s="5">
        <f t="shared" si="1876"/>
        <v>3</v>
      </c>
      <c r="FP579" s="5" t="str">
        <f t="shared" si="1877"/>
        <v>Nivel de riesgo medio</v>
      </c>
      <c r="FQ579" s="5" t="s">
        <v>206</v>
      </c>
      <c r="FR579" s="5">
        <f t="shared" si="1878"/>
        <v>0</v>
      </c>
      <c r="FS579" s="5" t="s">
        <v>206</v>
      </c>
      <c r="FT579" s="5">
        <f t="shared" si="1879"/>
        <v>0</v>
      </c>
      <c r="FU579" s="5" t="s">
        <v>206</v>
      </c>
      <c r="FV579" s="5">
        <f t="shared" si="1880"/>
        <v>0</v>
      </c>
      <c r="FW579" s="5" t="s">
        <v>206</v>
      </c>
      <c r="FX579" s="5">
        <f t="shared" si="1881"/>
        <v>0</v>
      </c>
      <c r="FY579" s="5" t="s">
        <v>206</v>
      </c>
      <c r="FZ579" s="5">
        <f t="shared" si="1882"/>
        <v>0</v>
      </c>
      <c r="GA579" s="5" t="s">
        <v>206</v>
      </c>
      <c r="GB579" s="5">
        <f t="shared" si="1883"/>
        <v>0</v>
      </c>
      <c r="GC579" s="5" t="s">
        <v>206</v>
      </c>
      <c r="GD579" s="5">
        <f t="shared" si="1884"/>
        <v>0</v>
      </c>
      <c r="GE579" s="5">
        <f t="shared" si="1885"/>
        <v>0</v>
      </c>
      <c r="GF579" s="5" t="str">
        <f t="shared" si="1886"/>
        <v>Nivel de riesgo bajo</v>
      </c>
      <c r="GG579" s="5" t="s">
        <v>255</v>
      </c>
      <c r="GH579" s="5" t="s">
        <v>266</v>
      </c>
      <c r="GI579" s="5" t="s">
        <v>266</v>
      </c>
      <c r="GJ579" s="5" t="s">
        <v>298</v>
      </c>
      <c r="GK579" s="5" t="s">
        <v>233</v>
      </c>
      <c r="GL579" s="5" t="s">
        <v>233</v>
      </c>
      <c r="GM579" s="5" t="s">
        <v>233</v>
      </c>
      <c r="GN579" s="5" t="s">
        <v>257</v>
      </c>
      <c r="GO579" s="5" t="s">
        <v>257</v>
      </c>
      <c r="GP579" s="5" t="s">
        <v>257</v>
      </c>
      <c r="GQ579" s="5" t="s">
        <v>244</v>
      </c>
      <c r="GR579" s="5" t="s">
        <v>234</v>
      </c>
      <c r="GS579" s="5" t="s">
        <v>234</v>
      </c>
      <c r="GT579" s="5" t="s">
        <v>257</v>
      </c>
      <c r="GU579" s="5" t="s">
        <v>942</v>
      </c>
      <c r="GV579" s="5" t="str">
        <f>TEXT("6294702446405351763","0")</f>
        <v>6294702446405350000</v>
      </c>
    </row>
    <row r="580" spans="1:204" ht="15.75" hidden="1" customHeight="1" x14ac:dyDescent="0.15">
      <c r="B580" s="4">
        <v>45866.370567129627</v>
      </c>
      <c r="C580" s="5" t="s">
        <v>204</v>
      </c>
      <c r="D580" s="5" t="s">
        <v>206</v>
      </c>
      <c r="F580" s="5" t="s">
        <v>206</v>
      </c>
      <c r="G580" s="5" t="s">
        <v>204</v>
      </c>
      <c r="H580" s="5" t="s">
        <v>206</v>
      </c>
      <c r="J580" s="5" t="s">
        <v>209</v>
      </c>
      <c r="O580" s="5" t="s">
        <v>209</v>
      </c>
      <c r="S580" s="5" t="s">
        <v>208</v>
      </c>
      <c r="X580" s="5" t="s">
        <v>208</v>
      </c>
      <c r="AD580" s="5" t="s">
        <v>209</v>
      </c>
      <c r="AH580" s="5" t="s">
        <v>259</v>
      </c>
      <c r="AI580" s="5">
        <v>2024</v>
      </c>
      <c r="AJ580" s="5" t="s">
        <v>260</v>
      </c>
      <c r="AK580" s="5"/>
      <c r="AR580" s="5" t="s">
        <v>261</v>
      </c>
      <c r="AS580" s="5" t="s">
        <v>241</v>
      </c>
      <c r="AT580" s="5" t="s">
        <v>241</v>
      </c>
      <c r="AU580" s="5" t="s">
        <v>261</v>
      </c>
      <c r="AV580" s="5" t="s">
        <v>269</v>
      </c>
      <c r="AW580" s="5" t="s">
        <v>204</v>
      </c>
      <c r="AX580" s="5" t="s">
        <v>204</v>
      </c>
      <c r="AY580" s="5" t="s">
        <v>214</v>
      </c>
      <c r="AZ580" s="5" t="s">
        <v>204</v>
      </c>
      <c r="BA580" s="5" t="s">
        <v>263</v>
      </c>
      <c r="BF580" s="5" t="s">
        <v>204</v>
      </c>
      <c r="BG580" s="5" t="s">
        <v>215</v>
      </c>
      <c r="BH580" s="5" t="s">
        <v>271</v>
      </c>
      <c r="BI580" s="5" t="s">
        <v>264</v>
      </c>
      <c r="BJ580" s="5" t="s">
        <v>215</v>
      </c>
      <c r="BK580" s="5" t="s">
        <v>243</v>
      </c>
      <c r="BL580" s="5" t="s">
        <v>244</v>
      </c>
      <c r="BM580" s="5" t="s">
        <v>243</v>
      </c>
      <c r="BN580" s="5" t="s">
        <v>243</v>
      </c>
      <c r="BO580" s="5" t="s">
        <v>244</v>
      </c>
      <c r="BP580" s="5" t="s">
        <v>246</v>
      </c>
      <c r="BQ580" s="5" t="s">
        <v>244</v>
      </c>
      <c r="BR580" s="5" t="s">
        <v>244</v>
      </c>
      <c r="BS580" s="5" t="s">
        <v>247</v>
      </c>
      <c r="BT580" s="5" t="s">
        <v>217</v>
      </c>
      <c r="BU580" s="5" t="s">
        <v>247</v>
      </c>
      <c r="BV580" s="5" t="s">
        <v>248</v>
      </c>
      <c r="BW580" s="5" t="s">
        <v>248</v>
      </c>
      <c r="BX580" s="5" t="s">
        <v>217</v>
      </c>
      <c r="BY580" s="5" t="s">
        <v>217</v>
      </c>
      <c r="BZ580" s="5" t="s">
        <v>244</v>
      </c>
      <c r="CA580" s="5" t="s">
        <v>244</v>
      </c>
      <c r="CB580" s="5" t="s">
        <v>216</v>
      </c>
      <c r="CC580" s="5" t="s">
        <v>216</v>
      </c>
      <c r="CD580" s="5" t="s">
        <v>206</v>
      </c>
      <c r="CH580" s="5" t="s">
        <v>206</v>
      </c>
      <c r="CI580" s="5" t="s">
        <v>206</v>
      </c>
      <c r="CJ580" s="5">
        <v>0</v>
      </c>
      <c r="CK580" s="5" t="s">
        <v>223</v>
      </c>
      <c r="CU580" s="5" t="s">
        <v>206</v>
      </c>
      <c r="DA580" s="5" t="s">
        <v>231</v>
      </c>
      <c r="DB580" s="5"/>
      <c r="DC580" s="5" t="s">
        <v>250</v>
      </c>
      <c r="DD580" s="5"/>
      <c r="DE580" s="5" t="s">
        <v>250</v>
      </c>
      <c r="DF580" s="5"/>
      <c r="DG580" s="5" t="s">
        <v>250</v>
      </c>
      <c r="DH580" s="5"/>
      <c r="DI580" s="5" t="s">
        <v>230</v>
      </c>
      <c r="DJ580" s="5"/>
      <c r="DK580" s="5" t="s">
        <v>230</v>
      </c>
      <c r="DL580" s="5"/>
      <c r="DM580" s="5" t="s">
        <v>251</v>
      </c>
      <c r="DN580" s="5"/>
      <c r="DO580" s="5" t="s">
        <v>231</v>
      </c>
      <c r="DP580" s="5"/>
      <c r="DQ580" s="5" t="s">
        <v>231</v>
      </c>
      <c r="DR580" s="5"/>
      <c r="DS580" s="5" t="s">
        <v>231</v>
      </c>
      <c r="DT580" s="5"/>
      <c r="DU580" s="5" t="s">
        <v>231</v>
      </c>
      <c r="DV580" s="5"/>
      <c r="DW580" s="5" t="s">
        <v>281</v>
      </c>
      <c r="DX580" s="5"/>
      <c r="DY580" s="5"/>
      <c r="DZ580" s="5"/>
      <c r="EA580" s="5" t="s">
        <v>248</v>
      </c>
      <c r="EB580" s="5"/>
      <c r="EC580" s="5" t="s">
        <v>247</v>
      </c>
      <c r="ED580" s="5"/>
      <c r="EE580" s="5" t="s">
        <v>248</v>
      </c>
      <c r="EF580" s="5"/>
      <c r="EG580" s="5"/>
      <c r="EH580" s="5"/>
      <c r="EI580" s="5" t="s">
        <v>248</v>
      </c>
      <c r="EJ580" s="5"/>
      <c r="EK580" s="5" t="s">
        <v>247</v>
      </c>
      <c r="EL580" s="5"/>
      <c r="EM580" s="5" t="s">
        <v>253</v>
      </c>
      <c r="EN580" s="5"/>
      <c r="EO580" s="5"/>
      <c r="EP580" s="5"/>
      <c r="EQ580" s="5" t="s">
        <v>232</v>
      </c>
      <c r="ER580" s="5"/>
      <c r="ES580" s="5" t="s">
        <v>232</v>
      </c>
      <c r="ET580" s="5"/>
      <c r="EU580" s="5" t="s">
        <v>232</v>
      </c>
      <c r="EV580" s="5"/>
      <c r="EW580" s="5" t="s">
        <v>232</v>
      </c>
      <c r="EX580" s="5"/>
      <c r="EY580" s="5"/>
      <c r="EZ580" s="5"/>
      <c r="FA580" s="5" t="s">
        <v>232</v>
      </c>
      <c r="FB580" s="5"/>
      <c r="FC580" s="5" t="s">
        <v>232</v>
      </c>
      <c r="FD580" s="5"/>
      <c r="FE580" s="5" t="s">
        <v>232</v>
      </c>
      <c r="FF580" s="5"/>
      <c r="FG580" s="5"/>
      <c r="FH580" s="5"/>
      <c r="FI580" s="5" t="s">
        <v>247</v>
      </c>
      <c r="FJ580" s="5"/>
      <c r="FK580" s="5" t="s">
        <v>248</v>
      </c>
      <c r="FL580" s="5"/>
      <c r="FM580" s="5" t="s">
        <v>248</v>
      </c>
      <c r="FN580" s="5"/>
      <c r="FO580" s="5"/>
      <c r="FP580" s="5"/>
      <c r="FQ580" s="5" t="s">
        <v>206</v>
      </c>
      <c r="FR580" s="5"/>
      <c r="FS580" s="5" t="s">
        <v>206</v>
      </c>
      <c r="FT580" s="5"/>
      <c r="FU580" s="5" t="s">
        <v>206</v>
      </c>
      <c r="FV580" s="5"/>
      <c r="FW580" s="5" t="s">
        <v>206</v>
      </c>
      <c r="FX580" s="5"/>
      <c r="FY580" s="5" t="s">
        <v>206</v>
      </c>
      <c r="FZ580" s="5"/>
      <c r="GA580" s="5" t="s">
        <v>206</v>
      </c>
      <c r="GB580" s="5"/>
      <c r="GC580" s="5" t="s">
        <v>265</v>
      </c>
      <c r="GD580" s="5"/>
      <c r="GE580" s="5"/>
      <c r="GF580" s="5"/>
      <c r="GG580" s="5" t="s">
        <v>266</v>
      </c>
      <c r="GH580" s="5" t="s">
        <v>266</v>
      </c>
      <c r="GI580" s="5" t="s">
        <v>266</v>
      </c>
      <c r="GJ580" s="5" t="s">
        <v>298</v>
      </c>
      <c r="GK580" s="5" t="s">
        <v>233</v>
      </c>
      <c r="GL580" s="5" t="s">
        <v>273</v>
      </c>
      <c r="GM580" s="5" t="s">
        <v>266</v>
      </c>
      <c r="GN580" s="5" t="s">
        <v>243</v>
      </c>
      <c r="GO580" s="5" t="s">
        <v>244</v>
      </c>
      <c r="GP580" s="5" t="s">
        <v>244</v>
      </c>
      <c r="GQ580" s="5" t="s">
        <v>257</v>
      </c>
      <c r="GR580" s="5" t="s">
        <v>257</v>
      </c>
      <c r="GS580" s="5" t="s">
        <v>257</v>
      </c>
      <c r="GT580" s="5" t="s">
        <v>243</v>
      </c>
      <c r="GU580" s="5" t="s">
        <v>943</v>
      </c>
      <c r="GV580" s="5" t="str">
        <f>TEXT("6295164178473249934","0")</f>
        <v>6295164178473240000</v>
      </c>
    </row>
    <row r="581" spans="1:204" ht="15.75" customHeight="1" x14ac:dyDescent="0.15">
      <c r="A581" s="1">
        <f t="shared" ref="A581:A590" si="1887">ROW(A581)</f>
        <v>581</v>
      </c>
      <c r="B581" s="4">
        <v>45866.426944444444</v>
      </c>
      <c r="C581" s="5" t="s">
        <v>204</v>
      </c>
      <c r="D581" s="5" t="s">
        <v>206</v>
      </c>
      <c r="F581" s="5" t="s">
        <v>204</v>
      </c>
      <c r="G581" s="5" t="s">
        <v>204</v>
      </c>
      <c r="H581" s="5" t="s">
        <v>204</v>
      </c>
      <c r="J581" s="5" t="s">
        <v>209</v>
      </c>
      <c r="R581" s="5" t="s">
        <v>207</v>
      </c>
      <c r="S581" s="5" t="s">
        <v>208</v>
      </c>
      <c r="AB581" s="5" t="s">
        <v>207</v>
      </c>
      <c r="AG581" s="5" t="s">
        <v>207</v>
      </c>
      <c r="AH581" s="5" t="s">
        <v>210</v>
      </c>
      <c r="AI581" s="5">
        <v>2022</v>
      </c>
      <c r="AJ581" s="5" t="s">
        <v>238</v>
      </c>
      <c r="AK581" s="5" t="str">
        <f t="shared" ref="AK581:AK590" si="1888">IF(OR(AJ581="Empleada del sector privado",AJ581="Empleada del sector público"),"Asalariada",
IF(AJ581="Trabajadora por cuenta propia","Trabajadora por cuenta propia",""))</f>
        <v>Trabajadora por cuenta propia</v>
      </c>
      <c r="AL581" s="5" t="s">
        <v>239</v>
      </c>
      <c r="AP581" s="5" t="s">
        <v>297</v>
      </c>
      <c r="AR581" s="5" t="s">
        <v>241</v>
      </c>
      <c r="AS581" s="5" t="s">
        <v>261</v>
      </c>
      <c r="AT581" s="5" t="s">
        <v>241</v>
      </c>
      <c r="AU581" s="5" t="s">
        <v>241</v>
      </c>
      <c r="AV581" s="5" t="s">
        <v>213</v>
      </c>
      <c r="AW581" s="5" t="s">
        <v>206</v>
      </c>
      <c r="BF581" s="5" t="s">
        <v>204</v>
      </c>
      <c r="BG581" s="5" t="s">
        <v>271</v>
      </c>
      <c r="BH581" s="5" t="s">
        <v>215</v>
      </c>
      <c r="BI581" s="5" t="s">
        <v>278</v>
      </c>
      <c r="BJ581" s="5" t="s">
        <v>215</v>
      </c>
      <c r="BK581" s="5" t="s">
        <v>243</v>
      </c>
      <c r="BL581" s="5" t="s">
        <v>244</v>
      </c>
      <c r="BM581" s="5" t="s">
        <v>244</v>
      </c>
      <c r="BN581" s="5" t="s">
        <v>244</v>
      </c>
      <c r="BO581" s="5" t="s">
        <v>244</v>
      </c>
      <c r="BP581" s="5" t="s">
        <v>244</v>
      </c>
      <c r="BQ581" s="5" t="s">
        <v>244</v>
      </c>
      <c r="BR581" s="5" t="s">
        <v>244</v>
      </c>
      <c r="BS581" s="5" t="s">
        <v>248</v>
      </c>
      <c r="BT581" s="5" t="s">
        <v>217</v>
      </c>
      <c r="BU581" s="5" t="s">
        <v>248</v>
      </c>
      <c r="BV581" s="5" t="s">
        <v>217</v>
      </c>
      <c r="BW581" s="5" t="s">
        <v>217</v>
      </c>
      <c r="BX581" s="5" t="s">
        <v>217</v>
      </c>
      <c r="BY581" s="5" t="s">
        <v>248</v>
      </c>
      <c r="CD581" s="5" t="s">
        <v>206</v>
      </c>
      <c r="CH581" s="5" t="s">
        <v>206</v>
      </c>
      <c r="CI581" s="5" t="s">
        <v>307</v>
      </c>
      <c r="CJ581" s="5">
        <v>7</v>
      </c>
      <c r="CK581" s="5" t="s">
        <v>223</v>
      </c>
      <c r="CU581" s="5" t="s">
        <v>206</v>
      </c>
      <c r="DA581" s="5" t="s">
        <v>231</v>
      </c>
      <c r="DB581" s="5">
        <f t="shared" ref="DB581:DB590" si="1889">IF(DA581="Mejor que lo habitual",1,
IF(DA581="Igual que lo habitual",2,
IF(DA581="Menos que lo habitual",3,
IF(DA581="Mucho menos que lo habitual",4,""))))</f>
        <v>2</v>
      </c>
      <c r="DC581" s="5" t="s">
        <v>230</v>
      </c>
      <c r="DD581" s="5">
        <f t="shared" ref="DD581:DD590" si="1890">IF(DC581="No, en absoluto",1,
IF(DC581="No más que lo habitual",2,
IF(DC581="Bastante más que lo habitual",3,
IF(DC581="Mucho más que lo habitual",4,""))))</f>
        <v>2</v>
      </c>
      <c r="DE581" s="5" t="s">
        <v>230</v>
      </c>
      <c r="DF581" s="5">
        <f t="shared" ref="DF581:DF590" si="1891">IF(DE581="No, en absoluto",1,
IF(DE581="No más que lo habitual",2,
IF(DE581="Bastante más que lo habitual",3,
IF(DE581="Mucho más que lo habitual",4,""))))</f>
        <v>2</v>
      </c>
      <c r="DG581" s="5" t="s">
        <v>251</v>
      </c>
      <c r="DH581" s="5">
        <f t="shared" ref="DH581:DH590" si="1892">IF(DG581="No, en absoluto",1,
IF(DG581="No más que lo habitual",2,
IF(DG581="Bastante más que lo habitual",3,
IF(DG581="Mucho más que lo habitual",4,""))))</f>
        <v>1</v>
      </c>
      <c r="DI581" s="5" t="s">
        <v>251</v>
      </c>
      <c r="DJ581" s="5">
        <f t="shared" ref="DJ581:DJ590" si="1893">IF(DI581="No, en absoluto",1,
IF(DI581="No más que lo habitual",2,
IF(DI581="Bastante más que lo habitual",3,
IF(DI581="Mucho más que lo habitual",4,""))))</f>
        <v>1</v>
      </c>
      <c r="DK581" s="5" t="s">
        <v>251</v>
      </c>
      <c r="DL581" s="5">
        <f t="shared" ref="DL581:DL590" si="1894">IF(DK581="No, en absoluto",1,
IF(DK581="No más que lo habitual",2,
IF(DK581="Bastante más que lo habitual",3,
IF(DK581="Mucho más que lo habitual",4,""))))</f>
        <v>1</v>
      </c>
      <c r="DM581" s="5" t="s">
        <v>251</v>
      </c>
      <c r="DN581" s="5">
        <f t="shared" ref="DN581:DN590" si="1895">IF(DM581="No, en absoluto",1,
IF(DM581="No más que lo habitual",2,
IF(DM581="Bastante más que lo habitual",3,
IF(DM581="Mucho más que lo habitual",4,""))))</f>
        <v>1</v>
      </c>
      <c r="DO581" s="5" t="s">
        <v>231</v>
      </c>
      <c r="DP581" s="5">
        <f t="shared" ref="DP581:DP590" si="1896">IF(DO581="Más que lo habitual",1,
IF(DO581="Igual que lo habitual",2,
IF(DO581="Menos que lo habitual",3,
IF(DO581="Mucho menos que lo habitual",4,""))))</f>
        <v>2</v>
      </c>
      <c r="DQ581" s="5" t="s">
        <v>231</v>
      </c>
      <c r="DR581" s="5">
        <f t="shared" ref="DR581:DR590" si="1897">IF(DQ581="Más que lo habitual",1,
IF(DQ581="Igual que lo habitual",2,
IF(DQ581="Menos que lo habitual",3,
IF(DQ581="Mucho menos que lo habitual",4,""))))</f>
        <v>2</v>
      </c>
      <c r="DS581" s="5" t="s">
        <v>231</v>
      </c>
      <c r="DT581" s="5">
        <f t="shared" ref="DT581:DT590" si="1898">IF(DS581="Más que lo habitual",1,
IF(DS581="Igual que lo habitual",2,
IF(DS581="Menos que lo habitual",3,
IF(DS581="Mucho menos que lo habitual",4,""))))</f>
        <v>2</v>
      </c>
      <c r="DU581" s="5" t="s">
        <v>231</v>
      </c>
      <c r="DV581" s="5">
        <f t="shared" ref="DV581:DV590" si="1899">IF(DU581="Más que lo habitual",1,
IF(DU581="Igual que lo habitual",2,
IF(DU581="Menos que lo habitual",3,
IF(DU581="Mucho menos que lo habitual",4,""))))</f>
        <v>2</v>
      </c>
      <c r="DW581" s="5" t="s">
        <v>231</v>
      </c>
      <c r="DX581" s="5">
        <f t="shared" ref="DX581:DX590" si="1900">IF(DW581="Más que lo habitual",1,
IF(DW581="Igual que lo habitual",2,
IF(DW581="Menos que lo habitual",3,
IF(DW581="Mucho menos que lo habitual",4,""))))</f>
        <v>2</v>
      </c>
      <c r="DY581" s="5">
        <f t="shared" ref="DY581:DY590" si="1901">SUM(DB581,DD581,DF581,DH581,DJ581,DL581,DN581,DP581,DR581,DT581,DV581,DX581)</f>
        <v>20</v>
      </c>
      <c r="DZ581" s="5" t="str">
        <f t="shared" ref="DZ581:DZ590" si="1902">IF(DY581&lt;=18,"Nivel de riesgo bajo",
IF(DY581&lt;=23,"Nivel de riesgo medio",
"Nivel de riesgo alto"))</f>
        <v>Nivel de riesgo medio</v>
      </c>
      <c r="EA581" s="5" t="s">
        <v>248</v>
      </c>
      <c r="EB581" s="5">
        <f t="shared" ref="EB581:EB590" si="1903">IF(EA581="Nunca/ casi nunca",0,
IF(EA581="Rara vez",1,
IF(EA581="A veces",2,
IF(EA581="A menudo",3,
IF(EA581="Siempre",4,"")))))</f>
        <v>1</v>
      </c>
      <c r="EC581" s="5" t="s">
        <v>248</v>
      </c>
      <c r="ED581" s="5">
        <f t="shared" ref="ED581:ED590" si="1904">IF(EC581="Nunca/ casi nunca",0,
IF(EC581="Rara vez",1,
IF(EC581="A veces",2,
IF(EC581="A menudo",3,
IF(EC581="Siempre",4,"")))))</f>
        <v>1</v>
      </c>
      <c r="EE581" s="5" t="s">
        <v>253</v>
      </c>
      <c r="EF581" s="5">
        <f t="shared" ref="EF581:EF590" si="1905">IF(EE581="Nunca/ casi nunca",0,
IF(EE581="Rara vez",1,
IF(EE581="A veces",2,
IF(EE581="A menudo",3,
IF(EE581="Siempre",4,"")))))</f>
        <v>0</v>
      </c>
      <c r="EG581" s="5">
        <f t="shared" ref="EG581:EG590" si="1906">SUM(EB581,ED581,EF581)</f>
        <v>2</v>
      </c>
      <c r="EH581" s="5" t="str">
        <f t="shared" ref="EH581:EH590" si="1907">IF(EG581&lt;=1,"Nivel de riesgo bajo",
IF(EG581&lt;=4,"Nivel de riesgo medio",
"Nivel de riesgo alto"))</f>
        <v>Nivel de riesgo medio</v>
      </c>
      <c r="EI581" s="5" t="s">
        <v>253</v>
      </c>
      <c r="EJ581" s="5">
        <f t="shared" ref="EJ581:EJ590" si="1908">IF(EI581="Nunca/ casi nunca",0,
IF(EI581="Rara vez",1,
IF(EI581="A veces",2,
IF(EI581="A menudo",3,
IF(EI581="Siempre",4,"")))))</f>
        <v>0</v>
      </c>
      <c r="EK581" s="5" t="s">
        <v>253</v>
      </c>
      <c r="EL581" s="5">
        <f t="shared" ref="EL581:EL590" si="1909">IF(EK581="Nunca/ casi nunca",0,
IF(EK581="Rara vez",1,
IF(EK581="A veces",2,
IF(EK581="A menudo",3,
IF(EK581="Siempre",4,"")))))</f>
        <v>0</v>
      </c>
      <c r="EM581" s="5" t="s">
        <v>253</v>
      </c>
      <c r="EN581" s="5">
        <f t="shared" ref="EN581:EN590" si="1910">IF(EM581="Nunca/ casi nunca",0,
IF(EM581="Rara vez",1,
IF(EM581="A veces",2,
IF(EM581="A menudo",3,
IF(EM581="Siempre",4,"")))))</f>
        <v>0</v>
      </c>
      <c r="EO581" s="5">
        <f t="shared" ref="EO581:EO590" si="1911">SUM(EJ581,EL581,EN581)</f>
        <v>0</v>
      </c>
      <c r="EP581" s="5" t="str">
        <f t="shared" ref="EP581:EP590" si="1912">IF(EO581&lt;=1,"Nivel de riesgo bajo",
IF(EO581&lt;=5,"Nivel de riesgo medio",
"Nivel de riesgo alto"))</f>
        <v>Nivel de riesgo bajo</v>
      </c>
      <c r="EQ581" s="5" t="s">
        <v>253</v>
      </c>
      <c r="ER581" s="5">
        <f t="shared" ref="ER581:ER590" si="1913">IF(EQ581="Nunca/ casi nunca",4,
IF(EQ581="Rara vez",3,
IF(EQ581="A veces",2,
IF(EQ581="A menudo",1,
IF(EQ581="Siempre",0,"")))))</f>
        <v>4</v>
      </c>
      <c r="ES581" s="5" t="s">
        <v>253</v>
      </c>
      <c r="ET581" s="5">
        <f t="shared" ref="ET581:ET590" si="1914">IF(ES581="Nunca/ casi nunca",4,
IF(ES581="Rara vez",3,
IF(ES581="A veces",2,
IF(ES581="A menudo",1,
IF(ES581="Siempre",0,"")))))</f>
        <v>4</v>
      </c>
      <c r="EU581" s="5" t="s">
        <v>253</v>
      </c>
      <c r="EV581" s="5">
        <f t="shared" ref="EV581:EV590" si="1915">IF(EU581="Nunca/ casi nunca",4,
IF(EU581="Rara vez",3,
IF(EU581="A veces",2,
IF(EU581="A menudo",1,
IF(EU581="Siempre",0,"")))))</f>
        <v>4</v>
      </c>
      <c r="EW581" s="5" t="s">
        <v>253</v>
      </c>
      <c r="EX581" s="5">
        <f t="shared" ref="EX581:EX590" si="1916">IF(EW581="Nunca/ casi nunca",4,
IF(EW581="Rara vez",3,
IF(EW581="A veces",2,
IF(EW581="A menudo",1,
IF(EW581="Siempre",0,"")))))</f>
        <v>4</v>
      </c>
      <c r="EY581" s="5">
        <f t="shared" ref="EY581:EY590" si="1917">SUM(ER581,ET581,EV581,EX581)</f>
        <v>16</v>
      </c>
      <c r="EZ581" s="5" t="str">
        <f t="shared" ref="EZ581:EZ590" si="1918">IF(EY581&lt;=0,"Nivel de riesgo bajo",
IF(EY581&lt;=4,"Nivel de riesgo medio",
"Nivel de riesgo alto"))</f>
        <v>Nivel de riesgo alto</v>
      </c>
      <c r="FA581" s="5" t="s">
        <v>253</v>
      </c>
      <c r="FB581" s="5">
        <f t="shared" ref="FB581:FB590" si="1919">IF(FA581="Nunca/ casi nunca",0,
IF(FA581="Rara vez",1,
IF(FA581="A veces",2,
IF(FA581="A menudo",3,
IF(FA581="Siempre",4,"")))))</f>
        <v>0</v>
      </c>
      <c r="FC581" s="5" t="s">
        <v>253</v>
      </c>
      <c r="FD581" s="5">
        <f t="shared" ref="FD581:FD590" si="1920">IF(FC581="Nunca/ casi nunca",0,
IF(FC581="Rara vez",1,
IF(FC581="A veces",2,
IF(FC581="A menudo",3,
IF(FC581="Siempre",4,"")))))</f>
        <v>0</v>
      </c>
      <c r="FE581" s="5" t="s">
        <v>253</v>
      </c>
      <c r="FF581" s="5">
        <f t="shared" ref="FF581:FF590" si="1921">IF(FE581="Nunca/ casi nunca",0,
IF(FE581="Rara vez",1,
IF(FE581="A veces",2,
IF(FE581="A menudo",3,
IF(FE581="Siempre",4,"")))))</f>
        <v>0</v>
      </c>
      <c r="FG581" s="5">
        <f t="shared" ref="FG581:FG590" si="1922">SUM(FB581,FD581,FF581)</f>
        <v>0</v>
      </c>
      <c r="FH581" s="5" t="str">
        <f t="shared" ref="FH581:FH590" si="1923">IF(FG581&lt;=2,"Nivel de riesgo bajo",
IF(FG581&lt;=5,"Nivel de riesgo medio",
"Nivel de riesgo alto"))</f>
        <v>Nivel de riesgo bajo</v>
      </c>
      <c r="FI581" s="5" t="s">
        <v>248</v>
      </c>
      <c r="FJ581" s="5">
        <f t="shared" ref="FJ581:FJ590" si="1924">IF(FI581="Nunca/ casi nunca",0,
IF(FI581="Rara vez",1,
IF(FI581="A veces",2,
IF(FI581="A menudo",3,
IF(FI581="Siempre",4,"")))))</f>
        <v>1</v>
      </c>
      <c r="FK581" s="5" t="s">
        <v>248</v>
      </c>
      <c r="FL581" s="5">
        <f t="shared" ref="FL581:FL590" si="1925">IF(FK581="Nunca/ casi nunca",0,
IF(FK581="Rara vez",1,
IF(FK581="A veces",2,
IF(FK581="A menudo",3,
IF(FK581="Siempre",4,"")))))</f>
        <v>1</v>
      </c>
      <c r="FM581" s="5" t="s">
        <v>248</v>
      </c>
      <c r="FN581" s="5">
        <f t="shared" ref="FN581:FN590" si="1926">IF(FM581="Nunca/ casi nunca",0,
IF(FM581="Rara vez",1,
IF(FM581="A veces",2,
IF(FM581="A menudo",3,
IF(FM581="Siempre",4,"")))))</f>
        <v>1</v>
      </c>
      <c r="FO581" s="5">
        <f t="shared" ref="FO581:FO590" si="1927">SUM(FJ581,FL581,FN581)</f>
        <v>3</v>
      </c>
      <c r="FP581" s="5" t="str">
        <f t="shared" ref="FP581:FP590" si="1928">IF(FO581&lt;=2,"Nivel de riesgo bajo",
IF(FO581&lt;=5,"Nivel de riesgo medio",
"Nivel de riesgo alto"))</f>
        <v>Nivel de riesgo medio</v>
      </c>
      <c r="FQ581" s="5" t="s">
        <v>206</v>
      </c>
      <c r="FR581" s="5">
        <f t="shared" ref="FR581:FR590" si="1929">IF(FQ581="No",0,
IF(FQ581="Sí, unas pocas veces",1,
IF(FQ581="Sí, mensualmente",2,
IF(FQ581="Sí, semanalmente",3,
IF(FQ581="Sí, diariamente",4,"")))))</f>
        <v>0</v>
      </c>
      <c r="FS581" s="5" t="s">
        <v>206</v>
      </c>
      <c r="FT581" s="5">
        <f t="shared" ref="FT581:FT590" si="1930">IF(FS581="No",0,
IF(FS581="Sí, unas pocas veces",1,
IF(FS581="Sí, mensualmente",2,
IF(FS581="Sí, semanalmente",3,
IF(FS581="Sí, diariamente",4,"")))))</f>
        <v>0</v>
      </c>
      <c r="FU581" s="5" t="s">
        <v>206</v>
      </c>
      <c r="FV581" s="5">
        <f t="shared" ref="FV581:FV590" si="1931">IF(FU581="No",0,
IF(FU581="Sí, unas pocas veces",1,
IF(FU581="Sí, mensualmente",2,
IF(FU581="Sí, semanalmente",3,
IF(FU581="Sí, diariamente",4,"")))))</f>
        <v>0</v>
      </c>
      <c r="FW581" s="5" t="s">
        <v>206</v>
      </c>
      <c r="FX581" s="5">
        <f t="shared" ref="FX581:FX590" si="1932">IF(FW581="No",0,
IF(FW581="Sí, unas pocas veces",1,
IF(FW581="Sí, mensualmente",2,
IF(FW581="Sí, semanalmente",3,
IF(FW581="Sí, diariamente",4,"")))))</f>
        <v>0</v>
      </c>
      <c r="FY581" s="5" t="s">
        <v>206</v>
      </c>
      <c r="FZ581" s="5">
        <f t="shared" ref="FZ581:FZ590" si="1933">IF(FY581="No",0,
IF(FY581="Sí, unas pocas veces",1,
IF(FY581="Sí, mensualmente",2,
IF(FY581="Sí, semanalmente",3,
IF(FY581="Sí, diariamente",4,"")))))</f>
        <v>0</v>
      </c>
      <c r="GA581" s="5" t="s">
        <v>206</v>
      </c>
      <c r="GB581" s="5">
        <f t="shared" ref="GB581:GB590" si="1934">IF(GA581="No",0,
IF(GA581="Sí, unas pocas veces",1,
IF(GA581="Sí, mensualmente",2,
IF(GA581="Sí, semanalmente",3,
IF(GA581="Sí, diariamente",4,"")))))</f>
        <v>0</v>
      </c>
      <c r="GC581" s="5" t="s">
        <v>206</v>
      </c>
      <c r="GD581" s="5">
        <f t="shared" ref="GD581:GD590" si="1935">IF(GC581="No",0,
IF(GC581="Sí, unas pocas veces",1,
IF(GC581="Sí, mensualmente",2,
IF(GC581="Sí, semanalmente",3,
IF(GC581="Sí, diariamente",4,"")))))</f>
        <v>0</v>
      </c>
      <c r="GE581" s="5">
        <f t="shared" ref="GE581:GE590" si="1936">SUM(FR581,FT581,FV581,FX581,FZ581,GB581,GD581)</f>
        <v>0</v>
      </c>
      <c r="GF581" s="5" t="str">
        <f t="shared" ref="GF581:GF590" si="1937">IF(GE581&lt;=0,"Nivel de riesgo bajo",
IF(GE581&lt;=14,"Nivel de riesgo medio",
"Nivel de riesgo alto"))</f>
        <v>Nivel de riesgo bajo</v>
      </c>
      <c r="GG581" s="5" t="s">
        <v>255</v>
      </c>
      <c r="GH581" s="5" t="s">
        <v>273</v>
      </c>
      <c r="GI581" s="5" t="s">
        <v>255</v>
      </c>
      <c r="GJ581" s="5" t="s">
        <v>273</v>
      </c>
      <c r="GK581" s="5" t="s">
        <v>233</v>
      </c>
      <c r="GL581" s="5" t="s">
        <v>255</v>
      </c>
      <c r="GM581" s="5" t="s">
        <v>298</v>
      </c>
      <c r="GN581" s="5" t="s">
        <v>257</v>
      </c>
      <c r="GO581" s="5" t="s">
        <v>257</v>
      </c>
      <c r="GP581" s="5" t="s">
        <v>243</v>
      </c>
      <c r="GQ581" s="5" t="s">
        <v>257</v>
      </c>
      <c r="GR581" s="5" t="s">
        <v>257</v>
      </c>
      <c r="GS581" s="5" t="s">
        <v>244</v>
      </c>
      <c r="GT581" s="5" t="s">
        <v>243</v>
      </c>
      <c r="GU581" s="5" t="s">
        <v>944</v>
      </c>
      <c r="GV581" s="5" t="str">
        <f>TEXT("6295212883011573105","0")</f>
        <v>6295212883011570000</v>
      </c>
    </row>
    <row r="582" spans="1:204" ht="15.75" customHeight="1" x14ac:dyDescent="0.15">
      <c r="A582" s="1">
        <f t="shared" si="1887"/>
        <v>582</v>
      </c>
      <c r="B582" s="4">
        <v>45866.436018518521</v>
      </c>
      <c r="C582" s="5" t="s">
        <v>204</v>
      </c>
      <c r="D582" s="5" t="s">
        <v>206</v>
      </c>
      <c r="F582" s="5" t="s">
        <v>206</v>
      </c>
      <c r="G582" s="5" t="s">
        <v>206</v>
      </c>
      <c r="H582" s="5" t="s">
        <v>206</v>
      </c>
      <c r="J582" s="5" t="s">
        <v>209</v>
      </c>
      <c r="N582" s="5" t="s">
        <v>208</v>
      </c>
      <c r="T582" s="5" t="s">
        <v>209</v>
      </c>
      <c r="X582" s="5" t="s">
        <v>208</v>
      </c>
      <c r="AC582" s="5" t="s">
        <v>208</v>
      </c>
      <c r="AH582" s="5" t="s">
        <v>275</v>
      </c>
      <c r="AI582" s="5">
        <v>2018</v>
      </c>
      <c r="AJ582" s="5" t="s">
        <v>238</v>
      </c>
      <c r="AK582" s="5" t="str">
        <f t="shared" si="1888"/>
        <v>Trabajadora por cuenta propia</v>
      </c>
      <c r="AL582" s="5" t="s">
        <v>239</v>
      </c>
      <c r="AP582" s="5" t="s">
        <v>284</v>
      </c>
      <c r="AR582" s="5" t="s">
        <v>241</v>
      </c>
      <c r="AS582" s="5" t="s">
        <v>301</v>
      </c>
      <c r="AT582" s="5" t="s">
        <v>241</v>
      </c>
      <c r="AU582" s="5" t="s">
        <v>241</v>
      </c>
      <c r="AV582" s="5" t="s">
        <v>302</v>
      </c>
      <c r="AW582" s="5" t="s">
        <v>206</v>
      </c>
      <c r="BF582" s="5" t="s">
        <v>204</v>
      </c>
      <c r="BG582" s="5" t="s">
        <v>271</v>
      </c>
      <c r="BH582" s="5" t="s">
        <v>271</v>
      </c>
      <c r="BI582" s="5" t="s">
        <v>242</v>
      </c>
      <c r="BJ582" s="5" t="s">
        <v>271</v>
      </c>
      <c r="BK582" s="5" t="s">
        <v>246</v>
      </c>
      <c r="BL582" s="5" t="s">
        <v>246</v>
      </c>
      <c r="BM582" s="5" t="s">
        <v>243</v>
      </c>
      <c r="BN582" s="5" t="s">
        <v>243</v>
      </c>
      <c r="BO582" s="5" t="s">
        <v>243</v>
      </c>
      <c r="BP582" s="5" t="s">
        <v>243</v>
      </c>
      <c r="BQ582" s="5" t="s">
        <v>246</v>
      </c>
      <c r="BR582" s="5" t="s">
        <v>246</v>
      </c>
      <c r="BS582" s="5" t="s">
        <v>254</v>
      </c>
      <c r="BT582" s="5" t="s">
        <v>254</v>
      </c>
      <c r="BU582" s="5" t="s">
        <v>254</v>
      </c>
      <c r="BV582" s="5" t="s">
        <v>232</v>
      </c>
      <c r="BW582" s="5" t="s">
        <v>247</v>
      </c>
      <c r="BX582" s="5" t="s">
        <v>247</v>
      </c>
      <c r="BY582" s="5" t="s">
        <v>248</v>
      </c>
      <c r="CD582" s="5" t="s">
        <v>204</v>
      </c>
      <c r="CE582" s="5" t="s">
        <v>218</v>
      </c>
      <c r="CF582" s="5" t="s">
        <v>219</v>
      </c>
      <c r="CG582" s="5" t="s">
        <v>206</v>
      </c>
      <c r="CH582" s="5" t="s">
        <v>331</v>
      </c>
      <c r="CI582" s="5" t="s">
        <v>291</v>
      </c>
      <c r="CJ582" s="5">
        <v>3</v>
      </c>
      <c r="CK582" s="5" t="s">
        <v>223</v>
      </c>
      <c r="CU582" s="5" t="s">
        <v>206</v>
      </c>
      <c r="DA582" s="5" t="s">
        <v>231</v>
      </c>
      <c r="DB582" s="5">
        <f t="shared" si="1889"/>
        <v>2</v>
      </c>
      <c r="DC582" s="5" t="s">
        <v>230</v>
      </c>
      <c r="DD582" s="5">
        <f t="shared" si="1890"/>
        <v>2</v>
      </c>
      <c r="DE582" s="5" t="s">
        <v>230</v>
      </c>
      <c r="DF582" s="5">
        <f t="shared" si="1891"/>
        <v>2</v>
      </c>
      <c r="DG582" s="5" t="s">
        <v>230</v>
      </c>
      <c r="DH582" s="5">
        <f t="shared" si="1892"/>
        <v>2</v>
      </c>
      <c r="DI582" s="5" t="s">
        <v>251</v>
      </c>
      <c r="DJ582" s="5">
        <f t="shared" si="1893"/>
        <v>1</v>
      </c>
      <c r="DK582" s="5" t="s">
        <v>251</v>
      </c>
      <c r="DL582" s="5">
        <f t="shared" si="1894"/>
        <v>1</v>
      </c>
      <c r="DM582" s="5" t="s">
        <v>251</v>
      </c>
      <c r="DN582" s="5">
        <f t="shared" si="1895"/>
        <v>1</v>
      </c>
      <c r="DO582" s="5" t="s">
        <v>281</v>
      </c>
      <c r="DP582" s="5">
        <f t="shared" si="1896"/>
        <v>1</v>
      </c>
      <c r="DQ582" s="5" t="s">
        <v>281</v>
      </c>
      <c r="DR582" s="5">
        <f t="shared" si="1897"/>
        <v>1</v>
      </c>
      <c r="DS582" s="5" t="s">
        <v>231</v>
      </c>
      <c r="DT582" s="5">
        <f t="shared" si="1898"/>
        <v>2</v>
      </c>
      <c r="DU582" s="5" t="s">
        <v>231</v>
      </c>
      <c r="DV582" s="5">
        <f t="shared" si="1899"/>
        <v>2</v>
      </c>
      <c r="DW582" s="5" t="s">
        <v>231</v>
      </c>
      <c r="DX582" s="5">
        <f t="shared" si="1900"/>
        <v>2</v>
      </c>
      <c r="DY582" s="5">
        <f t="shared" si="1901"/>
        <v>19</v>
      </c>
      <c r="DZ582" s="5" t="str">
        <f t="shared" si="1902"/>
        <v>Nivel de riesgo medio</v>
      </c>
      <c r="EA582" s="5" t="s">
        <v>248</v>
      </c>
      <c r="EB582" s="5">
        <f t="shared" si="1903"/>
        <v>1</v>
      </c>
      <c r="EC582" s="5" t="s">
        <v>253</v>
      </c>
      <c r="ED582" s="5">
        <f t="shared" si="1904"/>
        <v>0</v>
      </c>
      <c r="EE582" s="5" t="s">
        <v>248</v>
      </c>
      <c r="EF582" s="5">
        <f t="shared" si="1905"/>
        <v>1</v>
      </c>
      <c r="EG582" s="5">
        <f t="shared" si="1906"/>
        <v>2</v>
      </c>
      <c r="EH582" s="5" t="str">
        <f t="shared" si="1907"/>
        <v>Nivel de riesgo medio</v>
      </c>
      <c r="EI582" s="5" t="s">
        <v>253</v>
      </c>
      <c r="EJ582" s="5">
        <f t="shared" si="1908"/>
        <v>0</v>
      </c>
      <c r="EK582" s="5" t="s">
        <v>248</v>
      </c>
      <c r="EL582" s="5">
        <f t="shared" si="1909"/>
        <v>1</v>
      </c>
      <c r="EM582" s="5" t="s">
        <v>248</v>
      </c>
      <c r="EN582" s="5">
        <f t="shared" si="1910"/>
        <v>1</v>
      </c>
      <c r="EO582" s="5">
        <f t="shared" si="1911"/>
        <v>2</v>
      </c>
      <c r="EP582" s="5" t="str">
        <f t="shared" si="1912"/>
        <v>Nivel de riesgo medio</v>
      </c>
      <c r="EQ582" s="5" t="s">
        <v>253</v>
      </c>
      <c r="ER582" s="5">
        <f t="shared" si="1913"/>
        <v>4</v>
      </c>
      <c r="ES582" s="5" t="s">
        <v>253</v>
      </c>
      <c r="ET582" s="5">
        <f t="shared" si="1914"/>
        <v>4</v>
      </c>
      <c r="EU582" s="5" t="s">
        <v>253</v>
      </c>
      <c r="EV582" s="5">
        <f t="shared" si="1915"/>
        <v>4</v>
      </c>
      <c r="EW582" s="5" t="s">
        <v>253</v>
      </c>
      <c r="EX582" s="5">
        <f t="shared" si="1916"/>
        <v>4</v>
      </c>
      <c r="EY582" s="5">
        <f t="shared" si="1917"/>
        <v>16</v>
      </c>
      <c r="EZ582" s="5" t="str">
        <f t="shared" si="1918"/>
        <v>Nivel de riesgo alto</v>
      </c>
      <c r="FA582" s="5" t="s">
        <v>253</v>
      </c>
      <c r="FB582" s="5">
        <f t="shared" si="1919"/>
        <v>0</v>
      </c>
      <c r="FC582" s="5" t="s">
        <v>253</v>
      </c>
      <c r="FD582" s="5">
        <f t="shared" si="1920"/>
        <v>0</v>
      </c>
      <c r="FE582" s="5" t="s">
        <v>253</v>
      </c>
      <c r="FF582" s="5">
        <f t="shared" si="1921"/>
        <v>0</v>
      </c>
      <c r="FG582" s="5">
        <f t="shared" si="1922"/>
        <v>0</v>
      </c>
      <c r="FH582" s="5" t="str">
        <f t="shared" si="1923"/>
        <v>Nivel de riesgo bajo</v>
      </c>
      <c r="FI582" s="5" t="s">
        <v>253</v>
      </c>
      <c r="FJ582" s="5">
        <f t="shared" si="1924"/>
        <v>0</v>
      </c>
      <c r="FK582" s="5" t="s">
        <v>253</v>
      </c>
      <c r="FL582" s="5">
        <f t="shared" si="1925"/>
        <v>0</v>
      </c>
      <c r="FM582" s="5" t="s">
        <v>253</v>
      </c>
      <c r="FN582" s="5">
        <f t="shared" si="1926"/>
        <v>0</v>
      </c>
      <c r="FO582" s="5">
        <f t="shared" si="1927"/>
        <v>0</v>
      </c>
      <c r="FP582" s="5" t="str">
        <f t="shared" si="1928"/>
        <v>Nivel de riesgo bajo</v>
      </c>
      <c r="FQ582" s="5" t="s">
        <v>206</v>
      </c>
      <c r="FR582" s="5">
        <f t="shared" si="1929"/>
        <v>0</v>
      </c>
      <c r="FS582" s="5" t="s">
        <v>206</v>
      </c>
      <c r="FT582" s="5">
        <f t="shared" si="1930"/>
        <v>0</v>
      </c>
      <c r="FU582" s="5" t="s">
        <v>206</v>
      </c>
      <c r="FV582" s="5">
        <f t="shared" si="1931"/>
        <v>0</v>
      </c>
      <c r="FW582" s="5" t="s">
        <v>206</v>
      </c>
      <c r="FX582" s="5">
        <f t="shared" si="1932"/>
        <v>0</v>
      </c>
      <c r="FY582" s="5" t="s">
        <v>206</v>
      </c>
      <c r="FZ582" s="5">
        <f t="shared" si="1933"/>
        <v>0</v>
      </c>
      <c r="GA582" s="5" t="s">
        <v>206</v>
      </c>
      <c r="GB582" s="5">
        <f t="shared" si="1934"/>
        <v>0</v>
      </c>
      <c r="GC582" s="5" t="s">
        <v>206</v>
      </c>
      <c r="GD582" s="5">
        <f t="shared" si="1935"/>
        <v>0</v>
      </c>
      <c r="GE582" s="5">
        <f t="shared" si="1936"/>
        <v>0</v>
      </c>
      <c r="GF582" s="5" t="str">
        <f t="shared" si="1937"/>
        <v>Nivel de riesgo bajo</v>
      </c>
      <c r="GG582" s="5" t="s">
        <v>255</v>
      </c>
      <c r="GH582" s="5" t="s">
        <v>266</v>
      </c>
      <c r="GI582" s="5" t="s">
        <v>255</v>
      </c>
      <c r="GJ582" s="5" t="s">
        <v>255</v>
      </c>
      <c r="GK582" s="5" t="s">
        <v>273</v>
      </c>
      <c r="GL582" s="5" t="s">
        <v>255</v>
      </c>
      <c r="GM582" s="5" t="s">
        <v>273</v>
      </c>
      <c r="GN582" s="5" t="s">
        <v>256</v>
      </c>
      <c r="GO582" s="5" t="s">
        <v>243</v>
      </c>
      <c r="GP582" s="5" t="s">
        <v>243</v>
      </c>
      <c r="GQ582" s="5" t="s">
        <v>257</v>
      </c>
      <c r="GR582" s="5" t="s">
        <v>257</v>
      </c>
      <c r="GS582" s="5" t="s">
        <v>257</v>
      </c>
      <c r="GT582" s="5" t="s">
        <v>256</v>
      </c>
      <c r="GU582" s="5" t="s">
        <v>945</v>
      </c>
      <c r="GV582" s="5" t="str">
        <f>TEXT("6295220729211025636","0")</f>
        <v>6295220729211020000</v>
      </c>
    </row>
    <row r="583" spans="1:204" ht="15.75" customHeight="1" x14ac:dyDescent="0.15">
      <c r="A583" s="1">
        <f t="shared" si="1887"/>
        <v>583</v>
      </c>
      <c r="B583" s="4">
        <v>45866.479571759257</v>
      </c>
      <c r="C583" s="5" t="s">
        <v>204</v>
      </c>
      <c r="D583" s="5" t="s">
        <v>206</v>
      </c>
      <c r="F583" s="5" t="s">
        <v>206</v>
      </c>
      <c r="G583" s="5" t="s">
        <v>206</v>
      </c>
      <c r="H583" s="5" t="s">
        <v>206</v>
      </c>
      <c r="K583" s="5" t="s">
        <v>237</v>
      </c>
      <c r="O583" s="5" t="s">
        <v>209</v>
      </c>
      <c r="T583" s="5" t="s">
        <v>209</v>
      </c>
      <c r="Y583" s="5" t="s">
        <v>209</v>
      </c>
      <c r="AD583" s="5" t="s">
        <v>209</v>
      </c>
      <c r="AH583" s="5" t="s">
        <v>210</v>
      </c>
      <c r="AI583" s="5">
        <v>2024</v>
      </c>
      <c r="AJ583" s="5" t="s">
        <v>330</v>
      </c>
      <c r="AK583" s="5" t="str">
        <f t="shared" si="1888"/>
        <v>Asalariada</v>
      </c>
      <c r="AQ583" s="5" t="s">
        <v>204</v>
      </c>
      <c r="AR583" s="5" t="s">
        <v>261</v>
      </c>
      <c r="AS583" s="5" t="s">
        <v>294</v>
      </c>
      <c r="AT583" s="5" t="s">
        <v>294</v>
      </c>
      <c r="AU583" s="5" t="s">
        <v>294</v>
      </c>
      <c r="AV583" s="5" t="s">
        <v>277</v>
      </c>
      <c r="AW583" s="5" t="s">
        <v>204</v>
      </c>
      <c r="AX583" s="5" t="s">
        <v>204</v>
      </c>
      <c r="AY583" s="5" t="s">
        <v>214</v>
      </c>
      <c r="AZ583" s="5" t="s">
        <v>204</v>
      </c>
      <c r="BA583" s="5" t="s">
        <v>263</v>
      </c>
      <c r="BF583" s="5" t="s">
        <v>204</v>
      </c>
      <c r="BG583" s="5" t="s">
        <v>242</v>
      </c>
      <c r="BH583" s="5" t="s">
        <v>242</v>
      </c>
      <c r="BI583" s="5" t="s">
        <v>278</v>
      </c>
      <c r="BJ583" s="5" t="s">
        <v>215</v>
      </c>
      <c r="BK583" s="5" t="s">
        <v>246</v>
      </c>
      <c r="BL583" s="5" t="s">
        <v>244</v>
      </c>
      <c r="BM583" s="5" t="s">
        <v>244</v>
      </c>
      <c r="BN583" s="5" t="s">
        <v>243</v>
      </c>
      <c r="BO583" s="5" t="s">
        <v>246</v>
      </c>
      <c r="BP583" s="5" t="s">
        <v>243</v>
      </c>
      <c r="BQ583" s="5" t="s">
        <v>246</v>
      </c>
      <c r="BR583" s="5" t="s">
        <v>246</v>
      </c>
      <c r="BS583" s="5" t="s">
        <v>232</v>
      </c>
      <c r="BT583" s="5" t="s">
        <v>248</v>
      </c>
      <c r="BU583" s="5" t="s">
        <v>247</v>
      </c>
      <c r="BV583" s="5" t="s">
        <v>248</v>
      </c>
      <c r="BW583" s="5" t="s">
        <v>248</v>
      </c>
      <c r="BX583" s="5" t="s">
        <v>248</v>
      </c>
      <c r="BY583" s="5" t="s">
        <v>232</v>
      </c>
      <c r="BZ583" s="5" t="s">
        <v>244</v>
      </c>
      <c r="CA583" s="5" t="s">
        <v>246</v>
      </c>
      <c r="CB583" s="5" t="s">
        <v>244</v>
      </c>
      <c r="CC583" s="5" t="s">
        <v>246</v>
      </c>
      <c r="CD583" s="5" t="s">
        <v>206</v>
      </c>
      <c r="CH583" s="5" t="s">
        <v>206</v>
      </c>
      <c r="CI583" s="5" t="s">
        <v>307</v>
      </c>
      <c r="CJ583" s="5">
        <v>3</v>
      </c>
      <c r="CK583" s="5" t="s">
        <v>223</v>
      </c>
      <c r="CU583" s="5" t="s">
        <v>206</v>
      </c>
      <c r="DA583" s="5" t="s">
        <v>231</v>
      </c>
      <c r="DB583" s="5">
        <f t="shared" si="1889"/>
        <v>2</v>
      </c>
      <c r="DC583" s="5" t="s">
        <v>230</v>
      </c>
      <c r="DD583" s="5">
        <f t="shared" si="1890"/>
        <v>2</v>
      </c>
      <c r="DE583" s="5" t="s">
        <v>230</v>
      </c>
      <c r="DF583" s="5">
        <f t="shared" si="1891"/>
        <v>2</v>
      </c>
      <c r="DG583" s="5" t="s">
        <v>230</v>
      </c>
      <c r="DH583" s="5">
        <f t="shared" si="1892"/>
        <v>2</v>
      </c>
      <c r="DI583" s="5" t="s">
        <v>230</v>
      </c>
      <c r="DJ583" s="5">
        <f t="shared" si="1893"/>
        <v>2</v>
      </c>
      <c r="DK583" s="5" t="s">
        <v>230</v>
      </c>
      <c r="DL583" s="5">
        <f t="shared" si="1894"/>
        <v>2</v>
      </c>
      <c r="DM583" s="5" t="s">
        <v>251</v>
      </c>
      <c r="DN583" s="5">
        <f t="shared" si="1895"/>
        <v>1</v>
      </c>
      <c r="DO583" s="5" t="s">
        <v>231</v>
      </c>
      <c r="DP583" s="5">
        <f t="shared" si="1896"/>
        <v>2</v>
      </c>
      <c r="DQ583" s="5" t="s">
        <v>231</v>
      </c>
      <c r="DR583" s="5">
        <f t="shared" si="1897"/>
        <v>2</v>
      </c>
      <c r="DS583" s="5" t="s">
        <v>231</v>
      </c>
      <c r="DT583" s="5">
        <f t="shared" si="1898"/>
        <v>2</v>
      </c>
      <c r="DU583" s="5" t="s">
        <v>231</v>
      </c>
      <c r="DV583" s="5">
        <f t="shared" si="1899"/>
        <v>2</v>
      </c>
      <c r="DW583" s="5" t="s">
        <v>231</v>
      </c>
      <c r="DX583" s="5">
        <f t="shared" si="1900"/>
        <v>2</v>
      </c>
      <c r="DY583" s="5">
        <f t="shared" si="1901"/>
        <v>23</v>
      </c>
      <c r="DZ583" s="5" t="str">
        <f t="shared" si="1902"/>
        <v>Nivel de riesgo medio</v>
      </c>
      <c r="EA583" s="5" t="s">
        <v>248</v>
      </c>
      <c r="EB583" s="5">
        <f t="shared" si="1903"/>
        <v>1</v>
      </c>
      <c r="EC583" s="5" t="s">
        <v>247</v>
      </c>
      <c r="ED583" s="5">
        <f t="shared" si="1904"/>
        <v>2</v>
      </c>
      <c r="EE583" s="5" t="s">
        <v>248</v>
      </c>
      <c r="EF583" s="5">
        <f t="shared" si="1905"/>
        <v>1</v>
      </c>
      <c r="EG583" s="5">
        <f t="shared" si="1906"/>
        <v>4</v>
      </c>
      <c r="EH583" s="5" t="str">
        <f t="shared" si="1907"/>
        <v>Nivel de riesgo medio</v>
      </c>
      <c r="EI583" s="5" t="s">
        <v>248</v>
      </c>
      <c r="EJ583" s="5">
        <f t="shared" si="1908"/>
        <v>1</v>
      </c>
      <c r="EK583" s="5" t="s">
        <v>247</v>
      </c>
      <c r="EL583" s="5">
        <f t="shared" si="1909"/>
        <v>2</v>
      </c>
      <c r="EM583" s="5" t="s">
        <v>247</v>
      </c>
      <c r="EN583" s="5">
        <f t="shared" si="1910"/>
        <v>2</v>
      </c>
      <c r="EO583" s="5">
        <f t="shared" si="1911"/>
        <v>5</v>
      </c>
      <c r="EP583" s="5" t="str">
        <f t="shared" si="1912"/>
        <v>Nivel de riesgo medio</v>
      </c>
      <c r="EQ583" s="5" t="s">
        <v>248</v>
      </c>
      <c r="ER583" s="5">
        <f t="shared" si="1913"/>
        <v>3</v>
      </c>
      <c r="ES583" s="5" t="s">
        <v>248</v>
      </c>
      <c r="ET583" s="5">
        <f t="shared" si="1914"/>
        <v>3</v>
      </c>
      <c r="EU583" s="5" t="s">
        <v>232</v>
      </c>
      <c r="EV583" s="5">
        <f t="shared" si="1915"/>
        <v>1</v>
      </c>
      <c r="EW583" s="5" t="s">
        <v>232</v>
      </c>
      <c r="EX583" s="5">
        <f t="shared" si="1916"/>
        <v>1</v>
      </c>
      <c r="EY583" s="5">
        <f t="shared" si="1917"/>
        <v>8</v>
      </c>
      <c r="EZ583" s="5" t="str">
        <f t="shared" si="1918"/>
        <v>Nivel de riesgo alto</v>
      </c>
      <c r="FA583" s="5" t="s">
        <v>248</v>
      </c>
      <c r="FB583" s="5">
        <f t="shared" si="1919"/>
        <v>1</v>
      </c>
      <c r="FC583" s="5" t="s">
        <v>248</v>
      </c>
      <c r="FD583" s="5">
        <f t="shared" si="1920"/>
        <v>1</v>
      </c>
      <c r="FE583" s="5" t="s">
        <v>247</v>
      </c>
      <c r="FF583" s="5">
        <f t="shared" si="1921"/>
        <v>2</v>
      </c>
      <c r="FG583" s="5">
        <f t="shared" si="1922"/>
        <v>4</v>
      </c>
      <c r="FH583" s="5" t="str">
        <f t="shared" si="1923"/>
        <v>Nivel de riesgo medio</v>
      </c>
      <c r="FI583" s="5" t="s">
        <v>232</v>
      </c>
      <c r="FJ583" s="5">
        <f t="shared" si="1924"/>
        <v>3</v>
      </c>
      <c r="FK583" s="5" t="s">
        <v>232</v>
      </c>
      <c r="FL583" s="5">
        <f t="shared" si="1925"/>
        <v>3</v>
      </c>
      <c r="FM583" s="5" t="s">
        <v>247</v>
      </c>
      <c r="FN583" s="5">
        <f t="shared" si="1926"/>
        <v>2</v>
      </c>
      <c r="FO583" s="5">
        <f t="shared" si="1927"/>
        <v>8</v>
      </c>
      <c r="FP583" s="5" t="str">
        <f t="shared" si="1928"/>
        <v>Nivel de riesgo alto</v>
      </c>
      <c r="FQ583" s="5" t="s">
        <v>206</v>
      </c>
      <c r="FR583" s="5">
        <f t="shared" si="1929"/>
        <v>0</v>
      </c>
      <c r="FS583" s="5" t="s">
        <v>206</v>
      </c>
      <c r="FT583" s="5">
        <f t="shared" si="1930"/>
        <v>0</v>
      </c>
      <c r="FU583" s="5" t="s">
        <v>206</v>
      </c>
      <c r="FV583" s="5">
        <f t="shared" si="1931"/>
        <v>0</v>
      </c>
      <c r="FW583" s="5" t="s">
        <v>206</v>
      </c>
      <c r="FX583" s="5">
        <f t="shared" si="1932"/>
        <v>0</v>
      </c>
      <c r="FY583" s="5" t="s">
        <v>206</v>
      </c>
      <c r="FZ583" s="5">
        <f t="shared" si="1933"/>
        <v>0</v>
      </c>
      <c r="GA583" s="5" t="s">
        <v>206</v>
      </c>
      <c r="GB583" s="5">
        <f t="shared" si="1934"/>
        <v>0</v>
      </c>
      <c r="GC583" s="5" t="s">
        <v>206</v>
      </c>
      <c r="GD583" s="5">
        <f t="shared" si="1935"/>
        <v>0</v>
      </c>
      <c r="GE583" s="5">
        <f t="shared" si="1936"/>
        <v>0</v>
      </c>
      <c r="GF583" s="5" t="str">
        <f t="shared" si="1937"/>
        <v>Nivel de riesgo bajo</v>
      </c>
      <c r="GG583" s="5" t="s">
        <v>255</v>
      </c>
      <c r="GH583" s="5" t="s">
        <v>273</v>
      </c>
      <c r="GI583" s="5" t="s">
        <v>273</v>
      </c>
      <c r="GJ583" s="5" t="s">
        <v>273</v>
      </c>
      <c r="GK583" s="5" t="s">
        <v>233</v>
      </c>
      <c r="GL583" s="5" t="s">
        <v>233</v>
      </c>
      <c r="GM583" s="5" t="s">
        <v>298</v>
      </c>
      <c r="GN583" s="5" t="s">
        <v>256</v>
      </c>
      <c r="GO583" s="5" t="s">
        <v>257</v>
      </c>
      <c r="GP583" s="5" t="s">
        <v>257</v>
      </c>
      <c r="GQ583" s="5" t="s">
        <v>244</v>
      </c>
      <c r="GR583" s="5" t="s">
        <v>257</v>
      </c>
      <c r="GS583" s="5" t="s">
        <v>244</v>
      </c>
      <c r="GT583" s="5" t="s">
        <v>243</v>
      </c>
      <c r="GU583" s="5" t="s">
        <v>946</v>
      </c>
      <c r="GV583" s="5" t="str">
        <f>TEXT("6295258356125301260","0")</f>
        <v>6295258356125300000</v>
      </c>
    </row>
    <row r="584" spans="1:204" ht="15.75" customHeight="1" x14ac:dyDescent="0.15">
      <c r="A584" s="1">
        <f t="shared" si="1887"/>
        <v>584</v>
      </c>
      <c r="B584" s="4">
        <v>45866.529398148145</v>
      </c>
      <c r="C584" s="5" t="s">
        <v>204</v>
      </c>
      <c r="D584" s="5" t="s">
        <v>204</v>
      </c>
      <c r="E584" s="5" t="s">
        <v>947</v>
      </c>
      <c r="F584" s="5" t="s">
        <v>206</v>
      </c>
      <c r="G584" s="5" t="s">
        <v>206</v>
      </c>
      <c r="H584" s="5" t="s">
        <v>206</v>
      </c>
      <c r="I584" s="5" t="s">
        <v>208</v>
      </c>
      <c r="N584" s="5" t="s">
        <v>208</v>
      </c>
      <c r="W584" s="5" t="s">
        <v>207</v>
      </c>
      <c r="AB584" s="5" t="s">
        <v>207</v>
      </c>
      <c r="AG584" s="5" t="s">
        <v>207</v>
      </c>
      <c r="AH584" s="5" t="s">
        <v>210</v>
      </c>
      <c r="AI584" s="5">
        <v>2000</v>
      </c>
      <c r="AJ584" s="5" t="s">
        <v>238</v>
      </c>
      <c r="AK584" s="5" t="str">
        <f t="shared" si="1888"/>
        <v>Trabajadora por cuenta propia</v>
      </c>
      <c r="AL584" s="5" t="s">
        <v>239</v>
      </c>
      <c r="AP584" s="5" t="s">
        <v>240</v>
      </c>
      <c r="AR584" s="5" t="s">
        <v>241</v>
      </c>
      <c r="AS584" s="5" t="s">
        <v>241</v>
      </c>
      <c r="AT584" s="5" t="s">
        <v>241</v>
      </c>
      <c r="AU584" s="5" t="s">
        <v>241</v>
      </c>
      <c r="AV584" s="5" t="s">
        <v>277</v>
      </c>
      <c r="AW584" s="5" t="s">
        <v>204</v>
      </c>
      <c r="AX584" s="5" t="s">
        <v>206</v>
      </c>
      <c r="BF584" s="5" t="s">
        <v>204</v>
      </c>
      <c r="BG584" s="5" t="s">
        <v>207</v>
      </c>
      <c r="BH584" s="5" t="s">
        <v>264</v>
      </c>
      <c r="BI584" s="5" t="s">
        <v>207</v>
      </c>
      <c r="BJ584" s="5" t="s">
        <v>264</v>
      </c>
      <c r="BK584" s="5" t="s">
        <v>243</v>
      </c>
      <c r="BL584" s="5" t="s">
        <v>246</v>
      </c>
      <c r="BM584" s="5" t="s">
        <v>243</v>
      </c>
      <c r="BN584" s="5" t="s">
        <v>244</v>
      </c>
      <c r="BO584" s="5" t="s">
        <v>244</v>
      </c>
      <c r="BP584" s="5" t="s">
        <v>244</v>
      </c>
      <c r="BQ584" s="5" t="s">
        <v>246</v>
      </c>
      <c r="BR584" s="5" t="s">
        <v>243</v>
      </c>
      <c r="BS584" s="5" t="s">
        <v>247</v>
      </c>
      <c r="BT584" s="5" t="s">
        <v>247</v>
      </c>
      <c r="BU584" s="5" t="s">
        <v>254</v>
      </c>
      <c r="BV584" s="5" t="s">
        <v>248</v>
      </c>
      <c r="BW584" s="5" t="s">
        <v>248</v>
      </c>
      <c r="BX584" s="5" t="s">
        <v>248</v>
      </c>
      <c r="BY584" s="5" t="s">
        <v>217</v>
      </c>
      <c r="BZ584" s="5" t="s">
        <v>246</v>
      </c>
      <c r="CA584" s="5" t="s">
        <v>244</v>
      </c>
      <c r="CB584" s="5" t="s">
        <v>244</v>
      </c>
      <c r="CC584" s="5" t="s">
        <v>243</v>
      </c>
      <c r="CD584" s="5" t="s">
        <v>206</v>
      </c>
      <c r="CH584" s="5" t="s">
        <v>206</v>
      </c>
      <c r="CI584" s="5" t="s">
        <v>206</v>
      </c>
      <c r="CJ584" s="5">
        <v>3</v>
      </c>
      <c r="CS584" s="5" t="s">
        <v>948</v>
      </c>
      <c r="CU584" s="5" t="s">
        <v>204</v>
      </c>
      <c r="CV584" s="5" t="s">
        <v>350</v>
      </c>
      <c r="CW584" s="5" t="s">
        <v>351</v>
      </c>
      <c r="CX584" s="5" t="s">
        <v>226</v>
      </c>
      <c r="CY584" s="5" t="s">
        <v>353</v>
      </c>
      <c r="CZ584" s="5" t="s">
        <v>206</v>
      </c>
      <c r="DA584" s="5" t="s">
        <v>231</v>
      </c>
      <c r="DB584" s="5">
        <f t="shared" si="1889"/>
        <v>2</v>
      </c>
      <c r="DC584" s="5" t="s">
        <v>230</v>
      </c>
      <c r="DD584" s="5">
        <f t="shared" si="1890"/>
        <v>2</v>
      </c>
      <c r="DE584" s="5" t="s">
        <v>251</v>
      </c>
      <c r="DF584" s="5">
        <f t="shared" si="1891"/>
        <v>1</v>
      </c>
      <c r="DG584" s="5" t="s">
        <v>230</v>
      </c>
      <c r="DH584" s="5">
        <f t="shared" si="1892"/>
        <v>2</v>
      </c>
      <c r="DI584" s="5" t="s">
        <v>230</v>
      </c>
      <c r="DJ584" s="5">
        <f t="shared" si="1893"/>
        <v>2</v>
      </c>
      <c r="DK584" s="5" t="s">
        <v>230</v>
      </c>
      <c r="DL584" s="5">
        <f t="shared" si="1894"/>
        <v>2</v>
      </c>
      <c r="DM584" s="5" t="s">
        <v>251</v>
      </c>
      <c r="DN584" s="5">
        <f t="shared" si="1895"/>
        <v>1</v>
      </c>
      <c r="DO584" s="5" t="s">
        <v>231</v>
      </c>
      <c r="DP584" s="5">
        <f t="shared" si="1896"/>
        <v>2</v>
      </c>
      <c r="DQ584" s="5" t="s">
        <v>231</v>
      </c>
      <c r="DR584" s="5">
        <f t="shared" si="1897"/>
        <v>2</v>
      </c>
      <c r="DS584" s="5" t="s">
        <v>252</v>
      </c>
      <c r="DT584" s="5">
        <f t="shared" si="1898"/>
        <v>3</v>
      </c>
      <c r="DU584" s="5" t="s">
        <v>231</v>
      </c>
      <c r="DV584" s="5">
        <f t="shared" si="1899"/>
        <v>2</v>
      </c>
      <c r="DW584" s="5" t="s">
        <v>252</v>
      </c>
      <c r="DX584" s="5">
        <f t="shared" si="1900"/>
        <v>3</v>
      </c>
      <c r="DY584" s="5">
        <f t="shared" si="1901"/>
        <v>24</v>
      </c>
      <c r="DZ584" s="5" t="str">
        <f t="shared" si="1902"/>
        <v>Nivel de riesgo alto</v>
      </c>
      <c r="EA584" s="5" t="s">
        <v>247</v>
      </c>
      <c r="EB584" s="5">
        <f t="shared" si="1903"/>
        <v>2</v>
      </c>
      <c r="EC584" s="5" t="s">
        <v>248</v>
      </c>
      <c r="ED584" s="5">
        <f t="shared" si="1904"/>
        <v>1</v>
      </c>
      <c r="EE584" s="5" t="s">
        <v>253</v>
      </c>
      <c r="EF584" s="5">
        <f t="shared" si="1905"/>
        <v>0</v>
      </c>
      <c r="EG584" s="5">
        <f t="shared" si="1906"/>
        <v>3</v>
      </c>
      <c r="EH584" s="5" t="str">
        <f t="shared" si="1907"/>
        <v>Nivel de riesgo medio</v>
      </c>
      <c r="EI584" s="5" t="s">
        <v>248</v>
      </c>
      <c r="EJ584" s="5">
        <f t="shared" si="1908"/>
        <v>1</v>
      </c>
      <c r="EK584" s="5" t="s">
        <v>253</v>
      </c>
      <c r="EL584" s="5">
        <f t="shared" si="1909"/>
        <v>0</v>
      </c>
      <c r="EM584" s="5" t="s">
        <v>247</v>
      </c>
      <c r="EN584" s="5">
        <f t="shared" si="1910"/>
        <v>2</v>
      </c>
      <c r="EO584" s="5">
        <f t="shared" si="1911"/>
        <v>3</v>
      </c>
      <c r="EP584" s="5" t="str">
        <f t="shared" si="1912"/>
        <v>Nivel de riesgo medio</v>
      </c>
      <c r="EQ584" s="5" t="s">
        <v>248</v>
      </c>
      <c r="ER584" s="5">
        <f t="shared" si="1913"/>
        <v>3</v>
      </c>
      <c r="ES584" s="5" t="s">
        <v>248</v>
      </c>
      <c r="ET584" s="5">
        <f t="shared" si="1914"/>
        <v>3</v>
      </c>
      <c r="EU584" s="5" t="s">
        <v>248</v>
      </c>
      <c r="EV584" s="5">
        <f t="shared" si="1915"/>
        <v>3</v>
      </c>
      <c r="EW584" s="5" t="s">
        <v>248</v>
      </c>
      <c r="EX584" s="5">
        <f t="shared" si="1916"/>
        <v>3</v>
      </c>
      <c r="EY584" s="5">
        <f t="shared" si="1917"/>
        <v>12</v>
      </c>
      <c r="EZ584" s="5" t="str">
        <f t="shared" si="1918"/>
        <v>Nivel de riesgo alto</v>
      </c>
      <c r="FA584" s="5" t="s">
        <v>253</v>
      </c>
      <c r="FB584" s="5">
        <f t="shared" si="1919"/>
        <v>0</v>
      </c>
      <c r="FC584" s="5" t="s">
        <v>247</v>
      </c>
      <c r="FD584" s="5">
        <f t="shared" si="1920"/>
        <v>2</v>
      </c>
      <c r="FE584" s="5" t="s">
        <v>247</v>
      </c>
      <c r="FF584" s="5">
        <f t="shared" si="1921"/>
        <v>2</v>
      </c>
      <c r="FG584" s="5">
        <f t="shared" si="1922"/>
        <v>4</v>
      </c>
      <c r="FH584" s="5" t="str">
        <f t="shared" si="1923"/>
        <v>Nivel de riesgo medio</v>
      </c>
      <c r="FI584" s="5" t="s">
        <v>247</v>
      </c>
      <c r="FJ584" s="5">
        <f t="shared" si="1924"/>
        <v>2</v>
      </c>
      <c r="FK584" s="5" t="s">
        <v>248</v>
      </c>
      <c r="FL584" s="5">
        <f t="shared" si="1925"/>
        <v>1</v>
      </c>
      <c r="FM584" s="5" t="s">
        <v>247</v>
      </c>
      <c r="FN584" s="5">
        <f t="shared" si="1926"/>
        <v>2</v>
      </c>
      <c r="FO584" s="5">
        <f t="shared" si="1927"/>
        <v>5</v>
      </c>
      <c r="FP584" s="5" t="str">
        <f t="shared" si="1928"/>
        <v>Nivel de riesgo medio</v>
      </c>
      <c r="FQ584" s="5" t="s">
        <v>206</v>
      </c>
      <c r="FR584" s="5">
        <f t="shared" si="1929"/>
        <v>0</v>
      </c>
      <c r="FS584" s="5" t="s">
        <v>206</v>
      </c>
      <c r="FT584" s="5">
        <f t="shared" si="1930"/>
        <v>0</v>
      </c>
      <c r="FU584" s="5" t="s">
        <v>206</v>
      </c>
      <c r="FV584" s="5">
        <f t="shared" si="1931"/>
        <v>0</v>
      </c>
      <c r="FW584" s="5" t="s">
        <v>206</v>
      </c>
      <c r="FX584" s="5">
        <f t="shared" si="1932"/>
        <v>0</v>
      </c>
      <c r="FY584" s="5" t="s">
        <v>206</v>
      </c>
      <c r="FZ584" s="5">
        <f t="shared" si="1933"/>
        <v>0</v>
      </c>
      <c r="GA584" s="5" t="s">
        <v>206</v>
      </c>
      <c r="GB584" s="5">
        <f t="shared" si="1934"/>
        <v>0</v>
      </c>
      <c r="GC584" s="5" t="s">
        <v>206</v>
      </c>
      <c r="GD584" s="5">
        <f t="shared" si="1935"/>
        <v>0</v>
      </c>
      <c r="GE584" s="5">
        <f t="shared" si="1936"/>
        <v>0</v>
      </c>
      <c r="GF584" s="5" t="str">
        <f t="shared" si="1937"/>
        <v>Nivel de riesgo bajo</v>
      </c>
      <c r="GG584" s="5" t="s">
        <v>255</v>
      </c>
      <c r="GH584" s="5" t="s">
        <v>298</v>
      </c>
      <c r="GI584" s="5" t="s">
        <v>298</v>
      </c>
      <c r="GJ584" s="5" t="s">
        <v>233</v>
      </c>
      <c r="GK584" s="5" t="s">
        <v>233</v>
      </c>
      <c r="GL584" s="5" t="s">
        <v>233</v>
      </c>
      <c r="GM584" s="5" t="s">
        <v>233</v>
      </c>
      <c r="GN584" s="5" t="s">
        <v>243</v>
      </c>
      <c r="GO584" s="5" t="s">
        <v>257</v>
      </c>
      <c r="GP584" s="5" t="s">
        <v>244</v>
      </c>
      <c r="GQ584" s="5" t="s">
        <v>244</v>
      </c>
      <c r="GR584" s="5" t="s">
        <v>257</v>
      </c>
      <c r="GS584" s="5" t="s">
        <v>244</v>
      </c>
      <c r="GT584" s="5" t="s">
        <v>243</v>
      </c>
      <c r="GU584" s="5" t="s">
        <v>949</v>
      </c>
      <c r="GV584" s="5" t="str">
        <f>TEXT("6295301402128201845","0")</f>
        <v>6295301402128200000</v>
      </c>
    </row>
    <row r="585" spans="1:204" ht="15.75" customHeight="1" x14ac:dyDescent="0.15">
      <c r="A585" s="1">
        <f t="shared" si="1887"/>
        <v>585</v>
      </c>
      <c r="B585" s="4">
        <v>45866.543657407405</v>
      </c>
      <c r="C585" s="5" t="s">
        <v>204</v>
      </c>
      <c r="D585" s="5" t="s">
        <v>206</v>
      </c>
      <c r="F585" s="5" t="s">
        <v>206</v>
      </c>
      <c r="G585" s="5" t="s">
        <v>206</v>
      </c>
      <c r="H585" s="5" t="s">
        <v>206</v>
      </c>
      <c r="K585" s="5" t="s">
        <v>237</v>
      </c>
      <c r="N585" s="5" t="s">
        <v>208</v>
      </c>
      <c r="S585" s="5" t="s">
        <v>208</v>
      </c>
      <c r="X585" s="5" t="s">
        <v>208</v>
      </c>
      <c r="AD585" s="5" t="s">
        <v>209</v>
      </c>
      <c r="AH585" s="5" t="s">
        <v>268</v>
      </c>
      <c r="AI585" s="5">
        <v>2020</v>
      </c>
      <c r="AJ585" s="5" t="s">
        <v>238</v>
      </c>
      <c r="AK585" s="5" t="str">
        <f t="shared" si="1888"/>
        <v>Trabajadora por cuenta propia</v>
      </c>
      <c r="AN585" s="5" t="s">
        <v>288</v>
      </c>
      <c r="AP585" s="5" t="s">
        <v>321</v>
      </c>
      <c r="AR585" s="5" t="s">
        <v>294</v>
      </c>
      <c r="AS585" s="5" t="s">
        <v>294</v>
      </c>
      <c r="AT585" s="5" t="s">
        <v>294</v>
      </c>
      <c r="AU585" s="5" t="s">
        <v>294</v>
      </c>
      <c r="AV585" s="5" t="s">
        <v>285</v>
      </c>
      <c r="AW585" s="5" t="s">
        <v>204</v>
      </c>
      <c r="AX585" s="5" t="s">
        <v>204</v>
      </c>
      <c r="AY585" s="5" t="s">
        <v>214</v>
      </c>
      <c r="AZ585" s="5" t="s">
        <v>204</v>
      </c>
      <c r="BA585" s="5" t="s">
        <v>295</v>
      </c>
      <c r="BB585" s="5" t="s">
        <v>204</v>
      </c>
      <c r="BC585" s="5" t="s">
        <v>204</v>
      </c>
      <c r="BD585" s="5" t="s">
        <v>306</v>
      </c>
      <c r="BE585" s="5" t="s">
        <v>204</v>
      </c>
      <c r="BF585" s="5" t="s">
        <v>204</v>
      </c>
      <c r="BG585" s="5" t="s">
        <v>207</v>
      </c>
      <c r="BH585" s="5" t="s">
        <v>207</v>
      </c>
      <c r="BI585" s="5" t="s">
        <v>242</v>
      </c>
      <c r="BJ585" s="5" t="s">
        <v>264</v>
      </c>
      <c r="BK585" s="5" t="s">
        <v>216</v>
      </c>
      <c r="BL585" s="5" t="s">
        <v>244</v>
      </c>
      <c r="BM585" s="5" t="s">
        <v>244</v>
      </c>
      <c r="BN585" s="5" t="s">
        <v>216</v>
      </c>
      <c r="BO585" s="5" t="s">
        <v>244</v>
      </c>
      <c r="BP585" s="5" t="s">
        <v>244</v>
      </c>
      <c r="BQ585" s="5" t="s">
        <v>216</v>
      </c>
      <c r="BR585" s="5" t="s">
        <v>216</v>
      </c>
      <c r="BS585" s="5" t="s">
        <v>217</v>
      </c>
      <c r="BT585" s="5" t="s">
        <v>217</v>
      </c>
      <c r="BU585" s="5" t="s">
        <v>248</v>
      </c>
      <c r="BV585" s="5" t="s">
        <v>217</v>
      </c>
      <c r="BW585" s="5" t="s">
        <v>248</v>
      </c>
      <c r="BX585" s="5" t="s">
        <v>217</v>
      </c>
      <c r="BY585" s="5" t="s">
        <v>248</v>
      </c>
      <c r="BZ585" s="5" t="s">
        <v>216</v>
      </c>
      <c r="CA585" s="5" t="s">
        <v>244</v>
      </c>
      <c r="CB585" s="5" t="s">
        <v>216</v>
      </c>
      <c r="CC585" s="5" t="s">
        <v>244</v>
      </c>
      <c r="CD585" s="5" t="s">
        <v>204</v>
      </c>
      <c r="CE585" s="5" t="s">
        <v>218</v>
      </c>
      <c r="CF585" s="5" t="s">
        <v>219</v>
      </c>
      <c r="CG585" s="5" t="s">
        <v>373</v>
      </c>
      <c r="CH585" s="5" t="s">
        <v>221</v>
      </c>
      <c r="CI585" s="5" t="s">
        <v>307</v>
      </c>
      <c r="CJ585" s="5">
        <v>2</v>
      </c>
      <c r="CK585" s="5" t="s">
        <v>223</v>
      </c>
      <c r="CU585" s="5" t="s">
        <v>204</v>
      </c>
      <c r="CV585" s="5" t="s">
        <v>350</v>
      </c>
      <c r="CW585" s="5" t="s">
        <v>950</v>
      </c>
      <c r="CX585" s="5" t="s">
        <v>352</v>
      </c>
      <c r="CY585" s="5" t="s">
        <v>353</v>
      </c>
      <c r="CZ585" s="5" t="s">
        <v>228</v>
      </c>
      <c r="DA585" s="5" t="s">
        <v>272</v>
      </c>
      <c r="DB585" s="5">
        <f t="shared" si="1889"/>
        <v>1</v>
      </c>
      <c r="DC585" s="5" t="s">
        <v>251</v>
      </c>
      <c r="DD585" s="5">
        <f t="shared" si="1890"/>
        <v>1</v>
      </c>
      <c r="DE585" s="5" t="s">
        <v>230</v>
      </c>
      <c r="DF585" s="5">
        <f t="shared" si="1891"/>
        <v>2</v>
      </c>
      <c r="DG585" s="5" t="s">
        <v>230</v>
      </c>
      <c r="DH585" s="5">
        <f t="shared" si="1892"/>
        <v>2</v>
      </c>
      <c r="DI585" s="5" t="s">
        <v>251</v>
      </c>
      <c r="DJ585" s="5">
        <f t="shared" si="1893"/>
        <v>1</v>
      </c>
      <c r="DK585" s="5" t="s">
        <v>230</v>
      </c>
      <c r="DL585" s="5">
        <f t="shared" si="1894"/>
        <v>2</v>
      </c>
      <c r="DM585" s="5" t="s">
        <v>251</v>
      </c>
      <c r="DN585" s="5">
        <f t="shared" si="1895"/>
        <v>1</v>
      </c>
      <c r="DO585" s="5" t="s">
        <v>281</v>
      </c>
      <c r="DP585" s="5">
        <f t="shared" si="1896"/>
        <v>1</v>
      </c>
      <c r="DQ585" s="5" t="s">
        <v>231</v>
      </c>
      <c r="DR585" s="5">
        <f t="shared" si="1897"/>
        <v>2</v>
      </c>
      <c r="DS585" s="5" t="s">
        <v>231</v>
      </c>
      <c r="DT585" s="5">
        <f t="shared" si="1898"/>
        <v>2</v>
      </c>
      <c r="DU585" s="5" t="s">
        <v>281</v>
      </c>
      <c r="DV585" s="5">
        <f t="shared" si="1899"/>
        <v>1</v>
      </c>
      <c r="DW585" s="5" t="s">
        <v>231</v>
      </c>
      <c r="DX585" s="5">
        <f t="shared" si="1900"/>
        <v>2</v>
      </c>
      <c r="DY585" s="5">
        <f t="shared" si="1901"/>
        <v>18</v>
      </c>
      <c r="DZ585" s="5" t="str">
        <f t="shared" si="1902"/>
        <v>Nivel de riesgo bajo</v>
      </c>
      <c r="EA585" s="5" t="s">
        <v>254</v>
      </c>
      <c r="EB585" s="5">
        <f t="shared" si="1903"/>
        <v>4</v>
      </c>
      <c r="EC585" s="5" t="s">
        <v>254</v>
      </c>
      <c r="ED585" s="5">
        <f t="shared" si="1904"/>
        <v>4</v>
      </c>
      <c r="EE585" s="5" t="s">
        <v>254</v>
      </c>
      <c r="EF585" s="5">
        <f t="shared" si="1905"/>
        <v>4</v>
      </c>
      <c r="EG585" s="5">
        <f t="shared" si="1906"/>
        <v>12</v>
      </c>
      <c r="EH585" s="5" t="str">
        <f t="shared" si="1907"/>
        <v>Nivel de riesgo alto</v>
      </c>
      <c r="EI585" s="5" t="s">
        <v>232</v>
      </c>
      <c r="EJ585" s="5">
        <f t="shared" si="1908"/>
        <v>3</v>
      </c>
      <c r="EK585" s="5" t="s">
        <v>254</v>
      </c>
      <c r="EL585" s="5">
        <f t="shared" si="1909"/>
        <v>4</v>
      </c>
      <c r="EM585" s="5" t="s">
        <v>254</v>
      </c>
      <c r="EN585" s="5">
        <f t="shared" si="1910"/>
        <v>4</v>
      </c>
      <c r="EO585" s="5">
        <f t="shared" si="1911"/>
        <v>11</v>
      </c>
      <c r="EP585" s="5" t="str">
        <f t="shared" si="1912"/>
        <v>Nivel de riesgo alto</v>
      </c>
      <c r="EQ585" s="5" t="s">
        <v>232</v>
      </c>
      <c r="ER585" s="5">
        <f t="shared" si="1913"/>
        <v>1</v>
      </c>
      <c r="ES585" s="5" t="s">
        <v>254</v>
      </c>
      <c r="ET585" s="5">
        <f t="shared" si="1914"/>
        <v>0</v>
      </c>
      <c r="EU585" s="5" t="s">
        <v>254</v>
      </c>
      <c r="EV585" s="5">
        <f t="shared" si="1915"/>
        <v>0</v>
      </c>
      <c r="EW585" s="5" t="s">
        <v>254</v>
      </c>
      <c r="EX585" s="5">
        <f t="shared" si="1916"/>
        <v>0</v>
      </c>
      <c r="EY585" s="5">
        <f t="shared" si="1917"/>
        <v>1</v>
      </c>
      <c r="EZ585" s="5" t="str">
        <f t="shared" si="1918"/>
        <v>Nivel de riesgo medio</v>
      </c>
      <c r="FA585" s="5" t="s">
        <v>254</v>
      </c>
      <c r="FB585" s="5">
        <f t="shared" si="1919"/>
        <v>4</v>
      </c>
      <c r="FC585" s="5" t="s">
        <v>232</v>
      </c>
      <c r="FD585" s="5">
        <f t="shared" si="1920"/>
        <v>3</v>
      </c>
      <c r="FE585" s="5" t="s">
        <v>254</v>
      </c>
      <c r="FF585" s="5">
        <f t="shared" si="1921"/>
        <v>4</v>
      </c>
      <c r="FG585" s="5">
        <f t="shared" si="1922"/>
        <v>11</v>
      </c>
      <c r="FH585" s="5" t="str">
        <f t="shared" si="1923"/>
        <v>Nivel de riesgo alto</v>
      </c>
      <c r="FI585" s="5" t="s">
        <v>254</v>
      </c>
      <c r="FJ585" s="5">
        <f t="shared" si="1924"/>
        <v>4</v>
      </c>
      <c r="FK585" s="5" t="s">
        <v>232</v>
      </c>
      <c r="FL585" s="5">
        <f t="shared" si="1925"/>
        <v>3</v>
      </c>
      <c r="FM585" s="5" t="s">
        <v>254</v>
      </c>
      <c r="FN585" s="5">
        <f t="shared" si="1926"/>
        <v>4</v>
      </c>
      <c r="FO585" s="5">
        <f t="shared" si="1927"/>
        <v>11</v>
      </c>
      <c r="FP585" s="5" t="str">
        <f t="shared" si="1928"/>
        <v>Nivel de riesgo alto</v>
      </c>
      <c r="FQ585" s="5" t="s">
        <v>265</v>
      </c>
      <c r="FR585" s="5">
        <f t="shared" si="1929"/>
        <v>1</v>
      </c>
      <c r="FS585" s="5" t="s">
        <v>325</v>
      </c>
      <c r="FT585" s="5">
        <f t="shared" si="1930"/>
        <v>2</v>
      </c>
      <c r="FU585" s="5" t="s">
        <v>206</v>
      </c>
      <c r="FV585" s="5">
        <f t="shared" si="1931"/>
        <v>0</v>
      </c>
      <c r="FW585" s="5" t="s">
        <v>325</v>
      </c>
      <c r="FX585" s="5">
        <f t="shared" si="1932"/>
        <v>2</v>
      </c>
      <c r="FY585" s="5" t="s">
        <v>206</v>
      </c>
      <c r="FZ585" s="5">
        <f t="shared" si="1933"/>
        <v>0</v>
      </c>
      <c r="GA585" s="5" t="s">
        <v>325</v>
      </c>
      <c r="GB585" s="5">
        <f t="shared" si="1934"/>
        <v>2</v>
      </c>
      <c r="GC585" s="5" t="s">
        <v>206</v>
      </c>
      <c r="GD585" s="5">
        <f t="shared" si="1935"/>
        <v>0</v>
      </c>
      <c r="GE585" s="5">
        <f t="shared" si="1936"/>
        <v>7</v>
      </c>
      <c r="GF585" s="5" t="str">
        <f t="shared" si="1937"/>
        <v>Nivel de riesgo medio</v>
      </c>
      <c r="GG585" s="5" t="s">
        <v>233</v>
      </c>
      <c r="GH585" s="5" t="s">
        <v>298</v>
      </c>
      <c r="GI585" s="5" t="s">
        <v>233</v>
      </c>
      <c r="GJ585" s="5" t="s">
        <v>233</v>
      </c>
      <c r="GK585" s="5" t="s">
        <v>298</v>
      </c>
      <c r="GL585" s="5" t="s">
        <v>233</v>
      </c>
      <c r="GM585" s="5" t="s">
        <v>233</v>
      </c>
      <c r="GN585" s="5" t="s">
        <v>234</v>
      </c>
      <c r="GO585" s="5" t="s">
        <v>234</v>
      </c>
      <c r="GP585" s="5" t="s">
        <v>234</v>
      </c>
      <c r="GQ585" s="5" t="s">
        <v>234</v>
      </c>
      <c r="GR585" s="5" t="s">
        <v>234</v>
      </c>
      <c r="GS585" s="5" t="s">
        <v>234</v>
      </c>
      <c r="GT585" s="5" t="s">
        <v>234</v>
      </c>
      <c r="GU585" s="5" t="s">
        <v>951</v>
      </c>
      <c r="GV585" s="5" t="str">
        <f>TEXT("6295313728816580574","0")</f>
        <v>6295313728816580000</v>
      </c>
    </row>
    <row r="586" spans="1:204" ht="15.75" customHeight="1" x14ac:dyDescent="0.15">
      <c r="A586" s="1">
        <f t="shared" si="1887"/>
        <v>586</v>
      </c>
      <c r="B586" s="4">
        <v>45866.615057870367</v>
      </c>
      <c r="C586" s="5" t="s">
        <v>204</v>
      </c>
      <c r="D586" s="5" t="s">
        <v>206</v>
      </c>
      <c r="F586" s="5" t="s">
        <v>204</v>
      </c>
      <c r="G586" s="5" t="s">
        <v>204</v>
      </c>
      <c r="H586" s="5" t="s">
        <v>204</v>
      </c>
      <c r="I586" s="5" t="s">
        <v>208</v>
      </c>
      <c r="N586" s="5" t="s">
        <v>208</v>
      </c>
      <c r="S586" s="5" t="s">
        <v>208</v>
      </c>
      <c r="X586" s="5" t="s">
        <v>208</v>
      </c>
      <c r="AC586" s="5" t="s">
        <v>208</v>
      </c>
      <c r="AH586" s="5" t="s">
        <v>259</v>
      </c>
      <c r="AI586" s="5">
        <v>2023</v>
      </c>
      <c r="AJ586" s="5" t="s">
        <v>238</v>
      </c>
      <c r="AK586" s="5" t="str">
        <f t="shared" si="1888"/>
        <v>Trabajadora por cuenta propia</v>
      </c>
      <c r="AM586" s="5" t="s">
        <v>309</v>
      </c>
      <c r="AP586" s="5" t="s">
        <v>240</v>
      </c>
      <c r="AR586" s="5" t="s">
        <v>276</v>
      </c>
      <c r="AS586" s="5" t="s">
        <v>276</v>
      </c>
      <c r="AT586" s="5" t="s">
        <v>276</v>
      </c>
      <c r="AU586" s="5" t="s">
        <v>276</v>
      </c>
      <c r="AV586" s="5" t="s">
        <v>285</v>
      </c>
      <c r="AW586" s="5" t="s">
        <v>204</v>
      </c>
      <c r="AX586" s="5" t="s">
        <v>204</v>
      </c>
      <c r="AY586" s="5" t="s">
        <v>270</v>
      </c>
      <c r="AZ586" s="5" t="s">
        <v>204</v>
      </c>
      <c r="BA586" s="5" t="s">
        <v>263</v>
      </c>
      <c r="BF586" s="5" t="s">
        <v>204</v>
      </c>
      <c r="BG586" s="5" t="s">
        <v>242</v>
      </c>
      <c r="BH586" s="5" t="s">
        <v>242</v>
      </c>
      <c r="BI586" s="5" t="s">
        <v>264</v>
      </c>
      <c r="BJ586" s="5" t="s">
        <v>264</v>
      </c>
      <c r="BK586" s="5" t="s">
        <v>244</v>
      </c>
      <c r="BL586" s="5" t="s">
        <v>244</v>
      </c>
      <c r="BM586" s="5" t="s">
        <v>244</v>
      </c>
      <c r="BN586" s="5" t="s">
        <v>244</v>
      </c>
      <c r="BO586" s="5" t="s">
        <v>244</v>
      </c>
      <c r="BP586" s="5" t="s">
        <v>244</v>
      </c>
      <c r="BQ586" s="5" t="s">
        <v>244</v>
      </c>
      <c r="BR586" s="5" t="s">
        <v>244</v>
      </c>
      <c r="BS586" s="5" t="s">
        <v>248</v>
      </c>
      <c r="BT586" s="5" t="s">
        <v>247</v>
      </c>
      <c r="BU586" s="5" t="s">
        <v>247</v>
      </c>
      <c r="BV586" s="5" t="s">
        <v>217</v>
      </c>
      <c r="BW586" s="5" t="s">
        <v>248</v>
      </c>
      <c r="BX586" s="5" t="s">
        <v>217</v>
      </c>
      <c r="BY586" s="5" t="s">
        <v>217</v>
      </c>
      <c r="BZ586" s="5" t="s">
        <v>216</v>
      </c>
      <c r="CA586" s="5" t="s">
        <v>244</v>
      </c>
      <c r="CB586" s="5" t="s">
        <v>244</v>
      </c>
      <c r="CC586" s="5" t="s">
        <v>244</v>
      </c>
      <c r="CD586" s="5" t="s">
        <v>206</v>
      </c>
      <c r="CH586" s="5" t="s">
        <v>367</v>
      </c>
      <c r="CI586" s="5" t="s">
        <v>206</v>
      </c>
      <c r="CJ586" s="5">
        <v>1</v>
      </c>
      <c r="CK586" s="5" t="s">
        <v>223</v>
      </c>
      <c r="CU586" s="5" t="s">
        <v>206</v>
      </c>
      <c r="DA586" s="5" t="s">
        <v>272</v>
      </c>
      <c r="DB586" s="5">
        <f t="shared" si="1889"/>
        <v>1</v>
      </c>
      <c r="DC586" s="5" t="s">
        <v>230</v>
      </c>
      <c r="DD586" s="5">
        <f t="shared" si="1890"/>
        <v>2</v>
      </c>
      <c r="DE586" s="5" t="s">
        <v>230</v>
      </c>
      <c r="DF586" s="5">
        <f t="shared" si="1891"/>
        <v>2</v>
      </c>
      <c r="DG586" s="5" t="s">
        <v>250</v>
      </c>
      <c r="DH586" s="5">
        <f t="shared" si="1892"/>
        <v>3</v>
      </c>
      <c r="DI586" s="5" t="s">
        <v>251</v>
      </c>
      <c r="DJ586" s="5">
        <f t="shared" si="1893"/>
        <v>1</v>
      </c>
      <c r="DK586" s="5" t="s">
        <v>251</v>
      </c>
      <c r="DL586" s="5">
        <f t="shared" si="1894"/>
        <v>1</v>
      </c>
      <c r="DM586" s="5" t="s">
        <v>251</v>
      </c>
      <c r="DN586" s="5">
        <f t="shared" si="1895"/>
        <v>1</v>
      </c>
      <c r="DO586" s="5" t="s">
        <v>281</v>
      </c>
      <c r="DP586" s="5">
        <f t="shared" si="1896"/>
        <v>1</v>
      </c>
      <c r="DQ586" s="5" t="s">
        <v>281</v>
      </c>
      <c r="DR586" s="5">
        <f t="shared" si="1897"/>
        <v>1</v>
      </c>
      <c r="DS586" s="5" t="s">
        <v>281</v>
      </c>
      <c r="DT586" s="5">
        <f t="shared" si="1898"/>
        <v>1</v>
      </c>
      <c r="DU586" s="5" t="s">
        <v>281</v>
      </c>
      <c r="DV586" s="5">
        <f t="shared" si="1899"/>
        <v>1</v>
      </c>
      <c r="DW586" s="5" t="s">
        <v>281</v>
      </c>
      <c r="DX586" s="5">
        <f t="shared" si="1900"/>
        <v>1</v>
      </c>
      <c r="DY586" s="5">
        <f t="shared" si="1901"/>
        <v>16</v>
      </c>
      <c r="DZ586" s="5" t="str">
        <f t="shared" si="1902"/>
        <v>Nivel de riesgo bajo</v>
      </c>
      <c r="EA586" s="5" t="s">
        <v>253</v>
      </c>
      <c r="EB586" s="5">
        <f t="shared" si="1903"/>
        <v>0</v>
      </c>
      <c r="EC586" s="5" t="s">
        <v>253</v>
      </c>
      <c r="ED586" s="5">
        <f t="shared" si="1904"/>
        <v>0</v>
      </c>
      <c r="EE586" s="5" t="s">
        <v>253</v>
      </c>
      <c r="EF586" s="5">
        <f t="shared" si="1905"/>
        <v>0</v>
      </c>
      <c r="EG586" s="5">
        <f t="shared" si="1906"/>
        <v>0</v>
      </c>
      <c r="EH586" s="5" t="str">
        <f t="shared" si="1907"/>
        <v>Nivel de riesgo bajo</v>
      </c>
      <c r="EI586" s="5" t="s">
        <v>253</v>
      </c>
      <c r="EJ586" s="5">
        <f t="shared" si="1908"/>
        <v>0</v>
      </c>
      <c r="EK586" s="5" t="s">
        <v>253</v>
      </c>
      <c r="EL586" s="5">
        <f t="shared" si="1909"/>
        <v>0</v>
      </c>
      <c r="EM586" s="5" t="s">
        <v>253</v>
      </c>
      <c r="EN586" s="5">
        <f t="shared" si="1910"/>
        <v>0</v>
      </c>
      <c r="EO586" s="5">
        <f t="shared" si="1911"/>
        <v>0</v>
      </c>
      <c r="EP586" s="5" t="str">
        <f t="shared" si="1912"/>
        <v>Nivel de riesgo bajo</v>
      </c>
      <c r="EQ586" s="5" t="s">
        <v>232</v>
      </c>
      <c r="ER586" s="5">
        <f t="shared" si="1913"/>
        <v>1</v>
      </c>
      <c r="ES586" s="5" t="s">
        <v>232</v>
      </c>
      <c r="ET586" s="5">
        <f t="shared" si="1914"/>
        <v>1</v>
      </c>
      <c r="EU586" s="5" t="s">
        <v>232</v>
      </c>
      <c r="EV586" s="5">
        <f t="shared" si="1915"/>
        <v>1</v>
      </c>
      <c r="EW586" s="5" t="s">
        <v>232</v>
      </c>
      <c r="EX586" s="5">
        <f t="shared" si="1916"/>
        <v>1</v>
      </c>
      <c r="EY586" s="5">
        <f t="shared" si="1917"/>
        <v>4</v>
      </c>
      <c r="EZ586" s="5" t="str">
        <f t="shared" si="1918"/>
        <v>Nivel de riesgo medio</v>
      </c>
      <c r="FA586" s="5" t="s">
        <v>253</v>
      </c>
      <c r="FB586" s="5">
        <f t="shared" si="1919"/>
        <v>0</v>
      </c>
      <c r="FC586" s="5" t="s">
        <v>253</v>
      </c>
      <c r="FD586" s="5">
        <f t="shared" si="1920"/>
        <v>0</v>
      </c>
      <c r="FE586" s="5" t="s">
        <v>253</v>
      </c>
      <c r="FF586" s="5">
        <f t="shared" si="1921"/>
        <v>0</v>
      </c>
      <c r="FG586" s="5">
        <f t="shared" si="1922"/>
        <v>0</v>
      </c>
      <c r="FH586" s="5" t="str">
        <f t="shared" si="1923"/>
        <v>Nivel de riesgo bajo</v>
      </c>
      <c r="FI586" s="5" t="s">
        <v>253</v>
      </c>
      <c r="FJ586" s="5">
        <f t="shared" si="1924"/>
        <v>0</v>
      </c>
      <c r="FK586" s="5" t="s">
        <v>253</v>
      </c>
      <c r="FL586" s="5">
        <f t="shared" si="1925"/>
        <v>0</v>
      </c>
      <c r="FM586" s="5" t="s">
        <v>253</v>
      </c>
      <c r="FN586" s="5">
        <f t="shared" si="1926"/>
        <v>0</v>
      </c>
      <c r="FO586" s="5">
        <f t="shared" si="1927"/>
        <v>0</v>
      </c>
      <c r="FP586" s="5" t="str">
        <f t="shared" si="1928"/>
        <v>Nivel de riesgo bajo</v>
      </c>
      <c r="FQ586" s="5" t="s">
        <v>206</v>
      </c>
      <c r="FR586" s="5">
        <f t="shared" si="1929"/>
        <v>0</v>
      </c>
      <c r="FS586" s="5" t="s">
        <v>206</v>
      </c>
      <c r="FT586" s="5">
        <f t="shared" si="1930"/>
        <v>0</v>
      </c>
      <c r="FU586" s="5" t="s">
        <v>206</v>
      </c>
      <c r="FV586" s="5">
        <f t="shared" si="1931"/>
        <v>0</v>
      </c>
      <c r="FW586" s="5" t="s">
        <v>206</v>
      </c>
      <c r="FX586" s="5">
        <f t="shared" si="1932"/>
        <v>0</v>
      </c>
      <c r="FY586" s="5" t="s">
        <v>206</v>
      </c>
      <c r="FZ586" s="5">
        <f t="shared" si="1933"/>
        <v>0</v>
      </c>
      <c r="GA586" s="5" t="s">
        <v>206</v>
      </c>
      <c r="GB586" s="5">
        <f t="shared" si="1934"/>
        <v>0</v>
      </c>
      <c r="GC586" s="5" t="s">
        <v>206</v>
      </c>
      <c r="GD586" s="5">
        <f t="shared" si="1935"/>
        <v>0</v>
      </c>
      <c r="GE586" s="5">
        <f t="shared" si="1936"/>
        <v>0</v>
      </c>
      <c r="GF586" s="5" t="str">
        <f t="shared" si="1937"/>
        <v>Nivel de riesgo bajo</v>
      </c>
      <c r="GG586" s="5" t="s">
        <v>255</v>
      </c>
      <c r="GH586" s="5" t="s">
        <v>255</v>
      </c>
      <c r="GI586" s="5" t="s">
        <v>255</v>
      </c>
      <c r="GJ586" s="5" t="s">
        <v>273</v>
      </c>
      <c r="GK586" s="5" t="s">
        <v>233</v>
      </c>
      <c r="GL586" s="5" t="s">
        <v>233</v>
      </c>
      <c r="GM586" s="5" t="s">
        <v>255</v>
      </c>
      <c r="GN586" s="5" t="s">
        <v>256</v>
      </c>
      <c r="GO586" s="5" t="s">
        <v>256</v>
      </c>
      <c r="GP586" s="5" t="s">
        <v>256</v>
      </c>
      <c r="GQ586" s="5" t="s">
        <v>256</v>
      </c>
      <c r="GR586" s="5" t="s">
        <v>256</v>
      </c>
      <c r="GS586" s="5" t="s">
        <v>256</v>
      </c>
      <c r="GT586" s="5" t="s">
        <v>256</v>
      </c>
      <c r="GU586" s="5" t="s">
        <v>952</v>
      </c>
      <c r="GV586" s="5" t="str">
        <f>TEXT("6295375411707818885","0")</f>
        <v>6295375411707810000</v>
      </c>
    </row>
    <row r="587" spans="1:204" ht="15.75" customHeight="1" x14ac:dyDescent="0.15">
      <c r="A587" s="1">
        <f t="shared" si="1887"/>
        <v>587</v>
      </c>
      <c r="B587" s="4">
        <v>45866.630462962959</v>
      </c>
      <c r="C587" s="5" t="s">
        <v>204</v>
      </c>
      <c r="D587" s="5" t="s">
        <v>204</v>
      </c>
      <c r="E587" s="5" t="s">
        <v>335</v>
      </c>
      <c r="F587" s="5" t="s">
        <v>206</v>
      </c>
      <c r="G587" s="5" t="s">
        <v>206</v>
      </c>
      <c r="H587" s="5" t="s">
        <v>206</v>
      </c>
      <c r="K587" s="5" t="s">
        <v>237</v>
      </c>
      <c r="P587" s="5" t="s">
        <v>237</v>
      </c>
      <c r="S587" s="5" t="s">
        <v>208</v>
      </c>
      <c r="Y587" s="5" t="s">
        <v>209</v>
      </c>
      <c r="AE587" s="5" t="s">
        <v>237</v>
      </c>
      <c r="AH587" s="5" t="s">
        <v>953</v>
      </c>
      <c r="AI587" s="5">
        <v>1990</v>
      </c>
      <c r="AJ587" s="5" t="s">
        <v>330</v>
      </c>
      <c r="AK587" s="5" t="str">
        <f t="shared" si="1888"/>
        <v>Asalariada</v>
      </c>
      <c r="AQ587" s="5" t="s">
        <v>204</v>
      </c>
      <c r="AR587" s="5" t="s">
        <v>301</v>
      </c>
      <c r="AS587" s="5" t="s">
        <v>301</v>
      </c>
      <c r="AT587" s="5" t="s">
        <v>301</v>
      </c>
      <c r="AU587" s="5" t="s">
        <v>294</v>
      </c>
      <c r="AV587" s="5" t="s">
        <v>285</v>
      </c>
      <c r="AW587" s="5" t="s">
        <v>204</v>
      </c>
      <c r="AX587" s="5" t="s">
        <v>204</v>
      </c>
      <c r="AY587" s="5" t="s">
        <v>270</v>
      </c>
      <c r="AZ587" s="5" t="s">
        <v>204</v>
      </c>
      <c r="BA587" s="5" t="s">
        <v>263</v>
      </c>
      <c r="BF587" s="5" t="s">
        <v>204</v>
      </c>
      <c r="BG587" s="5" t="s">
        <v>242</v>
      </c>
      <c r="BH587" s="5" t="s">
        <v>242</v>
      </c>
      <c r="BI587" s="5" t="s">
        <v>264</v>
      </c>
      <c r="BJ587" s="5" t="s">
        <v>215</v>
      </c>
      <c r="BK587" s="5" t="s">
        <v>216</v>
      </c>
      <c r="BL587" s="5" t="s">
        <v>243</v>
      </c>
      <c r="BM587" s="5" t="s">
        <v>243</v>
      </c>
      <c r="BN587" s="5" t="s">
        <v>244</v>
      </c>
      <c r="BO587" s="5" t="s">
        <v>243</v>
      </c>
      <c r="BP587" s="5" t="s">
        <v>243</v>
      </c>
      <c r="BQ587" s="5" t="s">
        <v>216</v>
      </c>
      <c r="BR587" s="5" t="s">
        <v>243</v>
      </c>
      <c r="BS587" s="5" t="s">
        <v>232</v>
      </c>
      <c r="BT587" s="5" t="s">
        <v>247</v>
      </c>
      <c r="BU587" s="5" t="s">
        <v>247</v>
      </c>
      <c r="BV587" s="5" t="s">
        <v>248</v>
      </c>
      <c r="BW587" s="5" t="s">
        <v>247</v>
      </c>
      <c r="BX587" s="5" t="s">
        <v>217</v>
      </c>
      <c r="BY587" s="5" t="s">
        <v>248</v>
      </c>
      <c r="BZ587" s="5" t="s">
        <v>243</v>
      </c>
      <c r="CA587" s="5" t="s">
        <v>243</v>
      </c>
      <c r="CB587" s="5" t="s">
        <v>246</v>
      </c>
      <c r="CC587" s="5" t="s">
        <v>243</v>
      </c>
      <c r="CD587" s="5" t="s">
        <v>206</v>
      </c>
      <c r="CH587" s="5" t="s">
        <v>331</v>
      </c>
      <c r="CI587" s="5" t="s">
        <v>318</v>
      </c>
      <c r="CJ587" s="5">
        <v>2</v>
      </c>
      <c r="CK587" s="5" t="s">
        <v>223</v>
      </c>
      <c r="CU587" s="5" t="s">
        <v>206</v>
      </c>
      <c r="DA587" s="5" t="s">
        <v>231</v>
      </c>
      <c r="DB587" s="5">
        <f t="shared" si="1889"/>
        <v>2</v>
      </c>
      <c r="DC587" s="5" t="s">
        <v>250</v>
      </c>
      <c r="DD587" s="5">
        <f t="shared" si="1890"/>
        <v>3</v>
      </c>
      <c r="DE587" s="5" t="s">
        <v>250</v>
      </c>
      <c r="DF587" s="5">
        <f t="shared" si="1891"/>
        <v>3</v>
      </c>
      <c r="DG587" s="5" t="s">
        <v>230</v>
      </c>
      <c r="DH587" s="5">
        <f t="shared" si="1892"/>
        <v>2</v>
      </c>
      <c r="DI587" s="5" t="s">
        <v>250</v>
      </c>
      <c r="DJ587" s="5">
        <f t="shared" si="1893"/>
        <v>3</v>
      </c>
      <c r="DK587" s="5" t="s">
        <v>230</v>
      </c>
      <c r="DL587" s="5">
        <f t="shared" si="1894"/>
        <v>2</v>
      </c>
      <c r="DM587" s="5" t="s">
        <v>230</v>
      </c>
      <c r="DN587" s="5">
        <f t="shared" si="1895"/>
        <v>2</v>
      </c>
      <c r="DO587" s="5" t="s">
        <v>281</v>
      </c>
      <c r="DP587" s="5">
        <f t="shared" si="1896"/>
        <v>1</v>
      </c>
      <c r="DQ587" s="5" t="s">
        <v>231</v>
      </c>
      <c r="DR587" s="5">
        <f t="shared" si="1897"/>
        <v>2</v>
      </c>
      <c r="DS587" s="5" t="s">
        <v>231</v>
      </c>
      <c r="DT587" s="5">
        <f t="shared" si="1898"/>
        <v>2</v>
      </c>
      <c r="DU587" s="5" t="s">
        <v>231</v>
      </c>
      <c r="DV587" s="5">
        <f t="shared" si="1899"/>
        <v>2</v>
      </c>
      <c r="DW587" s="5" t="s">
        <v>231</v>
      </c>
      <c r="DX587" s="5">
        <f t="shared" si="1900"/>
        <v>2</v>
      </c>
      <c r="DY587" s="5">
        <f t="shared" si="1901"/>
        <v>26</v>
      </c>
      <c r="DZ587" s="5" t="str">
        <f t="shared" si="1902"/>
        <v>Nivel de riesgo alto</v>
      </c>
      <c r="EA587" s="5" t="s">
        <v>248</v>
      </c>
      <c r="EB587" s="5">
        <f t="shared" si="1903"/>
        <v>1</v>
      </c>
      <c r="EC587" s="5" t="s">
        <v>247</v>
      </c>
      <c r="ED587" s="5">
        <f t="shared" si="1904"/>
        <v>2</v>
      </c>
      <c r="EE587" s="5" t="s">
        <v>247</v>
      </c>
      <c r="EF587" s="5">
        <f t="shared" si="1905"/>
        <v>2</v>
      </c>
      <c r="EG587" s="5">
        <f t="shared" si="1906"/>
        <v>5</v>
      </c>
      <c r="EH587" s="5" t="str">
        <f t="shared" si="1907"/>
        <v>Nivel de riesgo alto</v>
      </c>
      <c r="EI587" s="5" t="s">
        <v>248</v>
      </c>
      <c r="EJ587" s="5">
        <f t="shared" si="1908"/>
        <v>1</v>
      </c>
      <c r="EK587" s="5" t="s">
        <v>248</v>
      </c>
      <c r="EL587" s="5">
        <f t="shared" si="1909"/>
        <v>1</v>
      </c>
      <c r="EM587" s="5" t="s">
        <v>248</v>
      </c>
      <c r="EN587" s="5">
        <f t="shared" si="1910"/>
        <v>1</v>
      </c>
      <c r="EO587" s="5">
        <f t="shared" si="1911"/>
        <v>3</v>
      </c>
      <c r="EP587" s="5" t="str">
        <f t="shared" si="1912"/>
        <v>Nivel de riesgo medio</v>
      </c>
      <c r="EQ587" s="5" t="s">
        <v>247</v>
      </c>
      <c r="ER587" s="5">
        <f t="shared" si="1913"/>
        <v>2</v>
      </c>
      <c r="ES587" s="5" t="s">
        <v>248</v>
      </c>
      <c r="ET587" s="5">
        <f t="shared" si="1914"/>
        <v>3</v>
      </c>
      <c r="EU587" s="5" t="s">
        <v>254</v>
      </c>
      <c r="EV587" s="5">
        <f t="shared" si="1915"/>
        <v>0</v>
      </c>
      <c r="EW587" s="5" t="s">
        <v>254</v>
      </c>
      <c r="EX587" s="5">
        <f t="shared" si="1916"/>
        <v>0</v>
      </c>
      <c r="EY587" s="5">
        <f t="shared" si="1917"/>
        <v>5</v>
      </c>
      <c r="EZ587" s="5" t="str">
        <f t="shared" si="1918"/>
        <v>Nivel de riesgo alto</v>
      </c>
      <c r="FA587" s="5" t="s">
        <v>248</v>
      </c>
      <c r="FB587" s="5">
        <f t="shared" si="1919"/>
        <v>1</v>
      </c>
      <c r="FC587" s="5" t="s">
        <v>254</v>
      </c>
      <c r="FD587" s="5">
        <f t="shared" si="1920"/>
        <v>4</v>
      </c>
      <c r="FE587" s="5" t="s">
        <v>254</v>
      </c>
      <c r="FF587" s="5">
        <f t="shared" si="1921"/>
        <v>4</v>
      </c>
      <c r="FG587" s="5">
        <f t="shared" si="1922"/>
        <v>9</v>
      </c>
      <c r="FH587" s="5" t="str">
        <f t="shared" si="1923"/>
        <v>Nivel de riesgo alto</v>
      </c>
      <c r="FI587" s="5" t="s">
        <v>254</v>
      </c>
      <c r="FJ587" s="5">
        <f t="shared" si="1924"/>
        <v>4</v>
      </c>
      <c r="FK587" s="5" t="s">
        <v>254</v>
      </c>
      <c r="FL587" s="5">
        <f t="shared" si="1925"/>
        <v>4</v>
      </c>
      <c r="FM587" s="5" t="s">
        <v>247</v>
      </c>
      <c r="FN587" s="5">
        <f t="shared" si="1926"/>
        <v>2</v>
      </c>
      <c r="FO587" s="5">
        <f t="shared" si="1927"/>
        <v>10</v>
      </c>
      <c r="FP587" s="5" t="str">
        <f t="shared" si="1928"/>
        <v>Nivel de riesgo alto</v>
      </c>
      <c r="FQ587" s="5" t="s">
        <v>206</v>
      </c>
      <c r="FR587" s="5">
        <f t="shared" si="1929"/>
        <v>0</v>
      </c>
      <c r="FS587" s="5" t="s">
        <v>206</v>
      </c>
      <c r="FT587" s="5">
        <f t="shared" si="1930"/>
        <v>0</v>
      </c>
      <c r="FU587" s="5" t="s">
        <v>206</v>
      </c>
      <c r="FV587" s="5">
        <f t="shared" si="1931"/>
        <v>0</v>
      </c>
      <c r="FW587" s="5" t="s">
        <v>206</v>
      </c>
      <c r="FX587" s="5">
        <f t="shared" si="1932"/>
        <v>0</v>
      </c>
      <c r="FY587" s="5" t="s">
        <v>206</v>
      </c>
      <c r="FZ587" s="5">
        <f t="shared" si="1933"/>
        <v>0</v>
      </c>
      <c r="GA587" s="5" t="s">
        <v>206</v>
      </c>
      <c r="GB587" s="5">
        <f t="shared" si="1934"/>
        <v>0</v>
      </c>
      <c r="GC587" s="5" t="s">
        <v>206</v>
      </c>
      <c r="GD587" s="5">
        <f t="shared" si="1935"/>
        <v>0</v>
      </c>
      <c r="GE587" s="5">
        <f t="shared" si="1936"/>
        <v>0</v>
      </c>
      <c r="GF587" s="5" t="str">
        <f t="shared" si="1937"/>
        <v>Nivel de riesgo bajo</v>
      </c>
      <c r="GG587" s="5" t="s">
        <v>255</v>
      </c>
      <c r="GH587" s="5" t="s">
        <v>255</v>
      </c>
      <c r="GI587" s="5" t="s">
        <v>255</v>
      </c>
      <c r="GJ587" s="5" t="s">
        <v>273</v>
      </c>
      <c r="GK587" s="5" t="s">
        <v>233</v>
      </c>
      <c r="GL587" s="5" t="s">
        <v>273</v>
      </c>
      <c r="GM587" s="5" t="s">
        <v>273</v>
      </c>
      <c r="GN587" s="5" t="s">
        <v>243</v>
      </c>
      <c r="GO587" s="5" t="s">
        <v>243</v>
      </c>
      <c r="GP587" s="5" t="s">
        <v>256</v>
      </c>
      <c r="GQ587" s="5" t="s">
        <v>243</v>
      </c>
      <c r="GR587" s="5" t="s">
        <v>243</v>
      </c>
      <c r="GS587" s="5" t="s">
        <v>243</v>
      </c>
      <c r="GT587" s="5" t="s">
        <v>243</v>
      </c>
      <c r="GU587" s="5" t="s">
        <v>954</v>
      </c>
      <c r="GV587" s="5" t="str">
        <f>TEXT("6295388725319246690","0")</f>
        <v>6295388725319240000</v>
      </c>
    </row>
    <row r="588" spans="1:204" ht="15.75" customHeight="1" x14ac:dyDescent="0.15">
      <c r="A588" s="1">
        <f t="shared" si="1887"/>
        <v>588</v>
      </c>
      <c r="B588" s="4">
        <v>45866.634513888886</v>
      </c>
      <c r="C588" s="5" t="s">
        <v>204</v>
      </c>
      <c r="D588" s="5" t="s">
        <v>206</v>
      </c>
      <c r="F588" s="5" t="s">
        <v>206</v>
      </c>
      <c r="G588" s="5" t="s">
        <v>204</v>
      </c>
      <c r="H588" s="5" t="s">
        <v>206</v>
      </c>
      <c r="I588" s="5" t="s">
        <v>208</v>
      </c>
      <c r="N588" s="5" t="s">
        <v>208</v>
      </c>
      <c r="S588" s="5" t="s">
        <v>208</v>
      </c>
      <c r="X588" s="5" t="s">
        <v>208</v>
      </c>
      <c r="AC588" s="5" t="s">
        <v>208</v>
      </c>
      <c r="AH588" s="5" t="s">
        <v>346</v>
      </c>
      <c r="AI588" s="5">
        <v>2016</v>
      </c>
      <c r="AJ588" s="5" t="s">
        <v>238</v>
      </c>
      <c r="AK588" s="5" t="str">
        <f t="shared" si="1888"/>
        <v>Trabajadora por cuenta propia</v>
      </c>
      <c r="AO588" s="5" t="s">
        <v>323</v>
      </c>
      <c r="AP588" s="5" t="s">
        <v>955</v>
      </c>
      <c r="AR588" s="5" t="s">
        <v>276</v>
      </c>
      <c r="AS588" s="5" t="s">
        <v>276</v>
      </c>
      <c r="AT588" s="5" t="s">
        <v>276</v>
      </c>
      <c r="AU588" s="5" t="s">
        <v>276</v>
      </c>
      <c r="AV588" s="5" t="s">
        <v>213</v>
      </c>
      <c r="AW588" s="5" t="s">
        <v>206</v>
      </c>
      <c r="BF588" s="5" t="s">
        <v>204</v>
      </c>
      <c r="BG588" s="5" t="s">
        <v>278</v>
      </c>
      <c r="BH588" s="5" t="s">
        <v>278</v>
      </c>
      <c r="BI588" s="5" t="s">
        <v>278</v>
      </c>
      <c r="BJ588" s="5" t="s">
        <v>278</v>
      </c>
      <c r="BK588" s="5" t="s">
        <v>246</v>
      </c>
      <c r="BL588" s="5" t="s">
        <v>243</v>
      </c>
      <c r="BM588" s="5" t="s">
        <v>243</v>
      </c>
      <c r="BN588" s="5" t="s">
        <v>244</v>
      </c>
      <c r="BO588" s="5" t="s">
        <v>243</v>
      </c>
      <c r="BP588" s="5" t="s">
        <v>243</v>
      </c>
      <c r="BQ588" s="5" t="s">
        <v>243</v>
      </c>
      <c r="BR588" s="5" t="s">
        <v>243</v>
      </c>
      <c r="BS588" s="5" t="s">
        <v>232</v>
      </c>
      <c r="BT588" s="5" t="s">
        <v>232</v>
      </c>
      <c r="BU588" s="5" t="s">
        <v>217</v>
      </c>
      <c r="BV588" s="5" t="s">
        <v>217</v>
      </c>
      <c r="BW588" s="5" t="s">
        <v>217</v>
      </c>
      <c r="BX588" s="5" t="s">
        <v>217</v>
      </c>
      <c r="BY588" s="5" t="s">
        <v>217</v>
      </c>
      <c r="CD588" s="5" t="s">
        <v>204</v>
      </c>
      <c r="CE588" s="5" t="s">
        <v>286</v>
      </c>
      <c r="CF588" s="5" t="s">
        <v>219</v>
      </c>
      <c r="CG588" s="5" t="s">
        <v>220</v>
      </c>
      <c r="CH588" s="5" t="s">
        <v>206</v>
      </c>
      <c r="CI588" s="5" t="s">
        <v>206</v>
      </c>
      <c r="CJ588" s="5">
        <v>0</v>
      </c>
      <c r="CK588" s="5" t="s">
        <v>223</v>
      </c>
      <c r="CU588" s="5" t="s">
        <v>206</v>
      </c>
      <c r="DA588" s="5" t="s">
        <v>231</v>
      </c>
      <c r="DB588" s="5">
        <f t="shared" si="1889"/>
        <v>2</v>
      </c>
      <c r="DC588" s="5" t="s">
        <v>250</v>
      </c>
      <c r="DD588" s="5">
        <f t="shared" si="1890"/>
        <v>3</v>
      </c>
      <c r="DE588" s="5" t="s">
        <v>250</v>
      </c>
      <c r="DF588" s="5">
        <f t="shared" si="1891"/>
        <v>3</v>
      </c>
      <c r="DG588" s="5" t="s">
        <v>250</v>
      </c>
      <c r="DH588" s="5">
        <f t="shared" si="1892"/>
        <v>3</v>
      </c>
      <c r="DI588" s="5" t="s">
        <v>250</v>
      </c>
      <c r="DJ588" s="5">
        <f t="shared" si="1893"/>
        <v>3</v>
      </c>
      <c r="DK588" s="5" t="s">
        <v>250</v>
      </c>
      <c r="DL588" s="5">
        <f t="shared" si="1894"/>
        <v>3</v>
      </c>
      <c r="DM588" s="5" t="s">
        <v>251</v>
      </c>
      <c r="DN588" s="5">
        <f t="shared" si="1895"/>
        <v>1</v>
      </c>
      <c r="DO588" s="5" t="s">
        <v>231</v>
      </c>
      <c r="DP588" s="5">
        <f t="shared" si="1896"/>
        <v>2</v>
      </c>
      <c r="DQ588" s="5" t="s">
        <v>231</v>
      </c>
      <c r="DR588" s="5">
        <f t="shared" si="1897"/>
        <v>2</v>
      </c>
      <c r="DS588" s="5" t="s">
        <v>252</v>
      </c>
      <c r="DT588" s="5">
        <f t="shared" si="1898"/>
        <v>3</v>
      </c>
      <c r="DU588" s="5" t="s">
        <v>231</v>
      </c>
      <c r="DV588" s="5">
        <f t="shared" si="1899"/>
        <v>2</v>
      </c>
      <c r="DW588" s="5" t="s">
        <v>281</v>
      </c>
      <c r="DX588" s="5">
        <f t="shared" si="1900"/>
        <v>1</v>
      </c>
      <c r="DY588" s="5">
        <f t="shared" si="1901"/>
        <v>28</v>
      </c>
      <c r="DZ588" s="5" t="str">
        <f t="shared" si="1902"/>
        <v>Nivel de riesgo alto</v>
      </c>
      <c r="EA588" s="5" t="s">
        <v>253</v>
      </c>
      <c r="EB588" s="5">
        <f t="shared" si="1903"/>
        <v>0</v>
      </c>
      <c r="EC588" s="5" t="s">
        <v>253</v>
      </c>
      <c r="ED588" s="5">
        <f t="shared" si="1904"/>
        <v>0</v>
      </c>
      <c r="EE588" s="5" t="s">
        <v>253</v>
      </c>
      <c r="EF588" s="5">
        <f t="shared" si="1905"/>
        <v>0</v>
      </c>
      <c r="EG588" s="5">
        <f t="shared" si="1906"/>
        <v>0</v>
      </c>
      <c r="EH588" s="5" t="str">
        <f t="shared" si="1907"/>
        <v>Nivel de riesgo bajo</v>
      </c>
      <c r="EI588" s="5" t="s">
        <v>253</v>
      </c>
      <c r="EJ588" s="5">
        <f t="shared" si="1908"/>
        <v>0</v>
      </c>
      <c r="EK588" s="5" t="s">
        <v>253</v>
      </c>
      <c r="EL588" s="5">
        <f t="shared" si="1909"/>
        <v>0</v>
      </c>
      <c r="EM588" s="5" t="s">
        <v>253</v>
      </c>
      <c r="EN588" s="5">
        <f t="shared" si="1910"/>
        <v>0</v>
      </c>
      <c r="EO588" s="5">
        <f t="shared" si="1911"/>
        <v>0</v>
      </c>
      <c r="EP588" s="5" t="str">
        <f t="shared" si="1912"/>
        <v>Nivel de riesgo bajo</v>
      </c>
      <c r="EQ588" s="5" t="s">
        <v>253</v>
      </c>
      <c r="ER588" s="5">
        <f t="shared" si="1913"/>
        <v>4</v>
      </c>
      <c r="ES588" s="5" t="s">
        <v>253</v>
      </c>
      <c r="ET588" s="5">
        <f t="shared" si="1914"/>
        <v>4</v>
      </c>
      <c r="EU588" s="5" t="s">
        <v>253</v>
      </c>
      <c r="EV588" s="5">
        <f t="shared" si="1915"/>
        <v>4</v>
      </c>
      <c r="EW588" s="5" t="s">
        <v>253</v>
      </c>
      <c r="EX588" s="5">
        <f t="shared" si="1916"/>
        <v>4</v>
      </c>
      <c r="EY588" s="5">
        <f t="shared" si="1917"/>
        <v>16</v>
      </c>
      <c r="EZ588" s="5" t="str">
        <f t="shared" si="1918"/>
        <v>Nivel de riesgo alto</v>
      </c>
      <c r="FA588" s="5" t="s">
        <v>253</v>
      </c>
      <c r="FB588" s="5">
        <f t="shared" si="1919"/>
        <v>0</v>
      </c>
      <c r="FC588" s="5" t="s">
        <v>253</v>
      </c>
      <c r="FD588" s="5">
        <f t="shared" si="1920"/>
        <v>0</v>
      </c>
      <c r="FE588" s="5" t="s">
        <v>253</v>
      </c>
      <c r="FF588" s="5">
        <f t="shared" si="1921"/>
        <v>0</v>
      </c>
      <c r="FG588" s="5">
        <f t="shared" si="1922"/>
        <v>0</v>
      </c>
      <c r="FH588" s="5" t="str">
        <f t="shared" si="1923"/>
        <v>Nivel de riesgo bajo</v>
      </c>
      <c r="FI588" s="5" t="s">
        <v>253</v>
      </c>
      <c r="FJ588" s="5">
        <f t="shared" si="1924"/>
        <v>0</v>
      </c>
      <c r="FK588" s="5" t="s">
        <v>253</v>
      </c>
      <c r="FL588" s="5">
        <f t="shared" si="1925"/>
        <v>0</v>
      </c>
      <c r="FM588" s="5" t="s">
        <v>253</v>
      </c>
      <c r="FN588" s="5">
        <f t="shared" si="1926"/>
        <v>0</v>
      </c>
      <c r="FO588" s="5">
        <f t="shared" si="1927"/>
        <v>0</v>
      </c>
      <c r="FP588" s="5" t="str">
        <f t="shared" si="1928"/>
        <v>Nivel de riesgo bajo</v>
      </c>
      <c r="FQ588" s="5" t="s">
        <v>206</v>
      </c>
      <c r="FR588" s="5">
        <f t="shared" si="1929"/>
        <v>0</v>
      </c>
      <c r="FS588" s="5" t="s">
        <v>206</v>
      </c>
      <c r="FT588" s="5">
        <f t="shared" si="1930"/>
        <v>0</v>
      </c>
      <c r="FU588" s="5" t="s">
        <v>206</v>
      </c>
      <c r="FV588" s="5">
        <f t="shared" si="1931"/>
        <v>0</v>
      </c>
      <c r="FW588" s="5" t="s">
        <v>206</v>
      </c>
      <c r="FX588" s="5">
        <f t="shared" si="1932"/>
        <v>0</v>
      </c>
      <c r="FY588" s="5" t="s">
        <v>206</v>
      </c>
      <c r="FZ588" s="5">
        <f t="shared" si="1933"/>
        <v>0</v>
      </c>
      <c r="GA588" s="5" t="s">
        <v>206</v>
      </c>
      <c r="GB588" s="5">
        <f t="shared" si="1934"/>
        <v>0</v>
      </c>
      <c r="GC588" s="5" t="s">
        <v>206</v>
      </c>
      <c r="GD588" s="5">
        <f t="shared" si="1935"/>
        <v>0</v>
      </c>
      <c r="GE588" s="5">
        <f t="shared" si="1936"/>
        <v>0</v>
      </c>
      <c r="GF588" s="5" t="str">
        <f t="shared" si="1937"/>
        <v>Nivel de riesgo bajo</v>
      </c>
      <c r="GG588" s="5" t="s">
        <v>255</v>
      </c>
      <c r="GH588" s="5" t="s">
        <v>266</v>
      </c>
      <c r="GI588" s="5" t="s">
        <v>255</v>
      </c>
      <c r="GJ588" s="5" t="s">
        <v>233</v>
      </c>
      <c r="GK588" s="5" t="s">
        <v>233</v>
      </c>
      <c r="GL588" s="5" t="s">
        <v>233</v>
      </c>
      <c r="GM588" s="5" t="s">
        <v>266</v>
      </c>
      <c r="GN588" s="5" t="s">
        <v>257</v>
      </c>
      <c r="GO588" s="5" t="s">
        <v>257</v>
      </c>
      <c r="GP588" s="5" t="s">
        <v>257</v>
      </c>
      <c r="GQ588" s="5" t="s">
        <v>257</v>
      </c>
      <c r="GR588" s="5" t="s">
        <v>257</v>
      </c>
      <c r="GS588" s="5" t="s">
        <v>257</v>
      </c>
      <c r="GT588" s="5" t="s">
        <v>257</v>
      </c>
      <c r="GU588" s="5" t="s">
        <v>956</v>
      </c>
      <c r="GV588" s="5" t="str">
        <f>TEXT("6295392226715259280","0")</f>
        <v>6295392226715250000</v>
      </c>
    </row>
    <row r="589" spans="1:204" ht="15.75" customHeight="1" x14ac:dyDescent="0.15">
      <c r="A589" s="1">
        <f t="shared" si="1887"/>
        <v>589</v>
      </c>
      <c r="B589" s="4">
        <v>45866.691944444443</v>
      </c>
      <c r="C589" s="5" t="s">
        <v>204</v>
      </c>
      <c r="D589" s="5" t="s">
        <v>206</v>
      </c>
      <c r="F589" s="5" t="s">
        <v>206</v>
      </c>
      <c r="G589" s="5" t="s">
        <v>206</v>
      </c>
      <c r="H589" s="5" t="s">
        <v>206</v>
      </c>
      <c r="K589" s="5" t="s">
        <v>237</v>
      </c>
      <c r="N589" s="5" t="s">
        <v>208</v>
      </c>
      <c r="S589" s="5" t="s">
        <v>208</v>
      </c>
      <c r="X589" s="5" t="s">
        <v>208</v>
      </c>
      <c r="AG589" s="5" t="s">
        <v>207</v>
      </c>
      <c r="AH589" s="5" t="s">
        <v>275</v>
      </c>
      <c r="AI589" s="5">
        <v>2022</v>
      </c>
      <c r="AJ589" s="5" t="s">
        <v>238</v>
      </c>
      <c r="AK589" s="5" t="str">
        <f t="shared" si="1888"/>
        <v>Trabajadora por cuenta propia</v>
      </c>
      <c r="AN589" s="5" t="s">
        <v>288</v>
      </c>
      <c r="AP589" s="5" t="s">
        <v>240</v>
      </c>
      <c r="AR589" s="5" t="s">
        <v>276</v>
      </c>
      <c r="AS589" s="5" t="s">
        <v>294</v>
      </c>
      <c r="AT589" s="5" t="s">
        <v>261</v>
      </c>
      <c r="AU589" s="5" t="s">
        <v>261</v>
      </c>
      <c r="AV589" s="5" t="s">
        <v>213</v>
      </c>
      <c r="AW589" s="5" t="s">
        <v>206</v>
      </c>
      <c r="BF589" s="5" t="s">
        <v>204</v>
      </c>
      <c r="BG589" s="5" t="s">
        <v>215</v>
      </c>
      <c r="BH589" s="5" t="s">
        <v>242</v>
      </c>
      <c r="BI589" s="5" t="s">
        <v>215</v>
      </c>
      <c r="BJ589" s="5" t="s">
        <v>242</v>
      </c>
      <c r="BK589" s="5" t="s">
        <v>246</v>
      </c>
      <c r="BL589" s="5" t="s">
        <v>246</v>
      </c>
      <c r="BM589" s="5" t="s">
        <v>246</v>
      </c>
      <c r="BN589" s="5" t="s">
        <v>246</v>
      </c>
      <c r="BO589" s="5" t="s">
        <v>246</v>
      </c>
      <c r="BP589" s="5" t="s">
        <v>246</v>
      </c>
      <c r="BQ589" s="5" t="s">
        <v>246</v>
      </c>
      <c r="BR589" s="5" t="s">
        <v>246</v>
      </c>
      <c r="BS589" s="5" t="s">
        <v>248</v>
      </c>
      <c r="BT589" s="5" t="s">
        <v>247</v>
      </c>
      <c r="BU589" s="5" t="s">
        <v>247</v>
      </c>
      <c r="BV589" s="5" t="s">
        <v>247</v>
      </c>
      <c r="BW589" s="5" t="s">
        <v>247</v>
      </c>
      <c r="BX589" s="5" t="s">
        <v>247</v>
      </c>
      <c r="BY589" s="5" t="s">
        <v>247</v>
      </c>
      <c r="CD589" s="5" t="s">
        <v>204</v>
      </c>
      <c r="CE589" s="5" t="s">
        <v>218</v>
      </c>
      <c r="CF589" s="5" t="s">
        <v>219</v>
      </c>
      <c r="CG589" s="5" t="s">
        <v>206</v>
      </c>
      <c r="CH589" s="5" t="s">
        <v>221</v>
      </c>
      <c r="CI589" s="5" t="s">
        <v>291</v>
      </c>
      <c r="CJ589" s="5">
        <v>2</v>
      </c>
      <c r="CK589" s="5" t="s">
        <v>223</v>
      </c>
      <c r="CU589" s="5" t="s">
        <v>206</v>
      </c>
      <c r="DA589" s="5" t="s">
        <v>231</v>
      </c>
      <c r="DB589" s="5">
        <f t="shared" si="1889"/>
        <v>2</v>
      </c>
      <c r="DC589" s="5" t="s">
        <v>230</v>
      </c>
      <c r="DD589" s="5">
        <f t="shared" si="1890"/>
        <v>2</v>
      </c>
      <c r="DE589" s="5" t="s">
        <v>230</v>
      </c>
      <c r="DF589" s="5">
        <f t="shared" si="1891"/>
        <v>2</v>
      </c>
      <c r="DG589" s="5" t="s">
        <v>230</v>
      </c>
      <c r="DH589" s="5">
        <f t="shared" si="1892"/>
        <v>2</v>
      </c>
      <c r="DI589" s="5" t="s">
        <v>230</v>
      </c>
      <c r="DJ589" s="5">
        <f t="shared" si="1893"/>
        <v>2</v>
      </c>
      <c r="DK589" s="5" t="s">
        <v>230</v>
      </c>
      <c r="DL589" s="5">
        <f t="shared" si="1894"/>
        <v>2</v>
      </c>
      <c r="DM589" s="5" t="s">
        <v>230</v>
      </c>
      <c r="DN589" s="5">
        <f t="shared" si="1895"/>
        <v>2</v>
      </c>
      <c r="DO589" s="5" t="s">
        <v>231</v>
      </c>
      <c r="DP589" s="5">
        <f t="shared" si="1896"/>
        <v>2</v>
      </c>
      <c r="DQ589" s="5" t="s">
        <v>231</v>
      </c>
      <c r="DR589" s="5">
        <f t="shared" si="1897"/>
        <v>2</v>
      </c>
      <c r="DS589" s="5" t="s">
        <v>231</v>
      </c>
      <c r="DT589" s="5">
        <f t="shared" si="1898"/>
        <v>2</v>
      </c>
      <c r="DU589" s="5" t="s">
        <v>231</v>
      </c>
      <c r="DV589" s="5">
        <f t="shared" si="1899"/>
        <v>2</v>
      </c>
      <c r="DW589" s="5" t="s">
        <v>231</v>
      </c>
      <c r="DX589" s="5">
        <f t="shared" si="1900"/>
        <v>2</v>
      </c>
      <c r="DY589" s="5">
        <f t="shared" si="1901"/>
        <v>24</v>
      </c>
      <c r="DZ589" s="5" t="str">
        <f t="shared" si="1902"/>
        <v>Nivel de riesgo alto</v>
      </c>
      <c r="EA589" s="5" t="s">
        <v>232</v>
      </c>
      <c r="EB589" s="5">
        <f t="shared" si="1903"/>
        <v>3</v>
      </c>
      <c r="EC589" s="5" t="s">
        <v>232</v>
      </c>
      <c r="ED589" s="5">
        <f t="shared" si="1904"/>
        <v>3</v>
      </c>
      <c r="EE589" s="5" t="s">
        <v>232</v>
      </c>
      <c r="EF589" s="5">
        <f t="shared" si="1905"/>
        <v>3</v>
      </c>
      <c r="EG589" s="5">
        <f t="shared" si="1906"/>
        <v>9</v>
      </c>
      <c r="EH589" s="5" t="str">
        <f t="shared" si="1907"/>
        <v>Nivel de riesgo alto</v>
      </c>
      <c r="EI589" s="5" t="s">
        <v>232</v>
      </c>
      <c r="EJ589" s="5">
        <f t="shared" si="1908"/>
        <v>3</v>
      </c>
      <c r="EK589" s="5" t="s">
        <v>232</v>
      </c>
      <c r="EL589" s="5">
        <f t="shared" si="1909"/>
        <v>3</v>
      </c>
      <c r="EM589" s="5" t="s">
        <v>232</v>
      </c>
      <c r="EN589" s="5">
        <f t="shared" si="1910"/>
        <v>3</v>
      </c>
      <c r="EO589" s="5">
        <f t="shared" si="1911"/>
        <v>9</v>
      </c>
      <c r="EP589" s="5" t="str">
        <f t="shared" si="1912"/>
        <v>Nivel de riesgo alto</v>
      </c>
      <c r="EQ589" s="5" t="s">
        <v>232</v>
      </c>
      <c r="ER589" s="5">
        <f t="shared" si="1913"/>
        <v>1</v>
      </c>
      <c r="ES589" s="5" t="s">
        <v>232</v>
      </c>
      <c r="ET589" s="5">
        <f t="shared" si="1914"/>
        <v>1</v>
      </c>
      <c r="EU589" s="5" t="s">
        <v>232</v>
      </c>
      <c r="EV589" s="5">
        <f t="shared" si="1915"/>
        <v>1</v>
      </c>
      <c r="EW589" s="5" t="s">
        <v>232</v>
      </c>
      <c r="EX589" s="5">
        <f t="shared" si="1916"/>
        <v>1</v>
      </c>
      <c r="EY589" s="5">
        <f t="shared" si="1917"/>
        <v>4</v>
      </c>
      <c r="EZ589" s="5" t="str">
        <f t="shared" si="1918"/>
        <v>Nivel de riesgo medio</v>
      </c>
      <c r="FA589" s="5" t="s">
        <v>232</v>
      </c>
      <c r="FB589" s="5">
        <f t="shared" si="1919"/>
        <v>3</v>
      </c>
      <c r="FC589" s="5" t="s">
        <v>232</v>
      </c>
      <c r="FD589" s="5">
        <f t="shared" si="1920"/>
        <v>3</v>
      </c>
      <c r="FE589" s="5" t="s">
        <v>232</v>
      </c>
      <c r="FF589" s="5">
        <f t="shared" si="1921"/>
        <v>3</v>
      </c>
      <c r="FG589" s="5">
        <f t="shared" si="1922"/>
        <v>9</v>
      </c>
      <c r="FH589" s="5" t="str">
        <f t="shared" si="1923"/>
        <v>Nivel de riesgo alto</v>
      </c>
      <c r="FI589" s="5" t="s">
        <v>232</v>
      </c>
      <c r="FJ589" s="5">
        <f t="shared" si="1924"/>
        <v>3</v>
      </c>
      <c r="FK589" s="5" t="s">
        <v>232</v>
      </c>
      <c r="FL589" s="5">
        <f t="shared" si="1925"/>
        <v>3</v>
      </c>
      <c r="FM589" s="5" t="s">
        <v>232</v>
      </c>
      <c r="FN589" s="5">
        <f t="shared" si="1926"/>
        <v>3</v>
      </c>
      <c r="FO589" s="5">
        <f t="shared" si="1927"/>
        <v>9</v>
      </c>
      <c r="FP589" s="5" t="str">
        <f t="shared" si="1928"/>
        <v>Nivel de riesgo alto</v>
      </c>
      <c r="FQ589" s="5" t="s">
        <v>206</v>
      </c>
      <c r="FR589" s="5">
        <f t="shared" si="1929"/>
        <v>0</v>
      </c>
      <c r="FS589" s="5" t="s">
        <v>206</v>
      </c>
      <c r="FT589" s="5">
        <f t="shared" si="1930"/>
        <v>0</v>
      </c>
      <c r="FU589" s="5" t="s">
        <v>206</v>
      </c>
      <c r="FV589" s="5">
        <f t="shared" si="1931"/>
        <v>0</v>
      </c>
      <c r="FW589" s="5" t="s">
        <v>206</v>
      </c>
      <c r="FX589" s="5">
        <f t="shared" si="1932"/>
        <v>0</v>
      </c>
      <c r="FY589" s="5" t="s">
        <v>206</v>
      </c>
      <c r="FZ589" s="5">
        <f t="shared" si="1933"/>
        <v>0</v>
      </c>
      <c r="GA589" s="5" t="s">
        <v>206</v>
      </c>
      <c r="GB589" s="5">
        <f t="shared" si="1934"/>
        <v>0</v>
      </c>
      <c r="GC589" s="5" t="s">
        <v>206</v>
      </c>
      <c r="GD589" s="5">
        <f t="shared" si="1935"/>
        <v>0</v>
      </c>
      <c r="GE589" s="5">
        <f t="shared" si="1936"/>
        <v>0</v>
      </c>
      <c r="GF589" s="5" t="str">
        <f t="shared" si="1937"/>
        <v>Nivel de riesgo bajo</v>
      </c>
      <c r="GG589" s="5" t="s">
        <v>255</v>
      </c>
      <c r="GH589" s="5" t="s">
        <v>255</v>
      </c>
      <c r="GI589" s="5" t="s">
        <v>255</v>
      </c>
      <c r="GJ589" s="5" t="s">
        <v>273</v>
      </c>
      <c r="GK589" s="5" t="s">
        <v>233</v>
      </c>
      <c r="GL589" s="5" t="s">
        <v>266</v>
      </c>
      <c r="GM589" s="5" t="s">
        <v>233</v>
      </c>
      <c r="GN589" s="5" t="s">
        <v>256</v>
      </c>
      <c r="GO589" s="5" t="s">
        <v>257</v>
      </c>
      <c r="GP589" s="5" t="s">
        <v>257</v>
      </c>
      <c r="GQ589" s="5" t="s">
        <v>257</v>
      </c>
      <c r="GR589" s="5" t="s">
        <v>257</v>
      </c>
      <c r="GS589" s="5" t="s">
        <v>257</v>
      </c>
      <c r="GT589" s="5" t="s">
        <v>257</v>
      </c>
      <c r="GU589" s="5" t="s">
        <v>920</v>
      </c>
      <c r="GV589" s="5" t="str">
        <f>TEXT("6295441846514095706","0")</f>
        <v>6295441846514090000</v>
      </c>
    </row>
    <row r="590" spans="1:204" ht="15.75" customHeight="1" x14ac:dyDescent="0.15">
      <c r="A590" s="1">
        <f t="shared" si="1887"/>
        <v>590</v>
      </c>
      <c r="B590" s="4">
        <v>45866.749756944446</v>
      </c>
      <c r="C590" s="5" t="s">
        <v>204</v>
      </c>
      <c r="D590" s="5" t="s">
        <v>206</v>
      </c>
      <c r="F590" s="5" t="s">
        <v>204</v>
      </c>
      <c r="G590" s="5" t="s">
        <v>204</v>
      </c>
      <c r="H590" s="5" t="s">
        <v>204</v>
      </c>
      <c r="I590" s="5" t="s">
        <v>208</v>
      </c>
      <c r="O590" s="5" t="s">
        <v>209</v>
      </c>
      <c r="S590" s="5" t="s">
        <v>208</v>
      </c>
      <c r="AB590" s="5" t="s">
        <v>207</v>
      </c>
      <c r="AF590" s="5" t="s">
        <v>236</v>
      </c>
      <c r="AH590" s="5" t="s">
        <v>957</v>
      </c>
      <c r="AI590" s="5">
        <v>2021</v>
      </c>
      <c r="AJ590" s="5" t="s">
        <v>238</v>
      </c>
      <c r="AK590" s="5" t="str">
        <f t="shared" si="1888"/>
        <v>Trabajadora por cuenta propia</v>
      </c>
      <c r="AM590" s="5" t="s">
        <v>309</v>
      </c>
      <c r="AP590" s="5" t="s">
        <v>240</v>
      </c>
      <c r="AR590" s="5" t="s">
        <v>261</v>
      </c>
      <c r="AS590" s="5" t="s">
        <v>276</v>
      </c>
      <c r="AT590" s="5" t="s">
        <v>261</v>
      </c>
      <c r="AU590" s="5" t="s">
        <v>276</v>
      </c>
      <c r="AV590" s="5" t="s">
        <v>285</v>
      </c>
      <c r="AW590" s="5" t="s">
        <v>204</v>
      </c>
      <c r="AX590" s="5" t="s">
        <v>204</v>
      </c>
      <c r="AY590" s="5" t="s">
        <v>406</v>
      </c>
      <c r="AZ590" s="5" t="s">
        <v>204</v>
      </c>
      <c r="BA590" s="5" t="s">
        <v>263</v>
      </c>
      <c r="BF590" s="5" t="s">
        <v>204</v>
      </c>
      <c r="BG590" s="5" t="s">
        <v>278</v>
      </c>
      <c r="BH590" s="5" t="s">
        <v>271</v>
      </c>
      <c r="BI590" s="5" t="s">
        <v>271</v>
      </c>
      <c r="BJ590" s="5" t="s">
        <v>271</v>
      </c>
      <c r="BK590" s="5" t="s">
        <v>244</v>
      </c>
      <c r="BL590" s="5" t="s">
        <v>243</v>
      </c>
      <c r="BM590" s="5" t="s">
        <v>245</v>
      </c>
      <c r="BN590" s="5" t="s">
        <v>245</v>
      </c>
      <c r="BO590" s="5" t="s">
        <v>245</v>
      </c>
      <c r="BP590" s="5" t="s">
        <v>216</v>
      </c>
      <c r="BQ590" s="5" t="s">
        <v>245</v>
      </c>
      <c r="BR590" s="5" t="s">
        <v>216</v>
      </c>
      <c r="BS590" s="5" t="s">
        <v>217</v>
      </c>
      <c r="BT590" s="5" t="s">
        <v>247</v>
      </c>
      <c r="BU590" s="5" t="s">
        <v>248</v>
      </c>
      <c r="BV590" s="5" t="s">
        <v>217</v>
      </c>
      <c r="BW590" s="5" t="s">
        <v>247</v>
      </c>
      <c r="BX590" s="5" t="s">
        <v>247</v>
      </c>
      <c r="BY590" s="5" t="s">
        <v>217</v>
      </c>
      <c r="BZ590" s="5" t="s">
        <v>246</v>
      </c>
      <c r="CA590" s="5" t="s">
        <v>246</v>
      </c>
      <c r="CB590" s="5" t="s">
        <v>216</v>
      </c>
      <c r="CC590" s="5" t="s">
        <v>246</v>
      </c>
      <c r="CD590" s="5" t="s">
        <v>206</v>
      </c>
      <c r="CH590" s="5" t="s">
        <v>206</v>
      </c>
      <c r="CI590" s="5" t="s">
        <v>249</v>
      </c>
      <c r="CJ590" s="5">
        <v>5</v>
      </c>
      <c r="CK590" s="5" t="s">
        <v>223</v>
      </c>
      <c r="CU590" s="5" t="s">
        <v>206</v>
      </c>
      <c r="DA590" s="5" t="s">
        <v>231</v>
      </c>
      <c r="DB590" s="5">
        <f t="shared" si="1889"/>
        <v>2</v>
      </c>
      <c r="DC590" s="5" t="s">
        <v>250</v>
      </c>
      <c r="DD590" s="5">
        <f t="shared" si="1890"/>
        <v>3</v>
      </c>
      <c r="DE590" s="5" t="s">
        <v>250</v>
      </c>
      <c r="DF590" s="5">
        <f t="shared" si="1891"/>
        <v>3</v>
      </c>
      <c r="DG590" s="5" t="s">
        <v>250</v>
      </c>
      <c r="DH590" s="5">
        <f t="shared" si="1892"/>
        <v>3</v>
      </c>
      <c r="DI590" s="5" t="s">
        <v>230</v>
      </c>
      <c r="DJ590" s="5">
        <f t="shared" si="1893"/>
        <v>2</v>
      </c>
      <c r="DK590" s="5" t="s">
        <v>280</v>
      </c>
      <c r="DL590" s="5">
        <f t="shared" si="1894"/>
        <v>4</v>
      </c>
      <c r="DM590" s="5" t="s">
        <v>230</v>
      </c>
      <c r="DN590" s="5">
        <f t="shared" si="1895"/>
        <v>2</v>
      </c>
      <c r="DO590" s="5" t="s">
        <v>231</v>
      </c>
      <c r="DP590" s="5">
        <f t="shared" si="1896"/>
        <v>2</v>
      </c>
      <c r="DQ590" s="5" t="s">
        <v>281</v>
      </c>
      <c r="DR590" s="5">
        <f t="shared" si="1897"/>
        <v>1</v>
      </c>
      <c r="DS590" s="5" t="s">
        <v>231</v>
      </c>
      <c r="DT590" s="5">
        <f t="shared" si="1898"/>
        <v>2</v>
      </c>
      <c r="DU590" s="5" t="s">
        <v>281</v>
      </c>
      <c r="DV590" s="5">
        <f t="shared" si="1899"/>
        <v>1</v>
      </c>
      <c r="DW590" s="5" t="s">
        <v>281</v>
      </c>
      <c r="DX590" s="5">
        <f t="shared" si="1900"/>
        <v>1</v>
      </c>
      <c r="DY590" s="5">
        <f t="shared" si="1901"/>
        <v>26</v>
      </c>
      <c r="DZ590" s="5" t="str">
        <f t="shared" si="1902"/>
        <v>Nivel de riesgo alto</v>
      </c>
      <c r="EA590" s="5" t="s">
        <v>247</v>
      </c>
      <c r="EB590" s="5">
        <f t="shared" si="1903"/>
        <v>2</v>
      </c>
      <c r="EC590" s="5" t="s">
        <v>232</v>
      </c>
      <c r="ED590" s="5">
        <f t="shared" si="1904"/>
        <v>3</v>
      </c>
      <c r="EE590" s="5" t="s">
        <v>254</v>
      </c>
      <c r="EF590" s="5">
        <f t="shared" si="1905"/>
        <v>4</v>
      </c>
      <c r="EG590" s="5">
        <f t="shared" si="1906"/>
        <v>9</v>
      </c>
      <c r="EH590" s="5" t="str">
        <f t="shared" si="1907"/>
        <v>Nivel de riesgo alto</v>
      </c>
      <c r="EI590" s="5" t="s">
        <v>248</v>
      </c>
      <c r="EJ590" s="5">
        <f t="shared" si="1908"/>
        <v>1</v>
      </c>
      <c r="EK590" s="5" t="s">
        <v>232</v>
      </c>
      <c r="EL590" s="5">
        <f t="shared" si="1909"/>
        <v>3</v>
      </c>
      <c r="EM590" s="5" t="s">
        <v>254</v>
      </c>
      <c r="EN590" s="5">
        <f t="shared" si="1910"/>
        <v>4</v>
      </c>
      <c r="EO590" s="5">
        <f t="shared" si="1911"/>
        <v>8</v>
      </c>
      <c r="EP590" s="5" t="str">
        <f t="shared" si="1912"/>
        <v>Nivel de riesgo alto</v>
      </c>
      <c r="EQ590" s="5" t="s">
        <v>248</v>
      </c>
      <c r="ER590" s="5">
        <f t="shared" si="1913"/>
        <v>3</v>
      </c>
      <c r="ES590" s="5" t="s">
        <v>248</v>
      </c>
      <c r="ET590" s="5">
        <f t="shared" si="1914"/>
        <v>3</v>
      </c>
      <c r="EU590" s="5" t="s">
        <v>247</v>
      </c>
      <c r="EV590" s="5">
        <f t="shared" si="1915"/>
        <v>2</v>
      </c>
      <c r="EW590" s="5" t="s">
        <v>253</v>
      </c>
      <c r="EX590" s="5">
        <f t="shared" si="1916"/>
        <v>4</v>
      </c>
      <c r="EY590" s="5">
        <f t="shared" si="1917"/>
        <v>12</v>
      </c>
      <c r="EZ590" s="5" t="str">
        <f t="shared" si="1918"/>
        <v>Nivel de riesgo alto</v>
      </c>
      <c r="FA590" s="5" t="s">
        <v>254</v>
      </c>
      <c r="FB590" s="5">
        <f t="shared" si="1919"/>
        <v>4</v>
      </c>
      <c r="FC590" s="5" t="s">
        <v>254</v>
      </c>
      <c r="FD590" s="5">
        <f t="shared" si="1920"/>
        <v>4</v>
      </c>
      <c r="FE590" s="5" t="s">
        <v>254</v>
      </c>
      <c r="FF590" s="5">
        <f t="shared" si="1921"/>
        <v>4</v>
      </c>
      <c r="FG590" s="5">
        <f t="shared" si="1922"/>
        <v>12</v>
      </c>
      <c r="FH590" s="5" t="str">
        <f t="shared" si="1923"/>
        <v>Nivel de riesgo alto</v>
      </c>
      <c r="FI590" s="5" t="s">
        <v>254</v>
      </c>
      <c r="FJ590" s="5">
        <f t="shared" si="1924"/>
        <v>4</v>
      </c>
      <c r="FK590" s="5" t="s">
        <v>254</v>
      </c>
      <c r="FL590" s="5">
        <f t="shared" si="1925"/>
        <v>4</v>
      </c>
      <c r="FM590" s="5" t="s">
        <v>248</v>
      </c>
      <c r="FN590" s="5">
        <f t="shared" si="1926"/>
        <v>1</v>
      </c>
      <c r="FO590" s="5">
        <f t="shared" si="1927"/>
        <v>9</v>
      </c>
      <c r="FP590" s="5" t="str">
        <f t="shared" si="1928"/>
        <v>Nivel de riesgo alto</v>
      </c>
      <c r="FQ590" s="5" t="s">
        <v>265</v>
      </c>
      <c r="FR590" s="5">
        <f t="shared" si="1929"/>
        <v>1</v>
      </c>
      <c r="FS590" s="5" t="s">
        <v>265</v>
      </c>
      <c r="FT590" s="5">
        <f t="shared" si="1930"/>
        <v>1</v>
      </c>
      <c r="FU590" s="5" t="s">
        <v>206</v>
      </c>
      <c r="FV590" s="5">
        <f t="shared" si="1931"/>
        <v>0</v>
      </c>
      <c r="FW590" s="5" t="s">
        <v>206</v>
      </c>
      <c r="FX590" s="5">
        <f t="shared" si="1932"/>
        <v>0</v>
      </c>
      <c r="FY590" s="5" t="s">
        <v>206</v>
      </c>
      <c r="FZ590" s="5">
        <f t="shared" si="1933"/>
        <v>0</v>
      </c>
      <c r="GA590" s="5" t="s">
        <v>206</v>
      </c>
      <c r="GB590" s="5">
        <f t="shared" si="1934"/>
        <v>0</v>
      </c>
      <c r="GC590" s="5" t="s">
        <v>206</v>
      </c>
      <c r="GD590" s="5">
        <f t="shared" si="1935"/>
        <v>0</v>
      </c>
      <c r="GE590" s="5">
        <f t="shared" si="1936"/>
        <v>2</v>
      </c>
      <c r="GF590" s="5" t="str">
        <f t="shared" si="1937"/>
        <v>Nivel de riesgo medio</v>
      </c>
      <c r="GG590" s="5" t="s">
        <v>266</v>
      </c>
      <c r="GH590" s="5" t="s">
        <v>298</v>
      </c>
      <c r="GI590" s="5" t="s">
        <v>273</v>
      </c>
      <c r="GJ590" s="5" t="s">
        <v>233</v>
      </c>
      <c r="GK590" s="5" t="s">
        <v>233</v>
      </c>
      <c r="GL590" s="5" t="s">
        <v>233</v>
      </c>
      <c r="GM590" s="5" t="s">
        <v>233</v>
      </c>
      <c r="GN590" s="5" t="s">
        <v>257</v>
      </c>
      <c r="GO590" s="5" t="s">
        <v>257</v>
      </c>
      <c r="GP590" s="5" t="s">
        <v>243</v>
      </c>
      <c r="GQ590" s="5" t="s">
        <v>234</v>
      </c>
      <c r="GR590" s="5" t="s">
        <v>234</v>
      </c>
      <c r="GS590" s="5" t="s">
        <v>234</v>
      </c>
      <c r="GT590" s="5" t="s">
        <v>234</v>
      </c>
      <c r="GU590" s="5" t="s">
        <v>958</v>
      </c>
      <c r="GV590" s="5" t="str">
        <f>TEXT("6295491795126601036","0")</f>
        <v>6295491795126600000</v>
      </c>
    </row>
    <row r="591" spans="1:204" ht="15.75" hidden="1" customHeight="1" x14ac:dyDescent="0.15">
      <c r="B591" s="4">
        <v>45866.811018518521</v>
      </c>
      <c r="C591" s="5" t="s">
        <v>204</v>
      </c>
      <c r="D591" s="5" t="s">
        <v>206</v>
      </c>
      <c r="F591" s="5" t="s">
        <v>206</v>
      </c>
      <c r="G591" s="5" t="s">
        <v>206</v>
      </c>
      <c r="H591" s="5" t="s">
        <v>206</v>
      </c>
      <c r="K591" s="5" t="s">
        <v>237</v>
      </c>
      <c r="P591" s="5" t="s">
        <v>237</v>
      </c>
      <c r="S591" s="5" t="s">
        <v>208</v>
      </c>
      <c r="X591" s="5" t="s">
        <v>208</v>
      </c>
      <c r="AC591" s="5" t="s">
        <v>208</v>
      </c>
      <c r="AH591" s="5" t="s">
        <v>268</v>
      </c>
      <c r="AI591" s="5">
        <v>2024</v>
      </c>
      <c r="AJ591" s="5" t="s">
        <v>260</v>
      </c>
      <c r="AK591" s="5"/>
      <c r="AR591" s="5" t="s">
        <v>241</v>
      </c>
      <c r="AS591" s="5" t="s">
        <v>261</v>
      </c>
      <c r="AT591" s="5" t="s">
        <v>301</v>
      </c>
      <c r="AU591" s="5" t="s">
        <v>301</v>
      </c>
      <c r="AV591" s="5" t="s">
        <v>277</v>
      </c>
      <c r="AW591" s="5" t="s">
        <v>206</v>
      </c>
      <c r="BF591" s="5" t="s">
        <v>204</v>
      </c>
      <c r="BG591" s="5" t="s">
        <v>207</v>
      </c>
      <c r="BH591" s="5" t="s">
        <v>207</v>
      </c>
      <c r="BI591" s="5" t="s">
        <v>207</v>
      </c>
      <c r="BJ591" s="5" t="s">
        <v>264</v>
      </c>
      <c r="BK591" s="5" t="s">
        <v>246</v>
      </c>
      <c r="BL591" s="5" t="s">
        <v>246</v>
      </c>
      <c r="BM591" s="5" t="s">
        <v>244</v>
      </c>
      <c r="BN591" s="5" t="s">
        <v>244</v>
      </c>
      <c r="BO591" s="5" t="s">
        <v>244</v>
      </c>
      <c r="BP591" s="5" t="s">
        <v>246</v>
      </c>
      <c r="BQ591" s="5" t="s">
        <v>244</v>
      </c>
      <c r="BR591" s="5" t="s">
        <v>244</v>
      </c>
      <c r="BS591" s="5" t="s">
        <v>247</v>
      </c>
      <c r="BT591" s="5" t="s">
        <v>247</v>
      </c>
      <c r="BU591" s="5" t="s">
        <v>247</v>
      </c>
      <c r="BV591" s="5" t="s">
        <v>247</v>
      </c>
      <c r="BW591" s="5" t="s">
        <v>248</v>
      </c>
      <c r="BX591" s="5" t="s">
        <v>247</v>
      </c>
      <c r="BY591" s="5" t="s">
        <v>247</v>
      </c>
      <c r="CD591" s="5" t="s">
        <v>206</v>
      </c>
      <c r="CH591" s="5" t="s">
        <v>206</v>
      </c>
      <c r="CI591" s="5" t="s">
        <v>291</v>
      </c>
      <c r="CJ591" s="5">
        <v>1</v>
      </c>
      <c r="CK591" s="5" t="s">
        <v>223</v>
      </c>
      <c r="CU591" s="5" t="s">
        <v>206</v>
      </c>
      <c r="DA591" s="5" t="s">
        <v>231</v>
      </c>
      <c r="DB591" s="5"/>
      <c r="DC591" s="5" t="s">
        <v>230</v>
      </c>
      <c r="DD591" s="5"/>
      <c r="DE591" s="5" t="s">
        <v>250</v>
      </c>
      <c r="DF591" s="5"/>
      <c r="DG591" s="5" t="s">
        <v>230</v>
      </c>
      <c r="DH591" s="5"/>
      <c r="DI591" s="5" t="s">
        <v>250</v>
      </c>
      <c r="DJ591" s="5"/>
      <c r="DK591" s="5" t="s">
        <v>230</v>
      </c>
      <c r="DL591" s="5"/>
      <c r="DM591" s="5" t="s">
        <v>230</v>
      </c>
      <c r="DN591" s="5"/>
      <c r="DO591" s="5" t="s">
        <v>281</v>
      </c>
      <c r="DP591" s="5"/>
      <c r="DQ591" s="5" t="s">
        <v>252</v>
      </c>
      <c r="DR591" s="5"/>
      <c r="DS591" s="5" t="s">
        <v>252</v>
      </c>
      <c r="DT591" s="5"/>
      <c r="DU591" s="5" t="s">
        <v>231</v>
      </c>
      <c r="DV591" s="5"/>
      <c r="DW591" s="5" t="s">
        <v>231</v>
      </c>
      <c r="DX591" s="5"/>
      <c r="DY591" s="5"/>
      <c r="DZ591" s="5"/>
      <c r="EA591" s="5" t="s">
        <v>248</v>
      </c>
      <c r="EB591" s="5"/>
      <c r="EC591" s="5" t="s">
        <v>247</v>
      </c>
      <c r="ED591" s="5"/>
      <c r="EE591" s="5" t="s">
        <v>247</v>
      </c>
      <c r="EF591" s="5"/>
      <c r="EG591" s="5"/>
      <c r="EH591" s="5"/>
      <c r="EI591" s="5" t="s">
        <v>248</v>
      </c>
      <c r="EJ591" s="5"/>
      <c r="EK591" s="5" t="s">
        <v>248</v>
      </c>
      <c r="EL591" s="5"/>
      <c r="EM591" s="5" t="s">
        <v>248</v>
      </c>
      <c r="EN591" s="5"/>
      <c r="EO591" s="5"/>
      <c r="EP591" s="5"/>
      <c r="EQ591" s="5" t="s">
        <v>232</v>
      </c>
      <c r="ER591" s="5"/>
      <c r="ES591" s="5" t="s">
        <v>247</v>
      </c>
      <c r="ET591" s="5"/>
      <c r="EU591" s="5" t="s">
        <v>232</v>
      </c>
      <c r="EV591" s="5"/>
      <c r="EW591" s="5" t="s">
        <v>232</v>
      </c>
      <c r="EX591" s="5"/>
      <c r="EY591" s="5"/>
      <c r="EZ591" s="5"/>
      <c r="FA591" s="5" t="s">
        <v>232</v>
      </c>
      <c r="FB591" s="5"/>
      <c r="FC591" s="5" t="s">
        <v>247</v>
      </c>
      <c r="FD591" s="5"/>
      <c r="FE591" s="5" t="s">
        <v>247</v>
      </c>
      <c r="FF591" s="5"/>
      <c r="FG591" s="5"/>
      <c r="FH591" s="5"/>
      <c r="FI591" s="5" t="s">
        <v>247</v>
      </c>
      <c r="FJ591" s="5"/>
      <c r="FK591" s="5" t="s">
        <v>247</v>
      </c>
      <c r="FL591" s="5"/>
      <c r="FM591" s="5" t="s">
        <v>247</v>
      </c>
      <c r="FN591" s="5"/>
      <c r="FO591" s="5"/>
      <c r="FP591" s="5"/>
      <c r="FQ591" s="5" t="s">
        <v>206</v>
      </c>
      <c r="FR591" s="5"/>
      <c r="FS591" s="5" t="s">
        <v>206</v>
      </c>
      <c r="FT591" s="5"/>
      <c r="FU591" s="5" t="s">
        <v>206</v>
      </c>
      <c r="FV591" s="5"/>
      <c r="FW591" s="5" t="s">
        <v>206</v>
      </c>
      <c r="FX591" s="5"/>
      <c r="FY591" s="5" t="s">
        <v>206</v>
      </c>
      <c r="FZ591" s="5"/>
      <c r="GA591" s="5" t="s">
        <v>206</v>
      </c>
      <c r="GB591" s="5"/>
      <c r="GC591" s="5" t="s">
        <v>206</v>
      </c>
      <c r="GD591" s="5"/>
      <c r="GE591" s="5"/>
      <c r="GF591" s="5"/>
      <c r="GG591" s="5" t="s">
        <v>255</v>
      </c>
      <c r="GH591" s="5" t="s">
        <v>255</v>
      </c>
      <c r="GI591" s="5" t="s">
        <v>255</v>
      </c>
      <c r="GJ591" s="5" t="s">
        <v>255</v>
      </c>
      <c r="GK591" s="5" t="s">
        <v>233</v>
      </c>
      <c r="GL591" s="5" t="s">
        <v>233</v>
      </c>
      <c r="GM591" s="5" t="s">
        <v>233</v>
      </c>
      <c r="GN591" s="5" t="s">
        <v>256</v>
      </c>
      <c r="GO591" s="5" t="s">
        <v>257</v>
      </c>
      <c r="GP591" s="5" t="s">
        <v>257</v>
      </c>
      <c r="GQ591" s="5" t="s">
        <v>257</v>
      </c>
      <c r="GR591" s="5" t="s">
        <v>257</v>
      </c>
      <c r="GS591" s="5" t="s">
        <v>257</v>
      </c>
      <c r="GT591" s="5" t="s">
        <v>257</v>
      </c>
      <c r="GU591" s="5" t="s">
        <v>959</v>
      </c>
      <c r="GV591" s="5" t="str">
        <f>TEXT("6295544724586985714","0")</f>
        <v>6295544724586980000</v>
      </c>
    </row>
    <row r="592" spans="1:204" ht="15.75" customHeight="1" x14ac:dyDescent="0.15">
      <c r="A592" s="1">
        <f>ROW(A592)</f>
        <v>592</v>
      </c>
      <c r="B592" s="4">
        <v>45866.830405092594</v>
      </c>
      <c r="C592" s="5" t="s">
        <v>204</v>
      </c>
      <c r="D592" s="5" t="s">
        <v>206</v>
      </c>
      <c r="F592" s="5" t="s">
        <v>206</v>
      </c>
      <c r="G592" s="5" t="s">
        <v>206</v>
      </c>
      <c r="H592" s="5" t="s">
        <v>206</v>
      </c>
      <c r="K592" s="5" t="s">
        <v>237</v>
      </c>
      <c r="N592" s="5" t="s">
        <v>208</v>
      </c>
      <c r="T592" s="5" t="s">
        <v>209</v>
      </c>
      <c r="X592" s="5" t="s">
        <v>208</v>
      </c>
      <c r="AE592" s="5" t="s">
        <v>237</v>
      </c>
      <c r="AH592" s="5" t="s">
        <v>210</v>
      </c>
      <c r="AI592" s="5">
        <v>2015</v>
      </c>
      <c r="AJ592" s="5" t="s">
        <v>238</v>
      </c>
      <c r="AK592" s="5" t="str">
        <f>IF(OR(AJ592="Empleada del sector privado",AJ592="Empleada del sector público"),"Asalariada",
IF(AJ592="Trabajadora por cuenta propia","Trabajadora por cuenta propia",""))</f>
        <v>Trabajadora por cuenta propia</v>
      </c>
      <c r="AL592" s="5" t="s">
        <v>239</v>
      </c>
      <c r="AP592" s="5" t="s">
        <v>284</v>
      </c>
      <c r="AR592" s="5" t="s">
        <v>301</v>
      </c>
      <c r="AS592" s="5" t="s">
        <v>301</v>
      </c>
      <c r="AT592" s="5" t="s">
        <v>301</v>
      </c>
      <c r="AU592" s="5" t="s">
        <v>301</v>
      </c>
      <c r="AV592" s="5" t="s">
        <v>269</v>
      </c>
      <c r="AW592" s="5" t="s">
        <v>204</v>
      </c>
      <c r="AX592" s="5" t="s">
        <v>206</v>
      </c>
      <c r="BF592" s="5" t="s">
        <v>204</v>
      </c>
      <c r="BG592" s="5" t="s">
        <v>215</v>
      </c>
      <c r="BH592" s="5" t="s">
        <v>215</v>
      </c>
      <c r="BI592" s="5" t="s">
        <v>215</v>
      </c>
      <c r="BJ592" s="5" t="s">
        <v>215</v>
      </c>
      <c r="BK592" s="5" t="s">
        <v>216</v>
      </c>
      <c r="BL592" s="5" t="s">
        <v>216</v>
      </c>
      <c r="BM592" s="5" t="s">
        <v>216</v>
      </c>
      <c r="BN592" s="5" t="s">
        <v>216</v>
      </c>
      <c r="BO592" s="5" t="s">
        <v>216</v>
      </c>
      <c r="BP592" s="5" t="s">
        <v>216</v>
      </c>
      <c r="BQ592" s="5" t="s">
        <v>216</v>
      </c>
      <c r="BR592" s="5" t="s">
        <v>216</v>
      </c>
      <c r="BS592" s="5" t="s">
        <v>248</v>
      </c>
      <c r="BT592" s="5" t="s">
        <v>248</v>
      </c>
      <c r="BU592" s="5" t="s">
        <v>217</v>
      </c>
      <c r="BV592" s="5" t="s">
        <v>217</v>
      </c>
      <c r="BW592" s="5" t="s">
        <v>217</v>
      </c>
      <c r="BX592" s="5" t="s">
        <v>217</v>
      </c>
      <c r="BY592" s="5" t="s">
        <v>217</v>
      </c>
      <c r="BZ592" s="5" t="s">
        <v>216</v>
      </c>
      <c r="CA592" s="5" t="s">
        <v>216</v>
      </c>
      <c r="CB592" s="5" t="s">
        <v>216</v>
      </c>
      <c r="CC592" s="5" t="s">
        <v>216</v>
      </c>
      <c r="CD592" s="5" t="s">
        <v>206</v>
      </c>
      <c r="CH592" s="5" t="s">
        <v>331</v>
      </c>
      <c r="CI592" s="5" t="s">
        <v>291</v>
      </c>
      <c r="CJ592" s="5">
        <v>2</v>
      </c>
      <c r="CK592" s="5" t="s">
        <v>223</v>
      </c>
      <c r="CU592" s="5" t="s">
        <v>206</v>
      </c>
      <c r="DA592" s="5" t="s">
        <v>272</v>
      </c>
      <c r="DB592" s="5">
        <f>IF(DA592="Mejor que lo habitual",1,
IF(DA592="Igual que lo habitual",2,
IF(DA592="Menos que lo habitual",3,
IF(DA592="Mucho menos que lo habitual",4,""))))</f>
        <v>1</v>
      </c>
      <c r="DC592" s="5" t="s">
        <v>251</v>
      </c>
      <c r="DD592" s="5">
        <f>IF(DC592="No, en absoluto",1,
IF(DC592="No más que lo habitual",2,
IF(DC592="Bastante más que lo habitual",3,
IF(DC592="Mucho más que lo habitual",4,""))))</f>
        <v>1</v>
      </c>
      <c r="DE592" s="5" t="s">
        <v>251</v>
      </c>
      <c r="DF592" s="5">
        <f>IF(DE592="No, en absoluto",1,
IF(DE592="No más que lo habitual",2,
IF(DE592="Bastante más que lo habitual",3,
IF(DE592="Mucho más que lo habitual",4,""))))</f>
        <v>1</v>
      </c>
      <c r="DG592" s="5" t="s">
        <v>251</v>
      </c>
      <c r="DH592" s="5">
        <f>IF(DG592="No, en absoluto",1,
IF(DG592="No más que lo habitual",2,
IF(DG592="Bastante más que lo habitual",3,
IF(DG592="Mucho más que lo habitual",4,""))))</f>
        <v>1</v>
      </c>
      <c r="DI592" s="5" t="s">
        <v>251</v>
      </c>
      <c r="DJ592" s="5">
        <f>IF(DI592="No, en absoluto",1,
IF(DI592="No más que lo habitual",2,
IF(DI592="Bastante más que lo habitual",3,
IF(DI592="Mucho más que lo habitual",4,""))))</f>
        <v>1</v>
      </c>
      <c r="DK592" s="5" t="s">
        <v>251</v>
      </c>
      <c r="DL592" s="5">
        <f>IF(DK592="No, en absoluto",1,
IF(DK592="No más que lo habitual",2,
IF(DK592="Bastante más que lo habitual",3,
IF(DK592="Mucho más que lo habitual",4,""))))</f>
        <v>1</v>
      </c>
      <c r="DM592" s="5" t="s">
        <v>251</v>
      </c>
      <c r="DN592" s="5">
        <f>IF(DM592="No, en absoluto",1,
IF(DM592="No más que lo habitual",2,
IF(DM592="Bastante más que lo habitual",3,
IF(DM592="Mucho más que lo habitual",4,""))))</f>
        <v>1</v>
      </c>
      <c r="DO592" s="5" t="s">
        <v>281</v>
      </c>
      <c r="DP592" s="5">
        <f>IF(DO592="Más que lo habitual",1,
IF(DO592="Igual que lo habitual",2,
IF(DO592="Menos que lo habitual",3,
IF(DO592="Mucho menos que lo habitual",4,""))))</f>
        <v>1</v>
      </c>
      <c r="DQ592" s="5" t="s">
        <v>281</v>
      </c>
      <c r="DR592" s="5">
        <f>IF(DQ592="Más que lo habitual",1,
IF(DQ592="Igual que lo habitual",2,
IF(DQ592="Menos que lo habitual",3,
IF(DQ592="Mucho menos que lo habitual",4,""))))</f>
        <v>1</v>
      </c>
      <c r="DS592" s="5" t="s">
        <v>281</v>
      </c>
      <c r="DT592" s="5">
        <f>IF(DS592="Más que lo habitual",1,
IF(DS592="Igual que lo habitual",2,
IF(DS592="Menos que lo habitual",3,
IF(DS592="Mucho menos que lo habitual",4,""))))</f>
        <v>1</v>
      </c>
      <c r="DU592" s="5" t="s">
        <v>281</v>
      </c>
      <c r="DV592" s="5">
        <f>IF(DU592="Más que lo habitual",1,
IF(DU592="Igual que lo habitual",2,
IF(DU592="Menos que lo habitual",3,
IF(DU592="Mucho menos que lo habitual",4,""))))</f>
        <v>1</v>
      </c>
      <c r="DW592" s="5" t="s">
        <v>281</v>
      </c>
      <c r="DX592" s="5">
        <f>IF(DW592="Más que lo habitual",1,
IF(DW592="Igual que lo habitual",2,
IF(DW592="Menos que lo habitual",3,
IF(DW592="Mucho menos que lo habitual",4,""))))</f>
        <v>1</v>
      </c>
      <c r="DY592" s="5">
        <f>SUM(DB592,DD592,DF592,DH592,DJ592,DL592,DN592,DP592,DR592,DT592,DV592,DX592)</f>
        <v>12</v>
      </c>
      <c r="DZ592" s="5" t="str">
        <f>IF(DY592&lt;=18,"Nivel de riesgo bajo",
IF(DY592&lt;=23,"Nivel de riesgo medio",
"Nivel de riesgo alto"))</f>
        <v>Nivel de riesgo bajo</v>
      </c>
      <c r="EA592" s="5" t="s">
        <v>253</v>
      </c>
      <c r="EB592" s="5">
        <f>IF(EA592="Nunca/ casi nunca",0,
IF(EA592="Rara vez",1,
IF(EA592="A veces",2,
IF(EA592="A menudo",3,
IF(EA592="Siempre",4,"")))))</f>
        <v>0</v>
      </c>
      <c r="EC592" s="5" t="s">
        <v>253</v>
      </c>
      <c r="ED592" s="5">
        <f>IF(EC592="Nunca/ casi nunca",0,
IF(EC592="Rara vez",1,
IF(EC592="A veces",2,
IF(EC592="A menudo",3,
IF(EC592="Siempre",4,"")))))</f>
        <v>0</v>
      </c>
      <c r="EE592" s="5" t="s">
        <v>253</v>
      </c>
      <c r="EF592" s="5">
        <f>IF(EE592="Nunca/ casi nunca",0,
IF(EE592="Rara vez",1,
IF(EE592="A veces",2,
IF(EE592="A menudo",3,
IF(EE592="Siempre",4,"")))))</f>
        <v>0</v>
      </c>
      <c r="EG592" s="5">
        <f>SUM(EB592,ED592,EF592)</f>
        <v>0</v>
      </c>
      <c r="EH592" s="5" t="str">
        <f>IF(EG592&lt;=1,"Nivel de riesgo bajo",
IF(EG592&lt;=4,"Nivel de riesgo medio",
"Nivel de riesgo alto"))</f>
        <v>Nivel de riesgo bajo</v>
      </c>
      <c r="EI592" s="5" t="s">
        <v>253</v>
      </c>
      <c r="EJ592" s="5">
        <f>IF(EI592="Nunca/ casi nunca",0,
IF(EI592="Rara vez",1,
IF(EI592="A veces",2,
IF(EI592="A menudo",3,
IF(EI592="Siempre",4,"")))))</f>
        <v>0</v>
      </c>
      <c r="EK592" s="5" t="s">
        <v>253</v>
      </c>
      <c r="EL592" s="5">
        <f>IF(EK592="Nunca/ casi nunca",0,
IF(EK592="Rara vez",1,
IF(EK592="A veces",2,
IF(EK592="A menudo",3,
IF(EK592="Siempre",4,"")))))</f>
        <v>0</v>
      </c>
      <c r="EM592" s="5" t="s">
        <v>253</v>
      </c>
      <c r="EN592" s="5">
        <f>IF(EM592="Nunca/ casi nunca",0,
IF(EM592="Rara vez",1,
IF(EM592="A veces",2,
IF(EM592="A menudo",3,
IF(EM592="Siempre",4,"")))))</f>
        <v>0</v>
      </c>
      <c r="EO592" s="5">
        <f>SUM(EJ592,EL592,EN592)</f>
        <v>0</v>
      </c>
      <c r="EP592" s="5" t="str">
        <f>IF(EO592&lt;=1,"Nivel de riesgo bajo",
IF(EO592&lt;=5,"Nivel de riesgo medio",
"Nivel de riesgo alto"))</f>
        <v>Nivel de riesgo bajo</v>
      </c>
      <c r="EQ592" s="5" t="s">
        <v>253</v>
      </c>
      <c r="ER592" s="5">
        <f>IF(EQ592="Nunca/ casi nunca",4,
IF(EQ592="Rara vez",3,
IF(EQ592="A veces",2,
IF(EQ592="A menudo",1,
IF(EQ592="Siempre",0,"")))))</f>
        <v>4</v>
      </c>
      <c r="ES592" s="5" t="s">
        <v>253</v>
      </c>
      <c r="ET592" s="5">
        <f>IF(ES592="Nunca/ casi nunca",4,
IF(ES592="Rara vez",3,
IF(ES592="A veces",2,
IF(ES592="A menudo",1,
IF(ES592="Siempre",0,"")))))</f>
        <v>4</v>
      </c>
      <c r="EU592" s="5" t="s">
        <v>253</v>
      </c>
      <c r="EV592" s="5">
        <f>IF(EU592="Nunca/ casi nunca",4,
IF(EU592="Rara vez",3,
IF(EU592="A veces",2,
IF(EU592="A menudo",1,
IF(EU592="Siempre",0,"")))))</f>
        <v>4</v>
      </c>
      <c r="EW592" s="5" t="s">
        <v>253</v>
      </c>
      <c r="EX592" s="5">
        <f>IF(EW592="Nunca/ casi nunca",4,
IF(EW592="Rara vez",3,
IF(EW592="A veces",2,
IF(EW592="A menudo",1,
IF(EW592="Siempre",0,"")))))</f>
        <v>4</v>
      </c>
      <c r="EY592" s="5">
        <f>SUM(ER592,ET592,EV592,EX592)</f>
        <v>16</v>
      </c>
      <c r="EZ592" s="5" t="str">
        <f>IF(EY592&lt;=0,"Nivel de riesgo bajo",
IF(EY592&lt;=4,"Nivel de riesgo medio",
"Nivel de riesgo alto"))</f>
        <v>Nivel de riesgo alto</v>
      </c>
      <c r="FA592" s="5" t="s">
        <v>253</v>
      </c>
      <c r="FB592" s="5">
        <f>IF(FA592="Nunca/ casi nunca",0,
IF(FA592="Rara vez",1,
IF(FA592="A veces",2,
IF(FA592="A menudo",3,
IF(FA592="Siempre",4,"")))))</f>
        <v>0</v>
      </c>
      <c r="FC592" s="5" t="s">
        <v>253</v>
      </c>
      <c r="FD592" s="5">
        <f>IF(FC592="Nunca/ casi nunca",0,
IF(FC592="Rara vez",1,
IF(FC592="A veces",2,
IF(FC592="A menudo",3,
IF(FC592="Siempre",4,"")))))</f>
        <v>0</v>
      </c>
      <c r="FE592" s="5" t="s">
        <v>253</v>
      </c>
      <c r="FF592" s="5">
        <f>IF(FE592="Nunca/ casi nunca",0,
IF(FE592="Rara vez",1,
IF(FE592="A veces",2,
IF(FE592="A menudo",3,
IF(FE592="Siempre",4,"")))))</f>
        <v>0</v>
      </c>
      <c r="FG592" s="5">
        <f>SUM(FB592,FD592,FF592)</f>
        <v>0</v>
      </c>
      <c r="FH592" s="5" t="str">
        <f>IF(FG592&lt;=2,"Nivel de riesgo bajo",
IF(FG592&lt;=5,"Nivel de riesgo medio",
"Nivel de riesgo alto"))</f>
        <v>Nivel de riesgo bajo</v>
      </c>
      <c r="FI592" s="5" t="s">
        <v>253</v>
      </c>
      <c r="FJ592" s="5">
        <f>IF(FI592="Nunca/ casi nunca",0,
IF(FI592="Rara vez",1,
IF(FI592="A veces",2,
IF(FI592="A menudo",3,
IF(FI592="Siempre",4,"")))))</f>
        <v>0</v>
      </c>
      <c r="FK592" s="5" t="s">
        <v>253</v>
      </c>
      <c r="FL592" s="5">
        <f>IF(FK592="Nunca/ casi nunca",0,
IF(FK592="Rara vez",1,
IF(FK592="A veces",2,
IF(FK592="A menudo",3,
IF(FK592="Siempre",4,"")))))</f>
        <v>0</v>
      </c>
      <c r="FM592" s="5" t="s">
        <v>253</v>
      </c>
      <c r="FN592" s="5">
        <f>IF(FM592="Nunca/ casi nunca",0,
IF(FM592="Rara vez",1,
IF(FM592="A veces",2,
IF(FM592="A menudo",3,
IF(FM592="Siempre",4,"")))))</f>
        <v>0</v>
      </c>
      <c r="FO592" s="5">
        <f>SUM(FJ592,FL592,FN592)</f>
        <v>0</v>
      </c>
      <c r="FP592" s="5" t="str">
        <f>IF(FO592&lt;=2,"Nivel de riesgo bajo",
IF(FO592&lt;=5,"Nivel de riesgo medio",
"Nivel de riesgo alto"))</f>
        <v>Nivel de riesgo bajo</v>
      </c>
      <c r="FQ592" s="5" t="s">
        <v>206</v>
      </c>
      <c r="FR592" s="5">
        <f>IF(FQ592="No",0,
IF(FQ592="Sí, unas pocas veces",1,
IF(FQ592="Sí, mensualmente",2,
IF(FQ592="Sí, semanalmente",3,
IF(FQ592="Sí, diariamente",4,"")))))</f>
        <v>0</v>
      </c>
      <c r="FS592" s="5" t="s">
        <v>325</v>
      </c>
      <c r="FT592" s="5">
        <f>IF(FS592="No",0,
IF(FS592="Sí, unas pocas veces",1,
IF(FS592="Sí, mensualmente",2,
IF(FS592="Sí, semanalmente",3,
IF(FS592="Sí, diariamente",4,"")))))</f>
        <v>2</v>
      </c>
      <c r="FU592" s="5" t="s">
        <v>206</v>
      </c>
      <c r="FV592" s="5">
        <f>IF(FU592="No",0,
IF(FU592="Sí, unas pocas veces",1,
IF(FU592="Sí, mensualmente",2,
IF(FU592="Sí, semanalmente",3,
IF(FU592="Sí, diariamente",4,"")))))</f>
        <v>0</v>
      </c>
      <c r="FW592" s="5" t="s">
        <v>325</v>
      </c>
      <c r="FX592" s="5">
        <f>IF(FW592="No",0,
IF(FW592="Sí, unas pocas veces",1,
IF(FW592="Sí, mensualmente",2,
IF(FW592="Sí, semanalmente",3,
IF(FW592="Sí, diariamente",4,"")))))</f>
        <v>2</v>
      </c>
      <c r="FY592" s="5" t="s">
        <v>206</v>
      </c>
      <c r="FZ592" s="5">
        <f>IF(FY592="No",0,
IF(FY592="Sí, unas pocas veces",1,
IF(FY592="Sí, mensualmente",2,
IF(FY592="Sí, semanalmente",3,
IF(FY592="Sí, diariamente",4,"")))))</f>
        <v>0</v>
      </c>
      <c r="GA592" s="5" t="s">
        <v>325</v>
      </c>
      <c r="GB592" s="5">
        <f>IF(GA592="No",0,
IF(GA592="Sí, unas pocas veces",1,
IF(GA592="Sí, mensualmente",2,
IF(GA592="Sí, semanalmente",3,
IF(GA592="Sí, diariamente",4,"")))))</f>
        <v>2</v>
      </c>
      <c r="GC592" s="5" t="s">
        <v>206</v>
      </c>
      <c r="GD592" s="5">
        <f>IF(GC592="No",0,
IF(GC592="Sí, unas pocas veces",1,
IF(GC592="Sí, mensualmente",2,
IF(GC592="Sí, semanalmente",3,
IF(GC592="Sí, diariamente",4,"")))))</f>
        <v>0</v>
      </c>
      <c r="GE592" s="5">
        <f>SUM(FR592,FT592,FV592,FX592,FZ592,GB592,GD592)</f>
        <v>6</v>
      </c>
      <c r="GF592" s="5" t="str">
        <f>IF(GE592&lt;=0,"Nivel de riesgo bajo",
IF(GE592&lt;=14,"Nivel de riesgo medio",
"Nivel de riesgo alto"))</f>
        <v>Nivel de riesgo medio</v>
      </c>
      <c r="GG592" s="5" t="s">
        <v>255</v>
      </c>
      <c r="GH592" s="5" t="s">
        <v>255</v>
      </c>
      <c r="GI592" s="5" t="s">
        <v>255</v>
      </c>
      <c r="GJ592" s="5" t="s">
        <v>255</v>
      </c>
      <c r="GK592" s="5" t="s">
        <v>255</v>
      </c>
      <c r="GL592" s="5" t="s">
        <v>255</v>
      </c>
      <c r="GM592" s="5" t="s">
        <v>255</v>
      </c>
      <c r="GN592" s="5" t="s">
        <v>243</v>
      </c>
      <c r="GO592" s="5" t="s">
        <v>243</v>
      </c>
      <c r="GP592" s="5" t="s">
        <v>243</v>
      </c>
      <c r="GQ592" s="5" t="s">
        <v>243</v>
      </c>
      <c r="GR592" s="5" t="s">
        <v>243</v>
      </c>
      <c r="GS592" s="5" t="s">
        <v>243</v>
      </c>
      <c r="GT592" s="5" t="s">
        <v>243</v>
      </c>
      <c r="GU592" s="5" t="s">
        <v>960</v>
      </c>
      <c r="GV592" s="5" t="str">
        <f>TEXT("6295561471368174033","0")</f>
        <v>6295561471368170000</v>
      </c>
    </row>
    <row r="593" spans="1:204" ht="15.75" customHeight="1" x14ac:dyDescent="0.15">
      <c r="A593" s="1">
        <f>ROW(A593)</f>
        <v>593</v>
      </c>
      <c r="B593" s="4">
        <v>45867.042951388888</v>
      </c>
      <c r="C593" s="5" t="s">
        <v>204</v>
      </c>
      <c r="D593" s="5" t="s">
        <v>206</v>
      </c>
      <c r="F593" s="5" t="s">
        <v>206</v>
      </c>
      <c r="G593" s="5" t="s">
        <v>206</v>
      </c>
      <c r="H593" s="5" t="s">
        <v>206</v>
      </c>
      <c r="J593" s="5" t="s">
        <v>209</v>
      </c>
      <c r="O593" s="5" t="s">
        <v>209</v>
      </c>
      <c r="T593" s="5" t="s">
        <v>209</v>
      </c>
      <c r="Y593" s="5" t="s">
        <v>209</v>
      </c>
      <c r="AG593" s="5" t="s">
        <v>207</v>
      </c>
      <c r="AH593" s="5" t="s">
        <v>210</v>
      </c>
      <c r="AI593" s="5">
        <v>2020</v>
      </c>
      <c r="AJ593" s="5" t="s">
        <v>238</v>
      </c>
      <c r="AK593" s="5" t="str">
        <f>IF(OR(AJ593="Empleada del sector privado",AJ593="Empleada del sector público"),"Asalariada",
IF(AJ593="Trabajadora por cuenta propia","Trabajadora por cuenta propia",""))</f>
        <v>Trabajadora por cuenta propia</v>
      </c>
      <c r="AN593" s="5" t="s">
        <v>288</v>
      </c>
      <c r="AP593" s="5" t="s">
        <v>284</v>
      </c>
      <c r="AR593" s="5" t="s">
        <v>261</v>
      </c>
      <c r="AS593" s="5" t="s">
        <v>261</v>
      </c>
      <c r="AT593" s="5" t="s">
        <v>241</v>
      </c>
      <c r="AU593" s="5" t="s">
        <v>261</v>
      </c>
      <c r="AV593" s="5" t="s">
        <v>285</v>
      </c>
      <c r="AW593" s="5" t="s">
        <v>204</v>
      </c>
      <c r="AX593" s="5" t="s">
        <v>206</v>
      </c>
      <c r="BF593" s="5" t="s">
        <v>204</v>
      </c>
      <c r="BG593" s="5" t="s">
        <v>215</v>
      </c>
      <c r="BH593" s="5" t="s">
        <v>264</v>
      </c>
      <c r="BI593" s="5" t="s">
        <v>215</v>
      </c>
      <c r="BJ593" s="5" t="s">
        <v>264</v>
      </c>
      <c r="BK593" s="5" t="s">
        <v>244</v>
      </c>
      <c r="BL593" s="5" t="s">
        <v>216</v>
      </c>
      <c r="BM593" s="5" t="s">
        <v>216</v>
      </c>
      <c r="BN593" s="5" t="s">
        <v>216</v>
      </c>
      <c r="BO593" s="5" t="s">
        <v>216</v>
      </c>
      <c r="BP593" s="5" t="s">
        <v>216</v>
      </c>
      <c r="BQ593" s="5" t="s">
        <v>216</v>
      </c>
      <c r="BR593" s="5" t="s">
        <v>246</v>
      </c>
      <c r="BS593" s="5" t="s">
        <v>247</v>
      </c>
      <c r="BT593" s="5" t="s">
        <v>232</v>
      </c>
      <c r="BU593" s="5" t="s">
        <v>232</v>
      </c>
      <c r="BV593" s="5" t="s">
        <v>248</v>
      </c>
      <c r="BW593" s="5" t="s">
        <v>247</v>
      </c>
      <c r="BX593" s="5" t="s">
        <v>248</v>
      </c>
      <c r="BY593" s="5" t="s">
        <v>217</v>
      </c>
      <c r="BZ593" s="5" t="s">
        <v>216</v>
      </c>
      <c r="CA593" s="5" t="s">
        <v>216</v>
      </c>
      <c r="CB593" s="5" t="s">
        <v>216</v>
      </c>
      <c r="CC593" s="5" t="s">
        <v>216</v>
      </c>
      <c r="CD593" s="5" t="s">
        <v>206</v>
      </c>
      <c r="CH593" s="5" t="s">
        <v>206</v>
      </c>
      <c r="CI593" s="5" t="s">
        <v>249</v>
      </c>
      <c r="CJ593" s="5">
        <v>1</v>
      </c>
      <c r="CK593" s="5" t="s">
        <v>223</v>
      </c>
      <c r="CU593" s="5" t="s">
        <v>206</v>
      </c>
      <c r="DA593" s="5" t="s">
        <v>272</v>
      </c>
      <c r="DB593" s="5">
        <f>IF(DA593="Mejor que lo habitual",1,
IF(DA593="Igual que lo habitual",2,
IF(DA593="Menos que lo habitual",3,
IF(DA593="Mucho menos que lo habitual",4,""))))</f>
        <v>1</v>
      </c>
      <c r="DC593" s="5" t="s">
        <v>230</v>
      </c>
      <c r="DD593" s="5">
        <f>IF(DC593="No, en absoluto",1,
IF(DC593="No más que lo habitual",2,
IF(DC593="Bastante más que lo habitual",3,
IF(DC593="Mucho más que lo habitual",4,""))))</f>
        <v>2</v>
      </c>
      <c r="DE593" s="5" t="s">
        <v>230</v>
      </c>
      <c r="DF593" s="5">
        <f>IF(DE593="No, en absoluto",1,
IF(DE593="No más que lo habitual",2,
IF(DE593="Bastante más que lo habitual",3,
IF(DE593="Mucho más que lo habitual",4,""))))</f>
        <v>2</v>
      </c>
      <c r="DG593" s="5" t="s">
        <v>251</v>
      </c>
      <c r="DH593" s="5">
        <f>IF(DG593="No, en absoluto",1,
IF(DG593="No más que lo habitual",2,
IF(DG593="Bastante más que lo habitual",3,
IF(DG593="Mucho más que lo habitual",4,""))))</f>
        <v>1</v>
      </c>
      <c r="DI593" s="5" t="s">
        <v>251</v>
      </c>
      <c r="DJ593" s="5">
        <f>IF(DI593="No, en absoluto",1,
IF(DI593="No más que lo habitual",2,
IF(DI593="Bastante más que lo habitual",3,
IF(DI593="Mucho más que lo habitual",4,""))))</f>
        <v>1</v>
      </c>
      <c r="DK593" s="5" t="s">
        <v>251</v>
      </c>
      <c r="DL593" s="5">
        <f>IF(DK593="No, en absoluto",1,
IF(DK593="No más que lo habitual",2,
IF(DK593="Bastante más que lo habitual",3,
IF(DK593="Mucho más que lo habitual",4,""))))</f>
        <v>1</v>
      </c>
      <c r="DM593" s="5" t="s">
        <v>251</v>
      </c>
      <c r="DN593" s="5">
        <f>IF(DM593="No, en absoluto",1,
IF(DM593="No más que lo habitual",2,
IF(DM593="Bastante más que lo habitual",3,
IF(DM593="Mucho más que lo habitual",4,""))))</f>
        <v>1</v>
      </c>
      <c r="DO593" s="5" t="s">
        <v>281</v>
      </c>
      <c r="DP593" s="5">
        <f>IF(DO593="Más que lo habitual",1,
IF(DO593="Igual que lo habitual",2,
IF(DO593="Menos que lo habitual",3,
IF(DO593="Mucho menos que lo habitual",4,""))))</f>
        <v>1</v>
      </c>
      <c r="DQ593" s="5" t="s">
        <v>281</v>
      </c>
      <c r="DR593" s="5">
        <f>IF(DQ593="Más que lo habitual",1,
IF(DQ593="Igual que lo habitual",2,
IF(DQ593="Menos que lo habitual",3,
IF(DQ593="Mucho menos que lo habitual",4,""))))</f>
        <v>1</v>
      </c>
      <c r="DS593" s="5" t="s">
        <v>231</v>
      </c>
      <c r="DT593" s="5">
        <f>IF(DS593="Más que lo habitual",1,
IF(DS593="Igual que lo habitual",2,
IF(DS593="Menos que lo habitual",3,
IF(DS593="Mucho menos que lo habitual",4,""))))</f>
        <v>2</v>
      </c>
      <c r="DU593" s="5" t="s">
        <v>281</v>
      </c>
      <c r="DV593" s="5">
        <f>IF(DU593="Más que lo habitual",1,
IF(DU593="Igual que lo habitual",2,
IF(DU593="Menos que lo habitual",3,
IF(DU593="Mucho menos que lo habitual",4,""))))</f>
        <v>1</v>
      </c>
      <c r="DW593" s="5" t="s">
        <v>281</v>
      </c>
      <c r="DX593" s="5">
        <f>IF(DW593="Más que lo habitual",1,
IF(DW593="Igual que lo habitual",2,
IF(DW593="Menos que lo habitual",3,
IF(DW593="Mucho menos que lo habitual",4,""))))</f>
        <v>1</v>
      </c>
      <c r="DY593" s="5">
        <f>SUM(DB593,DD593,DF593,DH593,DJ593,DL593,DN593,DP593,DR593,DT593,DV593,DX593)</f>
        <v>15</v>
      </c>
      <c r="DZ593" s="5" t="str">
        <f>IF(DY593&lt;=18,"Nivel de riesgo bajo",
IF(DY593&lt;=23,"Nivel de riesgo medio",
"Nivel de riesgo alto"))</f>
        <v>Nivel de riesgo bajo</v>
      </c>
      <c r="EA593" s="5" t="s">
        <v>248</v>
      </c>
      <c r="EB593" s="5">
        <f>IF(EA593="Nunca/ casi nunca",0,
IF(EA593="Rara vez",1,
IF(EA593="A veces",2,
IF(EA593="A menudo",3,
IF(EA593="Siempre",4,"")))))</f>
        <v>1</v>
      </c>
      <c r="EC593" s="5" t="s">
        <v>248</v>
      </c>
      <c r="ED593" s="5">
        <f>IF(EC593="Nunca/ casi nunca",0,
IF(EC593="Rara vez",1,
IF(EC593="A veces",2,
IF(EC593="A menudo",3,
IF(EC593="Siempre",4,"")))))</f>
        <v>1</v>
      </c>
      <c r="EE593" s="5" t="s">
        <v>248</v>
      </c>
      <c r="EF593" s="5">
        <f>IF(EE593="Nunca/ casi nunca",0,
IF(EE593="Rara vez",1,
IF(EE593="A veces",2,
IF(EE593="A menudo",3,
IF(EE593="Siempre",4,"")))))</f>
        <v>1</v>
      </c>
      <c r="EG593" s="5">
        <f>SUM(EB593,ED593,EF593)</f>
        <v>3</v>
      </c>
      <c r="EH593" s="5" t="str">
        <f>IF(EG593&lt;=1,"Nivel de riesgo bajo",
IF(EG593&lt;=4,"Nivel de riesgo medio",
"Nivel de riesgo alto"))</f>
        <v>Nivel de riesgo medio</v>
      </c>
      <c r="EI593" s="5" t="s">
        <v>248</v>
      </c>
      <c r="EJ593" s="5">
        <f>IF(EI593="Nunca/ casi nunca",0,
IF(EI593="Rara vez",1,
IF(EI593="A veces",2,
IF(EI593="A menudo",3,
IF(EI593="Siempre",4,"")))))</f>
        <v>1</v>
      </c>
      <c r="EK593" s="5" t="s">
        <v>248</v>
      </c>
      <c r="EL593" s="5">
        <f>IF(EK593="Nunca/ casi nunca",0,
IF(EK593="Rara vez",1,
IF(EK593="A veces",2,
IF(EK593="A menudo",3,
IF(EK593="Siempre",4,"")))))</f>
        <v>1</v>
      </c>
      <c r="EM593" s="5" t="s">
        <v>254</v>
      </c>
      <c r="EN593" s="5">
        <f>IF(EM593="Nunca/ casi nunca",0,
IF(EM593="Rara vez",1,
IF(EM593="A veces",2,
IF(EM593="A menudo",3,
IF(EM593="Siempre",4,"")))))</f>
        <v>4</v>
      </c>
      <c r="EO593" s="5">
        <f>SUM(EJ593,EL593,EN593)</f>
        <v>6</v>
      </c>
      <c r="EP593" s="5" t="str">
        <f>IF(EO593&lt;=1,"Nivel de riesgo bajo",
IF(EO593&lt;=5,"Nivel de riesgo medio",
"Nivel de riesgo alto"))</f>
        <v>Nivel de riesgo alto</v>
      </c>
      <c r="EQ593" s="5" t="s">
        <v>248</v>
      </c>
      <c r="ER593" s="5">
        <f>IF(EQ593="Nunca/ casi nunca",4,
IF(EQ593="Rara vez",3,
IF(EQ593="A veces",2,
IF(EQ593="A menudo",1,
IF(EQ593="Siempre",0,"")))))</f>
        <v>3</v>
      </c>
      <c r="ES593" s="5" t="s">
        <v>253</v>
      </c>
      <c r="ET593" s="5">
        <f>IF(ES593="Nunca/ casi nunca",4,
IF(ES593="Rara vez",3,
IF(ES593="A veces",2,
IF(ES593="A menudo",1,
IF(ES593="Siempre",0,"")))))</f>
        <v>4</v>
      </c>
      <c r="EU593" s="5" t="s">
        <v>254</v>
      </c>
      <c r="EV593" s="5">
        <f>IF(EU593="Nunca/ casi nunca",4,
IF(EU593="Rara vez",3,
IF(EU593="A veces",2,
IF(EU593="A menudo",1,
IF(EU593="Siempre",0,"")))))</f>
        <v>0</v>
      </c>
      <c r="EW593" s="5" t="s">
        <v>254</v>
      </c>
      <c r="EX593" s="5">
        <f>IF(EW593="Nunca/ casi nunca",4,
IF(EW593="Rara vez",3,
IF(EW593="A veces",2,
IF(EW593="A menudo",1,
IF(EW593="Siempre",0,"")))))</f>
        <v>0</v>
      </c>
      <c r="EY593" s="5">
        <f>SUM(ER593,ET593,EV593,EX593)</f>
        <v>7</v>
      </c>
      <c r="EZ593" s="5" t="str">
        <f>IF(EY593&lt;=0,"Nivel de riesgo bajo",
IF(EY593&lt;=4,"Nivel de riesgo medio",
"Nivel de riesgo alto"))</f>
        <v>Nivel de riesgo alto</v>
      </c>
      <c r="FA593" s="5" t="s">
        <v>253</v>
      </c>
      <c r="FB593" s="5">
        <f>IF(FA593="Nunca/ casi nunca",0,
IF(FA593="Rara vez",1,
IF(FA593="A veces",2,
IF(FA593="A menudo",3,
IF(FA593="Siempre",4,"")))))</f>
        <v>0</v>
      </c>
      <c r="FC593" s="5" t="s">
        <v>253</v>
      </c>
      <c r="FD593" s="5">
        <f>IF(FC593="Nunca/ casi nunca",0,
IF(FC593="Rara vez",1,
IF(FC593="A veces",2,
IF(FC593="A menudo",3,
IF(FC593="Siempre",4,"")))))</f>
        <v>0</v>
      </c>
      <c r="FE593" s="5" t="s">
        <v>253</v>
      </c>
      <c r="FF593" s="5">
        <f>IF(FE593="Nunca/ casi nunca",0,
IF(FE593="Rara vez",1,
IF(FE593="A veces",2,
IF(FE593="A menudo",3,
IF(FE593="Siempre",4,"")))))</f>
        <v>0</v>
      </c>
      <c r="FG593" s="5">
        <f>SUM(FB593,FD593,FF593)</f>
        <v>0</v>
      </c>
      <c r="FH593" s="5" t="str">
        <f>IF(FG593&lt;=2,"Nivel de riesgo bajo",
IF(FG593&lt;=5,"Nivel de riesgo medio",
"Nivel de riesgo alto"))</f>
        <v>Nivel de riesgo bajo</v>
      </c>
      <c r="FI593" s="5" t="s">
        <v>254</v>
      </c>
      <c r="FJ593" s="5">
        <f>IF(FI593="Nunca/ casi nunca",0,
IF(FI593="Rara vez",1,
IF(FI593="A veces",2,
IF(FI593="A menudo",3,
IF(FI593="Siempre",4,"")))))</f>
        <v>4</v>
      </c>
      <c r="FK593" s="5" t="s">
        <v>254</v>
      </c>
      <c r="FL593" s="5">
        <f>IF(FK593="Nunca/ casi nunca",0,
IF(FK593="Rara vez",1,
IF(FK593="A veces",2,
IF(FK593="A menudo",3,
IF(FK593="Siempre",4,"")))))</f>
        <v>4</v>
      </c>
      <c r="FM593" s="5" t="s">
        <v>254</v>
      </c>
      <c r="FN593" s="5">
        <f>IF(FM593="Nunca/ casi nunca",0,
IF(FM593="Rara vez",1,
IF(FM593="A veces",2,
IF(FM593="A menudo",3,
IF(FM593="Siempre",4,"")))))</f>
        <v>4</v>
      </c>
      <c r="FO593" s="5">
        <f>SUM(FJ593,FL593,FN593)</f>
        <v>12</v>
      </c>
      <c r="FP593" s="5" t="str">
        <f>IF(FO593&lt;=2,"Nivel de riesgo bajo",
IF(FO593&lt;=5,"Nivel de riesgo medio",
"Nivel de riesgo alto"))</f>
        <v>Nivel de riesgo alto</v>
      </c>
      <c r="FQ593" s="5" t="s">
        <v>206</v>
      </c>
      <c r="FR593" s="5">
        <f>IF(FQ593="No",0,
IF(FQ593="Sí, unas pocas veces",1,
IF(FQ593="Sí, mensualmente",2,
IF(FQ593="Sí, semanalmente",3,
IF(FQ593="Sí, diariamente",4,"")))))</f>
        <v>0</v>
      </c>
      <c r="FS593" s="5" t="s">
        <v>206</v>
      </c>
      <c r="FT593" s="5">
        <f>IF(FS593="No",0,
IF(FS593="Sí, unas pocas veces",1,
IF(FS593="Sí, mensualmente",2,
IF(FS593="Sí, semanalmente",3,
IF(FS593="Sí, diariamente",4,"")))))</f>
        <v>0</v>
      </c>
      <c r="FU593" s="5" t="s">
        <v>206</v>
      </c>
      <c r="FV593" s="5">
        <f>IF(FU593="No",0,
IF(FU593="Sí, unas pocas veces",1,
IF(FU593="Sí, mensualmente",2,
IF(FU593="Sí, semanalmente",3,
IF(FU593="Sí, diariamente",4,"")))))</f>
        <v>0</v>
      </c>
      <c r="FW593" s="5" t="s">
        <v>206</v>
      </c>
      <c r="FX593" s="5">
        <f>IF(FW593="No",0,
IF(FW593="Sí, unas pocas veces",1,
IF(FW593="Sí, mensualmente",2,
IF(FW593="Sí, semanalmente",3,
IF(FW593="Sí, diariamente",4,"")))))</f>
        <v>0</v>
      </c>
      <c r="FY593" s="5" t="s">
        <v>206</v>
      </c>
      <c r="FZ593" s="5">
        <f>IF(FY593="No",0,
IF(FY593="Sí, unas pocas veces",1,
IF(FY593="Sí, mensualmente",2,
IF(FY593="Sí, semanalmente",3,
IF(FY593="Sí, diariamente",4,"")))))</f>
        <v>0</v>
      </c>
      <c r="GA593" s="5" t="s">
        <v>206</v>
      </c>
      <c r="GB593" s="5">
        <f>IF(GA593="No",0,
IF(GA593="Sí, unas pocas veces",1,
IF(GA593="Sí, mensualmente",2,
IF(GA593="Sí, semanalmente",3,
IF(GA593="Sí, diariamente",4,"")))))</f>
        <v>0</v>
      </c>
      <c r="GC593" s="5" t="s">
        <v>206</v>
      </c>
      <c r="GD593" s="5">
        <f>IF(GC593="No",0,
IF(GC593="Sí, unas pocas veces",1,
IF(GC593="Sí, mensualmente",2,
IF(GC593="Sí, semanalmente",3,
IF(GC593="Sí, diariamente",4,"")))))</f>
        <v>0</v>
      </c>
      <c r="GE593" s="5">
        <f>SUM(FR593,FT593,FV593,FX593,FZ593,GB593,GD593)</f>
        <v>0</v>
      </c>
      <c r="GF593" s="5" t="str">
        <f>IF(GE593&lt;=0,"Nivel de riesgo bajo",
IF(GE593&lt;=14,"Nivel de riesgo medio",
"Nivel de riesgo alto"))</f>
        <v>Nivel de riesgo bajo</v>
      </c>
      <c r="GG593" s="5" t="s">
        <v>255</v>
      </c>
      <c r="GH593" s="5" t="s">
        <v>266</v>
      </c>
      <c r="GI593" s="5" t="s">
        <v>255</v>
      </c>
      <c r="GJ593" s="5" t="s">
        <v>233</v>
      </c>
      <c r="GK593" s="5" t="s">
        <v>233</v>
      </c>
      <c r="GL593" s="5" t="s">
        <v>233</v>
      </c>
      <c r="GM593" s="5" t="s">
        <v>233</v>
      </c>
      <c r="GN593" s="5" t="s">
        <v>256</v>
      </c>
      <c r="GO593" s="5" t="s">
        <v>256</v>
      </c>
      <c r="GP593" s="5" t="s">
        <v>256</v>
      </c>
      <c r="GQ593" s="5" t="s">
        <v>256</v>
      </c>
      <c r="GR593" s="5" t="s">
        <v>257</v>
      </c>
      <c r="GS593" s="5" t="s">
        <v>257</v>
      </c>
      <c r="GT593" s="5" t="s">
        <v>256</v>
      </c>
      <c r="GU593" s="5" t="s">
        <v>961</v>
      </c>
      <c r="GV593" s="5" t="str">
        <f>TEXT("6295745114442482938","0")</f>
        <v>6295745114442480000</v>
      </c>
    </row>
    <row r="594" spans="1:204" ht="15.75" customHeight="1" x14ac:dyDescent="0.15">
      <c r="A594" s="1">
        <f>ROW(A594)</f>
        <v>594</v>
      </c>
      <c r="B594" s="4">
        <v>45867.641076388885</v>
      </c>
      <c r="C594" s="5" t="s">
        <v>204</v>
      </c>
      <c r="D594" s="5" t="s">
        <v>206</v>
      </c>
      <c r="F594" s="5" t="s">
        <v>206</v>
      </c>
      <c r="G594" s="5" t="s">
        <v>206</v>
      </c>
      <c r="H594" s="5" t="s">
        <v>206</v>
      </c>
      <c r="J594" s="5" t="s">
        <v>209</v>
      </c>
      <c r="O594" s="5" t="s">
        <v>209</v>
      </c>
      <c r="S594" s="5" t="s">
        <v>208</v>
      </c>
      <c r="X594" s="5" t="s">
        <v>208</v>
      </c>
      <c r="AD594" s="5" t="s">
        <v>209</v>
      </c>
      <c r="AH594" s="5" t="s">
        <v>268</v>
      </c>
      <c r="AI594" s="5">
        <v>2019</v>
      </c>
      <c r="AJ594" s="5" t="s">
        <v>330</v>
      </c>
      <c r="AK594" s="5" t="str">
        <f>IF(OR(AJ594="Empleada del sector privado",AJ594="Empleada del sector público"),"Asalariada",
IF(AJ594="Trabajadora por cuenta propia","Trabajadora por cuenta propia",""))</f>
        <v>Asalariada</v>
      </c>
      <c r="AQ594" s="5" t="s">
        <v>204</v>
      </c>
      <c r="AR594" s="5" t="s">
        <v>241</v>
      </c>
      <c r="AS594" s="5" t="s">
        <v>261</v>
      </c>
      <c r="AT594" s="5" t="s">
        <v>261</v>
      </c>
      <c r="AU594" s="5" t="s">
        <v>241</v>
      </c>
      <c r="AV594" s="5" t="s">
        <v>277</v>
      </c>
      <c r="AW594" s="5" t="s">
        <v>204</v>
      </c>
      <c r="AX594" s="5" t="s">
        <v>206</v>
      </c>
      <c r="BF594" s="5" t="s">
        <v>204</v>
      </c>
      <c r="BG594" s="5" t="s">
        <v>264</v>
      </c>
      <c r="BH594" s="5" t="s">
        <v>207</v>
      </c>
      <c r="BI594" s="5" t="s">
        <v>215</v>
      </c>
      <c r="BJ594" s="5" t="s">
        <v>242</v>
      </c>
      <c r="BK594" s="5" t="s">
        <v>244</v>
      </c>
      <c r="BL594" s="5" t="s">
        <v>244</v>
      </c>
      <c r="BM594" s="5" t="s">
        <v>246</v>
      </c>
      <c r="BN594" s="5" t="s">
        <v>244</v>
      </c>
      <c r="BO594" s="5" t="s">
        <v>244</v>
      </c>
      <c r="BP594" s="5" t="s">
        <v>243</v>
      </c>
      <c r="BQ594" s="5" t="s">
        <v>244</v>
      </c>
      <c r="BR594" s="5" t="s">
        <v>244</v>
      </c>
      <c r="BS594" s="5" t="s">
        <v>248</v>
      </c>
      <c r="BT594" s="5" t="s">
        <v>217</v>
      </c>
      <c r="BU594" s="5" t="s">
        <v>247</v>
      </c>
      <c r="BV594" s="5" t="s">
        <v>247</v>
      </c>
      <c r="BW594" s="5" t="s">
        <v>247</v>
      </c>
      <c r="BX594" s="5" t="s">
        <v>248</v>
      </c>
      <c r="BY594" s="5" t="s">
        <v>247</v>
      </c>
      <c r="BZ594" s="5" t="s">
        <v>244</v>
      </c>
      <c r="CA594" s="5" t="s">
        <v>246</v>
      </c>
      <c r="CB594" s="5" t="s">
        <v>244</v>
      </c>
      <c r="CC594" s="5" t="s">
        <v>244</v>
      </c>
      <c r="CD594" s="5" t="s">
        <v>206</v>
      </c>
      <c r="CH594" s="5" t="s">
        <v>206</v>
      </c>
      <c r="CI594" s="5" t="s">
        <v>206</v>
      </c>
      <c r="CJ594" s="5">
        <v>2</v>
      </c>
      <c r="CN594" s="5" t="s">
        <v>618</v>
      </c>
      <c r="CU594" s="5" t="s">
        <v>204</v>
      </c>
      <c r="CV594" s="5" t="s">
        <v>350</v>
      </c>
      <c r="CW594" s="5" t="s">
        <v>434</v>
      </c>
      <c r="CX594" s="5" t="s">
        <v>435</v>
      </c>
      <c r="CY594" s="5" t="s">
        <v>353</v>
      </c>
      <c r="CZ594" s="5" t="s">
        <v>228</v>
      </c>
      <c r="DA594" s="5" t="s">
        <v>252</v>
      </c>
      <c r="DB594" s="5">
        <f>IF(DA594="Mejor que lo habitual",1,
IF(DA594="Igual que lo habitual",2,
IF(DA594="Menos que lo habitual",3,
IF(DA594="Mucho menos que lo habitual",4,""))))</f>
        <v>3</v>
      </c>
      <c r="DC594" s="5" t="s">
        <v>230</v>
      </c>
      <c r="DD594" s="5">
        <f>IF(DC594="No, en absoluto",1,
IF(DC594="No más que lo habitual",2,
IF(DC594="Bastante más que lo habitual",3,
IF(DC594="Mucho más que lo habitual",4,""))))</f>
        <v>2</v>
      </c>
      <c r="DE594" s="5" t="s">
        <v>230</v>
      </c>
      <c r="DF594" s="5">
        <f>IF(DE594="No, en absoluto",1,
IF(DE594="No más que lo habitual",2,
IF(DE594="Bastante más que lo habitual",3,
IF(DE594="Mucho más que lo habitual",4,""))))</f>
        <v>2</v>
      </c>
      <c r="DG594" s="5" t="s">
        <v>251</v>
      </c>
      <c r="DH594" s="5">
        <f>IF(DG594="No, en absoluto",1,
IF(DG594="No más que lo habitual",2,
IF(DG594="Bastante más que lo habitual",3,
IF(DG594="Mucho más que lo habitual",4,""))))</f>
        <v>1</v>
      </c>
      <c r="DI594" s="5" t="s">
        <v>230</v>
      </c>
      <c r="DJ594" s="5">
        <f>IF(DI594="No, en absoluto",1,
IF(DI594="No más que lo habitual",2,
IF(DI594="Bastante más que lo habitual",3,
IF(DI594="Mucho más que lo habitual",4,""))))</f>
        <v>2</v>
      </c>
      <c r="DK594" s="5" t="s">
        <v>251</v>
      </c>
      <c r="DL594" s="5">
        <f>IF(DK594="No, en absoluto",1,
IF(DK594="No más que lo habitual",2,
IF(DK594="Bastante más que lo habitual",3,
IF(DK594="Mucho más que lo habitual",4,""))))</f>
        <v>1</v>
      </c>
      <c r="DM594" s="5" t="s">
        <v>251</v>
      </c>
      <c r="DN594" s="5">
        <f>IF(DM594="No, en absoluto",1,
IF(DM594="No más que lo habitual",2,
IF(DM594="Bastante más que lo habitual",3,
IF(DM594="Mucho más que lo habitual",4,""))))</f>
        <v>1</v>
      </c>
      <c r="DO594" s="5" t="s">
        <v>281</v>
      </c>
      <c r="DP594" s="5">
        <f>IF(DO594="Más que lo habitual",1,
IF(DO594="Igual que lo habitual",2,
IF(DO594="Menos que lo habitual",3,
IF(DO594="Mucho menos que lo habitual",4,""))))</f>
        <v>1</v>
      </c>
      <c r="DQ594" s="5" t="s">
        <v>281</v>
      </c>
      <c r="DR594" s="5">
        <f>IF(DQ594="Más que lo habitual",1,
IF(DQ594="Igual que lo habitual",2,
IF(DQ594="Menos que lo habitual",3,
IF(DQ594="Mucho menos que lo habitual",4,""))))</f>
        <v>1</v>
      </c>
      <c r="DS594" s="5" t="s">
        <v>231</v>
      </c>
      <c r="DT594" s="5">
        <f>IF(DS594="Más que lo habitual",1,
IF(DS594="Igual que lo habitual",2,
IF(DS594="Menos que lo habitual",3,
IF(DS594="Mucho menos que lo habitual",4,""))))</f>
        <v>2</v>
      </c>
      <c r="DU594" s="5" t="s">
        <v>231</v>
      </c>
      <c r="DV594" s="5">
        <f>IF(DU594="Más que lo habitual",1,
IF(DU594="Igual que lo habitual",2,
IF(DU594="Menos que lo habitual",3,
IF(DU594="Mucho menos que lo habitual",4,""))))</f>
        <v>2</v>
      </c>
      <c r="DW594" s="5" t="s">
        <v>231</v>
      </c>
      <c r="DX594" s="5">
        <f>IF(DW594="Más que lo habitual",1,
IF(DW594="Igual que lo habitual",2,
IF(DW594="Menos que lo habitual",3,
IF(DW594="Mucho menos que lo habitual",4,""))))</f>
        <v>2</v>
      </c>
      <c r="DY594" s="5">
        <f>SUM(DB594,DD594,DF594,DH594,DJ594,DL594,DN594,DP594,DR594,DT594,DV594,DX594)</f>
        <v>20</v>
      </c>
      <c r="DZ594" s="5" t="str">
        <f>IF(DY594&lt;=18,"Nivel de riesgo bajo",
IF(DY594&lt;=23,"Nivel de riesgo medio",
"Nivel de riesgo alto"))</f>
        <v>Nivel de riesgo medio</v>
      </c>
      <c r="EA594" s="5" t="s">
        <v>248</v>
      </c>
      <c r="EB594" s="5">
        <f>IF(EA594="Nunca/ casi nunca",0,
IF(EA594="Rara vez",1,
IF(EA594="A veces",2,
IF(EA594="A menudo",3,
IF(EA594="Siempre",4,"")))))</f>
        <v>1</v>
      </c>
      <c r="EC594" s="5" t="s">
        <v>248</v>
      </c>
      <c r="ED594" s="5">
        <f>IF(EC594="Nunca/ casi nunca",0,
IF(EC594="Rara vez",1,
IF(EC594="A veces",2,
IF(EC594="A menudo",3,
IF(EC594="Siempre",4,"")))))</f>
        <v>1</v>
      </c>
      <c r="EE594" s="5" t="s">
        <v>253</v>
      </c>
      <c r="EF594" s="5">
        <f>IF(EE594="Nunca/ casi nunca",0,
IF(EE594="Rara vez",1,
IF(EE594="A veces",2,
IF(EE594="A menudo",3,
IF(EE594="Siempre",4,"")))))</f>
        <v>0</v>
      </c>
      <c r="EG594" s="5">
        <f>SUM(EB594,ED594,EF594)</f>
        <v>2</v>
      </c>
      <c r="EH594" s="5" t="str">
        <f>IF(EG594&lt;=1,"Nivel de riesgo bajo",
IF(EG594&lt;=4,"Nivel de riesgo medio",
"Nivel de riesgo alto"))</f>
        <v>Nivel de riesgo medio</v>
      </c>
      <c r="EI594" s="5" t="s">
        <v>248</v>
      </c>
      <c r="EJ594" s="5">
        <f>IF(EI594="Nunca/ casi nunca",0,
IF(EI594="Rara vez",1,
IF(EI594="A veces",2,
IF(EI594="A menudo",3,
IF(EI594="Siempre",4,"")))))</f>
        <v>1</v>
      </c>
      <c r="EK594" s="5" t="s">
        <v>253</v>
      </c>
      <c r="EL594" s="5">
        <f>IF(EK594="Nunca/ casi nunca",0,
IF(EK594="Rara vez",1,
IF(EK594="A veces",2,
IF(EK594="A menudo",3,
IF(EK594="Siempre",4,"")))))</f>
        <v>0</v>
      </c>
      <c r="EM594" s="5" t="s">
        <v>253</v>
      </c>
      <c r="EN594" s="5">
        <f>IF(EM594="Nunca/ casi nunca",0,
IF(EM594="Rara vez",1,
IF(EM594="A veces",2,
IF(EM594="A menudo",3,
IF(EM594="Siempre",4,"")))))</f>
        <v>0</v>
      </c>
      <c r="EO594" s="5">
        <f>SUM(EJ594,EL594,EN594)</f>
        <v>1</v>
      </c>
      <c r="EP594" s="5" t="str">
        <f>IF(EO594&lt;=1,"Nivel de riesgo bajo",
IF(EO594&lt;=5,"Nivel de riesgo medio",
"Nivel de riesgo alto"))</f>
        <v>Nivel de riesgo bajo</v>
      </c>
      <c r="EQ594" s="5" t="s">
        <v>248</v>
      </c>
      <c r="ER594" s="5">
        <f>IF(EQ594="Nunca/ casi nunca",4,
IF(EQ594="Rara vez",3,
IF(EQ594="A veces",2,
IF(EQ594="A menudo",1,
IF(EQ594="Siempre",0,"")))))</f>
        <v>3</v>
      </c>
      <c r="ES594" s="5" t="s">
        <v>248</v>
      </c>
      <c r="ET594" s="5">
        <f>IF(ES594="Nunca/ casi nunca",4,
IF(ES594="Rara vez",3,
IF(ES594="A veces",2,
IF(ES594="A menudo",1,
IF(ES594="Siempre",0,"")))))</f>
        <v>3</v>
      </c>
      <c r="EU594" s="5" t="s">
        <v>247</v>
      </c>
      <c r="EV594" s="5">
        <f>IF(EU594="Nunca/ casi nunca",4,
IF(EU594="Rara vez",3,
IF(EU594="A veces",2,
IF(EU594="A menudo",1,
IF(EU594="Siempre",0,"")))))</f>
        <v>2</v>
      </c>
      <c r="EW594" s="5" t="s">
        <v>247</v>
      </c>
      <c r="EX594" s="5">
        <f>IF(EW594="Nunca/ casi nunca",4,
IF(EW594="Rara vez",3,
IF(EW594="A veces",2,
IF(EW594="A menudo",1,
IF(EW594="Siempre",0,"")))))</f>
        <v>2</v>
      </c>
      <c r="EY594" s="5">
        <f>SUM(ER594,ET594,EV594,EX594)</f>
        <v>10</v>
      </c>
      <c r="EZ594" s="5" t="str">
        <f>IF(EY594&lt;=0,"Nivel de riesgo bajo",
IF(EY594&lt;=4,"Nivel de riesgo medio",
"Nivel de riesgo alto"))</f>
        <v>Nivel de riesgo alto</v>
      </c>
      <c r="FA594" s="5" t="s">
        <v>253</v>
      </c>
      <c r="FB594" s="5">
        <f>IF(FA594="Nunca/ casi nunca",0,
IF(FA594="Rara vez",1,
IF(FA594="A veces",2,
IF(FA594="A menudo",3,
IF(FA594="Siempre",4,"")))))</f>
        <v>0</v>
      </c>
      <c r="FC594" s="5" t="s">
        <v>253</v>
      </c>
      <c r="FD594" s="5">
        <f>IF(FC594="Nunca/ casi nunca",0,
IF(FC594="Rara vez",1,
IF(FC594="A veces",2,
IF(FC594="A menudo",3,
IF(FC594="Siempre",4,"")))))</f>
        <v>0</v>
      </c>
      <c r="FE594" s="5" t="s">
        <v>253</v>
      </c>
      <c r="FF594" s="5">
        <f>IF(FE594="Nunca/ casi nunca",0,
IF(FE594="Rara vez",1,
IF(FE594="A veces",2,
IF(FE594="A menudo",3,
IF(FE594="Siempre",4,"")))))</f>
        <v>0</v>
      </c>
      <c r="FG594" s="5">
        <f>SUM(FB594,FD594,FF594)</f>
        <v>0</v>
      </c>
      <c r="FH594" s="5" t="str">
        <f>IF(FG594&lt;=2,"Nivel de riesgo bajo",
IF(FG594&lt;=5,"Nivel de riesgo medio",
"Nivel de riesgo alto"))</f>
        <v>Nivel de riesgo bajo</v>
      </c>
      <c r="FI594" s="5" t="s">
        <v>248</v>
      </c>
      <c r="FJ594" s="5">
        <f>IF(FI594="Nunca/ casi nunca",0,
IF(FI594="Rara vez",1,
IF(FI594="A veces",2,
IF(FI594="A menudo",3,
IF(FI594="Siempre",4,"")))))</f>
        <v>1</v>
      </c>
      <c r="FK594" s="5" t="s">
        <v>248</v>
      </c>
      <c r="FL594" s="5">
        <f>IF(FK594="Nunca/ casi nunca",0,
IF(FK594="Rara vez",1,
IF(FK594="A veces",2,
IF(FK594="A menudo",3,
IF(FK594="Siempre",4,"")))))</f>
        <v>1</v>
      </c>
      <c r="FM594" s="5" t="s">
        <v>248</v>
      </c>
      <c r="FN594" s="5">
        <f>IF(FM594="Nunca/ casi nunca",0,
IF(FM594="Rara vez",1,
IF(FM594="A veces",2,
IF(FM594="A menudo",3,
IF(FM594="Siempre",4,"")))))</f>
        <v>1</v>
      </c>
      <c r="FO594" s="5">
        <f>SUM(FJ594,FL594,FN594)</f>
        <v>3</v>
      </c>
      <c r="FP594" s="5" t="str">
        <f>IF(FO594&lt;=2,"Nivel de riesgo bajo",
IF(FO594&lt;=5,"Nivel de riesgo medio",
"Nivel de riesgo alto"))</f>
        <v>Nivel de riesgo medio</v>
      </c>
      <c r="FQ594" s="5" t="s">
        <v>206</v>
      </c>
      <c r="FR594" s="5">
        <f>IF(FQ594="No",0,
IF(FQ594="Sí, unas pocas veces",1,
IF(FQ594="Sí, mensualmente",2,
IF(FQ594="Sí, semanalmente",3,
IF(FQ594="Sí, diariamente",4,"")))))</f>
        <v>0</v>
      </c>
      <c r="FS594" s="5" t="s">
        <v>265</v>
      </c>
      <c r="FT594" s="5">
        <f>IF(FS594="No",0,
IF(FS594="Sí, unas pocas veces",1,
IF(FS594="Sí, mensualmente",2,
IF(FS594="Sí, semanalmente",3,
IF(FS594="Sí, diariamente",4,"")))))</f>
        <v>1</v>
      </c>
      <c r="FU594" s="5" t="s">
        <v>206</v>
      </c>
      <c r="FV594" s="5">
        <f>IF(FU594="No",0,
IF(FU594="Sí, unas pocas veces",1,
IF(FU594="Sí, mensualmente",2,
IF(FU594="Sí, semanalmente",3,
IF(FU594="Sí, diariamente",4,"")))))</f>
        <v>0</v>
      </c>
      <c r="FW594" s="5" t="s">
        <v>206</v>
      </c>
      <c r="FX594" s="5">
        <f>IF(FW594="No",0,
IF(FW594="Sí, unas pocas veces",1,
IF(FW594="Sí, mensualmente",2,
IF(FW594="Sí, semanalmente",3,
IF(FW594="Sí, diariamente",4,"")))))</f>
        <v>0</v>
      </c>
      <c r="FY594" s="5" t="s">
        <v>206</v>
      </c>
      <c r="FZ594" s="5">
        <f>IF(FY594="No",0,
IF(FY594="Sí, unas pocas veces",1,
IF(FY594="Sí, mensualmente",2,
IF(FY594="Sí, semanalmente",3,
IF(FY594="Sí, diariamente",4,"")))))</f>
        <v>0</v>
      </c>
      <c r="GA594" s="5" t="s">
        <v>206</v>
      </c>
      <c r="GB594" s="5">
        <f>IF(GA594="No",0,
IF(GA594="Sí, unas pocas veces",1,
IF(GA594="Sí, mensualmente",2,
IF(GA594="Sí, semanalmente",3,
IF(GA594="Sí, diariamente",4,"")))))</f>
        <v>0</v>
      </c>
      <c r="GC594" s="5" t="s">
        <v>206</v>
      </c>
      <c r="GD594" s="5">
        <f>IF(GC594="No",0,
IF(GC594="Sí, unas pocas veces",1,
IF(GC594="Sí, mensualmente",2,
IF(GC594="Sí, semanalmente",3,
IF(GC594="Sí, diariamente",4,"")))))</f>
        <v>0</v>
      </c>
      <c r="GE594" s="5">
        <f>SUM(FR594,FT594,FV594,FX594,FZ594,GB594,GD594)</f>
        <v>1</v>
      </c>
      <c r="GF594" s="5" t="str">
        <f>IF(GE594&lt;=0,"Nivel de riesgo bajo",
IF(GE594&lt;=14,"Nivel de riesgo medio",
"Nivel de riesgo alto"))</f>
        <v>Nivel de riesgo medio</v>
      </c>
      <c r="GG594" s="5" t="s">
        <v>255</v>
      </c>
      <c r="GH594" s="5" t="s">
        <v>255</v>
      </c>
      <c r="GI594" s="5" t="s">
        <v>255</v>
      </c>
      <c r="GJ594" s="5" t="s">
        <v>255</v>
      </c>
      <c r="GK594" s="5" t="s">
        <v>233</v>
      </c>
      <c r="GL594" s="5" t="s">
        <v>298</v>
      </c>
      <c r="GM594" s="5" t="s">
        <v>273</v>
      </c>
      <c r="GN594" s="5" t="s">
        <v>256</v>
      </c>
      <c r="GO594" s="5" t="s">
        <v>243</v>
      </c>
      <c r="GP594" s="5" t="s">
        <v>243</v>
      </c>
      <c r="GQ594" s="5" t="s">
        <v>244</v>
      </c>
      <c r="GR594" s="5" t="s">
        <v>244</v>
      </c>
      <c r="GS594" s="5" t="s">
        <v>244</v>
      </c>
      <c r="GT594" s="5" t="s">
        <v>244</v>
      </c>
      <c r="GU594" s="5" t="s">
        <v>962</v>
      </c>
      <c r="GV594" s="5" t="str">
        <f>TEXT("6296261891874111771","0")</f>
        <v>6296261891874110000</v>
      </c>
    </row>
    <row r="595" spans="1:204" ht="15.75" hidden="1" customHeight="1" x14ac:dyDescent="0.15">
      <c r="B595" s="4">
        <v>45868.927418981482</v>
      </c>
      <c r="C595" s="5" t="s">
        <v>206</v>
      </c>
      <c r="GV595" s="5" t="str">
        <f>TEXT("6297373293619116334","0")</f>
        <v>6297373293619110000</v>
      </c>
    </row>
    <row r="596" spans="1:204" ht="15.75" customHeight="1" x14ac:dyDescent="0.15">
      <c r="A596" s="1">
        <f>ROW(A596)</f>
        <v>596</v>
      </c>
      <c r="B596" s="4">
        <v>45869.051608796297</v>
      </c>
      <c r="C596" s="5" t="s">
        <v>204</v>
      </c>
      <c r="D596" s="5" t="s">
        <v>206</v>
      </c>
      <c r="F596" s="5" t="s">
        <v>206</v>
      </c>
      <c r="G596" s="5" t="s">
        <v>206</v>
      </c>
      <c r="H596" s="5" t="s">
        <v>204</v>
      </c>
      <c r="K596" s="5" t="s">
        <v>237</v>
      </c>
      <c r="O596" s="5" t="s">
        <v>209</v>
      </c>
      <c r="S596" s="5" t="s">
        <v>208</v>
      </c>
      <c r="Y596" s="5" t="s">
        <v>209</v>
      </c>
      <c r="AD596" s="5" t="s">
        <v>209</v>
      </c>
      <c r="AH596" s="5" t="s">
        <v>275</v>
      </c>
      <c r="AI596" s="5">
        <v>2010</v>
      </c>
      <c r="AJ596" s="5" t="s">
        <v>330</v>
      </c>
      <c r="AK596" s="5" t="str">
        <f>IF(OR(AJ596="Empleada del sector privado",AJ596="Empleada del sector público"),"Asalariada",
IF(AJ596="Trabajadora por cuenta propia","Trabajadora por cuenta propia",""))</f>
        <v>Asalariada</v>
      </c>
      <c r="AQ596" s="5" t="s">
        <v>204</v>
      </c>
      <c r="AR596" s="5" t="s">
        <v>261</v>
      </c>
      <c r="AS596" s="5" t="s">
        <v>294</v>
      </c>
      <c r="AT596" s="5" t="s">
        <v>294</v>
      </c>
      <c r="AU596" s="5" t="s">
        <v>294</v>
      </c>
      <c r="AV596" s="5" t="s">
        <v>302</v>
      </c>
      <c r="AW596" s="5" t="s">
        <v>204</v>
      </c>
      <c r="AX596" s="5" t="s">
        <v>204</v>
      </c>
      <c r="AY596" s="5" t="s">
        <v>214</v>
      </c>
      <c r="AZ596" s="5" t="s">
        <v>204</v>
      </c>
      <c r="BA596" s="5" t="s">
        <v>263</v>
      </c>
      <c r="BF596" s="5" t="s">
        <v>204</v>
      </c>
      <c r="BG596" s="5" t="s">
        <v>242</v>
      </c>
      <c r="BH596" s="5" t="s">
        <v>215</v>
      </c>
      <c r="BI596" s="5" t="s">
        <v>278</v>
      </c>
      <c r="BJ596" s="5" t="s">
        <v>242</v>
      </c>
      <c r="BK596" s="5" t="s">
        <v>244</v>
      </c>
      <c r="BL596" s="5" t="s">
        <v>244</v>
      </c>
      <c r="BM596" s="5" t="s">
        <v>246</v>
      </c>
      <c r="BN596" s="5" t="s">
        <v>244</v>
      </c>
      <c r="BO596" s="5" t="s">
        <v>244</v>
      </c>
      <c r="BP596" s="5" t="s">
        <v>246</v>
      </c>
      <c r="BQ596" s="5" t="s">
        <v>243</v>
      </c>
      <c r="BR596" s="5" t="s">
        <v>244</v>
      </c>
      <c r="BS596" s="5" t="s">
        <v>232</v>
      </c>
      <c r="BT596" s="5" t="s">
        <v>247</v>
      </c>
      <c r="BU596" s="5" t="s">
        <v>254</v>
      </c>
      <c r="BV596" s="5" t="s">
        <v>247</v>
      </c>
      <c r="BW596" s="5" t="s">
        <v>232</v>
      </c>
      <c r="BX596" s="5" t="s">
        <v>247</v>
      </c>
      <c r="BY596" s="5" t="s">
        <v>247</v>
      </c>
      <c r="BZ596" s="5" t="s">
        <v>244</v>
      </c>
      <c r="CA596" s="5" t="s">
        <v>244</v>
      </c>
      <c r="CB596" s="5" t="s">
        <v>244</v>
      </c>
      <c r="CC596" s="5" t="s">
        <v>244</v>
      </c>
      <c r="CD596" s="5" t="s">
        <v>206</v>
      </c>
      <c r="CH596" s="5" t="s">
        <v>206</v>
      </c>
      <c r="CI596" s="5" t="s">
        <v>249</v>
      </c>
      <c r="CJ596" s="5">
        <v>2</v>
      </c>
      <c r="CK596" s="5" t="s">
        <v>223</v>
      </c>
      <c r="CU596" s="5" t="s">
        <v>206</v>
      </c>
      <c r="DA596" s="5" t="s">
        <v>231</v>
      </c>
      <c r="DB596" s="5">
        <f>IF(DA596="Mejor que lo habitual",1,
IF(DA596="Igual que lo habitual",2,
IF(DA596="Menos que lo habitual",3,
IF(DA596="Mucho menos que lo habitual",4,""))))</f>
        <v>2</v>
      </c>
      <c r="DC596" s="5" t="s">
        <v>230</v>
      </c>
      <c r="DD596" s="5">
        <f>IF(DC596="No, en absoluto",1,
IF(DC596="No más que lo habitual",2,
IF(DC596="Bastante más que lo habitual",3,
IF(DC596="Mucho más que lo habitual",4,""))))</f>
        <v>2</v>
      </c>
      <c r="DE596" s="5" t="s">
        <v>251</v>
      </c>
      <c r="DF596" s="5">
        <f>IF(DE596="No, en absoluto",1,
IF(DE596="No más que lo habitual",2,
IF(DE596="Bastante más que lo habitual",3,
IF(DE596="Mucho más que lo habitual",4,""))))</f>
        <v>1</v>
      </c>
      <c r="DG596" s="5" t="s">
        <v>230</v>
      </c>
      <c r="DH596" s="5">
        <f>IF(DG596="No, en absoluto",1,
IF(DG596="No más que lo habitual",2,
IF(DG596="Bastante más que lo habitual",3,
IF(DG596="Mucho más que lo habitual",4,""))))</f>
        <v>2</v>
      </c>
      <c r="DI596" s="5" t="s">
        <v>251</v>
      </c>
      <c r="DJ596" s="5">
        <f>IF(DI596="No, en absoluto",1,
IF(DI596="No más que lo habitual",2,
IF(DI596="Bastante más que lo habitual",3,
IF(DI596="Mucho más que lo habitual",4,""))))</f>
        <v>1</v>
      </c>
      <c r="DK596" s="5" t="s">
        <v>251</v>
      </c>
      <c r="DL596" s="5">
        <f>IF(DK596="No, en absoluto",1,
IF(DK596="No más que lo habitual",2,
IF(DK596="Bastante más que lo habitual",3,
IF(DK596="Mucho más que lo habitual",4,""))))</f>
        <v>1</v>
      </c>
      <c r="DM596" s="5" t="s">
        <v>251</v>
      </c>
      <c r="DN596" s="5">
        <f>IF(DM596="No, en absoluto",1,
IF(DM596="No más que lo habitual",2,
IF(DM596="Bastante más que lo habitual",3,
IF(DM596="Mucho más que lo habitual",4,""))))</f>
        <v>1</v>
      </c>
      <c r="DO596" s="5" t="s">
        <v>281</v>
      </c>
      <c r="DP596" s="5">
        <f>IF(DO596="Más que lo habitual",1,
IF(DO596="Igual que lo habitual",2,
IF(DO596="Menos que lo habitual",3,
IF(DO596="Mucho menos que lo habitual",4,""))))</f>
        <v>1</v>
      </c>
      <c r="DQ596" s="5" t="s">
        <v>281</v>
      </c>
      <c r="DR596" s="5">
        <f>IF(DQ596="Más que lo habitual",1,
IF(DQ596="Igual que lo habitual",2,
IF(DQ596="Menos que lo habitual",3,
IF(DQ596="Mucho menos que lo habitual",4,""))))</f>
        <v>1</v>
      </c>
      <c r="DS596" s="5" t="s">
        <v>281</v>
      </c>
      <c r="DT596" s="5">
        <f>IF(DS596="Más que lo habitual",1,
IF(DS596="Igual que lo habitual",2,
IF(DS596="Menos que lo habitual",3,
IF(DS596="Mucho menos que lo habitual",4,""))))</f>
        <v>1</v>
      </c>
      <c r="DU596" s="5" t="s">
        <v>281</v>
      </c>
      <c r="DV596" s="5">
        <f>IF(DU596="Más que lo habitual",1,
IF(DU596="Igual que lo habitual",2,
IF(DU596="Menos que lo habitual",3,
IF(DU596="Mucho menos que lo habitual",4,""))))</f>
        <v>1</v>
      </c>
      <c r="DW596" s="5" t="s">
        <v>281</v>
      </c>
      <c r="DX596" s="5">
        <f>IF(DW596="Más que lo habitual",1,
IF(DW596="Igual que lo habitual",2,
IF(DW596="Menos que lo habitual",3,
IF(DW596="Mucho menos que lo habitual",4,""))))</f>
        <v>1</v>
      </c>
      <c r="DY596" s="5">
        <f>SUM(DB596,DD596,DF596,DH596,DJ596,DL596,DN596,DP596,DR596,DT596,DV596,DX596)</f>
        <v>15</v>
      </c>
      <c r="DZ596" s="5" t="str">
        <f>IF(DY596&lt;=18,"Nivel de riesgo bajo",
IF(DY596&lt;=23,"Nivel de riesgo medio",
"Nivel de riesgo alto"))</f>
        <v>Nivel de riesgo bajo</v>
      </c>
      <c r="EA596" s="5" t="s">
        <v>247</v>
      </c>
      <c r="EB596" s="5">
        <f>IF(EA596="Nunca/ casi nunca",0,
IF(EA596="Rara vez",1,
IF(EA596="A veces",2,
IF(EA596="A menudo",3,
IF(EA596="Siempre",4,"")))))</f>
        <v>2</v>
      </c>
      <c r="EC596" s="5" t="s">
        <v>248</v>
      </c>
      <c r="ED596" s="5">
        <f>IF(EC596="Nunca/ casi nunca",0,
IF(EC596="Rara vez",1,
IF(EC596="A veces",2,
IF(EC596="A menudo",3,
IF(EC596="Siempre",4,"")))))</f>
        <v>1</v>
      </c>
      <c r="EE596" s="5" t="s">
        <v>253</v>
      </c>
      <c r="EF596" s="5">
        <f>IF(EE596="Nunca/ casi nunca",0,
IF(EE596="Rara vez",1,
IF(EE596="A veces",2,
IF(EE596="A menudo",3,
IF(EE596="Siempre",4,"")))))</f>
        <v>0</v>
      </c>
      <c r="EG596" s="5">
        <f>SUM(EB596,ED596,EF596)</f>
        <v>3</v>
      </c>
      <c r="EH596" s="5" t="str">
        <f>IF(EG596&lt;=1,"Nivel de riesgo bajo",
IF(EG596&lt;=4,"Nivel de riesgo medio",
"Nivel de riesgo alto"))</f>
        <v>Nivel de riesgo medio</v>
      </c>
      <c r="EI596" s="5" t="s">
        <v>248</v>
      </c>
      <c r="EJ596" s="5">
        <f>IF(EI596="Nunca/ casi nunca",0,
IF(EI596="Rara vez",1,
IF(EI596="A veces",2,
IF(EI596="A menudo",3,
IF(EI596="Siempre",4,"")))))</f>
        <v>1</v>
      </c>
      <c r="EK596" s="5" t="s">
        <v>247</v>
      </c>
      <c r="EL596" s="5">
        <f>IF(EK596="Nunca/ casi nunca",0,
IF(EK596="Rara vez",1,
IF(EK596="A veces",2,
IF(EK596="A menudo",3,
IF(EK596="Siempre",4,"")))))</f>
        <v>2</v>
      </c>
      <c r="EM596" s="5" t="s">
        <v>247</v>
      </c>
      <c r="EN596" s="5">
        <f>IF(EM596="Nunca/ casi nunca",0,
IF(EM596="Rara vez",1,
IF(EM596="A veces",2,
IF(EM596="A menudo",3,
IF(EM596="Siempre",4,"")))))</f>
        <v>2</v>
      </c>
      <c r="EO596" s="5">
        <f>SUM(EJ596,EL596,EN596)</f>
        <v>5</v>
      </c>
      <c r="EP596" s="5" t="str">
        <f>IF(EO596&lt;=1,"Nivel de riesgo bajo",
IF(EO596&lt;=5,"Nivel de riesgo medio",
"Nivel de riesgo alto"))</f>
        <v>Nivel de riesgo medio</v>
      </c>
      <c r="EQ596" s="5" t="s">
        <v>232</v>
      </c>
      <c r="ER596" s="5">
        <f>IF(EQ596="Nunca/ casi nunca",4,
IF(EQ596="Rara vez",3,
IF(EQ596="A veces",2,
IF(EQ596="A menudo",1,
IF(EQ596="Siempre",0,"")))))</f>
        <v>1</v>
      </c>
      <c r="ES596" s="5" t="s">
        <v>254</v>
      </c>
      <c r="ET596" s="5">
        <f>IF(ES596="Nunca/ casi nunca",4,
IF(ES596="Rara vez",3,
IF(ES596="A veces",2,
IF(ES596="A menudo",1,
IF(ES596="Siempre",0,"")))))</f>
        <v>0</v>
      </c>
      <c r="EU596" s="5" t="s">
        <v>254</v>
      </c>
      <c r="EV596" s="5">
        <f>IF(EU596="Nunca/ casi nunca",4,
IF(EU596="Rara vez",3,
IF(EU596="A veces",2,
IF(EU596="A menudo",1,
IF(EU596="Siempre",0,"")))))</f>
        <v>0</v>
      </c>
      <c r="EW596" s="5" t="s">
        <v>254</v>
      </c>
      <c r="EX596" s="5">
        <f>IF(EW596="Nunca/ casi nunca",4,
IF(EW596="Rara vez",3,
IF(EW596="A veces",2,
IF(EW596="A menudo",1,
IF(EW596="Siempre",0,"")))))</f>
        <v>0</v>
      </c>
      <c r="EY596" s="5">
        <f>SUM(ER596,ET596,EV596,EX596)</f>
        <v>1</v>
      </c>
      <c r="EZ596" s="5" t="str">
        <f>IF(EY596&lt;=0,"Nivel de riesgo bajo",
IF(EY596&lt;=4,"Nivel de riesgo medio",
"Nivel de riesgo alto"))</f>
        <v>Nivel de riesgo medio</v>
      </c>
      <c r="FA596" s="5" t="s">
        <v>253</v>
      </c>
      <c r="FB596" s="5">
        <f>IF(FA596="Nunca/ casi nunca",0,
IF(FA596="Rara vez",1,
IF(FA596="A veces",2,
IF(FA596="A menudo",3,
IF(FA596="Siempre",4,"")))))</f>
        <v>0</v>
      </c>
      <c r="FC596" s="5" t="s">
        <v>253</v>
      </c>
      <c r="FD596" s="5">
        <f>IF(FC596="Nunca/ casi nunca",0,
IF(FC596="Rara vez",1,
IF(FC596="A veces",2,
IF(FC596="A menudo",3,
IF(FC596="Siempre",4,"")))))</f>
        <v>0</v>
      </c>
      <c r="FE596" s="5" t="s">
        <v>253</v>
      </c>
      <c r="FF596" s="5">
        <f>IF(FE596="Nunca/ casi nunca",0,
IF(FE596="Rara vez",1,
IF(FE596="A veces",2,
IF(FE596="A menudo",3,
IF(FE596="Siempre",4,"")))))</f>
        <v>0</v>
      </c>
      <c r="FG596" s="5">
        <f>SUM(FB596,FD596,FF596)</f>
        <v>0</v>
      </c>
      <c r="FH596" s="5" t="str">
        <f>IF(FG596&lt;=2,"Nivel de riesgo bajo",
IF(FG596&lt;=5,"Nivel de riesgo medio",
"Nivel de riesgo alto"))</f>
        <v>Nivel de riesgo bajo</v>
      </c>
      <c r="FI596" s="5" t="s">
        <v>253</v>
      </c>
      <c r="FJ596" s="5">
        <f>IF(FI596="Nunca/ casi nunca",0,
IF(FI596="Rara vez",1,
IF(FI596="A veces",2,
IF(FI596="A menudo",3,
IF(FI596="Siempre",4,"")))))</f>
        <v>0</v>
      </c>
      <c r="FK596" s="5" t="s">
        <v>248</v>
      </c>
      <c r="FL596" s="5">
        <f>IF(FK596="Nunca/ casi nunca",0,
IF(FK596="Rara vez",1,
IF(FK596="A veces",2,
IF(FK596="A menudo",3,
IF(FK596="Siempre",4,"")))))</f>
        <v>1</v>
      </c>
      <c r="FM596" s="5" t="s">
        <v>248</v>
      </c>
      <c r="FN596" s="5">
        <f>IF(FM596="Nunca/ casi nunca",0,
IF(FM596="Rara vez",1,
IF(FM596="A veces",2,
IF(FM596="A menudo",3,
IF(FM596="Siempre",4,"")))))</f>
        <v>1</v>
      </c>
      <c r="FO596" s="5">
        <f>SUM(FJ596,FL596,FN596)</f>
        <v>2</v>
      </c>
      <c r="FP596" s="5" t="str">
        <f>IF(FO596&lt;=2,"Nivel de riesgo bajo",
IF(FO596&lt;=5,"Nivel de riesgo medio",
"Nivel de riesgo alto"))</f>
        <v>Nivel de riesgo bajo</v>
      </c>
      <c r="FQ596" s="5" t="s">
        <v>265</v>
      </c>
      <c r="FR596" s="5">
        <f>IF(FQ596="No",0,
IF(FQ596="Sí, unas pocas veces",1,
IF(FQ596="Sí, mensualmente",2,
IF(FQ596="Sí, semanalmente",3,
IF(FQ596="Sí, diariamente",4,"")))))</f>
        <v>1</v>
      </c>
      <c r="FS596" s="5" t="s">
        <v>265</v>
      </c>
      <c r="FT596" s="5">
        <f>IF(FS596="No",0,
IF(FS596="Sí, unas pocas veces",1,
IF(FS596="Sí, mensualmente",2,
IF(FS596="Sí, semanalmente",3,
IF(FS596="Sí, diariamente",4,"")))))</f>
        <v>1</v>
      </c>
      <c r="FU596" s="5" t="s">
        <v>265</v>
      </c>
      <c r="FV596" s="5">
        <f>IF(FU596="No",0,
IF(FU596="Sí, unas pocas veces",1,
IF(FU596="Sí, mensualmente",2,
IF(FU596="Sí, semanalmente",3,
IF(FU596="Sí, diariamente",4,"")))))</f>
        <v>1</v>
      </c>
      <c r="FW596" s="5" t="s">
        <v>206</v>
      </c>
      <c r="FX596" s="5">
        <f>IF(FW596="No",0,
IF(FW596="Sí, unas pocas veces",1,
IF(FW596="Sí, mensualmente",2,
IF(FW596="Sí, semanalmente",3,
IF(FW596="Sí, diariamente",4,"")))))</f>
        <v>0</v>
      </c>
      <c r="FY596" s="5" t="s">
        <v>206</v>
      </c>
      <c r="FZ596" s="5">
        <f>IF(FY596="No",0,
IF(FY596="Sí, unas pocas veces",1,
IF(FY596="Sí, mensualmente",2,
IF(FY596="Sí, semanalmente",3,
IF(FY596="Sí, diariamente",4,"")))))</f>
        <v>0</v>
      </c>
      <c r="GA596" s="5" t="s">
        <v>265</v>
      </c>
      <c r="GB596" s="5">
        <f>IF(GA596="No",0,
IF(GA596="Sí, unas pocas veces",1,
IF(GA596="Sí, mensualmente",2,
IF(GA596="Sí, semanalmente",3,
IF(GA596="Sí, diariamente",4,"")))))</f>
        <v>1</v>
      </c>
      <c r="GC596" s="5" t="s">
        <v>265</v>
      </c>
      <c r="GD596" s="5">
        <f>IF(GC596="No",0,
IF(GC596="Sí, unas pocas veces",1,
IF(GC596="Sí, mensualmente",2,
IF(GC596="Sí, semanalmente",3,
IF(GC596="Sí, diariamente",4,"")))))</f>
        <v>1</v>
      </c>
      <c r="GE596" s="5">
        <f>SUM(FR596,FT596,FV596,FX596,FZ596,GB596,GD596)</f>
        <v>5</v>
      </c>
      <c r="GF596" s="5" t="str">
        <f>IF(GE596&lt;=0,"Nivel de riesgo bajo",
IF(GE596&lt;=14,"Nivel de riesgo medio",
"Nivel de riesgo alto"))</f>
        <v>Nivel de riesgo medio</v>
      </c>
      <c r="GG596" s="5" t="s">
        <v>255</v>
      </c>
      <c r="GH596" s="5" t="s">
        <v>298</v>
      </c>
      <c r="GI596" s="5" t="s">
        <v>298</v>
      </c>
      <c r="GJ596" s="5" t="s">
        <v>255</v>
      </c>
      <c r="GK596" s="5" t="s">
        <v>233</v>
      </c>
      <c r="GL596" s="5" t="s">
        <v>233</v>
      </c>
      <c r="GM596" s="5" t="s">
        <v>233</v>
      </c>
      <c r="GN596" s="5" t="s">
        <v>256</v>
      </c>
      <c r="GO596" s="5" t="s">
        <v>256</v>
      </c>
      <c r="GP596" s="5" t="s">
        <v>257</v>
      </c>
      <c r="GQ596" s="5" t="s">
        <v>257</v>
      </c>
      <c r="GR596" s="5" t="s">
        <v>257</v>
      </c>
      <c r="GS596" s="5" t="s">
        <v>257</v>
      </c>
      <c r="GT596" s="5" t="s">
        <v>257</v>
      </c>
      <c r="GU596" s="5" t="s">
        <v>963</v>
      </c>
      <c r="GV596" s="5" t="str">
        <f>TEXT("6297480596696262307","0")</f>
        <v>6297480596696260000</v>
      </c>
    </row>
    <row r="597" spans="1:204" ht="15.75" customHeight="1" x14ac:dyDescent="0.15">
      <c r="A597" s="1">
        <f>ROW(A597)</f>
        <v>597</v>
      </c>
      <c r="B597" s="4">
        <v>45869.351412037038</v>
      </c>
      <c r="C597" s="5" t="s">
        <v>204</v>
      </c>
      <c r="D597" s="5" t="s">
        <v>206</v>
      </c>
      <c r="F597" s="5" t="s">
        <v>206</v>
      </c>
      <c r="G597" s="5" t="s">
        <v>206</v>
      </c>
      <c r="H597" s="5" t="s">
        <v>206</v>
      </c>
      <c r="J597" s="5" t="s">
        <v>209</v>
      </c>
      <c r="O597" s="5" t="s">
        <v>209</v>
      </c>
      <c r="T597" s="5" t="s">
        <v>209</v>
      </c>
      <c r="Y597" s="5" t="s">
        <v>209</v>
      </c>
      <c r="AD597" s="5" t="s">
        <v>209</v>
      </c>
      <c r="AH597" s="5" t="s">
        <v>275</v>
      </c>
      <c r="AI597" s="5">
        <v>2003</v>
      </c>
      <c r="AJ597" s="5" t="s">
        <v>238</v>
      </c>
      <c r="AK597" s="5" t="str">
        <f>IF(OR(AJ597="Empleada del sector privado",AJ597="Empleada del sector público"),"Asalariada",
IF(AJ597="Trabajadora por cuenta propia","Trabajadora por cuenta propia",""))</f>
        <v>Trabajadora por cuenta propia</v>
      </c>
      <c r="AL597" s="5" t="s">
        <v>239</v>
      </c>
      <c r="AP597" s="5" t="s">
        <v>284</v>
      </c>
      <c r="AR597" s="5" t="s">
        <v>241</v>
      </c>
      <c r="AS597" s="5" t="s">
        <v>241</v>
      </c>
      <c r="AT597" s="5" t="s">
        <v>241</v>
      </c>
      <c r="AU597" s="5" t="s">
        <v>241</v>
      </c>
      <c r="AV597" s="5" t="s">
        <v>457</v>
      </c>
      <c r="AW597" s="5" t="s">
        <v>206</v>
      </c>
      <c r="BF597" s="5" t="s">
        <v>204</v>
      </c>
      <c r="BG597" s="5" t="s">
        <v>207</v>
      </c>
      <c r="BH597" s="5" t="s">
        <v>215</v>
      </c>
      <c r="BI597" s="5" t="s">
        <v>207</v>
      </c>
      <c r="BJ597" s="5" t="s">
        <v>215</v>
      </c>
      <c r="BK597" s="5" t="s">
        <v>244</v>
      </c>
      <c r="BL597" s="5" t="s">
        <v>246</v>
      </c>
      <c r="BM597" s="5" t="s">
        <v>246</v>
      </c>
      <c r="BN597" s="5" t="s">
        <v>246</v>
      </c>
      <c r="BO597" s="5" t="s">
        <v>246</v>
      </c>
      <c r="BP597" s="5" t="s">
        <v>216</v>
      </c>
      <c r="BQ597" s="5" t="s">
        <v>216</v>
      </c>
      <c r="BR597" s="5" t="s">
        <v>216</v>
      </c>
      <c r="BS597" s="5" t="s">
        <v>247</v>
      </c>
      <c r="BT597" s="5" t="s">
        <v>247</v>
      </c>
      <c r="BU597" s="5" t="s">
        <v>247</v>
      </c>
      <c r="BV597" s="5" t="s">
        <v>247</v>
      </c>
      <c r="BW597" s="5" t="s">
        <v>247</v>
      </c>
      <c r="BX597" s="5" t="s">
        <v>247</v>
      </c>
      <c r="BY597" s="5" t="s">
        <v>247</v>
      </c>
      <c r="CD597" s="5" t="s">
        <v>206</v>
      </c>
      <c r="CH597" s="5" t="s">
        <v>206</v>
      </c>
      <c r="CI597" s="5" t="s">
        <v>291</v>
      </c>
      <c r="CJ597" s="5">
        <v>3</v>
      </c>
      <c r="CK597" s="5" t="s">
        <v>223</v>
      </c>
      <c r="CU597" s="5" t="s">
        <v>206</v>
      </c>
      <c r="DA597" s="5" t="s">
        <v>272</v>
      </c>
      <c r="DB597" s="5">
        <f>IF(DA597="Mejor que lo habitual",1,
IF(DA597="Igual que lo habitual",2,
IF(DA597="Menos que lo habitual",3,
IF(DA597="Mucho menos que lo habitual",4,""))))</f>
        <v>1</v>
      </c>
      <c r="DC597" s="5" t="s">
        <v>251</v>
      </c>
      <c r="DD597" s="5">
        <f>IF(DC597="No, en absoluto",1,
IF(DC597="No más que lo habitual",2,
IF(DC597="Bastante más que lo habitual",3,
IF(DC597="Mucho más que lo habitual",4,""))))</f>
        <v>1</v>
      </c>
      <c r="DE597" s="5" t="s">
        <v>251</v>
      </c>
      <c r="DF597" s="5">
        <f>IF(DE597="No, en absoluto",1,
IF(DE597="No más que lo habitual",2,
IF(DE597="Bastante más que lo habitual",3,
IF(DE597="Mucho más que lo habitual",4,""))))</f>
        <v>1</v>
      </c>
      <c r="DG597" s="5" t="s">
        <v>280</v>
      </c>
      <c r="DH597" s="5">
        <f>IF(DG597="No, en absoluto",1,
IF(DG597="No más que lo habitual",2,
IF(DG597="Bastante más que lo habitual",3,
IF(DG597="Mucho más que lo habitual",4,""))))</f>
        <v>4</v>
      </c>
      <c r="DI597" s="5" t="s">
        <v>250</v>
      </c>
      <c r="DJ597" s="5">
        <f>IF(DI597="No, en absoluto",1,
IF(DI597="No más que lo habitual",2,
IF(DI597="Bastante más que lo habitual",3,
IF(DI597="Mucho más que lo habitual",4,""))))</f>
        <v>3</v>
      </c>
      <c r="DK597" s="5" t="s">
        <v>230</v>
      </c>
      <c r="DL597" s="5">
        <f>IF(DK597="No, en absoluto",1,
IF(DK597="No más que lo habitual",2,
IF(DK597="Bastante más que lo habitual",3,
IF(DK597="Mucho más que lo habitual",4,""))))</f>
        <v>2</v>
      </c>
      <c r="DM597" s="5" t="s">
        <v>251</v>
      </c>
      <c r="DN597" s="5">
        <f>IF(DM597="No, en absoluto",1,
IF(DM597="No más que lo habitual",2,
IF(DM597="Bastante más que lo habitual",3,
IF(DM597="Mucho más que lo habitual",4,""))))</f>
        <v>1</v>
      </c>
      <c r="DO597" s="5" t="s">
        <v>281</v>
      </c>
      <c r="DP597" s="5">
        <f>IF(DO597="Más que lo habitual",1,
IF(DO597="Igual que lo habitual",2,
IF(DO597="Menos que lo habitual",3,
IF(DO597="Mucho menos que lo habitual",4,""))))</f>
        <v>1</v>
      </c>
      <c r="DQ597" s="5" t="s">
        <v>281</v>
      </c>
      <c r="DR597" s="5">
        <f>IF(DQ597="Más que lo habitual",1,
IF(DQ597="Igual que lo habitual",2,
IF(DQ597="Menos que lo habitual",3,
IF(DQ597="Mucho menos que lo habitual",4,""))))</f>
        <v>1</v>
      </c>
      <c r="DS597" s="5" t="s">
        <v>281</v>
      </c>
      <c r="DT597" s="5">
        <f>IF(DS597="Más que lo habitual",1,
IF(DS597="Igual que lo habitual",2,
IF(DS597="Menos que lo habitual",3,
IF(DS597="Mucho menos que lo habitual",4,""))))</f>
        <v>1</v>
      </c>
      <c r="DU597" s="5" t="s">
        <v>281</v>
      </c>
      <c r="DV597" s="5">
        <f>IF(DU597="Más que lo habitual",1,
IF(DU597="Igual que lo habitual",2,
IF(DU597="Menos que lo habitual",3,
IF(DU597="Mucho menos que lo habitual",4,""))))</f>
        <v>1</v>
      </c>
      <c r="DW597" s="5" t="s">
        <v>281</v>
      </c>
      <c r="DX597" s="5">
        <f>IF(DW597="Más que lo habitual",1,
IF(DW597="Igual que lo habitual",2,
IF(DW597="Menos que lo habitual",3,
IF(DW597="Mucho menos que lo habitual",4,""))))</f>
        <v>1</v>
      </c>
      <c r="DY597" s="5">
        <f>SUM(DB597,DD597,DF597,DH597,DJ597,DL597,DN597,DP597,DR597,DT597,DV597,DX597)</f>
        <v>18</v>
      </c>
      <c r="DZ597" s="5" t="str">
        <f>IF(DY597&lt;=18,"Nivel de riesgo bajo",
IF(DY597&lt;=23,"Nivel de riesgo medio",
"Nivel de riesgo alto"))</f>
        <v>Nivel de riesgo bajo</v>
      </c>
      <c r="EA597" s="5" t="s">
        <v>247</v>
      </c>
      <c r="EB597" s="5">
        <f>IF(EA597="Nunca/ casi nunca",0,
IF(EA597="Rara vez",1,
IF(EA597="A veces",2,
IF(EA597="A menudo",3,
IF(EA597="Siempre",4,"")))))</f>
        <v>2</v>
      </c>
      <c r="EC597" s="5" t="s">
        <v>232</v>
      </c>
      <c r="ED597" s="5">
        <f>IF(EC597="Nunca/ casi nunca",0,
IF(EC597="Rara vez",1,
IF(EC597="A veces",2,
IF(EC597="A menudo",3,
IF(EC597="Siempre",4,"")))))</f>
        <v>3</v>
      </c>
      <c r="EE597" s="5" t="s">
        <v>248</v>
      </c>
      <c r="EF597" s="5">
        <f>IF(EE597="Nunca/ casi nunca",0,
IF(EE597="Rara vez",1,
IF(EE597="A veces",2,
IF(EE597="A menudo",3,
IF(EE597="Siempre",4,"")))))</f>
        <v>1</v>
      </c>
      <c r="EG597" s="5">
        <f>SUM(EB597,ED597,EF597)</f>
        <v>6</v>
      </c>
      <c r="EH597" s="5" t="str">
        <f>IF(EG597&lt;=1,"Nivel de riesgo bajo",
IF(EG597&lt;=4,"Nivel de riesgo medio",
"Nivel de riesgo alto"))</f>
        <v>Nivel de riesgo alto</v>
      </c>
      <c r="EI597" s="5" t="s">
        <v>253</v>
      </c>
      <c r="EJ597" s="5">
        <f>IF(EI597="Nunca/ casi nunca",0,
IF(EI597="Rara vez",1,
IF(EI597="A veces",2,
IF(EI597="A menudo",3,
IF(EI597="Siempre",4,"")))))</f>
        <v>0</v>
      </c>
      <c r="EK597" s="5" t="s">
        <v>253</v>
      </c>
      <c r="EL597" s="5">
        <f>IF(EK597="Nunca/ casi nunca",0,
IF(EK597="Rara vez",1,
IF(EK597="A veces",2,
IF(EK597="A menudo",3,
IF(EK597="Siempre",4,"")))))</f>
        <v>0</v>
      </c>
      <c r="EM597" s="5" t="s">
        <v>253</v>
      </c>
      <c r="EN597" s="5">
        <f>IF(EM597="Nunca/ casi nunca",0,
IF(EM597="Rara vez",1,
IF(EM597="A veces",2,
IF(EM597="A menudo",3,
IF(EM597="Siempre",4,"")))))</f>
        <v>0</v>
      </c>
      <c r="EO597" s="5">
        <f>SUM(EJ597,EL597,EN597)</f>
        <v>0</v>
      </c>
      <c r="EP597" s="5" t="str">
        <f>IF(EO597&lt;=1,"Nivel de riesgo bajo",
IF(EO597&lt;=5,"Nivel de riesgo medio",
"Nivel de riesgo alto"))</f>
        <v>Nivel de riesgo bajo</v>
      </c>
      <c r="EQ597" s="5" t="s">
        <v>253</v>
      </c>
      <c r="ER597" s="5">
        <f>IF(EQ597="Nunca/ casi nunca",4,
IF(EQ597="Rara vez",3,
IF(EQ597="A veces",2,
IF(EQ597="A menudo",1,
IF(EQ597="Siempre",0,"")))))</f>
        <v>4</v>
      </c>
      <c r="ES597" s="5" t="s">
        <v>253</v>
      </c>
      <c r="ET597" s="5">
        <f>IF(ES597="Nunca/ casi nunca",4,
IF(ES597="Rara vez",3,
IF(ES597="A veces",2,
IF(ES597="A menudo",1,
IF(ES597="Siempre",0,"")))))</f>
        <v>4</v>
      </c>
      <c r="EU597" s="5" t="s">
        <v>254</v>
      </c>
      <c r="EV597" s="5">
        <f>IF(EU597="Nunca/ casi nunca",4,
IF(EU597="Rara vez",3,
IF(EU597="A veces",2,
IF(EU597="A menudo",1,
IF(EU597="Siempre",0,"")))))</f>
        <v>0</v>
      </c>
      <c r="EW597" s="5" t="s">
        <v>254</v>
      </c>
      <c r="EX597" s="5">
        <f>IF(EW597="Nunca/ casi nunca",4,
IF(EW597="Rara vez",3,
IF(EW597="A veces",2,
IF(EW597="A menudo",1,
IF(EW597="Siempre",0,"")))))</f>
        <v>0</v>
      </c>
      <c r="EY597" s="5">
        <f>SUM(ER597,ET597,EV597,EX597)</f>
        <v>8</v>
      </c>
      <c r="EZ597" s="5" t="str">
        <f>IF(EY597&lt;=0,"Nivel de riesgo bajo",
IF(EY597&lt;=4,"Nivel de riesgo medio",
"Nivel de riesgo alto"))</f>
        <v>Nivel de riesgo alto</v>
      </c>
      <c r="FA597" s="5" t="s">
        <v>253</v>
      </c>
      <c r="FB597" s="5">
        <f>IF(FA597="Nunca/ casi nunca",0,
IF(FA597="Rara vez",1,
IF(FA597="A veces",2,
IF(FA597="A menudo",3,
IF(FA597="Siempre",4,"")))))</f>
        <v>0</v>
      </c>
      <c r="FC597" s="5" t="s">
        <v>253</v>
      </c>
      <c r="FD597" s="5">
        <f>IF(FC597="Nunca/ casi nunca",0,
IF(FC597="Rara vez",1,
IF(FC597="A veces",2,
IF(FC597="A menudo",3,
IF(FC597="Siempre",4,"")))))</f>
        <v>0</v>
      </c>
      <c r="FE597" s="5" t="s">
        <v>253</v>
      </c>
      <c r="FF597" s="5">
        <f>IF(FE597="Nunca/ casi nunca",0,
IF(FE597="Rara vez",1,
IF(FE597="A veces",2,
IF(FE597="A menudo",3,
IF(FE597="Siempre",4,"")))))</f>
        <v>0</v>
      </c>
      <c r="FG597" s="5">
        <f>SUM(FB597,FD597,FF597)</f>
        <v>0</v>
      </c>
      <c r="FH597" s="5" t="str">
        <f>IF(FG597&lt;=2,"Nivel de riesgo bajo",
IF(FG597&lt;=5,"Nivel de riesgo medio",
"Nivel de riesgo alto"))</f>
        <v>Nivel de riesgo bajo</v>
      </c>
      <c r="FI597" s="5" t="s">
        <v>253</v>
      </c>
      <c r="FJ597" s="5">
        <f>IF(FI597="Nunca/ casi nunca",0,
IF(FI597="Rara vez",1,
IF(FI597="A veces",2,
IF(FI597="A menudo",3,
IF(FI597="Siempre",4,"")))))</f>
        <v>0</v>
      </c>
      <c r="FK597" s="5" t="s">
        <v>253</v>
      </c>
      <c r="FL597" s="5">
        <f>IF(FK597="Nunca/ casi nunca",0,
IF(FK597="Rara vez",1,
IF(FK597="A veces",2,
IF(FK597="A menudo",3,
IF(FK597="Siempre",4,"")))))</f>
        <v>0</v>
      </c>
      <c r="FM597" s="5" t="s">
        <v>253</v>
      </c>
      <c r="FN597" s="5">
        <f>IF(FM597="Nunca/ casi nunca",0,
IF(FM597="Rara vez",1,
IF(FM597="A veces",2,
IF(FM597="A menudo",3,
IF(FM597="Siempre",4,"")))))</f>
        <v>0</v>
      </c>
      <c r="FO597" s="5">
        <f>SUM(FJ597,FL597,FN597)</f>
        <v>0</v>
      </c>
      <c r="FP597" s="5" t="str">
        <f>IF(FO597&lt;=2,"Nivel de riesgo bajo",
IF(FO597&lt;=5,"Nivel de riesgo medio",
"Nivel de riesgo alto"))</f>
        <v>Nivel de riesgo bajo</v>
      </c>
      <c r="FQ597" s="5" t="s">
        <v>206</v>
      </c>
      <c r="FR597" s="5">
        <f>IF(FQ597="No",0,
IF(FQ597="Sí, unas pocas veces",1,
IF(FQ597="Sí, mensualmente",2,
IF(FQ597="Sí, semanalmente",3,
IF(FQ597="Sí, diariamente",4,"")))))</f>
        <v>0</v>
      </c>
      <c r="FS597" s="5" t="s">
        <v>206</v>
      </c>
      <c r="FT597" s="5">
        <f>IF(FS597="No",0,
IF(FS597="Sí, unas pocas veces",1,
IF(FS597="Sí, mensualmente",2,
IF(FS597="Sí, semanalmente",3,
IF(FS597="Sí, diariamente",4,"")))))</f>
        <v>0</v>
      </c>
      <c r="FU597" s="5" t="s">
        <v>206</v>
      </c>
      <c r="FV597" s="5">
        <f>IF(FU597="No",0,
IF(FU597="Sí, unas pocas veces",1,
IF(FU597="Sí, mensualmente",2,
IF(FU597="Sí, semanalmente",3,
IF(FU597="Sí, diariamente",4,"")))))</f>
        <v>0</v>
      </c>
      <c r="FW597" s="5" t="s">
        <v>206</v>
      </c>
      <c r="FX597" s="5">
        <f>IF(FW597="No",0,
IF(FW597="Sí, unas pocas veces",1,
IF(FW597="Sí, mensualmente",2,
IF(FW597="Sí, semanalmente",3,
IF(FW597="Sí, diariamente",4,"")))))</f>
        <v>0</v>
      </c>
      <c r="FY597" s="5" t="s">
        <v>206</v>
      </c>
      <c r="FZ597" s="5">
        <f>IF(FY597="No",0,
IF(FY597="Sí, unas pocas veces",1,
IF(FY597="Sí, mensualmente",2,
IF(FY597="Sí, semanalmente",3,
IF(FY597="Sí, diariamente",4,"")))))</f>
        <v>0</v>
      </c>
      <c r="GA597" s="5" t="s">
        <v>206</v>
      </c>
      <c r="GB597" s="5">
        <f>IF(GA597="No",0,
IF(GA597="Sí, unas pocas veces",1,
IF(GA597="Sí, mensualmente",2,
IF(GA597="Sí, semanalmente",3,
IF(GA597="Sí, diariamente",4,"")))))</f>
        <v>0</v>
      </c>
      <c r="GC597" s="5" t="s">
        <v>206</v>
      </c>
      <c r="GD597" s="5">
        <f>IF(GC597="No",0,
IF(GC597="Sí, unas pocas veces",1,
IF(GC597="Sí, mensualmente",2,
IF(GC597="Sí, semanalmente",3,
IF(GC597="Sí, diariamente",4,"")))))</f>
        <v>0</v>
      </c>
      <c r="GE597" s="5">
        <f>SUM(FR597,FT597,FV597,FX597,FZ597,GB597,GD597)</f>
        <v>0</v>
      </c>
      <c r="GF597" s="5" t="str">
        <f>IF(GE597&lt;=0,"Nivel de riesgo bajo",
IF(GE597&lt;=14,"Nivel de riesgo medio",
"Nivel de riesgo alto"))</f>
        <v>Nivel de riesgo bajo</v>
      </c>
      <c r="GG597" s="5" t="s">
        <v>255</v>
      </c>
      <c r="GH597" s="5" t="s">
        <v>255</v>
      </c>
      <c r="GI597" s="5" t="s">
        <v>255</v>
      </c>
      <c r="GJ597" s="5" t="s">
        <v>233</v>
      </c>
      <c r="GK597" s="5" t="s">
        <v>233</v>
      </c>
      <c r="GL597" s="5" t="s">
        <v>266</v>
      </c>
      <c r="GM597" s="5" t="s">
        <v>266</v>
      </c>
      <c r="GN597" s="5" t="s">
        <v>257</v>
      </c>
      <c r="GO597" s="5" t="s">
        <v>257</v>
      </c>
      <c r="GP597" s="5" t="s">
        <v>257</v>
      </c>
      <c r="GQ597" s="5" t="s">
        <v>257</v>
      </c>
      <c r="GR597" s="5" t="s">
        <v>257</v>
      </c>
      <c r="GS597" s="5" t="s">
        <v>257</v>
      </c>
      <c r="GT597" s="5" t="s">
        <v>257</v>
      </c>
      <c r="GU597" s="5" t="s">
        <v>964</v>
      </c>
      <c r="GV597" s="5" t="str">
        <f>TEXT("6297739627559542975","0")</f>
        <v>6297739627559540000</v>
      </c>
    </row>
    <row r="598" spans="1:204" ht="15.75" hidden="1" customHeight="1" x14ac:dyDescent="0.15">
      <c r="B598" s="4">
        <v>45876.558923611112</v>
      </c>
      <c r="C598" s="5" t="s">
        <v>206</v>
      </c>
      <c r="GV598" s="5" t="str">
        <f>TEXT("6303966916245287539","0")</f>
        <v>6303966916245280000</v>
      </c>
    </row>
    <row r="599" spans="1:204" ht="15.75" customHeight="1" x14ac:dyDescent="0.15">
      <c r="A599" s="1">
        <f>ROW(A599)</f>
        <v>599</v>
      </c>
      <c r="B599" s="4">
        <v>45877.546898148146</v>
      </c>
      <c r="C599" s="5" t="s">
        <v>204</v>
      </c>
      <c r="D599" s="5" t="s">
        <v>206</v>
      </c>
      <c r="F599" s="5" t="s">
        <v>206</v>
      </c>
      <c r="G599" s="5" t="s">
        <v>206</v>
      </c>
      <c r="H599" s="5" t="s">
        <v>206</v>
      </c>
      <c r="J599" s="5" t="s">
        <v>209</v>
      </c>
      <c r="R599" s="5" t="s">
        <v>207</v>
      </c>
      <c r="S599" s="5" t="s">
        <v>208</v>
      </c>
      <c r="AB599" s="5" t="s">
        <v>207</v>
      </c>
      <c r="AG599" s="5" t="s">
        <v>207</v>
      </c>
      <c r="AH599" s="5" t="s">
        <v>210</v>
      </c>
      <c r="AI599" s="5">
        <v>2022</v>
      </c>
      <c r="AJ599" s="5" t="s">
        <v>238</v>
      </c>
      <c r="AK599" s="5" t="str">
        <f>IF(OR(AJ599="Empleada del sector privado",AJ599="Empleada del sector público"),"Asalariada",
IF(AJ599="Trabajadora por cuenta propia","Trabajadora por cuenta propia",""))</f>
        <v>Trabajadora por cuenta propia</v>
      </c>
      <c r="AL599" s="5" t="s">
        <v>239</v>
      </c>
      <c r="AP599" s="5" t="s">
        <v>284</v>
      </c>
      <c r="AR599" s="5" t="s">
        <v>301</v>
      </c>
      <c r="AS599" s="5" t="s">
        <v>301</v>
      </c>
      <c r="AT599" s="5" t="s">
        <v>301</v>
      </c>
      <c r="AU599" s="5" t="s">
        <v>276</v>
      </c>
      <c r="AV599" s="5" t="s">
        <v>269</v>
      </c>
      <c r="AW599" s="5" t="s">
        <v>204</v>
      </c>
      <c r="AX599" s="5" t="s">
        <v>206</v>
      </c>
      <c r="BF599" s="5" t="s">
        <v>204</v>
      </c>
      <c r="BG599" s="5" t="s">
        <v>207</v>
      </c>
      <c r="BH599" s="5" t="s">
        <v>215</v>
      </c>
      <c r="BI599" s="5" t="s">
        <v>207</v>
      </c>
      <c r="BJ599" s="5" t="s">
        <v>264</v>
      </c>
      <c r="BK599" s="5" t="s">
        <v>246</v>
      </c>
      <c r="BL599" s="5" t="s">
        <v>246</v>
      </c>
      <c r="BM599" s="5" t="s">
        <v>216</v>
      </c>
      <c r="BN599" s="5" t="s">
        <v>244</v>
      </c>
      <c r="BO599" s="5" t="s">
        <v>244</v>
      </c>
      <c r="BP599" s="5" t="s">
        <v>244</v>
      </c>
      <c r="BQ599" s="5" t="s">
        <v>216</v>
      </c>
      <c r="BR599" s="5" t="s">
        <v>246</v>
      </c>
      <c r="BS599" s="5" t="s">
        <v>247</v>
      </c>
      <c r="BT599" s="5" t="s">
        <v>248</v>
      </c>
      <c r="BU599" s="5" t="s">
        <v>247</v>
      </c>
      <c r="BV599" s="5" t="s">
        <v>217</v>
      </c>
      <c r="BW599" s="5" t="s">
        <v>248</v>
      </c>
      <c r="BX599" s="5" t="s">
        <v>217</v>
      </c>
      <c r="BY599" s="5" t="s">
        <v>217</v>
      </c>
      <c r="BZ599" s="5" t="s">
        <v>244</v>
      </c>
      <c r="CA599" s="5" t="s">
        <v>244</v>
      </c>
      <c r="CB599" s="5" t="s">
        <v>244</v>
      </c>
      <c r="CC599" s="5" t="s">
        <v>244</v>
      </c>
      <c r="CD599" s="5" t="s">
        <v>206</v>
      </c>
      <c r="CH599" s="5" t="s">
        <v>367</v>
      </c>
      <c r="CI599" s="5" t="s">
        <v>307</v>
      </c>
      <c r="CJ599" s="5">
        <v>2</v>
      </c>
      <c r="CO599" s="5" t="s">
        <v>433</v>
      </c>
      <c r="CU599" s="5" t="s">
        <v>204</v>
      </c>
      <c r="CV599" s="5" t="s">
        <v>350</v>
      </c>
      <c r="CW599" s="5" t="s">
        <v>371</v>
      </c>
      <c r="CX599" s="5" t="s">
        <v>226</v>
      </c>
      <c r="CY599" s="5" t="s">
        <v>353</v>
      </c>
      <c r="CZ599" s="5" t="s">
        <v>206</v>
      </c>
      <c r="DA599" s="5" t="s">
        <v>272</v>
      </c>
      <c r="DB599" s="5">
        <f>IF(DA599="Mejor que lo habitual",1,
IF(DA599="Igual que lo habitual",2,
IF(DA599="Menos que lo habitual",3,
IF(DA599="Mucho menos que lo habitual",4,""))))</f>
        <v>1</v>
      </c>
      <c r="DC599" s="5" t="s">
        <v>251</v>
      </c>
      <c r="DD599" s="5">
        <f>IF(DC599="No, en absoluto",1,
IF(DC599="No más que lo habitual",2,
IF(DC599="Bastante más que lo habitual",3,
IF(DC599="Mucho más que lo habitual",4,""))))</f>
        <v>1</v>
      </c>
      <c r="DE599" s="5" t="s">
        <v>251</v>
      </c>
      <c r="DF599" s="5">
        <f>IF(DE599="No, en absoluto",1,
IF(DE599="No más que lo habitual",2,
IF(DE599="Bastante más que lo habitual",3,
IF(DE599="Mucho más que lo habitual",4,""))))</f>
        <v>1</v>
      </c>
      <c r="DG599" s="5" t="s">
        <v>251</v>
      </c>
      <c r="DH599" s="5">
        <f>IF(DG599="No, en absoluto",1,
IF(DG599="No más que lo habitual",2,
IF(DG599="Bastante más que lo habitual",3,
IF(DG599="Mucho más que lo habitual",4,""))))</f>
        <v>1</v>
      </c>
      <c r="DI599" s="5" t="s">
        <v>251</v>
      </c>
      <c r="DJ599" s="5">
        <f>IF(DI599="No, en absoluto",1,
IF(DI599="No más que lo habitual",2,
IF(DI599="Bastante más que lo habitual",3,
IF(DI599="Mucho más que lo habitual",4,""))))</f>
        <v>1</v>
      </c>
      <c r="DK599" s="5" t="s">
        <v>251</v>
      </c>
      <c r="DL599" s="5">
        <f>IF(DK599="No, en absoluto",1,
IF(DK599="No más que lo habitual",2,
IF(DK599="Bastante más que lo habitual",3,
IF(DK599="Mucho más que lo habitual",4,""))))</f>
        <v>1</v>
      </c>
      <c r="DM599" s="5" t="s">
        <v>251</v>
      </c>
      <c r="DN599" s="5">
        <f>IF(DM599="No, en absoluto",1,
IF(DM599="No más que lo habitual",2,
IF(DM599="Bastante más que lo habitual",3,
IF(DM599="Mucho más que lo habitual",4,""))))</f>
        <v>1</v>
      </c>
      <c r="DO599" s="5" t="s">
        <v>281</v>
      </c>
      <c r="DP599" s="5">
        <f>IF(DO599="Más que lo habitual",1,
IF(DO599="Igual que lo habitual",2,
IF(DO599="Menos que lo habitual",3,
IF(DO599="Mucho menos que lo habitual",4,""))))</f>
        <v>1</v>
      </c>
      <c r="DQ599" s="5" t="s">
        <v>231</v>
      </c>
      <c r="DR599" s="5">
        <f>IF(DQ599="Más que lo habitual",1,
IF(DQ599="Igual que lo habitual",2,
IF(DQ599="Menos que lo habitual",3,
IF(DQ599="Mucho menos que lo habitual",4,""))))</f>
        <v>2</v>
      </c>
      <c r="DS599" s="5" t="s">
        <v>231</v>
      </c>
      <c r="DT599" s="5">
        <f>IF(DS599="Más que lo habitual",1,
IF(DS599="Igual que lo habitual",2,
IF(DS599="Menos que lo habitual",3,
IF(DS599="Mucho menos que lo habitual",4,""))))</f>
        <v>2</v>
      </c>
      <c r="DU599" s="5" t="s">
        <v>231</v>
      </c>
      <c r="DV599" s="5">
        <f>IF(DU599="Más que lo habitual",1,
IF(DU599="Igual que lo habitual",2,
IF(DU599="Menos que lo habitual",3,
IF(DU599="Mucho menos que lo habitual",4,""))))</f>
        <v>2</v>
      </c>
      <c r="DW599" s="5" t="s">
        <v>231</v>
      </c>
      <c r="DX599" s="5">
        <f>IF(DW599="Más que lo habitual",1,
IF(DW599="Igual que lo habitual",2,
IF(DW599="Menos que lo habitual",3,
IF(DW599="Mucho menos que lo habitual",4,""))))</f>
        <v>2</v>
      </c>
      <c r="DY599" s="5">
        <f>SUM(DB599,DD599,DF599,DH599,DJ599,DL599,DN599,DP599,DR599,DT599,DV599,DX599)</f>
        <v>16</v>
      </c>
      <c r="DZ599" s="5" t="str">
        <f>IF(DY599&lt;=18,"Nivel de riesgo bajo",
IF(DY599&lt;=23,"Nivel de riesgo medio",
"Nivel de riesgo alto"))</f>
        <v>Nivel de riesgo bajo</v>
      </c>
      <c r="EA599" s="5" t="s">
        <v>247</v>
      </c>
      <c r="EB599" s="5">
        <f>IF(EA599="Nunca/ casi nunca",0,
IF(EA599="Rara vez",1,
IF(EA599="A veces",2,
IF(EA599="A menudo",3,
IF(EA599="Siempre",4,"")))))</f>
        <v>2</v>
      </c>
      <c r="EC599" s="5" t="s">
        <v>248</v>
      </c>
      <c r="ED599" s="5">
        <f>IF(EC599="Nunca/ casi nunca",0,
IF(EC599="Rara vez",1,
IF(EC599="A veces",2,
IF(EC599="A menudo",3,
IF(EC599="Siempre",4,"")))))</f>
        <v>1</v>
      </c>
      <c r="EE599" s="5" t="s">
        <v>253</v>
      </c>
      <c r="EF599" s="5">
        <f>IF(EE599="Nunca/ casi nunca",0,
IF(EE599="Rara vez",1,
IF(EE599="A veces",2,
IF(EE599="A menudo",3,
IF(EE599="Siempre",4,"")))))</f>
        <v>0</v>
      </c>
      <c r="EG599" s="5">
        <f>SUM(EB599,ED599,EF599)</f>
        <v>3</v>
      </c>
      <c r="EH599" s="5" t="str">
        <f>IF(EG599&lt;=1,"Nivel de riesgo bajo",
IF(EG599&lt;=4,"Nivel de riesgo medio",
"Nivel de riesgo alto"))</f>
        <v>Nivel de riesgo medio</v>
      </c>
      <c r="EI599" s="5" t="s">
        <v>253</v>
      </c>
      <c r="EJ599" s="5">
        <f>IF(EI599="Nunca/ casi nunca",0,
IF(EI599="Rara vez",1,
IF(EI599="A veces",2,
IF(EI599="A menudo",3,
IF(EI599="Siempre",4,"")))))</f>
        <v>0</v>
      </c>
      <c r="EK599" s="5" t="s">
        <v>254</v>
      </c>
      <c r="EL599" s="5">
        <f>IF(EK599="Nunca/ casi nunca",0,
IF(EK599="Rara vez",1,
IF(EK599="A veces",2,
IF(EK599="A menudo",3,
IF(EK599="Siempre",4,"")))))</f>
        <v>4</v>
      </c>
      <c r="EM599" s="5" t="s">
        <v>232</v>
      </c>
      <c r="EN599" s="5">
        <f>IF(EM599="Nunca/ casi nunca",0,
IF(EM599="Rara vez",1,
IF(EM599="A veces",2,
IF(EM599="A menudo",3,
IF(EM599="Siempre",4,"")))))</f>
        <v>3</v>
      </c>
      <c r="EO599" s="5">
        <f>SUM(EJ599,EL599,EN599)</f>
        <v>7</v>
      </c>
      <c r="EP599" s="5" t="str">
        <f>IF(EO599&lt;=1,"Nivel de riesgo bajo",
IF(EO599&lt;=5,"Nivel de riesgo medio",
"Nivel de riesgo alto"))</f>
        <v>Nivel de riesgo alto</v>
      </c>
      <c r="EQ599" s="5" t="s">
        <v>253</v>
      </c>
      <c r="ER599" s="5">
        <f>IF(EQ599="Nunca/ casi nunca",4,
IF(EQ599="Rara vez",3,
IF(EQ599="A veces",2,
IF(EQ599="A menudo",1,
IF(EQ599="Siempre",0,"")))))</f>
        <v>4</v>
      </c>
      <c r="ES599" s="5" t="s">
        <v>253</v>
      </c>
      <c r="ET599" s="5">
        <f>IF(ES599="Nunca/ casi nunca",4,
IF(ES599="Rara vez",3,
IF(ES599="A veces",2,
IF(ES599="A menudo",1,
IF(ES599="Siempre",0,"")))))</f>
        <v>4</v>
      </c>
      <c r="EU599" s="5" t="s">
        <v>232</v>
      </c>
      <c r="EV599" s="5">
        <f>IF(EU599="Nunca/ casi nunca",4,
IF(EU599="Rara vez",3,
IF(EU599="A veces",2,
IF(EU599="A menudo",1,
IF(EU599="Siempre",0,"")))))</f>
        <v>1</v>
      </c>
      <c r="EW599" s="5" t="s">
        <v>232</v>
      </c>
      <c r="EX599" s="5">
        <f>IF(EW599="Nunca/ casi nunca",4,
IF(EW599="Rara vez",3,
IF(EW599="A veces",2,
IF(EW599="A menudo",1,
IF(EW599="Siempre",0,"")))))</f>
        <v>1</v>
      </c>
      <c r="EY599" s="5">
        <f>SUM(ER599,ET599,EV599,EX599)</f>
        <v>10</v>
      </c>
      <c r="EZ599" s="5" t="str">
        <f>IF(EY599&lt;=0,"Nivel de riesgo bajo",
IF(EY599&lt;=4,"Nivel de riesgo medio",
"Nivel de riesgo alto"))</f>
        <v>Nivel de riesgo alto</v>
      </c>
      <c r="FA599" s="5" t="s">
        <v>253</v>
      </c>
      <c r="FB599" s="5">
        <f>IF(FA599="Nunca/ casi nunca",0,
IF(FA599="Rara vez",1,
IF(FA599="A veces",2,
IF(FA599="A menudo",3,
IF(FA599="Siempre",4,"")))))</f>
        <v>0</v>
      </c>
      <c r="FC599" s="5" t="s">
        <v>253</v>
      </c>
      <c r="FD599" s="5">
        <f>IF(FC599="Nunca/ casi nunca",0,
IF(FC599="Rara vez",1,
IF(FC599="A veces",2,
IF(FC599="A menudo",3,
IF(FC599="Siempre",4,"")))))</f>
        <v>0</v>
      </c>
      <c r="FE599" s="5" t="s">
        <v>253</v>
      </c>
      <c r="FF599" s="5">
        <f>IF(FE599="Nunca/ casi nunca",0,
IF(FE599="Rara vez",1,
IF(FE599="A veces",2,
IF(FE599="A menudo",3,
IF(FE599="Siempre",4,"")))))</f>
        <v>0</v>
      </c>
      <c r="FG599" s="5">
        <f>SUM(FB599,FD599,FF599)</f>
        <v>0</v>
      </c>
      <c r="FH599" s="5" t="str">
        <f>IF(FG599&lt;=2,"Nivel de riesgo bajo",
IF(FG599&lt;=5,"Nivel de riesgo medio",
"Nivel de riesgo alto"))</f>
        <v>Nivel de riesgo bajo</v>
      </c>
      <c r="FI599" s="5" t="s">
        <v>253</v>
      </c>
      <c r="FJ599" s="5">
        <f>IF(FI599="Nunca/ casi nunca",0,
IF(FI599="Rara vez",1,
IF(FI599="A veces",2,
IF(FI599="A menudo",3,
IF(FI599="Siempre",4,"")))))</f>
        <v>0</v>
      </c>
      <c r="FK599" s="5" t="s">
        <v>253</v>
      </c>
      <c r="FL599" s="5">
        <f>IF(FK599="Nunca/ casi nunca",0,
IF(FK599="Rara vez",1,
IF(FK599="A veces",2,
IF(FK599="A menudo",3,
IF(FK599="Siempre",4,"")))))</f>
        <v>0</v>
      </c>
      <c r="FM599" s="5" t="s">
        <v>248</v>
      </c>
      <c r="FN599" s="5">
        <f>IF(FM599="Nunca/ casi nunca",0,
IF(FM599="Rara vez",1,
IF(FM599="A veces",2,
IF(FM599="A menudo",3,
IF(FM599="Siempre",4,"")))))</f>
        <v>1</v>
      </c>
      <c r="FO599" s="5">
        <f>SUM(FJ599,FL599,FN599)</f>
        <v>1</v>
      </c>
      <c r="FP599" s="5" t="str">
        <f>IF(FO599&lt;=2,"Nivel de riesgo bajo",
IF(FO599&lt;=5,"Nivel de riesgo medio",
"Nivel de riesgo alto"))</f>
        <v>Nivel de riesgo bajo</v>
      </c>
      <c r="FQ599" s="5" t="s">
        <v>206</v>
      </c>
      <c r="FR599" s="5">
        <f>IF(FQ599="No",0,
IF(FQ599="Sí, unas pocas veces",1,
IF(FQ599="Sí, mensualmente",2,
IF(FQ599="Sí, semanalmente",3,
IF(FQ599="Sí, diariamente",4,"")))))</f>
        <v>0</v>
      </c>
      <c r="FS599" s="5" t="s">
        <v>206</v>
      </c>
      <c r="FT599" s="5">
        <f>IF(FS599="No",0,
IF(FS599="Sí, unas pocas veces",1,
IF(FS599="Sí, mensualmente",2,
IF(FS599="Sí, semanalmente",3,
IF(FS599="Sí, diariamente",4,"")))))</f>
        <v>0</v>
      </c>
      <c r="FU599" s="5" t="s">
        <v>206</v>
      </c>
      <c r="FV599" s="5">
        <f>IF(FU599="No",0,
IF(FU599="Sí, unas pocas veces",1,
IF(FU599="Sí, mensualmente",2,
IF(FU599="Sí, semanalmente",3,
IF(FU599="Sí, diariamente",4,"")))))</f>
        <v>0</v>
      </c>
      <c r="FW599" s="5" t="s">
        <v>206</v>
      </c>
      <c r="FX599" s="5">
        <f>IF(FW599="No",0,
IF(FW599="Sí, unas pocas veces",1,
IF(FW599="Sí, mensualmente",2,
IF(FW599="Sí, semanalmente",3,
IF(FW599="Sí, diariamente",4,"")))))</f>
        <v>0</v>
      </c>
      <c r="FY599" s="5" t="s">
        <v>206</v>
      </c>
      <c r="FZ599" s="5">
        <f>IF(FY599="No",0,
IF(FY599="Sí, unas pocas veces",1,
IF(FY599="Sí, mensualmente",2,
IF(FY599="Sí, semanalmente",3,
IF(FY599="Sí, diariamente",4,"")))))</f>
        <v>0</v>
      </c>
      <c r="GA599" s="5" t="s">
        <v>206</v>
      </c>
      <c r="GB599" s="5">
        <f>IF(GA599="No",0,
IF(GA599="Sí, unas pocas veces",1,
IF(GA599="Sí, mensualmente",2,
IF(GA599="Sí, semanalmente",3,
IF(GA599="Sí, diariamente",4,"")))))</f>
        <v>0</v>
      </c>
      <c r="GC599" s="5" t="s">
        <v>206</v>
      </c>
      <c r="GD599" s="5">
        <f>IF(GC599="No",0,
IF(GC599="Sí, unas pocas veces",1,
IF(GC599="Sí, mensualmente",2,
IF(GC599="Sí, semanalmente",3,
IF(GC599="Sí, diariamente",4,"")))))</f>
        <v>0</v>
      </c>
      <c r="GE599" s="5">
        <f>SUM(FR599,FT599,FV599,FX599,FZ599,GB599,GD599)</f>
        <v>0</v>
      </c>
      <c r="GF599" s="5" t="str">
        <f>IF(GE599&lt;=0,"Nivel de riesgo bajo",
IF(GE599&lt;=14,"Nivel de riesgo medio",
"Nivel de riesgo alto"))</f>
        <v>Nivel de riesgo bajo</v>
      </c>
      <c r="GG599" s="5" t="s">
        <v>255</v>
      </c>
      <c r="GH599" s="5" t="s">
        <v>255</v>
      </c>
      <c r="GI599" s="5" t="s">
        <v>255</v>
      </c>
      <c r="GJ599" s="5" t="s">
        <v>298</v>
      </c>
      <c r="GK599" s="5" t="s">
        <v>233</v>
      </c>
      <c r="GL599" s="5" t="s">
        <v>233</v>
      </c>
      <c r="GM599" s="5" t="s">
        <v>233</v>
      </c>
      <c r="GN599" s="5" t="s">
        <v>256</v>
      </c>
      <c r="GO599" s="5" t="s">
        <v>256</v>
      </c>
      <c r="GP599" s="5" t="s">
        <v>256</v>
      </c>
      <c r="GQ599" s="5" t="s">
        <v>256</v>
      </c>
      <c r="GR599" s="5" t="s">
        <v>256</v>
      </c>
      <c r="GS599" s="5" t="s">
        <v>256</v>
      </c>
      <c r="GT599" s="5" t="s">
        <v>256</v>
      </c>
      <c r="GU599" s="5" t="s">
        <v>965</v>
      </c>
      <c r="GV599" s="5" t="str">
        <f>TEXT("6304820524318558971","0")</f>
        <v>6304820524318550000</v>
      </c>
    </row>
  </sheetData>
  <autoFilter ref="AJ1:AJ599" xr:uid="{00000000-0009-0000-0000-000000000000}">
    <filterColumn colId="0">
      <filters>
        <filter val="Empleada del sector privado"/>
        <filter val="Empleada del sector público"/>
        <filter val="Trabajadora por cuenta propia"/>
      </filters>
    </filterColumn>
  </autoFilter>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K503"/>
  <sheetViews>
    <sheetView workbookViewId="0">
      <selection activeCell="C2" sqref="C2"/>
    </sheetView>
  </sheetViews>
  <sheetFormatPr baseColWidth="10" defaultColWidth="12.5" defaultRowHeight="15" customHeight="1" x14ac:dyDescent="0.15"/>
  <cols>
    <col min="1" max="50" width="8.5" customWidth="1"/>
    <col min="51" max="51" width="71.1640625" customWidth="1"/>
    <col min="52" max="63" width="8.5" customWidth="1"/>
  </cols>
  <sheetData>
    <row r="1" spans="1:63" ht="12.75" customHeight="1" x14ac:dyDescent="0.15">
      <c r="A1" s="1" t="s">
        <v>35</v>
      </c>
      <c r="B1" s="1" t="s">
        <v>36</v>
      </c>
      <c r="C1" s="1" t="s">
        <v>105</v>
      </c>
      <c r="D1" s="1" t="s">
        <v>107</v>
      </c>
      <c r="E1" s="1" t="s">
        <v>109</v>
      </c>
      <c r="F1" s="1" t="s">
        <v>111</v>
      </c>
      <c r="G1" s="1" t="s">
        <v>113</v>
      </c>
      <c r="H1" s="1" t="s">
        <v>115</v>
      </c>
      <c r="I1" s="1" t="s">
        <v>117</v>
      </c>
      <c r="J1" s="1" t="s">
        <v>119</v>
      </c>
      <c r="K1" s="1" t="s">
        <v>121</v>
      </c>
      <c r="L1" s="1" t="s">
        <v>123</v>
      </c>
      <c r="M1" s="1" t="s">
        <v>125</v>
      </c>
      <c r="N1" s="1" t="s">
        <v>127</v>
      </c>
      <c r="O1" s="1" t="s">
        <v>966</v>
      </c>
      <c r="P1" s="1" t="s">
        <v>967</v>
      </c>
      <c r="Q1" s="1" t="s">
        <v>131</v>
      </c>
      <c r="R1" s="1" t="s">
        <v>133</v>
      </c>
      <c r="S1" s="1" t="s">
        <v>135</v>
      </c>
      <c r="T1" s="1" t="s">
        <v>968</v>
      </c>
      <c r="U1" s="1" t="s">
        <v>137</v>
      </c>
      <c r="V1" s="1" t="s">
        <v>139</v>
      </c>
      <c r="W1" s="1" t="s">
        <v>141</v>
      </c>
      <c r="X1" s="1" t="s">
        <v>143</v>
      </c>
      <c r="Y1" s="1" t="s">
        <v>144</v>
      </c>
      <c r="Z1" s="1" t="s">
        <v>145</v>
      </c>
      <c r="AA1" s="1" t="s">
        <v>147</v>
      </c>
      <c r="AB1" s="1" t="s">
        <v>149</v>
      </c>
      <c r="AC1" s="1" t="s">
        <v>151</v>
      </c>
      <c r="AD1" s="1" t="s">
        <v>153</v>
      </c>
      <c r="AE1" s="1" t="s">
        <v>154</v>
      </c>
      <c r="AF1" s="1" t="s">
        <v>155</v>
      </c>
      <c r="AG1" s="1" t="s">
        <v>157</v>
      </c>
      <c r="AH1" s="1" t="s">
        <v>159</v>
      </c>
      <c r="AI1" s="1" t="s">
        <v>161</v>
      </c>
      <c r="AJ1" s="1" t="s">
        <v>162</v>
      </c>
      <c r="AK1" s="1" t="s">
        <v>163</v>
      </c>
      <c r="AL1" s="1" t="s">
        <v>165</v>
      </c>
      <c r="AM1" s="1" t="s">
        <v>167</v>
      </c>
      <c r="AN1" s="1" t="s">
        <v>169</v>
      </c>
      <c r="AO1" s="1" t="s">
        <v>170</v>
      </c>
      <c r="AP1" s="1" t="s">
        <v>171</v>
      </c>
      <c r="AQ1" s="1" t="s">
        <v>173</v>
      </c>
      <c r="AR1" s="1" t="s">
        <v>175</v>
      </c>
      <c r="AS1" s="1" t="s">
        <v>177</v>
      </c>
      <c r="AT1" s="1" t="s">
        <v>179</v>
      </c>
      <c r="AU1" s="1" t="s">
        <v>181</v>
      </c>
      <c r="AV1" s="1" t="s">
        <v>183</v>
      </c>
      <c r="AW1" s="1" t="s">
        <v>185</v>
      </c>
      <c r="AX1" s="1" t="s">
        <v>186</v>
      </c>
      <c r="AY1" s="1" t="s">
        <v>187</v>
      </c>
      <c r="AZ1" s="1" t="s">
        <v>969</v>
      </c>
      <c r="BA1" s="1" t="s">
        <v>970</v>
      </c>
      <c r="BB1" s="1" t="s">
        <v>971</v>
      </c>
      <c r="BC1" s="1" t="s">
        <v>972</v>
      </c>
      <c r="BD1" s="1" t="s">
        <v>973</v>
      </c>
      <c r="BE1" s="1" t="s">
        <v>974</v>
      </c>
      <c r="BF1" s="1" t="s">
        <v>975</v>
      </c>
      <c r="BG1" s="1" t="s">
        <v>976</v>
      </c>
      <c r="BH1" s="1" t="s">
        <v>977</v>
      </c>
      <c r="BI1" s="1" t="s">
        <v>978</v>
      </c>
      <c r="BJ1" s="1" t="s">
        <v>979</v>
      </c>
      <c r="BK1" s="1" t="s">
        <v>980</v>
      </c>
    </row>
    <row r="2" spans="1:63" ht="12.75" customHeight="1" x14ac:dyDescent="0.15">
      <c r="A2" s="5" t="s">
        <v>238</v>
      </c>
      <c r="B2" s="5" t="s">
        <v>238</v>
      </c>
      <c r="C2" s="5">
        <v>2</v>
      </c>
      <c r="D2" s="5">
        <v>3</v>
      </c>
      <c r="E2" s="5">
        <v>2</v>
      </c>
      <c r="F2" s="5">
        <v>1</v>
      </c>
      <c r="G2" s="5">
        <v>2</v>
      </c>
      <c r="H2" s="5">
        <v>1</v>
      </c>
      <c r="I2" s="5">
        <v>1</v>
      </c>
      <c r="J2" s="5">
        <v>4</v>
      </c>
      <c r="K2" s="5">
        <v>4</v>
      </c>
      <c r="L2" s="5">
        <v>4</v>
      </c>
      <c r="M2" s="5">
        <v>4</v>
      </c>
      <c r="N2" s="5">
        <v>3</v>
      </c>
      <c r="O2" s="5">
        <v>31</v>
      </c>
      <c r="P2" s="5" t="s">
        <v>981</v>
      </c>
      <c r="Q2" s="5">
        <v>2</v>
      </c>
      <c r="R2" s="5">
        <v>1</v>
      </c>
      <c r="S2" s="5">
        <v>0</v>
      </c>
      <c r="T2" s="5">
        <v>3</v>
      </c>
      <c r="U2" s="5" t="s">
        <v>982</v>
      </c>
      <c r="V2" s="5">
        <v>1</v>
      </c>
      <c r="W2" s="5">
        <v>3</v>
      </c>
      <c r="X2" s="5">
        <v>4</v>
      </c>
      <c r="Y2" s="5">
        <v>8</v>
      </c>
      <c r="Z2" s="5" t="s">
        <v>981</v>
      </c>
      <c r="AA2" s="5">
        <v>4</v>
      </c>
      <c r="AB2" s="5">
        <v>4</v>
      </c>
      <c r="AC2" s="5">
        <v>4</v>
      </c>
      <c r="AD2" s="5">
        <v>4</v>
      </c>
      <c r="AE2" s="5">
        <v>16</v>
      </c>
      <c r="AF2" s="5" t="s">
        <v>981</v>
      </c>
      <c r="AG2" s="5">
        <v>0</v>
      </c>
      <c r="AH2" s="5">
        <v>0</v>
      </c>
      <c r="AI2" s="5">
        <v>4</v>
      </c>
      <c r="AJ2" s="5">
        <v>4</v>
      </c>
      <c r="AK2" s="5" t="s">
        <v>982</v>
      </c>
      <c r="AL2" s="5">
        <v>4</v>
      </c>
      <c r="AM2" s="5">
        <v>4</v>
      </c>
      <c r="AN2" s="5">
        <v>4</v>
      </c>
      <c r="AO2" s="5">
        <v>12</v>
      </c>
      <c r="AP2" s="5" t="s">
        <v>981</v>
      </c>
      <c r="AQ2" s="5">
        <v>0</v>
      </c>
      <c r="AR2" s="5">
        <v>0</v>
      </c>
      <c r="AS2" s="5">
        <v>0</v>
      </c>
      <c r="AT2" s="5">
        <v>0</v>
      </c>
      <c r="AU2" s="5">
        <v>0</v>
      </c>
      <c r="AV2" s="5">
        <v>0</v>
      </c>
      <c r="AW2" s="5">
        <v>0</v>
      </c>
      <c r="AX2" s="5">
        <v>0</v>
      </c>
      <c r="AY2" s="5" t="s">
        <v>983</v>
      </c>
      <c r="AZ2" s="1">
        <v>0</v>
      </c>
      <c r="BA2" s="1">
        <v>0</v>
      </c>
      <c r="BB2" s="1">
        <v>0</v>
      </c>
      <c r="BC2" s="1">
        <v>1</v>
      </c>
      <c r="BD2" s="1">
        <v>1</v>
      </c>
      <c r="BE2" s="1">
        <v>1</v>
      </c>
      <c r="BF2" s="1">
        <v>46</v>
      </c>
      <c r="BG2" s="1">
        <v>0</v>
      </c>
      <c r="BH2" s="1">
        <v>16</v>
      </c>
      <c r="BI2" s="1">
        <v>1</v>
      </c>
      <c r="BJ2" s="1">
        <v>620000</v>
      </c>
      <c r="BK2" s="1">
        <v>4</v>
      </c>
    </row>
    <row r="3" spans="1:63" ht="12.75" customHeight="1" x14ac:dyDescent="0.15">
      <c r="A3" s="5" t="s">
        <v>238</v>
      </c>
      <c r="B3" s="5" t="s">
        <v>238</v>
      </c>
      <c r="C3" s="5">
        <v>2</v>
      </c>
      <c r="D3" s="5">
        <v>3</v>
      </c>
      <c r="E3" s="5">
        <v>3</v>
      </c>
      <c r="F3" s="5">
        <v>4</v>
      </c>
      <c r="G3" s="5">
        <v>4</v>
      </c>
      <c r="H3" s="5">
        <v>1</v>
      </c>
      <c r="I3" s="5">
        <v>1</v>
      </c>
      <c r="J3" s="5">
        <v>4</v>
      </c>
      <c r="K3" s="5">
        <v>1</v>
      </c>
      <c r="L3" s="5">
        <v>2</v>
      </c>
      <c r="M3" s="5">
        <v>1</v>
      </c>
      <c r="N3" s="5">
        <v>1</v>
      </c>
      <c r="O3" s="5">
        <v>27</v>
      </c>
      <c r="P3" s="5" t="s">
        <v>981</v>
      </c>
      <c r="Q3" s="5">
        <v>4</v>
      </c>
      <c r="R3" s="5">
        <v>4</v>
      </c>
      <c r="S3" s="5">
        <v>1</v>
      </c>
      <c r="T3" s="5">
        <v>9</v>
      </c>
      <c r="U3" s="5" t="s">
        <v>981</v>
      </c>
      <c r="V3" s="5">
        <v>2</v>
      </c>
      <c r="W3" s="5">
        <v>4</v>
      </c>
      <c r="X3" s="5">
        <v>4</v>
      </c>
      <c r="Y3" s="5">
        <v>10</v>
      </c>
      <c r="Z3" s="5" t="s">
        <v>981</v>
      </c>
      <c r="AA3" s="5">
        <v>0</v>
      </c>
      <c r="AB3" s="5">
        <v>0</v>
      </c>
      <c r="AC3" s="5">
        <v>0</v>
      </c>
      <c r="AD3" s="5">
        <v>0</v>
      </c>
      <c r="AE3" s="5">
        <v>0</v>
      </c>
      <c r="AF3" s="5" t="s">
        <v>983</v>
      </c>
      <c r="AG3" s="5">
        <v>4</v>
      </c>
      <c r="AH3" s="5">
        <v>2</v>
      </c>
      <c r="AI3" s="5">
        <v>4</v>
      </c>
      <c r="AJ3" s="5">
        <v>10</v>
      </c>
      <c r="AK3" s="5" t="s">
        <v>981</v>
      </c>
      <c r="AL3" s="5">
        <v>4</v>
      </c>
      <c r="AM3" s="5">
        <v>4</v>
      </c>
      <c r="AN3" s="5">
        <v>3</v>
      </c>
      <c r="AO3" s="5">
        <v>11</v>
      </c>
      <c r="AP3" s="5" t="s">
        <v>981</v>
      </c>
      <c r="AQ3" s="5">
        <v>0</v>
      </c>
      <c r="AR3" s="5">
        <v>0</v>
      </c>
      <c r="AS3" s="5">
        <v>1</v>
      </c>
      <c r="AT3" s="5">
        <v>0</v>
      </c>
      <c r="AU3" s="5">
        <v>0</v>
      </c>
      <c r="AV3" s="5">
        <v>1</v>
      </c>
      <c r="AW3" s="5">
        <v>1</v>
      </c>
      <c r="AX3" s="5">
        <v>3</v>
      </c>
      <c r="AY3" s="5" t="s">
        <v>982</v>
      </c>
      <c r="AZ3" s="1">
        <v>0</v>
      </c>
      <c r="BA3" s="1">
        <v>0</v>
      </c>
      <c r="BB3" s="1">
        <v>0</v>
      </c>
      <c r="BC3" s="1">
        <v>1</v>
      </c>
      <c r="BD3" s="1">
        <v>1</v>
      </c>
      <c r="BE3" s="1">
        <v>1</v>
      </c>
      <c r="BF3" s="1">
        <v>60</v>
      </c>
      <c r="BG3" s="1">
        <v>0</v>
      </c>
      <c r="BH3" s="1">
        <v>16</v>
      </c>
      <c r="BI3" s="1">
        <v>18</v>
      </c>
      <c r="BJ3" s="1">
        <v>1800000</v>
      </c>
      <c r="BK3" s="1">
        <v>2</v>
      </c>
    </row>
    <row r="4" spans="1:63" ht="12.75" customHeight="1" x14ac:dyDescent="0.15">
      <c r="A4" s="5" t="s">
        <v>238</v>
      </c>
      <c r="B4" s="5" t="s">
        <v>238</v>
      </c>
      <c r="C4" s="5">
        <v>1</v>
      </c>
      <c r="D4" s="5">
        <v>1</v>
      </c>
      <c r="E4" s="5">
        <v>1</v>
      </c>
      <c r="F4" s="5">
        <v>1</v>
      </c>
      <c r="G4" s="5">
        <v>1</v>
      </c>
      <c r="H4" s="5">
        <v>1</v>
      </c>
      <c r="I4" s="5">
        <v>1</v>
      </c>
      <c r="J4" s="5">
        <v>1</v>
      </c>
      <c r="K4" s="5">
        <v>1</v>
      </c>
      <c r="L4" s="5">
        <v>1</v>
      </c>
      <c r="M4" s="5">
        <v>1</v>
      </c>
      <c r="N4" s="5">
        <v>1</v>
      </c>
      <c r="O4" s="5">
        <v>12</v>
      </c>
      <c r="P4" s="5" t="s">
        <v>983</v>
      </c>
      <c r="Q4" s="5">
        <v>2</v>
      </c>
      <c r="R4" s="5">
        <v>2</v>
      </c>
      <c r="S4" s="5">
        <v>2</v>
      </c>
      <c r="T4" s="5">
        <v>6</v>
      </c>
      <c r="U4" s="5" t="s">
        <v>981</v>
      </c>
      <c r="V4" s="5">
        <v>2</v>
      </c>
      <c r="W4" s="5">
        <v>2</v>
      </c>
      <c r="X4" s="5">
        <v>2</v>
      </c>
      <c r="Y4" s="5">
        <v>6</v>
      </c>
      <c r="Z4" s="5" t="s">
        <v>981</v>
      </c>
      <c r="AA4" s="6">
        <v>2</v>
      </c>
      <c r="AB4" s="5">
        <v>2</v>
      </c>
      <c r="AC4" s="5">
        <v>2</v>
      </c>
      <c r="AD4" s="5">
        <v>2</v>
      </c>
      <c r="AE4" s="5">
        <v>8</v>
      </c>
      <c r="AF4" s="5" t="s">
        <v>981</v>
      </c>
      <c r="AG4" s="5">
        <v>2</v>
      </c>
      <c r="AH4" s="5">
        <v>2</v>
      </c>
      <c r="AI4" s="5">
        <v>2</v>
      </c>
      <c r="AJ4" s="5">
        <v>6</v>
      </c>
      <c r="AK4" s="5" t="s">
        <v>981</v>
      </c>
      <c r="AL4" s="5">
        <v>2</v>
      </c>
      <c r="AM4" s="5">
        <v>2</v>
      </c>
      <c r="AN4" s="5">
        <v>2</v>
      </c>
      <c r="AO4" s="5">
        <v>6</v>
      </c>
      <c r="AP4" s="5" t="s">
        <v>981</v>
      </c>
      <c r="AQ4" s="5">
        <v>0</v>
      </c>
      <c r="AR4" s="5">
        <v>0</v>
      </c>
      <c r="AS4" s="5">
        <v>0</v>
      </c>
      <c r="AT4" s="5">
        <v>0</v>
      </c>
      <c r="AU4" s="5">
        <v>0</v>
      </c>
      <c r="AV4" s="5">
        <v>0</v>
      </c>
      <c r="AW4" s="5">
        <v>0</v>
      </c>
      <c r="AX4" s="5">
        <v>0</v>
      </c>
      <c r="AY4" s="5" t="s">
        <v>983</v>
      </c>
      <c r="AZ4" s="1">
        <v>1</v>
      </c>
      <c r="BA4" s="1">
        <v>0</v>
      </c>
      <c r="BB4" s="1">
        <v>0</v>
      </c>
      <c r="BC4" s="1">
        <v>1</v>
      </c>
      <c r="BD4" s="1">
        <v>0</v>
      </c>
      <c r="BE4" s="1">
        <v>0</v>
      </c>
      <c r="BF4" s="1">
        <v>40</v>
      </c>
      <c r="BG4" s="1">
        <v>1</v>
      </c>
      <c r="BH4" s="1">
        <v>14</v>
      </c>
      <c r="BI4" s="1">
        <v>1</v>
      </c>
      <c r="BJ4" s="1">
        <v>40000</v>
      </c>
      <c r="BK4" s="1">
        <v>3</v>
      </c>
    </row>
    <row r="5" spans="1:63" ht="12.75" customHeight="1" x14ac:dyDescent="0.15">
      <c r="A5" s="5" t="s">
        <v>238</v>
      </c>
      <c r="B5" s="5" t="s">
        <v>238</v>
      </c>
      <c r="C5" s="5">
        <v>3</v>
      </c>
      <c r="D5" s="5">
        <v>1</v>
      </c>
      <c r="E5" s="5">
        <v>3</v>
      </c>
      <c r="F5" s="5">
        <v>2</v>
      </c>
      <c r="G5" s="5">
        <v>4</v>
      </c>
      <c r="H5" s="5">
        <v>3</v>
      </c>
      <c r="I5" s="5">
        <v>2</v>
      </c>
      <c r="J5" s="5">
        <v>3</v>
      </c>
      <c r="K5" s="5">
        <v>2</v>
      </c>
      <c r="L5" s="5">
        <v>3</v>
      </c>
      <c r="M5" s="5">
        <v>3</v>
      </c>
      <c r="N5" s="5">
        <v>3</v>
      </c>
      <c r="O5" s="5">
        <v>32</v>
      </c>
      <c r="P5" s="5" t="s">
        <v>981</v>
      </c>
      <c r="Q5" s="5">
        <v>3</v>
      </c>
      <c r="R5" s="5">
        <v>3</v>
      </c>
      <c r="S5" s="5">
        <v>2</v>
      </c>
      <c r="T5" s="5">
        <v>8</v>
      </c>
      <c r="U5" s="5" t="s">
        <v>981</v>
      </c>
      <c r="V5" s="5">
        <v>2</v>
      </c>
      <c r="W5" s="5">
        <v>2</v>
      </c>
      <c r="X5" s="5">
        <v>3</v>
      </c>
      <c r="Y5" s="5">
        <v>7</v>
      </c>
      <c r="Z5" s="5" t="s">
        <v>981</v>
      </c>
      <c r="AA5" s="5">
        <v>4</v>
      </c>
      <c r="AB5" s="5">
        <v>4</v>
      </c>
      <c r="AC5" s="5">
        <v>4</v>
      </c>
      <c r="AD5" s="5">
        <v>4</v>
      </c>
      <c r="AE5" s="5">
        <v>16</v>
      </c>
      <c r="AF5" s="5" t="s">
        <v>981</v>
      </c>
      <c r="AG5" s="5">
        <v>0</v>
      </c>
      <c r="AH5" s="5">
        <v>0</v>
      </c>
      <c r="AI5" s="5">
        <v>0</v>
      </c>
      <c r="AJ5" s="5">
        <v>0</v>
      </c>
      <c r="AK5" s="5" t="s">
        <v>983</v>
      </c>
      <c r="AL5" s="5">
        <v>2</v>
      </c>
      <c r="AM5" s="5">
        <v>2</v>
      </c>
      <c r="AN5" s="5">
        <v>3</v>
      </c>
      <c r="AO5" s="5">
        <v>7</v>
      </c>
      <c r="AP5" s="5" t="s">
        <v>981</v>
      </c>
      <c r="AQ5" s="5">
        <v>1</v>
      </c>
      <c r="AR5" s="5">
        <v>0</v>
      </c>
      <c r="AS5" s="5">
        <v>0</v>
      </c>
      <c r="AT5" s="5">
        <v>0</v>
      </c>
      <c r="AU5" s="5">
        <v>0</v>
      </c>
      <c r="AV5" s="5">
        <v>1</v>
      </c>
      <c r="AW5" s="5">
        <v>0</v>
      </c>
      <c r="AX5" s="5">
        <v>2</v>
      </c>
      <c r="AY5" s="5" t="s">
        <v>982</v>
      </c>
      <c r="AZ5" s="1">
        <v>1</v>
      </c>
      <c r="BA5" s="1">
        <v>0</v>
      </c>
      <c r="BB5" s="1">
        <v>1</v>
      </c>
      <c r="BC5" s="1">
        <v>1</v>
      </c>
      <c r="BD5" s="1">
        <v>1</v>
      </c>
      <c r="BE5" s="1">
        <v>1</v>
      </c>
      <c r="BF5" s="1">
        <v>49</v>
      </c>
      <c r="BG5" s="1">
        <v>0</v>
      </c>
      <c r="BH5" s="1">
        <v>14</v>
      </c>
      <c r="BI5" s="1">
        <v>16</v>
      </c>
      <c r="BJ5" s="1">
        <v>0</v>
      </c>
      <c r="BK5" s="1">
        <v>3</v>
      </c>
    </row>
    <row r="6" spans="1:63" ht="12.75" customHeight="1" x14ac:dyDescent="0.15">
      <c r="A6" s="5" t="s">
        <v>238</v>
      </c>
      <c r="B6" s="5" t="s">
        <v>238</v>
      </c>
      <c r="C6" s="5">
        <v>2</v>
      </c>
      <c r="D6" s="5">
        <v>3</v>
      </c>
      <c r="E6" s="5">
        <v>3</v>
      </c>
      <c r="F6" s="5">
        <v>2</v>
      </c>
      <c r="G6" s="5">
        <v>1</v>
      </c>
      <c r="H6" s="5">
        <v>1</v>
      </c>
      <c r="I6" s="5">
        <v>1</v>
      </c>
      <c r="J6" s="5">
        <v>1</v>
      </c>
      <c r="K6" s="5">
        <v>1</v>
      </c>
      <c r="L6" s="5">
        <v>2</v>
      </c>
      <c r="M6" s="5">
        <v>2</v>
      </c>
      <c r="N6" s="5">
        <v>1</v>
      </c>
      <c r="O6" s="5">
        <v>20</v>
      </c>
      <c r="P6" s="5" t="s">
        <v>982</v>
      </c>
      <c r="Q6" s="5">
        <v>3</v>
      </c>
      <c r="R6" s="5">
        <v>3</v>
      </c>
      <c r="S6" s="5">
        <v>3</v>
      </c>
      <c r="T6" s="5">
        <v>9</v>
      </c>
      <c r="U6" s="5" t="s">
        <v>981</v>
      </c>
      <c r="V6" s="5">
        <v>2</v>
      </c>
      <c r="W6" s="5">
        <v>1</v>
      </c>
      <c r="X6" s="5">
        <v>3</v>
      </c>
      <c r="Y6" s="5">
        <v>6</v>
      </c>
      <c r="Z6" s="5" t="s">
        <v>981</v>
      </c>
      <c r="AA6" s="5">
        <v>1</v>
      </c>
      <c r="AB6" s="5">
        <v>1</v>
      </c>
      <c r="AC6" s="5">
        <v>1</v>
      </c>
      <c r="AD6" s="5">
        <v>1</v>
      </c>
      <c r="AE6" s="5">
        <v>4</v>
      </c>
      <c r="AF6" s="5" t="s">
        <v>982</v>
      </c>
      <c r="AG6" s="5">
        <v>2</v>
      </c>
      <c r="AH6" s="5">
        <v>1</v>
      </c>
      <c r="AI6" s="5">
        <v>1</v>
      </c>
      <c r="AJ6" s="5">
        <v>4</v>
      </c>
      <c r="AK6" s="5" t="s">
        <v>982</v>
      </c>
      <c r="AL6" s="5">
        <v>1</v>
      </c>
      <c r="AM6" s="5">
        <v>1</v>
      </c>
      <c r="AN6" s="5">
        <v>0</v>
      </c>
      <c r="AO6" s="5">
        <v>2</v>
      </c>
      <c r="AP6" s="5" t="s">
        <v>983</v>
      </c>
      <c r="AQ6" s="5">
        <v>1</v>
      </c>
      <c r="AR6" s="5">
        <v>0</v>
      </c>
      <c r="AS6" s="5">
        <v>0</v>
      </c>
      <c r="AT6" s="5">
        <v>1</v>
      </c>
      <c r="AU6" s="5">
        <v>0</v>
      </c>
      <c r="AV6" s="5">
        <v>1</v>
      </c>
      <c r="AW6" s="5">
        <v>1</v>
      </c>
      <c r="AX6" s="5">
        <v>4</v>
      </c>
      <c r="AY6" s="5" t="s">
        <v>982</v>
      </c>
      <c r="AZ6" s="1">
        <v>0</v>
      </c>
      <c r="BA6" s="1">
        <v>0</v>
      </c>
      <c r="BB6" s="1">
        <v>0</v>
      </c>
      <c r="BC6" s="1">
        <v>1</v>
      </c>
      <c r="BD6" s="1">
        <v>1</v>
      </c>
      <c r="BE6" s="1">
        <v>1</v>
      </c>
      <c r="BF6" s="1">
        <v>51</v>
      </c>
      <c r="BG6" s="1">
        <v>1</v>
      </c>
      <c r="BH6" s="1">
        <v>16</v>
      </c>
      <c r="BI6" s="1">
        <v>34</v>
      </c>
      <c r="BJ6" s="1">
        <v>750000</v>
      </c>
      <c r="BK6" s="1">
        <v>2</v>
      </c>
    </row>
    <row r="7" spans="1:63" ht="12.75" customHeight="1" x14ac:dyDescent="0.15">
      <c r="A7" s="5" t="s">
        <v>238</v>
      </c>
      <c r="B7" s="5" t="s">
        <v>238</v>
      </c>
      <c r="C7" s="5">
        <v>2</v>
      </c>
      <c r="D7" s="5">
        <v>2</v>
      </c>
      <c r="E7" s="5">
        <v>2</v>
      </c>
      <c r="F7" s="5">
        <v>3</v>
      </c>
      <c r="G7" s="5">
        <v>3</v>
      </c>
      <c r="H7" s="5">
        <v>3</v>
      </c>
      <c r="I7" s="5">
        <v>2</v>
      </c>
      <c r="J7" s="5">
        <v>1</v>
      </c>
      <c r="K7" s="5">
        <v>1</v>
      </c>
      <c r="L7" s="5">
        <v>2</v>
      </c>
      <c r="M7" s="5">
        <v>3</v>
      </c>
      <c r="N7" s="5">
        <v>2</v>
      </c>
      <c r="O7" s="5">
        <v>26</v>
      </c>
      <c r="P7" s="5" t="s">
        <v>981</v>
      </c>
      <c r="Q7" s="5">
        <v>1</v>
      </c>
      <c r="R7" s="5">
        <v>1</v>
      </c>
      <c r="S7" s="5">
        <v>1</v>
      </c>
      <c r="T7" s="5">
        <v>3</v>
      </c>
      <c r="U7" s="5" t="s">
        <v>982</v>
      </c>
      <c r="V7" s="5">
        <v>0</v>
      </c>
      <c r="W7" s="5">
        <v>0</v>
      </c>
      <c r="X7" s="5">
        <v>0</v>
      </c>
      <c r="Y7" s="5">
        <v>0</v>
      </c>
      <c r="Z7" s="5" t="s">
        <v>983</v>
      </c>
      <c r="AA7" s="5">
        <v>0</v>
      </c>
      <c r="AB7" s="5">
        <v>0</v>
      </c>
      <c r="AC7" s="5">
        <v>0</v>
      </c>
      <c r="AD7" s="5">
        <v>0</v>
      </c>
      <c r="AE7" s="5">
        <v>0</v>
      </c>
      <c r="AF7" s="5" t="s">
        <v>983</v>
      </c>
      <c r="AG7" s="5">
        <v>4</v>
      </c>
      <c r="AH7" s="5">
        <v>4</v>
      </c>
      <c r="AI7" s="5">
        <v>4</v>
      </c>
      <c r="AJ7" s="5">
        <v>12</v>
      </c>
      <c r="AK7" s="5" t="s">
        <v>981</v>
      </c>
      <c r="AL7" s="5">
        <v>1</v>
      </c>
      <c r="AM7" s="5">
        <v>0</v>
      </c>
      <c r="AN7" s="5">
        <v>0</v>
      </c>
      <c r="AO7" s="5">
        <v>1</v>
      </c>
      <c r="AP7" s="5" t="s">
        <v>983</v>
      </c>
      <c r="AQ7" s="5">
        <v>0</v>
      </c>
      <c r="AR7" s="5">
        <v>0</v>
      </c>
      <c r="AS7" s="5">
        <v>0</v>
      </c>
      <c r="AT7" s="5">
        <v>0</v>
      </c>
      <c r="AU7" s="5">
        <v>0</v>
      </c>
      <c r="AV7" s="5">
        <v>0</v>
      </c>
      <c r="AW7" s="5">
        <v>0</v>
      </c>
      <c r="AX7" s="5">
        <v>0</v>
      </c>
      <c r="AY7" s="5" t="s">
        <v>983</v>
      </c>
      <c r="AZ7" s="1">
        <v>1</v>
      </c>
      <c r="BA7" s="1">
        <v>0</v>
      </c>
      <c r="BB7" s="1">
        <v>1</v>
      </c>
      <c r="BC7" s="1">
        <v>1</v>
      </c>
      <c r="BD7" s="1">
        <v>0</v>
      </c>
      <c r="BE7" s="1">
        <v>1</v>
      </c>
      <c r="BF7" s="1">
        <v>56</v>
      </c>
      <c r="BG7" s="1">
        <v>1</v>
      </c>
      <c r="BH7" s="1">
        <v>14</v>
      </c>
      <c r="BI7" s="1">
        <v>28</v>
      </c>
      <c r="BJ7" s="1">
        <v>150000</v>
      </c>
      <c r="BK7" s="1">
        <v>2</v>
      </c>
    </row>
    <row r="8" spans="1:63" ht="12.75" customHeight="1" x14ac:dyDescent="0.15">
      <c r="A8" s="5" t="s">
        <v>238</v>
      </c>
      <c r="B8" s="5" t="s">
        <v>238</v>
      </c>
      <c r="C8" s="5">
        <v>2</v>
      </c>
      <c r="D8" s="5">
        <v>2</v>
      </c>
      <c r="E8" s="5">
        <v>1</v>
      </c>
      <c r="F8" s="5">
        <v>2</v>
      </c>
      <c r="G8" s="5">
        <v>2</v>
      </c>
      <c r="H8" s="5">
        <v>1</v>
      </c>
      <c r="I8" s="5">
        <v>1</v>
      </c>
      <c r="J8" s="5">
        <v>3</v>
      </c>
      <c r="K8" s="5">
        <v>2</v>
      </c>
      <c r="L8" s="5">
        <v>2</v>
      </c>
      <c r="M8" s="5">
        <v>2</v>
      </c>
      <c r="N8" s="5">
        <v>2</v>
      </c>
      <c r="O8" s="5">
        <v>22</v>
      </c>
      <c r="P8" s="5" t="s">
        <v>982</v>
      </c>
      <c r="Q8" s="5">
        <v>0</v>
      </c>
      <c r="R8" s="5">
        <v>0</v>
      </c>
      <c r="S8" s="5">
        <v>0</v>
      </c>
      <c r="T8" s="5">
        <v>0</v>
      </c>
      <c r="U8" s="5" t="s">
        <v>983</v>
      </c>
      <c r="V8" s="5">
        <v>1</v>
      </c>
      <c r="W8" s="5">
        <v>2</v>
      </c>
      <c r="X8" s="5">
        <v>2</v>
      </c>
      <c r="Y8" s="5">
        <v>5</v>
      </c>
      <c r="Z8" s="5" t="s">
        <v>982</v>
      </c>
      <c r="AA8" s="5">
        <v>2</v>
      </c>
      <c r="AB8" s="5">
        <v>0</v>
      </c>
      <c r="AC8" s="5">
        <v>0</v>
      </c>
      <c r="AD8" s="5">
        <v>0</v>
      </c>
      <c r="AE8" s="5">
        <v>2</v>
      </c>
      <c r="AF8" s="5" t="s">
        <v>982</v>
      </c>
      <c r="AG8" s="5">
        <v>0</v>
      </c>
      <c r="AH8" s="5">
        <v>1</v>
      </c>
      <c r="AI8" s="5">
        <v>1</v>
      </c>
      <c r="AJ8" s="5">
        <v>2</v>
      </c>
      <c r="AK8" s="5" t="s">
        <v>983</v>
      </c>
      <c r="AL8" s="5">
        <v>0</v>
      </c>
      <c r="AM8" s="5">
        <v>0</v>
      </c>
      <c r="AN8" s="5">
        <v>0</v>
      </c>
      <c r="AO8" s="5">
        <v>0</v>
      </c>
      <c r="AP8" s="5" t="s">
        <v>983</v>
      </c>
      <c r="AQ8" s="5">
        <v>0</v>
      </c>
      <c r="AR8" s="5">
        <v>0</v>
      </c>
      <c r="AS8" s="5">
        <v>0</v>
      </c>
      <c r="AT8" s="5">
        <v>0</v>
      </c>
      <c r="AU8" s="5">
        <v>0</v>
      </c>
      <c r="AV8" s="5">
        <v>0</v>
      </c>
      <c r="AW8" s="5">
        <v>0</v>
      </c>
      <c r="AX8" s="5">
        <v>0</v>
      </c>
      <c r="AY8" s="5" t="s">
        <v>983</v>
      </c>
      <c r="AZ8" s="1">
        <v>1</v>
      </c>
      <c r="BA8" s="1">
        <v>0</v>
      </c>
      <c r="BB8" s="1">
        <v>0</v>
      </c>
      <c r="BC8" s="1">
        <v>1</v>
      </c>
      <c r="BD8" s="1">
        <v>1</v>
      </c>
      <c r="BE8" s="1">
        <v>1</v>
      </c>
      <c r="BF8" s="1">
        <v>0</v>
      </c>
      <c r="BG8" s="1">
        <v>0</v>
      </c>
      <c r="BI8" s="1">
        <v>34</v>
      </c>
      <c r="BJ8" s="1">
        <v>0</v>
      </c>
      <c r="BK8" s="1">
        <v>2</v>
      </c>
    </row>
    <row r="9" spans="1:63" ht="12.75" customHeight="1" x14ac:dyDescent="0.15">
      <c r="A9" s="5" t="s">
        <v>238</v>
      </c>
      <c r="B9" s="5" t="s">
        <v>238</v>
      </c>
      <c r="C9" s="5">
        <v>1</v>
      </c>
      <c r="D9" s="5">
        <v>1</v>
      </c>
      <c r="E9" s="5">
        <v>1</v>
      </c>
      <c r="F9" s="5">
        <v>1</v>
      </c>
      <c r="G9" s="5">
        <v>1</v>
      </c>
      <c r="H9" s="5">
        <v>1</v>
      </c>
      <c r="I9" s="5">
        <v>1</v>
      </c>
      <c r="J9" s="5">
        <v>1</v>
      </c>
      <c r="K9" s="5">
        <v>1</v>
      </c>
      <c r="L9" s="5">
        <v>1</v>
      </c>
      <c r="M9" s="5">
        <v>1</v>
      </c>
      <c r="N9" s="5">
        <v>1</v>
      </c>
      <c r="O9" s="5">
        <v>12</v>
      </c>
      <c r="P9" s="5" t="s">
        <v>983</v>
      </c>
      <c r="Q9" s="5">
        <v>0</v>
      </c>
      <c r="R9" s="5">
        <v>0</v>
      </c>
      <c r="S9" s="5">
        <v>0</v>
      </c>
      <c r="T9" s="5">
        <v>0</v>
      </c>
      <c r="U9" s="5" t="s">
        <v>983</v>
      </c>
      <c r="V9" s="5">
        <v>0</v>
      </c>
      <c r="W9" s="5">
        <v>0</v>
      </c>
      <c r="X9" s="5">
        <v>0</v>
      </c>
      <c r="Y9" s="5">
        <v>0</v>
      </c>
      <c r="Z9" s="5" t="s">
        <v>983</v>
      </c>
      <c r="AA9" s="5">
        <v>4</v>
      </c>
      <c r="AB9" s="5">
        <v>4</v>
      </c>
      <c r="AC9" s="5">
        <v>4</v>
      </c>
      <c r="AD9" s="5">
        <v>4</v>
      </c>
      <c r="AE9" s="5">
        <v>16</v>
      </c>
      <c r="AF9" s="5" t="s">
        <v>981</v>
      </c>
      <c r="AG9" s="5">
        <v>0</v>
      </c>
      <c r="AH9" s="5">
        <v>0</v>
      </c>
      <c r="AI9" s="5">
        <v>0</v>
      </c>
      <c r="AJ9" s="5">
        <v>0</v>
      </c>
      <c r="AK9" s="5" t="s">
        <v>983</v>
      </c>
      <c r="AL9" s="5">
        <v>0</v>
      </c>
      <c r="AM9" s="5">
        <v>0</v>
      </c>
      <c r="AN9" s="5">
        <v>0</v>
      </c>
      <c r="AO9" s="5">
        <v>0</v>
      </c>
      <c r="AP9" s="5" t="s">
        <v>983</v>
      </c>
      <c r="AQ9" s="5">
        <v>0</v>
      </c>
      <c r="AR9" s="5">
        <v>0</v>
      </c>
      <c r="AS9" s="5">
        <v>0</v>
      </c>
      <c r="AT9" s="5">
        <v>0</v>
      </c>
      <c r="AU9" s="5">
        <v>0</v>
      </c>
      <c r="AV9" s="5">
        <v>0</v>
      </c>
      <c r="AW9" s="5">
        <v>0</v>
      </c>
      <c r="AX9" s="5">
        <v>0</v>
      </c>
      <c r="AY9" s="5" t="s">
        <v>983</v>
      </c>
      <c r="AZ9" s="1">
        <v>0</v>
      </c>
      <c r="BA9" s="1">
        <v>0</v>
      </c>
      <c r="BB9" s="1">
        <v>0</v>
      </c>
      <c r="BC9" s="1">
        <v>1</v>
      </c>
      <c r="BD9" s="1">
        <v>0</v>
      </c>
      <c r="BE9" s="1">
        <v>0</v>
      </c>
      <c r="BF9" s="1">
        <v>44</v>
      </c>
      <c r="BG9" s="1">
        <v>0</v>
      </c>
      <c r="BH9" s="1">
        <v>12</v>
      </c>
      <c r="BI9" s="1">
        <v>4</v>
      </c>
      <c r="BJ9" s="1">
        <v>200000</v>
      </c>
      <c r="BK9" s="1">
        <v>4</v>
      </c>
    </row>
    <row r="10" spans="1:63" ht="12.75" customHeight="1" x14ac:dyDescent="0.15">
      <c r="A10" s="5" t="s">
        <v>238</v>
      </c>
      <c r="B10" s="5" t="s">
        <v>238</v>
      </c>
      <c r="C10" s="5">
        <v>2</v>
      </c>
      <c r="D10" s="5">
        <v>4</v>
      </c>
      <c r="E10" s="5">
        <v>3</v>
      </c>
      <c r="F10" s="5">
        <v>3</v>
      </c>
      <c r="G10" s="5">
        <v>2</v>
      </c>
      <c r="H10" s="5">
        <v>1</v>
      </c>
      <c r="I10" s="5">
        <v>1</v>
      </c>
      <c r="J10" s="5">
        <v>1</v>
      </c>
      <c r="K10" s="5">
        <v>1</v>
      </c>
      <c r="L10" s="5">
        <v>2</v>
      </c>
      <c r="M10" s="5">
        <v>1</v>
      </c>
      <c r="N10" s="5">
        <v>2</v>
      </c>
      <c r="O10" s="5">
        <v>23</v>
      </c>
      <c r="P10" s="5" t="s">
        <v>982</v>
      </c>
      <c r="Q10" s="5">
        <v>1</v>
      </c>
      <c r="R10" s="5">
        <v>2</v>
      </c>
      <c r="S10" s="5">
        <v>1</v>
      </c>
      <c r="T10" s="5">
        <v>4</v>
      </c>
      <c r="U10" s="5" t="s">
        <v>982</v>
      </c>
      <c r="V10" s="5">
        <v>0</v>
      </c>
      <c r="W10" s="5">
        <v>1</v>
      </c>
      <c r="X10" s="5">
        <v>3</v>
      </c>
      <c r="Y10" s="5">
        <v>4</v>
      </c>
      <c r="Z10" s="5" t="s">
        <v>982</v>
      </c>
      <c r="AA10" s="5">
        <v>3</v>
      </c>
      <c r="AB10" s="5">
        <v>3</v>
      </c>
      <c r="AC10" s="5">
        <v>0</v>
      </c>
      <c r="AD10" s="5">
        <v>0</v>
      </c>
      <c r="AE10" s="5">
        <v>6</v>
      </c>
      <c r="AF10" s="5" t="s">
        <v>981</v>
      </c>
      <c r="AG10" s="5">
        <v>0</v>
      </c>
      <c r="AH10" s="5">
        <v>0</v>
      </c>
      <c r="AI10" s="5">
        <v>0</v>
      </c>
      <c r="AJ10" s="5">
        <v>0</v>
      </c>
      <c r="AK10" s="5" t="s">
        <v>983</v>
      </c>
      <c r="AL10" s="5">
        <v>1</v>
      </c>
      <c r="AM10" s="5">
        <v>2</v>
      </c>
      <c r="AN10" s="5">
        <v>2</v>
      </c>
      <c r="AO10" s="5">
        <v>5</v>
      </c>
      <c r="AP10" s="5" t="s">
        <v>982</v>
      </c>
      <c r="AQ10" s="5">
        <v>0</v>
      </c>
      <c r="AR10" s="5">
        <v>0</v>
      </c>
      <c r="AS10" s="5">
        <v>0</v>
      </c>
      <c r="AT10" s="5">
        <v>0</v>
      </c>
      <c r="AU10" s="5">
        <v>0</v>
      </c>
      <c r="AV10" s="5">
        <v>0</v>
      </c>
      <c r="AW10" s="5">
        <v>0</v>
      </c>
      <c r="AX10" s="5">
        <v>0</v>
      </c>
      <c r="AY10" s="5" t="s">
        <v>983</v>
      </c>
      <c r="AZ10" s="1">
        <v>0</v>
      </c>
      <c r="BA10" s="1">
        <v>0</v>
      </c>
      <c r="BB10" s="1">
        <v>0</v>
      </c>
      <c r="BC10" s="1">
        <v>1</v>
      </c>
      <c r="BD10" s="1">
        <v>1</v>
      </c>
      <c r="BE10" s="1">
        <v>1</v>
      </c>
      <c r="BF10" s="1">
        <v>47</v>
      </c>
      <c r="BG10" s="1">
        <v>0</v>
      </c>
      <c r="BH10" s="1">
        <v>14</v>
      </c>
      <c r="BI10" s="1">
        <v>24</v>
      </c>
      <c r="BJ10" s="1">
        <v>900000</v>
      </c>
      <c r="BK10" s="1">
        <v>5</v>
      </c>
    </row>
    <row r="11" spans="1:63" ht="12.75" customHeight="1" x14ac:dyDescent="0.15">
      <c r="A11" s="5" t="s">
        <v>238</v>
      </c>
      <c r="B11" s="5" t="s">
        <v>238</v>
      </c>
      <c r="C11" s="5">
        <v>1</v>
      </c>
      <c r="D11" s="5">
        <v>1</v>
      </c>
      <c r="E11" s="5">
        <v>1</v>
      </c>
      <c r="F11" s="5">
        <v>1</v>
      </c>
      <c r="G11" s="5">
        <v>1</v>
      </c>
      <c r="H11" s="5">
        <v>1</v>
      </c>
      <c r="I11" s="5">
        <v>1</v>
      </c>
      <c r="J11" s="5">
        <v>1</v>
      </c>
      <c r="K11" s="5">
        <v>1</v>
      </c>
      <c r="L11" s="5">
        <v>1</v>
      </c>
      <c r="M11" s="5">
        <v>1</v>
      </c>
      <c r="N11" s="5">
        <v>1</v>
      </c>
      <c r="O11" s="5">
        <v>12</v>
      </c>
      <c r="P11" s="5" t="s">
        <v>983</v>
      </c>
      <c r="Q11" s="5">
        <v>1</v>
      </c>
      <c r="R11" s="5">
        <v>1</v>
      </c>
      <c r="S11" s="5">
        <v>0</v>
      </c>
      <c r="T11" s="5">
        <v>2</v>
      </c>
      <c r="U11" s="5" t="s">
        <v>982</v>
      </c>
      <c r="V11" s="5">
        <v>1</v>
      </c>
      <c r="W11" s="5">
        <v>0</v>
      </c>
      <c r="X11" s="5">
        <v>0</v>
      </c>
      <c r="Y11" s="5">
        <v>1</v>
      </c>
      <c r="Z11" s="5" t="s">
        <v>983</v>
      </c>
      <c r="AA11" s="5">
        <v>0</v>
      </c>
      <c r="AB11" s="5">
        <v>0</v>
      </c>
      <c r="AC11" s="5">
        <v>0</v>
      </c>
      <c r="AD11" s="5">
        <v>0</v>
      </c>
      <c r="AE11" s="5">
        <v>0</v>
      </c>
      <c r="AF11" s="5" t="s">
        <v>983</v>
      </c>
      <c r="AG11" s="5">
        <v>0</v>
      </c>
      <c r="AH11" s="5">
        <v>1</v>
      </c>
      <c r="AI11" s="5">
        <v>0</v>
      </c>
      <c r="AJ11" s="5">
        <v>1</v>
      </c>
      <c r="AK11" s="5" t="s">
        <v>983</v>
      </c>
      <c r="AL11" s="5">
        <v>0</v>
      </c>
      <c r="AM11" s="5">
        <v>0</v>
      </c>
      <c r="AN11" s="5">
        <v>0</v>
      </c>
      <c r="AO11" s="5">
        <v>0</v>
      </c>
      <c r="AP11" s="5" t="s">
        <v>983</v>
      </c>
      <c r="AQ11" s="5">
        <v>0</v>
      </c>
      <c r="AR11" s="5">
        <v>0</v>
      </c>
      <c r="AS11" s="5">
        <v>0</v>
      </c>
      <c r="AT11" s="5">
        <v>0</v>
      </c>
      <c r="AU11" s="5">
        <v>0</v>
      </c>
      <c r="AV11" s="5">
        <v>0</v>
      </c>
      <c r="AW11" s="5">
        <v>0</v>
      </c>
      <c r="AX11" s="5">
        <v>0</v>
      </c>
      <c r="AY11" s="5" t="s">
        <v>983</v>
      </c>
      <c r="AZ11" s="1">
        <v>0</v>
      </c>
      <c r="BA11" s="1">
        <v>0</v>
      </c>
      <c r="BB11" s="1">
        <v>0</v>
      </c>
      <c r="BC11" s="1">
        <v>1</v>
      </c>
      <c r="BD11" s="1">
        <v>1</v>
      </c>
      <c r="BE11" s="1">
        <v>1</v>
      </c>
      <c r="BF11" s="1">
        <v>0</v>
      </c>
      <c r="BG11" s="1">
        <v>1</v>
      </c>
      <c r="BI11" s="1">
        <v>11</v>
      </c>
      <c r="BJ11" s="1">
        <v>0</v>
      </c>
      <c r="BK11" s="1">
        <v>2</v>
      </c>
    </row>
    <row r="12" spans="1:63" ht="12.75" customHeight="1" x14ac:dyDescent="0.15">
      <c r="A12" s="5" t="s">
        <v>238</v>
      </c>
      <c r="B12" s="5" t="s">
        <v>238</v>
      </c>
      <c r="C12" s="5">
        <v>3</v>
      </c>
      <c r="D12" s="5">
        <v>3</v>
      </c>
      <c r="E12" s="5">
        <v>3</v>
      </c>
      <c r="F12" s="5">
        <v>4</v>
      </c>
      <c r="G12" s="5">
        <v>4</v>
      </c>
      <c r="H12" s="5">
        <v>3</v>
      </c>
      <c r="I12" s="5">
        <v>4</v>
      </c>
      <c r="J12" s="5">
        <v>3</v>
      </c>
      <c r="K12" s="5">
        <v>2</v>
      </c>
      <c r="L12" s="5">
        <v>3</v>
      </c>
      <c r="M12" s="5">
        <v>3</v>
      </c>
      <c r="N12" s="5">
        <v>4</v>
      </c>
      <c r="O12" s="5">
        <v>39</v>
      </c>
      <c r="P12" s="5" t="s">
        <v>981</v>
      </c>
      <c r="Q12" s="5">
        <v>3</v>
      </c>
      <c r="R12" s="5">
        <v>3</v>
      </c>
      <c r="S12" s="5">
        <v>3</v>
      </c>
      <c r="T12" s="5">
        <v>9</v>
      </c>
      <c r="U12" s="5" t="s">
        <v>981</v>
      </c>
      <c r="V12" s="5">
        <v>2</v>
      </c>
      <c r="W12" s="5">
        <v>1</v>
      </c>
      <c r="X12" s="5">
        <v>1</v>
      </c>
      <c r="Y12" s="5">
        <v>4</v>
      </c>
      <c r="Z12" s="5" t="s">
        <v>982</v>
      </c>
      <c r="AA12" s="5">
        <v>3</v>
      </c>
      <c r="AB12" s="5">
        <v>3</v>
      </c>
      <c r="AC12" s="5">
        <v>2</v>
      </c>
      <c r="AD12" s="5">
        <v>3</v>
      </c>
      <c r="AE12" s="5">
        <v>11</v>
      </c>
      <c r="AF12" s="5" t="s">
        <v>981</v>
      </c>
      <c r="AG12" s="5">
        <v>3</v>
      </c>
      <c r="AH12" s="5">
        <v>2</v>
      </c>
      <c r="AI12" s="5">
        <v>2</v>
      </c>
      <c r="AJ12" s="5">
        <v>7</v>
      </c>
      <c r="AK12" s="5" t="s">
        <v>981</v>
      </c>
      <c r="AL12" s="5">
        <v>2</v>
      </c>
      <c r="AM12" s="5">
        <v>2</v>
      </c>
      <c r="AN12" s="5">
        <v>2</v>
      </c>
      <c r="AO12" s="5">
        <v>6</v>
      </c>
      <c r="AP12" s="5" t="s">
        <v>981</v>
      </c>
      <c r="AQ12" s="5">
        <v>0</v>
      </c>
      <c r="AR12" s="5">
        <v>1</v>
      </c>
      <c r="AS12" s="5">
        <v>0</v>
      </c>
      <c r="AT12" s="5">
        <v>0</v>
      </c>
      <c r="AU12" s="5">
        <v>0</v>
      </c>
      <c r="AV12" s="5">
        <v>1</v>
      </c>
      <c r="AW12" s="5">
        <v>2</v>
      </c>
      <c r="AX12" s="5">
        <v>4</v>
      </c>
      <c r="AY12" s="5" t="s">
        <v>982</v>
      </c>
      <c r="AZ12" s="1">
        <v>0</v>
      </c>
      <c r="BA12" s="1">
        <v>0</v>
      </c>
      <c r="BB12" s="1">
        <v>1</v>
      </c>
      <c r="BC12" s="1">
        <v>1</v>
      </c>
      <c r="BD12" s="1">
        <v>1</v>
      </c>
      <c r="BE12" s="1">
        <v>1</v>
      </c>
      <c r="BF12" s="1">
        <v>53</v>
      </c>
      <c r="BG12" s="1">
        <v>1</v>
      </c>
      <c r="BH12" s="1">
        <v>14</v>
      </c>
      <c r="BI12" s="1">
        <v>4</v>
      </c>
      <c r="BJ12" s="1">
        <v>300000</v>
      </c>
      <c r="BK12" s="1">
        <v>2</v>
      </c>
    </row>
    <row r="13" spans="1:63" ht="12.75" customHeight="1" x14ac:dyDescent="0.15">
      <c r="A13" s="5" t="s">
        <v>238</v>
      </c>
      <c r="B13" s="5" t="s">
        <v>238</v>
      </c>
      <c r="C13" s="5">
        <v>2</v>
      </c>
      <c r="D13" s="5">
        <v>1</v>
      </c>
      <c r="E13" s="5">
        <v>1</v>
      </c>
      <c r="F13" s="5">
        <v>1</v>
      </c>
      <c r="G13" s="5">
        <v>1</v>
      </c>
      <c r="H13" s="5">
        <v>1</v>
      </c>
      <c r="I13" s="5">
        <v>1</v>
      </c>
      <c r="J13" s="5">
        <v>1</v>
      </c>
      <c r="K13" s="5">
        <v>1</v>
      </c>
      <c r="L13" s="5">
        <v>1</v>
      </c>
      <c r="M13" s="5">
        <v>1</v>
      </c>
      <c r="N13" s="5">
        <v>1</v>
      </c>
      <c r="O13" s="5">
        <v>13</v>
      </c>
      <c r="P13" s="5" t="s">
        <v>983</v>
      </c>
      <c r="Q13" s="5">
        <v>0</v>
      </c>
      <c r="R13" s="5">
        <v>1</v>
      </c>
      <c r="S13" s="5">
        <v>0</v>
      </c>
      <c r="T13" s="5">
        <v>1</v>
      </c>
      <c r="U13" s="5" t="s">
        <v>983</v>
      </c>
      <c r="V13" s="5">
        <v>0</v>
      </c>
      <c r="W13" s="5">
        <v>1</v>
      </c>
      <c r="X13" s="5">
        <v>0</v>
      </c>
      <c r="Y13" s="5">
        <v>1</v>
      </c>
      <c r="Z13" s="5" t="s">
        <v>983</v>
      </c>
      <c r="AA13" s="5">
        <v>0</v>
      </c>
      <c r="AB13" s="5">
        <v>0</v>
      </c>
      <c r="AC13" s="5">
        <v>0</v>
      </c>
      <c r="AD13" s="5">
        <v>0</v>
      </c>
      <c r="AE13" s="5">
        <v>0</v>
      </c>
      <c r="AF13" s="5" t="s">
        <v>983</v>
      </c>
      <c r="AG13" s="5">
        <v>0</v>
      </c>
      <c r="AH13" s="5">
        <v>0</v>
      </c>
      <c r="AI13" s="5">
        <v>0</v>
      </c>
      <c r="AJ13" s="5">
        <v>0</v>
      </c>
      <c r="AK13" s="5" t="s">
        <v>983</v>
      </c>
      <c r="AL13" s="5">
        <v>0</v>
      </c>
      <c r="AM13" s="5">
        <v>0</v>
      </c>
      <c r="AN13" s="5">
        <v>0</v>
      </c>
      <c r="AO13" s="5">
        <v>0</v>
      </c>
      <c r="AP13" s="5" t="s">
        <v>983</v>
      </c>
      <c r="AQ13" s="5">
        <v>0</v>
      </c>
      <c r="AR13" s="5">
        <v>0</v>
      </c>
      <c r="AS13" s="5">
        <v>0</v>
      </c>
      <c r="AT13" s="5">
        <v>0</v>
      </c>
      <c r="AU13" s="5">
        <v>0</v>
      </c>
      <c r="AV13" s="5">
        <v>0</v>
      </c>
      <c r="AW13" s="5">
        <v>0</v>
      </c>
      <c r="AX13" s="5">
        <v>0</v>
      </c>
      <c r="AY13" s="5" t="s">
        <v>983</v>
      </c>
      <c r="AZ13" s="1">
        <v>1</v>
      </c>
      <c r="BA13" s="1">
        <v>0</v>
      </c>
      <c r="BB13" s="1">
        <v>1</v>
      </c>
      <c r="BC13" s="1">
        <v>1</v>
      </c>
      <c r="BD13" s="1">
        <v>1</v>
      </c>
      <c r="BE13" s="1">
        <v>1</v>
      </c>
      <c r="BF13" s="1">
        <v>0</v>
      </c>
      <c r="BG13" s="1">
        <v>0</v>
      </c>
      <c r="BH13" s="1">
        <v>14</v>
      </c>
      <c r="BI13" s="1">
        <v>3</v>
      </c>
      <c r="BJ13" s="1">
        <v>0</v>
      </c>
      <c r="BK13" s="1">
        <v>3</v>
      </c>
    </row>
    <row r="14" spans="1:63" ht="12.75" customHeight="1" x14ac:dyDescent="0.15">
      <c r="A14" s="5" t="s">
        <v>238</v>
      </c>
      <c r="B14" s="5" t="s">
        <v>238</v>
      </c>
      <c r="C14" s="5">
        <v>2</v>
      </c>
      <c r="D14" s="5">
        <v>2</v>
      </c>
      <c r="E14" s="5">
        <v>2</v>
      </c>
      <c r="F14" s="5">
        <v>1</v>
      </c>
      <c r="G14" s="5">
        <v>2</v>
      </c>
      <c r="H14" s="5">
        <v>1</v>
      </c>
      <c r="I14" s="5">
        <v>1</v>
      </c>
      <c r="J14" s="5">
        <v>2</v>
      </c>
      <c r="K14" s="5">
        <v>2</v>
      </c>
      <c r="L14" s="5">
        <v>2</v>
      </c>
      <c r="M14" s="5">
        <v>2</v>
      </c>
      <c r="N14" s="5">
        <v>2</v>
      </c>
      <c r="O14" s="5">
        <v>21</v>
      </c>
      <c r="P14" s="5" t="s">
        <v>982</v>
      </c>
      <c r="Q14" s="5">
        <v>1</v>
      </c>
      <c r="R14" s="5">
        <v>1</v>
      </c>
      <c r="S14" s="5">
        <v>1</v>
      </c>
      <c r="T14" s="5">
        <v>3</v>
      </c>
      <c r="U14" s="5" t="s">
        <v>982</v>
      </c>
      <c r="V14" s="5">
        <v>0</v>
      </c>
      <c r="W14" s="5">
        <v>0</v>
      </c>
      <c r="X14" s="5">
        <v>0</v>
      </c>
      <c r="Y14" s="5">
        <v>0</v>
      </c>
      <c r="Z14" s="5" t="s">
        <v>983</v>
      </c>
      <c r="AA14" s="5">
        <v>3</v>
      </c>
      <c r="AB14" s="5">
        <v>3</v>
      </c>
      <c r="AC14" s="5">
        <v>0</v>
      </c>
      <c r="AD14" s="5">
        <v>0</v>
      </c>
      <c r="AE14" s="5">
        <v>6</v>
      </c>
      <c r="AF14" s="5" t="s">
        <v>981</v>
      </c>
      <c r="AG14" s="5">
        <v>0</v>
      </c>
      <c r="AH14" s="5">
        <v>0</v>
      </c>
      <c r="AI14" s="5">
        <v>2</v>
      </c>
      <c r="AJ14" s="5">
        <v>2</v>
      </c>
      <c r="AK14" s="5" t="s">
        <v>983</v>
      </c>
      <c r="AL14" s="5">
        <v>0</v>
      </c>
      <c r="AM14" s="5">
        <v>0</v>
      </c>
      <c r="AN14" s="5">
        <v>0</v>
      </c>
      <c r="AO14" s="5">
        <v>0</v>
      </c>
      <c r="AP14" s="5" t="s">
        <v>983</v>
      </c>
      <c r="AQ14" s="5">
        <v>0</v>
      </c>
      <c r="AR14" s="5">
        <v>0</v>
      </c>
      <c r="AS14" s="5">
        <v>0</v>
      </c>
      <c r="AT14" s="5">
        <v>0</v>
      </c>
      <c r="AU14" s="5">
        <v>0</v>
      </c>
      <c r="AV14" s="5">
        <v>0</v>
      </c>
      <c r="AW14" s="5">
        <v>0</v>
      </c>
      <c r="AX14" s="5">
        <v>0</v>
      </c>
      <c r="AY14" s="5" t="s">
        <v>983</v>
      </c>
      <c r="AZ14" s="1">
        <v>1</v>
      </c>
      <c r="BA14" s="1">
        <v>0</v>
      </c>
      <c r="BB14" s="1">
        <v>0</v>
      </c>
      <c r="BC14" s="1">
        <v>1</v>
      </c>
      <c r="BD14" s="1">
        <v>1</v>
      </c>
      <c r="BE14" s="1">
        <v>1</v>
      </c>
      <c r="BF14" s="1">
        <v>0</v>
      </c>
      <c r="BG14" s="1">
        <v>1</v>
      </c>
      <c r="BI14" s="1">
        <v>11</v>
      </c>
      <c r="BJ14" s="1">
        <v>0</v>
      </c>
      <c r="BK14" s="1">
        <v>2</v>
      </c>
    </row>
    <row r="15" spans="1:63" ht="12.75" customHeight="1" x14ac:dyDescent="0.15">
      <c r="A15" s="5" t="s">
        <v>330</v>
      </c>
      <c r="B15" s="5" t="s">
        <v>984</v>
      </c>
      <c r="C15" s="5">
        <v>4</v>
      </c>
      <c r="D15" s="5">
        <v>3</v>
      </c>
      <c r="E15" s="5">
        <v>3</v>
      </c>
      <c r="F15" s="5">
        <v>3</v>
      </c>
      <c r="G15" s="5">
        <v>3</v>
      </c>
      <c r="H15" s="5">
        <v>1</v>
      </c>
      <c r="I15" s="5">
        <v>1</v>
      </c>
      <c r="J15" s="5">
        <v>4</v>
      </c>
      <c r="K15" s="5">
        <v>1</v>
      </c>
      <c r="L15" s="5">
        <v>4</v>
      </c>
      <c r="M15" s="5">
        <v>1</v>
      </c>
      <c r="N15" s="5">
        <v>4</v>
      </c>
      <c r="O15" s="5">
        <v>32</v>
      </c>
      <c r="P15" s="5" t="s">
        <v>981</v>
      </c>
      <c r="Q15" s="5">
        <v>0</v>
      </c>
      <c r="R15" s="5">
        <v>4</v>
      </c>
      <c r="S15" s="5">
        <v>0</v>
      </c>
      <c r="T15" s="5">
        <v>4</v>
      </c>
      <c r="U15" s="5" t="s">
        <v>982</v>
      </c>
      <c r="V15" s="5">
        <v>4</v>
      </c>
      <c r="W15" s="5">
        <v>4</v>
      </c>
      <c r="X15" s="5">
        <v>4</v>
      </c>
      <c r="Y15" s="5">
        <v>12</v>
      </c>
      <c r="Z15" s="5" t="s">
        <v>981</v>
      </c>
      <c r="AA15" s="5">
        <v>4</v>
      </c>
      <c r="AB15" s="5">
        <v>4</v>
      </c>
      <c r="AC15" s="5">
        <v>0</v>
      </c>
      <c r="AD15" s="5">
        <v>0</v>
      </c>
      <c r="AE15" s="5">
        <v>8</v>
      </c>
      <c r="AF15" s="5" t="s">
        <v>981</v>
      </c>
      <c r="AG15" s="5">
        <v>4</v>
      </c>
      <c r="AH15" s="5">
        <v>0</v>
      </c>
      <c r="AI15" s="5">
        <v>0</v>
      </c>
      <c r="AJ15" s="5">
        <v>4</v>
      </c>
      <c r="AK15" s="5" t="s">
        <v>982</v>
      </c>
      <c r="AL15" s="5">
        <v>0</v>
      </c>
      <c r="AM15" s="5">
        <v>4</v>
      </c>
      <c r="AN15" s="5">
        <v>4</v>
      </c>
      <c r="AO15" s="5">
        <v>8</v>
      </c>
      <c r="AP15" s="5" t="s">
        <v>981</v>
      </c>
      <c r="AQ15" s="5">
        <v>1</v>
      </c>
      <c r="AR15" s="5">
        <v>0</v>
      </c>
      <c r="AS15" s="5">
        <v>0</v>
      </c>
      <c r="AT15" s="5">
        <v>0</v>
      </c>
      <c r="AU15" s="5">
        <v>0</v>
      </c>
      <c r="AV15" s="5">
        <v>0</v>
      </c>
      <c r="AW15" s="5">
        <v>0</v>
      </c>
      <c r="AX15" s="5">
        <v>1</v>
      </c>
      <c r="AY15" s="5" t="s">
        <v>982</v>
      </c>
      <c r="AZ15" s="1">
        <v>0</v>
      </c>
      <c r="BA15" s="1">
        <v>0</v>
      </c>
      <c r="BB15" s="1">
        <v>0</v>
      </c>
      <c r="BC15" s="1">
        <v>1</v>
      </c>
      <c r="BD15" s="1">
        <v>1</v>
      </c>
      <c r="BE15" s="1">
        <v>1</v>
      </c>
      <c r="BF15" s="1">
        <v>44</v>
      </c>
      <c r="BG15" s="1">
        <v>1</v>
      </c>
      <c r="BH15" s="1">
        <v>12</v>
      </c>
      <c r="BI15" s="1">
        <v>3</v>
      </c>
      <c r="BJ15" s="1">
        <v>100000</v>
      </c>
      <c r="BK15" s="1">
        <v>3</v>
      </c>
    </row>
    <row r="16" spans="1:63" ht="12.75" customHeight="1" x14ac:dyDescent="0.15">
      <c r="A16" s="5" t="s">
        <v>238</v>
      </c>
      <c r="B16" s="5" t="s">
        <v>238</v>
      </c>
      <c r="C16" s="5">
        <v>2</v>
      </c>
      <c r="D16" s="5">
        <v>2</v>
      </c>
      <c r="E16" s="5">
        <v>2</v>
      </c>
      <c r="F16" s="5">
        <v>1</v>
      </c>
      <c r="G16" s="5">
        <v>2</v>
      </c>
      <c r="H16" s="5">
        <v>1</v>
      </c>
      <c r="I16" s="5">
        <v>1</v>
      </c>
      <c r="J16" s="5">
        <v>1</v>
      </c>
      <c r="K16" s="5">
        <v>1</v>
      </c>
      <c r="L16" s="5">
        <v>1</v>
      </c>
      <c r="M16" s="5">
        <v>1</v>
      </c>
      <c r="N16" s="5">
        <v>1</v>
      </c>
      <c r="O16" s="5">
        <v>16</v>
      </c>
      <c r="P16" s="5" t="s">
        <v>983</v>
      </c>
      <c r="Q16" s="5">
        <v>3</v>
      </c>
      <c r="R16" s="5">
        <v>3</v>
      </c>
      <c r="S16" s="5">
        <v>0</v>
      </c>
      <c r="T16" s="5">
        <v>6</v>
      </c>
      <c r="U16" s="5" t="s">
        <v>981</v>
      </c>
      <c r="V16" s="5">
        <v>0</v>
      </c>
      <c r="W16" s="5">
        <v>0</v>
      </c>
      <c r="X16" s="5">
        <v>2</v>
      </c>
      <c r="Y16" s="5">
        <v>2</v>
      </c>
      <c r="Z16" s="5" t="s">
        <v>982</v>
      </c>
      <c r="AA16" s="5">
        <v>4</v>
      </c>
      <c r="AB16" s="5">
        <v>4</v>
      </c>
      <c r="AC16" s="5">
        <v>4</v>
      </c>
      <c r="AD16" s="5">
        <v>4</v>
      </c>
      <c r="AE16" s="5">
        <v>16</v>
      </c>
      <c r="AF16" s="5" t="s">
        <v>981</v>
      </c>
      <c r="AG16" s="5">
        <v>4</v>
      </c>
      <c r="AH16" s="5">
        <v>0</v>
      </c>
      <c r="AI16" s="5">
        <v>0</v>
      </c>
      <c r="AJ16" s="5">
        <v>4</v>
      </c>
      <c r="AK16" s="5" t="s">
        <v>982</v>
      </c>
      <c r="AL16" s="5">
        <v>0</v>
      </c>
      <c r="AM16" s="5">
        <v>0</v>
      </c>
      <c r="AN16" s="5">
        <v>4</v>
      </c>
      <c r="AO16" s="5">
        <v>4</v>
      </c>
      <c r="AP16" s="5" t="s">
        <v>982</v>
      </c>
      <c r="AQ16" s="5">
        <v>0</v>
      </c>
      <c r="AR16" s="5">
        <v>0</v>
      </c>
      <c r="AS16" s="5">
        <v>0</v>
      </c>
      <c r="AT16" s="5">
        <v>0</v>
      </c>
      <c r="AU16" s="5">
        <v>0</v>
      </c>
      <c r="AV16" s="5">
        <v>0</v>
      </c>
      <c r="AW16" s="5">
        <v>0</v>
      </c>
      <c r="AX16" s="5">
        <v>0</v>
      </c>
      <c r="AY16" s="5" t="s">
        <v>983</v>
      </c>
      <c r="AZ16" s="1">
        <v>1</v>
      </c>
      <c r="BA16" s="1">
        <v>0</v>
      </c>
      <c r="BB16" s="1">
        <v>0</v>
      </c>
      <c r="BC16" s="1">
        <v>1</v>
      </c>
      <c r="BD16" s="1">
        <v>1</v>
      </c>
      <c r="BE16" s="1">
        <v>1</v>
      </c>
      <c r="BF16" s="1">
        <v>47</v>
      </c>
      <c r="BG16" s="1">
        <v>1</v>
      </c>
      <c r="BH16" s="1">
        <v>18</v>
      </c>
      <c r="BI16" s="1">
        <v>7</v>
      </c>
      <c r="BJ16" s="1">
        <v>2500000</v>
      </c>
      <c r="BK16" s="1">
        <v>4</v>
      </c>
    </row>
    <row r="17" spans="1:63" ht="12.75" customHeight="1" x14ac:dyDescent="0.15">
      <c r="A17" s="5" t="s">
        <v>337</v>
      </c>
      <c r="B17" s="5" t="s">
        <v>984</v>
      </c>
      <c r="C17" s="5">
        <v>2</v>
      </c>
      <c r="D17" s="5">
        <v>2</v>
      </c>
      <c r="E17" s="5">
        <v>2</v>
      </c>
      <c r="F17" s="5">
        <v>4</v>
      </c>
      <c r="G17" s="5">
        <v>1</v>
      </c>
      <c r="H17" s="5">
        <v>1</v>
      </c>
      <c r="I17" s="5">
        <v>1</v>
      </c>
      <c r="J17" s="5">
        <v>1</v>
      </c>
      <c r="K17" s="5">
        <v>1</v>
      </c>
      <c r="L17" s="5">
        <v>1</v>
      </c>
      <c r="M17" s="5">
        <v>1</v>
      </c>
      <c r="N17" s="5">
        <v>2</v>
      </c>
      <c r="O17" s="5">
        <v>19</v>
      </c>
      <c r="P17" s="5" t="s">
        <v>982</v>
      </c>
      <c r="Q17" s="5">
        <v>0</v>
      </c>
      <c r="R17" s="5">
        <v>0</v>
      </c>
      <c r="S17" s="5">
        <v>0</v>
      </c>
      <c r="T17" s="5">
        <v>0</v>
      </c>
      <c r="U17" s="5" t="s">
        <v>983</v>
      </c>
      <c r="V17" s="5">
        <v>2</v>
      </c>
      <c r="W17" s="5">
        <v>2</v>
      </c>
      <c r="X17" s="5">
        <v>3</v>
      </c>
      <c r="Y17" s="5">
        <v>7</v>
      </c>
      <c r="Z17" s="5" t="s">
        <v>981</v>
      </c>
      <c r="AA17" s="5">
        <v>0</v>
      </c>
      <c r="AB17" s="5">
        <v>0</v>
      </c>
      <c r="AC17" s="5">
        <v>0</v>
      </c>
      <c r="AD17" s="5">
        <v>0</v>
      </c>
      <c r="AE17" s="5">
        <v>0</v>
      </c>
      <c r="AF17" s="5" t="s">
        <v>983</v>
      </c>
      <c r="AG17" s="5">
        <v>0</v>
      </c>
      <c r="AH17" s="5">
        <v>0</v>
      </c>
      <c r="AI17" s="5">
        <v>0</v>
      </c>
      <c r="AJ17" s="5">
        <v>0</v>
      </c>
      <c r="AK17" s="5" t="s">
        <v>983</v>
      </c>
      <c r="AL17" s="5">
        <v>4</v>
      </c>
      <c r="AM17" s="5">
        <v>3</v>
      </c>
      <c r="AN17" s="5">
        <v>4</v>
      </c>
      <c r="AO17" s="5">
        <v>11</v>
      </c>
      <c r="AP17" s="5" t="s">
        <v>981</v>
      </c>
      <c r="AQ17" s="5">
        <v>0</v>
      </c>
      <c r="AR17" s="5">
        <v>1</v>
      </c>
      <c r="AS17" s="5">
        <v>1</v>
      </c>
      <c r="AT17" s="5">
        <v>0</v>
      </c>
      <c r="AU17" s="5">
        <v>0</v>
      </c>
      <c r="AV17" s="5">
        <v>0</v>
      </c>
      <c r="AW17" s="5">
        <v>0</v>
      </c>
      <c r="AX17" s="5">
        <v>2</v>
      </c>
      <c r="AY17" s="5" t="s">
        <v>982</v>
      </c>
      <c r="AZ17" s="1">
        <v>0</v>
      </c>
      <c r="BA17" s="1">
        <v>0</v>
      </c>
      <c r="BB17" s="1">
        <v>0</v>
      </c>
      <c r="BC17" s="1">
        <v>1</v>
      </c>
      <c r="BD17" s="1">
        <v>1</v>
      </c>
      <c r="BE17" s="1">
        <v>1</v>
      </c>
      <c r="BF17" s="1">
        <v>61</v>
      </c>
      <c r="BG17" s="1">
        <v>0</v>
      </c>
      <c r="BH17" s="1">
        <v>16</v>
      </c>
      <c r="BI17" s="1">
        <v>11</v>
      </c>
      <c r="BJ17" s="1">
        <v>665000</v>
      </c>
      <c r="BK17" s="1">
        <v>4</v>
      </c>
    </row>
    <row r="18" spans="1:63" ht="12.75" customHeight="1" x14ac:dyDescent="0.15">
      <c r="A18" s="5" t="s">
        <v>238</v>
      </c>
      <c r="B18" s="5" t="s">
        <v>238</v>
      </c>
      <c r="C18" s="5">
        <v>2</v>
      </c>
      <c r="D18" s="5">
        <v>2</v>
      </c>
      <c r="E18" s="5">
        <v>2</v>
      </c>
      <c r="F18" s="5">
        <v>2</v>
      </c>
      <c r="G18" s="5">
        <v>2</v>
      </c>
      <c r="H18" s="5">
        <v>2</v>
      </c>
      <c r="I18" s="5">
        <v>1</v>
      </c>
      <c r="J18" s="5">
        <v>1</v>
      </c>
      <c r="K18" s="5">
        <v>2</v>
      </c>
      <c r="L18" s="5">
        <v>2</v>
      </c>
      <c r="M18" s="5">
        <v>2</v>
      </c>
      <c r="N18" s="5">
        <v>2</v>
      </c>
      <c r="O18" s="5">
        <v>22</v>
      </c>
      <c r="P18" s="5" t="s">
        <v>982</v>
      </c>
      <c r="Q18" s="5">
        <v>1</v>
      </c>
      <c r="R18" s="5">
        <v>1</v>
      </c>
      <c r="S18" s="5">
        <v>1</v>
      </c>
      <c r="T18" s="5">
        <v>3</v>
      </c>
      <c r="U18" s="5" t="s">
        <v>982</v>
      </c>
      <c r="V18" s="5">
        <v>1</v>
      </c>
      <c r="W18" s="5">
        <v>1</v>
      </c>
      <c r="X18" s="5">
        <v>0</v>
      </c>
      <c r="Y18" s="5">
        <v>2</v>
      </c>
      <c r="Z18" s="5" t="s">
        <v>982</v>
      </c>
      <c r="AA18" s="5">
        <v>3</v>
      </c>
      <c r="AB18" s="5">
        <v>0</v>
      </c>
      <c r="AC18" s="5">
        <v>0</v>
      </c>
      <c r="AD18" s="5">
        <v>0</v>
      </c>
      <c r="AE18" s="5">
        <v>3</v>
      </c>
      <c r="AF18" s="5" t="s">
        <v>982</v>
      </c>
      <c r="AG18" s="5">
        <v>1</v>
      </c>
      <c r="AH18" s="5">
        <v>1</v>
      </c>
      <c r="AI18" s="5">
        <v>1</v>
      </c>
      <c r="AJ18" s="5">
        <v>3</v>
      </c>
      <c r="AK18" s="5" t="s">
        <v>982</v>
      </c>
      <c r="AL18" s="5">
        <v>1</v>
      </c>
      <c r="AM18" s="5">
        <v>1</v>
      </c>
      <c r="AN18" s="5">
        <v>1</v>
      </c>
      <c r="AO18" s="5">
        <v>3</v>
      </c>
      <c r="AP18" s="5" t="s">
        <v>982</v>
      </c>
      <c r="AQ18" s="5">
        <v>0</v>
      </c>
      <c r="AR18" s="5">
        <v>0</v>
      </c>
      <c r="AS18" s="5">
        <v>0</v>
      </c>
      <c r="AT18" s="5">
        <v>0</v>
      </c>
      <c r="AU18" s="5">
        <v>0</v>
      </c>
      <c r="AV18" s="5">
        <v>0</v>
      </c>
      <c r="AW18" s="5">
        <v>0</v>
      </c>
      <c r="AX18" s="5">
        <v>0</v>
      </c>
      <c r="AY18" s="5" t="s">
        <v>983</v>
      </c>
      <c r="AZ18" s="1">
        <v>0</v>
      </c>
      <c r="BA18" s="1">
        <v>0</v>
      </c>
      <c r="BB18" s="1">
        <v>1</v>
      </c>
      <c r="BC18" s="1">
        <v>1</v>
      </c>
      <c r="BD18" s="1">
        <v>1</v>
      </c>
      <c r="BE18" s="1">
        <v>1</v>
      </c>
      <c r="BF18" s="1">
        <v>0</v>
      </c>
      <c r="BG18" s="1">
        <v>0</v>
      </c>
      <c r="BI18" s="1">
        <v>24</v>
      </c>
      <c r="BJ18" s="1">
        <v>0</v>
      </c>
      <c r="BK18" s="1">
        <v>6</v>
      </c>
    </row>
    <row r="19" spans="1:63" ht="12.75" customHeight="1" x14ac:dyDescent="0.15">
      <c r="A19" s="5" t="s">
        <v>238</v>
      </c>
      <c r="B19" s="5" t="s">
        <v>238</v>
      </c>
      <c r="C19" s="5">
        <v>1</v>
      </c>
      <c r="D19" s="5">
        <v>1</v>
      </c>
      <c r="E19" s="5">
        <v>1</v>
      </c>
      <c r="F19" s="5">
        <v>1</v>
      </c>
      <c r="G19" s="5">
        <v>1</v>
      </c>
      <c r="H19" s="5">
        <v>1</v>
      </c>
      <c r="I19" s="5">
        <v>1</v>
      </c>
      <c r="J19" s="5">
        <v>2</v>
      </c>
      <c r="K19" s="5">
        <v>2</v>
      </c>
      <c r="L19" s="5">
        <v>2</v>
      </c>
      <c r="M19" s="5">
        <v>2</v>
      </c>
      <c r="N19" s="5">
        <v>2</v>
      </c>
      <c r="O19" s="5">
        <v>17</v>
      </c>
      <c r="P19" s="5" t="s">
        <v>983</v>
      </c>
      <c r="Q19" s="5">
        <v>0</v>
      </c>
      <c r="R19" s="5">
        <v>0</v>
      </c>
      <c r="S19" s="5">
        <v>0</v>
      </c>
      <c r="T19" s="5">
        <v>0</v>
      </c>
      <c r="U19" s="5" t="s">
        <v>983</v>
      </c>
      <c r="V19" s="5">
        <v>0</v>
      </c>
      <c r="W19" s="5">
        <v>0</v>
      </c>
      <c r="X19" s="5">
        <v>0</v>
      </c>
      <c r="Y19" s="5">
        <v>0</v>
      </c>
      <c r="Z19" s="5" t="s">
        <v>983</v>
      </c>
      <c r="AA19" s="5">
        <v>4</v>
      </c>
      <c r="AB19" s="5">
        <v>4</v>
      </c>
      <c r="AC19" s="5">
        <v>4</v>
      </c>
      <c r="AD19" s="5">
        <v>4</v>
      </c>
      <c r="AE19" s="5">
        <v>16</v>
      </c>
      <c r="AF19" s="5" t="s">
        <v>981</v>
      </c>
      <c r="AG19" s="5">
        <v>0</v>
      </c>
      <c r="AH19" s="5">
        <v>0</v>
      </c>
      <c r="AI19" s="5">
        <v>0</v>
      </c>
      <c r="AJ19" s="5">
        <v>0</v>
      </c>
      <c r="AK19" s="5" t="s">
        <v>983</v>
      </c>
      <c r="AL19" s="5">
        <v>0</v>
      </c>
      <c r="AM19" s="5">
        <v>0</v>
      </c>
      <c r="AN19" s="5">
        <v>0</v>
      </c>
      <c r="AO19" s="5">
        <v>0</v>
      </c>
      <c r="AP19" s="5" t="s">
        <v>983</v>
      </c>
      <c r="AQ19" s="5">
        <v>0</v>
      </c>
      <c r="AR19" s="5">
        <v>0</v>
      </c>
      <c r="AS19" s="5">
        <v>0</v>
      </c>
      <c r="AT19" s="5">
        <v>0</v>
      </c>
      <c r="AU19" s="5">
        <v>0</v>
      </c>
      <c r="AV19" s="5">
        <v>0</v>
      </c>
      <c r="AW19" s="5">
        <v>0</v>
      </c>
      <c r="AX19" s="5">
        <v>0</v>
      </c>
      <c r="AY19" s="5" t="s">
        <v>983</v>
      </c>
      <c r="AZ19" s="1">
        <v>1</v>
      </c>
      <c r="BA19" s="1">
        <v>0</v>
      </c>
      <c r="BB19" s="1">
        <v>1</v>
      </c>
      <c r="BC19" s="1">
        <v>1</v>
      </c>
      <c r="BD19" s="1">
        <v>0</v>
      </c>
      <c r="BE19" s="1">
        <v>0</v>
      </c>
      <c r="BF19" s="1">
        <v>55</v>
      </c>
      <c r="BG19" s="1">
        <v>0</v>
      </c>
      <c r="BH19" s="1">
        <v>16</v>
      </c>
      <c r="BI19" s="1">
        <v>10</v>
      </c>
      <c r="BJ19" s="1">
        <v>270000</v>
      </c>
      <c r="BK19" s="1">
        <v>3</v>
      </c>
    </row>
    <row r="20" spans="1:63" ht="12.75" customHeight="1" x14ac:dyDescent="0.15">
      <c r="A20" s="5" t="s">
        <v>238</v>
      </c>
      <c r="B20" s="5" t="s">
        <v>238</v>
      </c>
      <c r="C20" s="5">
        <v>2</v>
      </c>
      <c r="D20" s="5">
        <v>3</v>
      </c>
      <c r="E20" s="5">
        <v>4</v>
      </c>
      <c r="F20" s="5">
        <v>3</v>
      </c>
      <c r="G20" s="5">
        <v>4</v>
      </c>
      <c r="H20" s="5">
        <v>2</v>
      </c>
      <c r="I20" s="5">
        <v>3</v>
      </c>
      <c r="J20" s="5">
        <v>2</v>
      </c>
      <c r="K20" s="5">
        <v>3</v>
      </c>
      <c r="L20" s="5">
        <v>4</v>
      </c>
      <c r="M20" s="5">
        <v>4</v>
      </c>
      <c r="N20" s="5">
        <v>3</v>
      </c>
      <c r="O20" s="5">
        <v>37</v>
      </c>
      <c r="P20" s="5" t="s">
        <v>981</v>
      </c>
      <c r="Q20" s="5">
        <v>4</v>
      </c>
      <c r="R20" s="5">
        <v>3</v>
      </c>
      <c r="S20" s="5">
        <v>1</v>
      </c>
      <c r="T20" s="5">
        <v>8</v>
      </c>
      <c r="U20" s="5" t="s">
        <v>981</v>
      </c>
      <c r="V20" s="5">
        <v>1</v>
      </c>
      <c r="W20" s="5">
        <v>1</v>
      </c>
      <c r="X20" s="5">
        <v>0</v>
      </c>
      <c r="Y20" s="5">
        <v>2</v>
      </c>
      <c r="Z20" s="5" t="s">
        <v>982</v>
      </c>
      <c r="AA20" s="5">
        <v>4</v>
      </c>
      <c r="AB20" s="5">
        <v>4</v>
      </c>
      <c r="AC20" s="5">
        <v>0</v>
      </c>
      <c r="AD20" s="5">
        <v>0</v>
      </c>
      <c r="AE20" s="5">
        <v>8</v>
      </c>
      <c r="AF20" s="5" t="s">
        <v>981</v>
      </c>
      <c r="AG20" s="5">
        <v>4</v>
      </c>
      <c r="AH20" s="5">
        <v>4</v>
      </c>
      <c r="AI20" s="5">
        <v>4</v>
      </c>
      <c r="AJ20" s="5">
        <v>12</v>
      </c>
      <c r="AK20" s="5" t="s">
        <v>981</v>
      </c>
      <c r="AL20" s="5">
        <v>4</v>
      </c>
      <c r="AM20" s="5">
        <v>4</v>
      </c>
      <c r="AN20" s="5">
        <v>4</v>
      </c>
      <c r="AO20" s="5">
        <v>12</v>
      </c>
      <c r="AP20" s="5" t="s">
        <v>981</v>
      </c>
      <c r="AQ20" s="5">
        <v>0</v>
      </c>
      <c r="AR20" s="5">
        <v>0</v>
      </c>
      <c r="AS20" s="5">
        <v>0</v>
      </c>
      <c r="AT20" s="5">
        <v>0</v>
      </c>
      <c r="AU20" s="5">
        <v>0</v>
      </c>
      <c r="AV20" s="5">
        <v>0</v>
      </c>
      <c r="AW20" s="5">
        <v>0</v>
      </c>
      <c r="AX20" s="5">
        <v>0</v>
      </c>
      <c r="AY20" s="5" t="s">
        <v>983</v>
      </c>
      <c r="AZ20" s="1">
        <v>0</v>
      </c>
      <c r="BA20" s="1">
        <v>0</v>
      </c>
      <c r="BB20" s="1">
        <v>0</v>
      </c>
      <c r="BC20" s="1">
        <v>1</v>
      </c>
      <c r="BD20" s="1">
        <v>1</v>
      </c>
      <c r="BE20" s="1">
        <v>1</v>
      </c>
      <c r="BF20" s="1">
        <v>66</v>
      </c>
      <c r="BG20" s="1">
        <v>0</v>
      </c>
      <c r="BH20" s="1">
        <v>10</v>
      </c>
      <c r="BI20" s="1">
        <v>3</v>
      </c>
      <c r="BJ20" s="1">
        <v>800000</v>
      </c>
      <c r="BK20" s="1">
        <v>2</v>
      </c>
    </row>
    <row r="21" spans="1:63" ht="12.75" customHeight="1" x14ac:dyDescent="0.15">
      <c r="A21" s="5" t="s">
        <v>330</v>
      </c>
      <c r="B21" s="5" t="s">
        <v>984</v>
      </c>
      <c r="C21" s="5">
        <v>1</v>
      </c>
      <c r="D21" s="5">
        <v>1</v>
      </c>
      <c r="E21" s="5">
        <v>1</v>
      </c>
      <c r="F21" s="5">
        <v>1</v>
      </c>
      <c r="G21" s="5">
        <v>1</v>
      </c>
      <c r="H21" s="5">
        <v>1</v>
      </c>
      <c r="I21" s="5">
        <v>1</v>
      </c>
      <c r="J21" s="5">
        <v>1</v>
      </c>
      <c r="K21" s="5">
        <v>1</v>
      </c>
      <c r="L21" s="5">
        <v>1</v>
      </c>
      <c r="M21" s="5">
        <v>1</v>
      </c>
      <c r="N21" s="5">
        <v>1</v>
      </c>
      <c r="O21" s="5">
        <v>12</v>
      </c>
      <c r="P21" s="5" t="s">
        <v>983</v>
      </c>
      <c r="Q21" s="5">
        <v>0</v>
      </c>
      <c r="R21" s="5">
        <v>0</v>
      </c>
      <c r="S21" s="5">
        <v>0</v>
      </c>
      <c r="T21" s="5">
        <v>0</v>
      </c>
      <c r="U21" s="5" t="s">
        <v>983</v>
      </c>
      <c r="V21" s="5">
        <v>0</v>
      </c>
      <c r="W21" s="5">
        <v>0</v>
      </c>
      <c r="X21" s="5">
        <v>0</v>
      </c>
      <c r="Y21" s="5">
        <v>0</v>
      </c>
      <c r="Z21" s="5" t="s">
        <v>983</v>
      </c>
      <c r="AA21" s="5">
        <v>4</v>
      </c>
      <c r="AB21" s="5">
        <v>4</v>
      </c>
      <c r="AC21" s="5">
        <v>4</v>
      </c>
      <c r="AD21" s="5">
        <v>4</v>
      </c>
      <c r="AE21" s="5">
        <v>16</v>
      </c>
      <c r="AF21" s="5" t="s">
        <v>981</v>
      </c>
      <c r="AG21" s="5">
        <v>0</v>
      </c>
      <c r="AH21" s="5">
        <v>0</v>
      </c>
      <c r="AI21" s="5">
        <v>0</v>
      </c>
      <c r="AJ21" s="5">
        <v>0</v>
      </c>
      <c r="AK21" s="5" t="s">
        <v>983</v>
      </c>
      <c r="AL21" s="5">
        <v>0</v>
      </c>
      <c r="AM21" s="5">
        <v>0</v>
      </c>
      <c r="AN21" s="5">
        <v>0</v>
      </c>
      <c r="AO21" s="5">
        <v>0</v>
      </c>
      <c r="AP21" s="5" t="s">
        <v>983</v>
      </c>
      <c r="AQ21" s="5">
        <v>0</v>
      </c>
      <c r="AR21" s="5">
        <v>0</v>
      </c>
      <c r="AS21" s="5">
        <v>0</v>
      </c>
      <c r="AT21" s="5">
        <v>0</v>
      </c>
      <c r="AU21" s="5">
        <v>0</v>
      </c>
      <c r="AV21" s="5">
        <v>0</v>
      </c>
      <c r="AW21" s="5">
        <v>0</v>
      </c>
      <c r="AX21" s="5">
        <v>0</v>
      </c>
      <c r="AY21" s="5" t="s">
        <v>983</v>
      </c>
      <c r="AZ21" s="1">
        <v>0</v>
      </c>
      <c r="BA21" s="1">
        <v>0</v>
      </c>
      <c r="BB21" s="1">
        <v>0</v>
      </c>
      <c r="BC21" s="1">
        <v>1</v>
      </c>
      <c r="BD21" s="1">
        <v>0</v>
      </c>
      <c r="BE21" s="1">
        <v>1</v>
      </c>
      <c r="BF21" s="1">
        <v>0</v>
      </c>
      <c r="BG21" s="1">
        <v>0</v>
      </c>
      <c r="BI21" s="1">
        <v>11</v>
      </c>
      <c r="BJ21" s="1">
        <v>0</v>
      </c>
      <c r="BK21" s="1">
        <v>3</v>
      </c>
    </row>
    <row r="22" spans="1:63" ht="12.75" customHeight="1" x14ac:dyDescent="0.15">
      <c r="A22" s="5" t="s">
        <v>238</v>
      </c>
      <c r="B22" s="5" t="s">
        <v>238</v>
      </c>
      <c r="C22" s="5">
        <v>3</v>
      </c>
      <c r="D22" s="5">
        <v>2</v>
      </c>
      <c r="E22" s="5">
        <v>3</v>
      </c>
      <c r="F22" s="5">
        <v>2</v>
      </c>
      <c r="G22" s="5">
        <v>3</v>
      </c>
      <c r="H22" s="5">
        <v>3</v>
      </c>
      <c r="I22" s="5">
        <v>4</v>
      </c>
      <c r="J22" s="5">
        <v>3</v>
      </c>
      <c r="K22" s="5">
        <v>2</v>
      </c>
      <c r="L22" s="5">
        <v>3</v>
      </c>
      <c r="M22" s="5">
        <v>3</v>
      </c>
      <c r="N22" s="5">
        <v>2</v>
      </c>
      <c r="O22" s="5">
        <v>33</v>
      </c>
      <c r="P22" s="5" t="s">
        <v>981</v>
      </c>
      <c r="Q22" s="5">
        <v>2</v>
      </c>
      <c r="R22" s="5">
        <v>3</v>
      </c>
      <c r="S22" s="5">
        <v>4</v>
      </c>
      <c r="T22" s="5">
        <v>9</v>
      </c>
      <c r="U22" s="5" t="s">
        <v>981</v>
      </c>
      <c r="V22" s="5">
        <v>2</v>
      </c>
      <c r="W22" s="5">
        <v>0</v>
      </c>
      <c r="X22" s="5">
        <v>3</v>
      </c>
      <c r="Y22" s="5">
        <v>5</v>
      </c>
      <c r="Z22" s="5" t="s">
        <v>982</v>
      </c>
      <c r="AA22" s="5">
        <v>1</v>
      </c>
      <c r="AB22" s="5">
        <v>2</v>
      </c>
      <c r="AC22" s="5">
        <v>2</v>
      </c>
      <c r="AD22" s="5">
        <v>2</v>
      </c>
      <c r="AE22" s="5">
        <v>7</v>
      </c>
      <c r="AF22" s="5" t="s">
        <v>981</v>
      </c>
      <c r="AG22" s="5">
        <v>2</v>
      </c>
      <c r="AH22" s="5">
        <v>2</v>
      </c>
      <c r="AI22" s="5">
        <v>2</v>
      </c>
      <c r="AJ22" s="5">
        <v>6</v>
      </c>
      <c r="AK22" s="5" t="s">
        <v>981</v>
      </c>
      <c r="AL22" s="5">
        <v>2</v>
      </c>
      <c r="AM22" s="5">
        <v>2</v>
      </c>
      <c r="AN22" s="5">
        <v>2</v>
      </c>
      <c r="AO22" s="5">
        <v>6</v>
      </c>
      <c r="AP22" s="5" t="s">
        <v>981</v>
      </c>
      <c r="AQ22" s="5">
        <v>0</v>
      </c>
      <c r="AR22" s="5">
        <v>0</v>
      </c>
      <c r="AS22" s="5">
        <v>0</v>
      </c>
      <c r="AT22" s="5">
        <v>0</v>
      </c>
      <c r="AU22" s="5">
        <v>0</v>
      </c>
      <c r="AV22" s="5">
        <v>0</v>
      </c>
      <c r="AW22" s="5">
        <v>0</v>
      </c>
      <c r="AX22" s="5">
        <v>0</v>
      </c>
      <c r="AY22" s="5" t="s">
        <v>983</v>
      </c>
      <c r="AZ22" s="1">
        <v>1</v>
      </c>
      <c r="BA22" s="1">
        <v>0</v>
      </c>
      <c r="BB22" s="1">
        <v>1</v>
      </c>
      <c r="BC22" s="1">
        <v>1</v>
      </c>
      <c r="BD22" s="1">
        <v>1</v>
      </c>
      <c r="BE22" s="1">
        <v>1</v>
      </c>
      <c r="BF22" s="1">
        <v>0</v>
      </c>
      <c r="BG22" s="1">
        <v>0</v>
      </c>
      <c r="BI22" s="1">
        <v>11</v>
      </c>
      <c r="BJ22" s="1">
        <v>0</v>
      </c>
      <c r="BK22" s="1">
        <v>3</v>
      </c>
    </row>
    <row r="23" spans="1:63" ht="12.75" customHeight="1" x14ac:dyDescent="0.15">
      <c r="A23" s="5" t="s">
        <v>238</v>
      </c>
      <c r="B23" s="5" t="s">
        <v>238</v>
      </c>
      <c r="C23" s="5">
        <v>2</v>
      </c>
      <c r="D23" s="5">
        <v>2</v>
      </c>
      <c r="E23" s="5">
        <v>2</v>
      </c>
      <c r="F23" s="5">
        <v>1</v>
      </c>
      <c r="G23" s="5">
        <v>2</v>
      </c>
      <c r="H23" s="5">
        <v>1</v>
      </c>
      <c r="I23" s="5">
        <v>1</v>
      </c>
      <c r="J23" s="5">
        <v>1</v>
      </c>
      <c r="K23" s="5">
        <v>1</v>
      </c>
      <c r="L23" s="5">
        <v>2</v>
      </c>
      <c r="M23" s="5">
        <v>1</v>
      </c>
      <c r="N23" s="5">
        <v>2</v>
      </c>
      <c r="O23" s="5">
        <v>18</v>
      </c>
      <c r="P23" s="5" t="s">
        <v>983</v>
      </c>
      <c r="Q23" s="5">
        <v>2</v>
      </c>
      <c r="R23" s="5">
        <v>2</v>
      </c>
      <c r="S23" s="5">
        <v>1</v>
      </c>
      <c r="T23" s="5">
        <v>5</v>
      </c>
      <c r="U23" s="5" t="s">
        <v>981</v>
      </c>
      <c r="V23" s="5">
        <v>1</v>
      </c>
      <c r="W23" s="5">
        <v>2</v>
      </c>
      <c r="X23" s="5">
        <v>0</v>
      </c>
      <c r="Y23" s="5">
        <v>3</v>
      </c>
      <c r="Z23" s="5" t="s">
        <v>982</v>
      </c>
      <c r="AA23" s="5">
        <v>4</v>
      </c>
      <c r="AB23" s="5">
        <v>4</v>
      </c>
      <c r="AC23" s="5">
        <v>4</v>
      </c>
      <c r="AD23" s="5">
        <v>4</v>
      </c>
      <c r="AE23" s="5">
        <v>16</v>
      </c>
      <c r="AF23" s="5" t="s">
        <v>981</v>
      </c>
      <c r="AG23" s="5">
        <v>0</v>
      </c>
      <c r="AH23" s="5">
        <v>0</v>
      </c>
      <c r="AI23" s="5">
        <v>0</v>
      </c>
      <c r="AJ23" s="5">
        <v>0</v>
      </c>
      <c r="AK23" s="5" t="s">
        <v>983</v>
      </c>
      <c r="AL23" s="5">
        <v>0</v>
      </c>
      <c r="AM23" s="5">
        <v>0</v>
      </c>
      <c r="AN23" s="5">
        <v>0</v>
      </c>
      <c r="AO23" s="5">
        <v>0</v>
      </c>
      <c r="AP23" s="5" t="s">
        <v>983</v>
      </c>
      <c r="AQ23" s="5">
        <v>0</v>
      </c>
      <c r="AR23" s="5">
        <v>0</v>
      </c>
      <c r="AS23" s="5">
        <v>0</v>
      </c>
      <c r="AT23" s="5">
        <v>0</v>
      </c>
      <c r="AU23" s="5">
        <v>0</v>
      </c>
      <c r="AV23" s="5">
        <v>0</v>
      </c>
      <c r="AW23" s="5">
        <v>0</v>
      </c>
      <c r="AX23" s="5">
        <v>0</v>
      </c>
      <c r="AY23" s="5" t="s">
        <v>983</v>
      </c>
      <c r="AZ23" s="1">
        <v>1</v>
      </c>
      <c r="BA23" s="1">
        <v>1</v>
      </c>
      <c r="BB23" s="1">
        <v>1</v>
      </c>
      <c r="BC23" s="1">
        <v>1</v>
      </c>
      <c r="BD23" s="1">
        <v>1</v>
      </c>
      <c r="BE23" s="1">
        <v>1</v>
      </c>
      <c r="BF23" s="1">
        <v>62</v>
      </c>
      <c r="BG23" s="1">
        <v>0</v>
      </c>
      <c r="BH23" s="1">
        <v>16</v>
      </c>
      <c r="BI23" s="1">
        <v>11</v>
      </c>
      <c r="BJ23" s="1">
        <v>800000</v>
      </c>
      <c r="BK23" s="1">
        <v>1</v>
      </c>
    </row>
    <row r="24" spans="1:63" ht="12.75" customHeight="1" x14ac:dyDescent="0.15">
      <c r="A24" s="5" t="s">
        <v>238</v>
      </c>
      <c r="B24" s="5" t="s">
        <v>238</v>
      </c>
      <c r="C24" s="5">
        <v>3</v>
      </c>
      <c r="D24" s="5">
        <v>2</v>
      </c>
      <c r="E24" s="5">
        <v>2</v>
      </c>
      <c r="F24" s="5">
        <v>1</v>
      </c>
      <c r="G24" s="5">
        <v>2</v>
      </c>
      <c r="H24" s="5">
        <v>1</v>
      </c>
      <c r="I24" s="5">
        <v>1</v>
      </c>
      <c r="J24" s="5">
        <v>1</v>
      </c>
      <c r="K24" s="5">
        <v>1</v>
      </c>
      <c r="L24" s="5">
        <v>1</v>
      </c>
      <c r="M24" s="5">
        <v>1</v>
      </c>
      <c r="N24" s="5">
        <v>1</v>
      </c>
      <c r="O24" s="5">
        <v>17</v>
      </c>
      <c r="P24" s="5" t="s">
        <v>983</v>
      </c>
      <c r="Q24" s="5">
        <v>0</v>
      </c>
      <c r="R24" s="5">
        <v>0</v>
      </c>
      <c r="S24" s="5">
        <v>0</v>
      </c>
      <c r="T24" s="5">
        <v>0</v>
      </c>
      <c r="U24" s="5" t="s">
        <v>983</v>
      </c>
      <c r="V24" s="5">
        <v>0</v>
      </c>
      <c r="W24" s="5">
        <v>1</v>
      </c>
      <c r="X24" s="5">
        <v>0</v>
      </c>
      <c r="Y24" s="5">
        <v>1</v>
      </c>
      <c r="Z24" s="5" t="s">
        <v>983</v>
      </c>
      <c r="AA24" s="5">
        <v>0</v>
      </c>
      <c r="AB24" s="5">
        <v>0</v>
      </c>
      <c r="AC24" s="5">
        <v>0</v>
      </c>
      <c r="AD24" s="5">
        <v>4</v>
      </c>
      <c r="AE24" s="5">
        <v>4</v>
      </c>
      <c r="AF24" s="5" t="s">
        <v>982</v>
      </c>
      <c r="AG24" s="5">
        <v>0</v>
      </c>
      <c r="AH24" s="5">
        <v>0</v>
      </c>
      <c r="AI24" s="5">
        <v>0</v>
      </c>
      <c r="AJ24" s="5">
        <v>0</v>
      </c>
      <c r="AK24" s="5" t="s">
        <v>983</v>
      </c>
      <c r="AL24" s="5">
        <v>0</v>
      </c>
      <c r="AM24" s="5">
        <v>0</v>
      </c>
      <c r="AN24" s="5">
        <v>0</v>
      </c>
      <c r="AO24" s="5">
        <v>0</v>
      </c>
      <c r="AP24" s="5" t="s">
        <v>983</v>
      </c>
      <c r="AQ24" s="5">
        <v>0</v>
      </c>
      <c r="AR24" s="5">
        <v>0</v>
      </c>
      <c r="AS24" s="5">
        <v>0</v>
      </c>
      <c r="AT24" s="5">
        <v>0</v>
      </c>
      <c r="AU24" s="5">
        <v>0</v>
      </c>
      <c r="AV24" s="5">
        <v>0</v>
      </c>
      <c r="AW24" s="5">
        <v>0</v>
      </c>
      <c r="AX24" s="5">
        <v>0</v>
      </c>
      <c r="AY24" s="5" t="s">
        <v>983</v>
      </c>
      <c r="AZ24" s="1">
        <v>1</v>
      </c>
      <c r="BA24" s="1">
        <v>0</v>
      </c>
      <c r="BB24" s="1">
        <v>1</v>
      </c>
      <c r="BC24" s="1">
        <v>1</v>
      </c>
      <c r="BD24" s="1">
        <v>1</v>
      </c>
      <c r="BE24" s="1">
        <v>1</v>
      </c>
      <c r="BF24" s="1">
        <v>62</v>
      </c>
      <c r="BG24" s="1">
        <v>0</v>
      </c>
      <c r="BH24" s="1">
        <v>16</v>
      </c>
      <c r="BI24" s="1">
        <v>11</v>
      </c>
      <c r="BJ24" s="1">
        <v>800000</v>
      </c>
      <c r="BK24" s="1">
        <v>1</v>
      </c>
    </row>
    <row r="25" spans="1:63" ht="12.75" customHeight="1" x14ac:dyDescent="0.15">
      <c r="A25" s="5" t="s">
        <v>238</v>
      </c>
      <c r="B25" s="5" t="s">
        <v>238</v>
      </c>
      <c r="C25" s="5">
        <v>4</v>
      </c>
      <c r="D25" s="5">
        <v>3</v>
      </c>
      <c r="E25" s="5">
        <v>3</v>
      </c>
      <c r="F25" s="5">
        <v>3</v>
      </c>
      <c r="G25" s="5">
        <v>2</v>
      </c>
      <c r="H25" s="5">
        <v>2</v>
      </c>
      <c r="I25" s="5">
        <v>2</v>
      </c>
      <c r="J25" s="5">
        <v>3</v>
      </c>
      <c r="K25" s="5">
        <v>2</v>
      </c>
      <c r="L25" s="5">
        <v>2</v>
      </c>
      <c r="M25" s="5">
        <v>3</v>
      </c>
      <c r="N25" s="5">
        <v>2</v>
      </c>
      <c r="O25" s="5">
        <v>31</v>
      </c>
      <c r="P25" s="5" t="s">
        <v>981</v>
      </c>
      <c r="Q25" s="5">
        <v>0</v>
      </c>
      <c r="R25" s="5">
        <v>0</v>
      </c>
      <c r="S25" s="5">
        <v>0</v>
      </c>
      <c r="T25" s="5">
        <v>0</v>
      </c>
      <c r="U25" s="5" t="s">
        <v>983</v>
      </c>
      <c r="V25" s="5">
        <v>1</v>
      </c>
      <c r="W25" s="5">
        <v>4</v>
      </c>
      <c r="X25" s="5">
        <v>2</v>
      </c>
      <c r="Y25" s="5">
        <v>7</v>
      </c>
      <c r="Z25" s="5" t="s">
        <v>981</v>
      </c>
      <c r="AA25" s="5">
        <v>2</v>
      </c>
      <c r="AB25" s="5">
        <v>2</v>
      </c>
      <c r="AC25" s="5">
        <v>2</v>
      </c>
      <c r="AD25" s="5">
        <v>1</v>
      </c>
      <c r="AE25" s="5">
        <v>7</v>
      </c>
      <c r="AF25" s="5" t="s">
        <v>981</v>
      </c>
      <c r="AG25" s="5">
        <v>1</v>
      </c>
      <c r="AH25" s="5">
        <v>2</v>
      </c>
      <c r="AI25" s="5">
        <v>2</v>
      </c>
      <c r="AJ25" s="5">
        <v>5</v>
      </c>
      <c r="AK25" s="5" t="s">
        <v>982</v>
      </c>
      <c r="AL25" s="5">
        <v>2</v>
      </c>
      <c r="AM25" s="5">
        <v>1</v>
      </c>
      <c r="AN25" s="5">
        <v>2</v>
      </c>
      <c r="AO25" s="5">
        <v>5</v>
      </c>
      <c r="AP25" s="5" t="s">
        <v>982</v>
      </c>
      <c r="AQ25" s="5">
        <v>1</v>
      </c>
      <c r="AR25" s="5">
        <v>1</v>
      </c>
      <c r="AS25" s="5">
        <v>0</v>
      </c>
      <c r="AT25" s="5">
        <v>0</v>
      </c>
      <c r="AU25" s="5">
        <v>0</v>
      </c>
      <c r="AV25" s="5">
        <v>1</v>
      </c>
      <c r="AW25" s="5">
        <v>0</v>
      </c>
      <c r="AX25" s="5">
        <v>3</v>
      </c>
      <c r="AY25" s="5" t="s">
        <v>982</v>
      </c>
      <c r="AZ25" s="1">
        <v>0</v>
      </c>
      <c r="BA25" s="1">
        <v>0</v>
      </c>
      <c r="BB25" s="1">
        <v>0</v>
      </c>
      <c r="BC25" s="1">
        <v>1</v>
      </c>
      <c r="BD25" s="1">
        <v>1</v>
      </c>
      <c r="BE25" s="1">
        <v>0</v>
      </c>
      <c r="BF25" s="1">
        <v>39</v>
      </c>
      <c r="BG25" s="1">
        <v>0</v>
      </c>
      <c r="BH25" s="1">
        <v>15</v>
      </c>
      <c r="BI25" s="1">
        <v>29</v>
      </c>
      <c r="BJ25" s="1">
        <v>350000</v>
      </c>
      <c r="BK25" s="1">
        <v>3</v>
      </c>
    </row>
    <row r="26" spans="1:63" ht="12.75" customHeight="1" x14ac:dyDescent="0.15">
      <c r="A26" s="5" t="s">
        <v>330</v>
      </c>
      <c r="B26" s="5" t="s">
        <v>984</v>
      </c>
      <c r="C26" s="5">
        <v>2</v>
      </c>
      <c r="D26" s="5">
        <v>2</v>
      </c>
      <c r="E26" s="5">
        <v>3</v>
      </c>
      <c r="F26" s="5">
        <v>2</v>
      </c>
      <c r="G26" s="5">
        <v>2</v>
      </c>
      <c r="H26" s="5">
        <v>1</v>
      </c>
      <c r="I26" s="5">
        <v>1</v>
      </c>
      <c r="J26" s="5">
        <v>2</v>
      </c>
      <c r="K26" s="5">
        <v>1</v>
      </c>
      <c r="L26" s="5">
        <v>3</v>
      </c>
      <c r="M26" s="5">
        <v>1</v>
      </c>
      <c r="N26" s="5">
        <v>2</v>
      </c>
      <c r="O26" s="5">
        <v>22</v>
      </c>
      <c r="P26" s="5" t="s">
        <v>982</v>
      </c>
      <c r="Q26" s="5">
        <v>2</v>
      </c>
      <c r="R26" s="5">
        <v>1</v>
      </c>
      <c r="S26" s="5">
        <v>0</v>
      </c>
      <c r="T26" s="5">
        <v>3</v>
      </c>
      <c r="U26" s="5" t="s">
        <v>982</v>
      </c>
      <c r="V26" s="5">
        <v>0</v>
      </c>
      <c r="W26" s="5">
        <v>1</v>
      </c>
      <c r="X26" s="5">
        <v>1</v>
      </c>
      <c r="Y26" s="5">
        <v>2</v>
      </c>
      <c r="Z26" s="5" t="s">
        <v>982</v>
      </c>
      <c r="AA26" s="5">
        <v>2</v>
      </c>
      <c r="AB26" s="5">
        <v>2</v>
      </c>
      <c r="AC26" s="5">
        <v>1</v>
      </c>
      <c r="AD26" s="5">
        <v>1</v>
      </c>
      <c r="AE26" s="5">
        <v>6</v>
      </c>
      <c r="AF26" s="5" t="s">
        <v>981</v>
      </c>
      <c r="AG26" s="5">
        <v>2</v>
      </c>
      <c r="AH26" s="5">
        <v>2</v>
      </c>
      <c r="AI26" s="5">
        <v>2</v>
      </c>
      <c r="AJ26" s="5">
        <v>6</v>
      </c>
      <c r="AK26" s="5" t="s">
        <v>981</v>
      </c>
      <c r="AL26" s="5">
        <v>2</v>
      </c>
      <c r="AM26" s="5">
        <v>2</v>
      </c>
      <c r="AN26" s="5">
        <v>2</v>
      </c>
      <c r="AO26" s="5">
        <v>6</v>
      </c>
      <c r="AP26" s="5" t="s">
        <v>981</v>
      </c>
      <c r="AQ26" s="5">
        <v>1</v>
      </c>
      <c r="AR26" s="5">
        <v>1</v>
      </c>
      <c r="AS26" s="5">
        <v>0</v>
      </c>
      <c r="AT26" s="5">
        <v>0</v>
      </c>
      <c r="AU26" s="5">
        <v>0</v>
      </c>
      <c r="AV26" s="5">
        <v>1</v>
      </c>
      <c r="AW26" s="5">
        <v>0</v>
      </c>
      <c r="AX26" s="5">
        <v>3</v>
      </c>
      <c r="AY26" s="5" t="s">
        <v>982</v>
      </c>
      <c r="AZ26" s="1">
        <v>0</v>
      </c>
      <c r="BA26" s="1">
        <v>1</v>
      </c>
      <c r="BB26" s="1">
        <v>0</v>
      </c>
      <c r="BC26" s="1">
        <v>1</v>
      </c>
      <c r="BD26" s="1">
        <v>1</v>
      </c>
      <c r="BE26" s="1">
        <v>1</v>
      </c>
      <c r="BF26" s="1">
        <v>39</v>
      </c>
      <c r="BG26" s="1">
        <v>0</v>
      </c>
      <c r="BH26" s="1">
        <v>15</v>
      </c>
      <c r="BI26" s="1">
        <v>29</v>
      </c>
      <c r="BJ26" s="1">
        <v>350000</v>
      </c>
      <c r="BK26" s="1">
        <v>3</v>
      </c>
    </row>
    <row r="27" spans="1:63" ht="12.75" customHeight="1" x14ac:dyDescent="0.15">
      <c r="A27" s="5" t="s">
        <v>337</v>
      </c>
      <c r="B27" s="5" t="s">
        <v>984</v>
      </c>
      <c r="C27" s="5">
        <v>3</v>
      </c>
      <c r="D27" s="5">
        <v>2</v>
      </c>
      <c r="E27" s="5">
        <v>2</v>
      </c>
      <c r="F27" s="5">
        <v>3</v>
      </c>
      <c r="G27" s="5">
        <v>3</v>
      </c>
      <c r="H27" s="5">
        <v>2</v>
      </c>
      <c r="I27" s="5">
        <v>1</v>
      </c>
      <c r="J27" s="5">
        <v>1</v>
      </c>
      <c r="K27" s="5">
        <v>1</v>
      </c>
      <c r="L27" s="5">
        <v>2</v>
      </c>
      <c r="M27" s="5">
        <v>2</v>
      </c>
      <c r="N27" s="5">
        <v>2</v>
      </c>
      <c r="O27" s="5">
        <v>24</v>
      </c>
      <c r="P27" s="5" t="s">
        <v>981</v>
      </c>
      <c r="Q27" s="5">
        <v>2</v>
      </c>
      <c r="R27" s="5">
        <v>3</v>
      </c>
      <c r="S27" s="5">
        <v>1</v>
      </c>
      <c r="T27" s="5">
        <v>6</v>
      </c>
      <c r="U27" s="5" t="s">
        <v>981</v>
      </c>
      <c r="V27" s="5">
        <v>1</v>
      </c>
      <c r="W27" s="5">
        <v>2</v>
      </c>
      <c r="X27" s="5">
        <v>1</v>
      </c>
      <c r="Y27" s="5">
        <v>4</v>
      </c>
      <c r="Z27" s="5" t="s">
        <v>982</v>
      </c>
      <c r="AA27" s="5">
        <v>4</v>
      </c>
      <c r="AB27" s="5">
        <v>3</v>
      </c>
      <c r="AC27" s="5">
        <v>1</v>
      </c>
      <c r="AD27" s="5">
        <v>1</v>
      </c>
      <c r="AE27" s="5">
        <v>9</v>
      </c>
      <c r="AF27" s="5" t="s">
        <v>981</v>
      </c>
      <c r="AG27" s="5">
        <v>2</v>
      </c>
      <c r="AH27" s="5">
        <v>4</v>
      </c>
      <c r="AI27" s="5">
        <v>3</v>
      </c>
      <c r="AJ27" s="5">
        <v>9</v>
      </c>
      <c r="AK27" s="5" t="s">
        <v>981</v>
      </c>
      <c r="AL27" s="5">
        <v>3</v>
      </c>
      <c r="AM27" s="5">
        <v>2</v>
      </c>
      <c r="AN27" s="5">
        <v>1</v>
      </c>
      <c r="AO27" s="5">
        <v>6</v>
      </c>
      <c r="AP27" s="5" t="s">
        <v>981</v>
      </c>
      <c r="AQ27" s="5">
        <v>2</v>
      </c>
      <c r="AR27" s="5">
        <v>1</v>
      </c>
      <c r="AS27" s="5">
        <v>3</v>
      </c>
      <c r="AT27" s="5">
        <v>0</v>
      </c>
      <c r="AU27" s="5">
        <v>0</v>
      </c>
      <c r="AV27" s="5">
        <v>0</v>
      </c>
      <c r="AW27" s="5">
        <v>1</v>
      </c>
      <c r="AX27" s="5">
        <v>7</v>
      </c>
      <c r="AY27" s="5" t="s">
        <v>982</v>
      </c>
      <c r="AZ27" s="1">
        <v>1</v>
      </c>
      <c r="BA27" s="1">
        <v>0</v>
      </c>
      <c r="BB27" s="1">
        <v>0</v>
      </c>
      <c r="BC27" s="1">
        <v>1</v>
      </c>
      <c r="BD27" s="1">
        <v>1</v>
      </c>
      <c r="BE27" s="1">
        <v>1</v>
      </c>
      <c r="BF27" s="1">
        <v>41</v>
      </c>
      <c r="BG27" s="1">
        <v>0</v>
      </c>
      <c r="BH27" s="1">
        <v>14</v>
      </c>
      <c r="BI27" s="1">
        <v>7</v>
      </c>
      <c r="BJ27" s="1">
        <v>0</v>
      </c>
      <c r="BK27" s="1">
        <v>4</v>
      </c>
    </row>
    <row r="28" spans="1:63" ht="12.75" customHeight="1" x14ac:dyDescent="0.15">
      <c r="A28" s="5" t="s">
        <v>238</v>
      </c>
      <c r="B28" s="5" t="s">
        <v>238</v>
      </c>
      <c r="C28" s="5">
        <v>2</v>
      </c>
      <c r="D28" s="5">
        <v>2</v>
      </c>
      <c r="E28" s="5">
        <v>2</v>
      </c>
      <c r="F28" s="5">
        <v>2</v>
      </c>
      <c r="G28" s="5">
        <v>2</v>
      </c>
      <c r="H28" s="5">
        <v>1</v>
      </c>
      <c r="I28" s="5">
        <v>1</v>
      </c>
      <c r="J28" s="5">
        <v>2</v>
      </c>
      <c r="K28" s="5">
        <v>2</v>
      </c>
      <c r="L28" s="5">
        <v>2</v>
      </c>
      <c r="M28" s="5">
        <v>2</v>
      </c>
      <c r="N28" s="5">
        <v>2</v>
      </c>
      <c r="O28" s="5">
        <v>22</v>
      </c>
      <c r="P28" s="5" t="s">
        <v>982</v>
      </c>
      <c r="Q28" s="5">
        <v>2</v>
      </c>
      <c r="R28" s="5">
        <v>2</v>
      </c>
      <c r="S28" s="5">
        <v>1</v>
      </c>
      <c r="T28" s="5">
        <v>5</v>
      </c>
      <c r="U28" s="5" t="s">
        <v>981</v>
      </c>
      <c r="V28" s="5">
        <v>0</v>
      </c>
      <c r="W28" s="5">
        <v>0</v>
      </c>
      <c r="X28" s="5">
        <v>0</v>
      </c>
      <c r="Y28" s="5">
        <v>0</v>
      </c>
      <c r="Z28" s="5" t="s">
        <v>983</v>
      </c>
      <c r="AA28" s="5">
        <v>4</v>
      </c>
      <c r="AB28" s="5">
        <v>4</v>
      </c>
      <c r="AC28" s="5">
        <v>1</v>
      </c>
      <c r="AD28" s="5">
        <v>1</v>
      </c>
      <c r="AE28" s="5">
        <v>10</v>
      </c>
      <c r="AF28" s="5" t="s">
        <v>981</v>
      </c>
      <c r="AG28" s="5">
        <v>0</v>
      </c>
      <c r="AH28" s="5">
        <v>0</v>
      </c>
      <c r="AI28" s="5">
        <v>0</v>
      </c>
      <c r="AJ28" s="5">
        <v>0</v>
      </c>
      <c r="AK28" s="5" t="s">
        <v>983</v>
      </c>
      <c r="AL28" s="5">
        <v>0</v>
      </c>
      <c r="AM28" s="5">
        <v>0</v>
      </c>
      <c r="AN28" s="5">
        <v>0</v>
      </c>
      <c r="AO28" s="5">
        <v>0</v>
      </c>
      <c r="AP28" s="5" t="s">
        <v>983</v>
      </c>
      <c r="AQ28" s="5">
        <v>0</v>
      </c>
      <c r="AR28" s="5">
        <v>0</v>
      </c>
      <c r="AS28" s="5">
        <v>0</v>
      </c>
      <c r="AT28" s="5">
        <v>0</v>
      </c>
      <c r="AU28" s="5">
        <v>0</v>
      </c>
      <c r="AV28" s="5">
        <v>0</v>
      </c>
      <c r="AW28" s="5">
        <v>0</v>
      </c>
      <c r="AX28" s="5">
        <v>0</v>
      </c>
      <c r="AY28" s="5" t="s">
        <v>983</v>
      </c>
      <c r="AZ28" s="1">
        <v>0</v>
      </c>
      <c r="BA28" s="1">
        <v>0</v>
      </c>
      <c r="BB28" s="1">
        <v>1</v>
      </c>
      <c r="BC28" s="1">
        <v>1</v>
      </c>
      <c r="BD28" s="1">
        <v>1</v>
      </c>
      <c r="BE28" s="1">
        <v>1</v>
      </c>
      <c r="BF28" s="1">
        <v>36</v>
      </c>
      <c r="BG28" s="1">
        <v>1</v>
      </c>
      <c r="BH28" s="1">
        <v>9</v>
      </c>
      <c r="BI28" s="1">
        <v>10</v>
      </c>
      <c r="BJ28" s="1">
        <v>850000</v>
      </c>
      <c r="BK28" s="1">
        <v>1</v>
      </c>
    </row>
    <row r="29" spans="1:63" ht="12.75" customHeight="1" x14ac:dyDescent="0.15">
      <c r="A29" s="5" t="s">
        <v>238</v>
      </c>
      <c r="B29" s="5" t="s">
        <v>238</v>
      </c>
      <c r="C29" s="5">
        <v>4</v>
      </c>
      <c r="D29" s="5">
        <v>4</v>
      </c>
      <c r="E29" s="5">
        <v>4</v>
      </c>
      <c r="F29" s="5">
        <v>4</v>
      </c>
      <c r="G29" s="5">
        <v>4</v>
      </c>
      <c r="H29" s="5">
        <v>4</v>
      </c>
      <c r="I29" s="5">
        <v>4</v>
      </c>
      <c r="J29" s="5">
        <v>3</v>
      </c>
      <c r="K29" s="5">
        <v>3</v>
      </c>
      <c r="L29" s="5">
        <v>4</v>
      </c>
      <c r="M29" s="5">
        <v>4</v>
      </c>
      <c r="N29" s="5">
        <v>3</v>
      </c>
      <c r="O29" s="5">
        <v>45</v>
      </c>
      <c r="P29" s="5" t="s">
        <v>981</v>
      </c>
      <c r="Q29" s="5">
        <v>0</v>
      </c>
      <c r="R29" s="5">
        <v>3</v>
      </c>
      <c r="S29" s="5">
        <v>3</v>
      </c>
      <c r="T29" s="5">
        <v>6</v>
      </c>
      <c r="U29" s="5" t="s">
        <v>981</v>
      </c>
      <c r="V29" s="5">
        <v>1</v>
      </c>
      <c r="W29" s="5">
        <v>4</v>
      </c>
      <c r="X29" s="5">
        <v>4</v>
      </c>
      <c r="Y29" s="5">
        <v>9</v>
      </c>
      <c r="Z29" s="5" t="s">
        <v>981</v>
      </c>
      <c r="AA29" s="5">
        <v>4</v>
      </c>
      <c r="AB29" s="5">
        <v>0</v>
      </c>
      <c r="AC29" s="5">
        <v>0</v>
      </c>
      <c r="AD29" s="5">
        <v>1</v>
      </c>
      <c r="AE29" s="5">
        <v>5</v>
      </c>
      <c r="AF29" s="5" t="s">
        <v>981</v>
      </c>
      <c r="AG29" s="5">
        <v>3</v>
      </c>
      <c r="AH29" s="5">
        <v>0</v>
      </c>
      <c r="AI29" s="5">
        <v>0</v>
      </c>
      <c r="AJ29" s="5">
        <v>3</v>
      </c>
      <c r="AK29" s="5" t="s">
        <v>982</v>
      </c>
      <c r="AL29" s="5">
        <v>4</v>
      </c>
      <c r="AM29" s="5">
        <v>4</v>
      </c>
      <c r="AN29" s="5">
        <v>2</v>
      </c>
      <c r="AO29" s="5">
        <v>10</v>
      </c>
      <c r="AP29" s="5" t="s">
        <v>981</v>
      </c>
      <c r="AQ29" s="5">
        <v>1</v>
      </c>
      <c r="AR29" s="5">
        <v>0</v>
      </c>
      <c r="AS29" s="5">
        <v>0</v>
      </c>
      <c r="AT29" s="5">
        <v>0</v>
      </c>
      <c r="AU29" s="5">
        <v>0</v>
      </c>
      <c r="AV29" s="5">
        <v>0</v>
      </c>
      <c r="AW29" s="5">
        <v>0</v>
      </c>
      <c r="AX29" s="5">
        <v>1</v>
      </c>
      <c r="AY29" s="5" t="s">
        <v>982</v>
      </c>
      <c r="AZ29" s="1">
        <v>1</v>
      </c>
      <c r="BA29" s="1">
        <v>0</v>
      </c>
      <c r="BB29" s="1">
        <v>1</v>
      </c>
      <c r="BC29" s="1">
        <v>1</v>
      </c>
      <c r="BD29" s="1">
        <v>1</v>
      </c>
      <c r="BE29" s="1">
        <v>1</v>
      </c>
      <c r="BF29" s="1">
        <v>34</v>
      </c>
      <c r="BG29" s="1">
        <v>1</v>
      </c>
      <c r="BH29" s="1">
        <v>14</v>
      </c>
      <c r="BI29" s="1">
        <v>29</v>
      </c>
      <c r="BJ29" s="1">
        <v>0</v>
      </c>
      <c r="BK29" s="1">
        <v>5</v>
      </c>
    </row>
    <row r="30" spans="1:63" ht="12.75" customHeight="1" x14ac:dyDescent="0.15">
      <c r="A30" s="5" t="s">
        <v>238</v>
      </c>
      <c r="B30" s="5" t="s">
        <v>238</v>
      </c>
      <c r="C30" s="5">
        <v>3</v>
      </c>
      <c r="D30" s="5">
        <v>2</v>
      </c>
      <c r="E30" s="5">
        <v>3</v>
      </c>
      <c r="F30" s="5">
        <v>1</v>
      </c>
      <c r="G30" s="5">
        <v>2</v>
      </c>
      <c r="H30" s="5">
        <v>2</v>
      </c>
      <c r="I30" s="5">
        <v>1</v>
      </c>
      <c r="J30" s="5">
        <v>1</v>
      </c>
      <c r="K30" s="5">
        <v>1</v>
      </c>
      <c r="L30" s="5">
        <v>3</v>
      </c>
      <c r="M30" s="5">
        <v>1</v>
      </c>
      <c r="N30" s="5">
        <v>2</v>
      </c>
      <c r="O30" s="5">
        <v>22</v>
      </c>
      <c r="P30" s="5" t="s">
        <v>982</v>
      </c>
      <c r="Q30" s="5">
        <v>2</v>
      </c>
      <c r="R30" s="5">
        <v>2</v>
      </c>
      <c r="S30" s="5">
        <v>2</v>
      </c>
      <c r="T30" s="5">
        <v>6</v>
      </c>
      <c r="U30" s="5" t="s">
        <v>981</v>
      </c>
      <c r="V30" s="5">
        <v>0</v>
      </c>
      <c r="W30" s="5">
        <v>1</v>
      </c>
      <c r="X30" s="5">
        <v>1</v>
      </c>
      <c r="Y30" s="5">
        <v>2</v>
      </c>
      <c r="Z30" s="5" t="s">
        <v>982</v>
      </c>
      <c r="AA30" s="5">
        <v>4</v>
      </c>
      <c r="AB30" s="5">
        <v>4</v>
      </c>
      <c r="AC30" s="5">
        <v>4</v>
      </c>
      <c r="AD30" s="5">
        <v>4</v>
      </c>
      <c r="AE30" s="5">
        <v>16</v>
      </c>
      <c r="AF30" s="5" t="s">
        <v>981</v>
      </c>
      <c r="AG30" s="5">
        <v>0</v>
      </c>
      <c r="AH30" s="5">
        <v>0</v>
      </c>
      <c r="AI30" s="5">
        <v>0</v>
      </c>
      <c r="AJ30" s="5">
        <v>0</v>
      </c>
      <c r="AK30" s="5" t="s">
        <v>983</v>
      </c>
      <c r="AL30" s="5">
        <v>0</v>
      </c>
      <c r="AM30" s="5">
        <v>0</v>
      </c>
      <c r="AN30" s="5">
        <v>0</v>
      </c>
      <c r="AO30" s="5">
        <v>0</v>
      </c>
      <c r="AP30" s="5" t="s">
        <v>983</v>
      </c>
      <c r="AQ30" s="5">
        <v>1</v>
      </c>
      <c r="AR30" s="5">
        <v>0</v>
      </c>
      <c r="AS30" s="5">
        <v>0</v>
      </c>
      <c r="AT30" s="5">
        <v>0</v>
      </c>
      <c r="AU30" s="5">
        <v>0</v>
      </c>
      <c r="AV30" s="5">
        <v>0</v>
      </c>
      <c r="AW30" s="5">
        <v>0</v>
      </c>
      <c r="AX30" s="5">
        <v>1</v>
      </c>
      <c r="AY30" s="5" t="s">
        <v>982</v>
      </c>
      <c r="AZ30" s="1">
        <v>0</v>
      </c>
      <c r="BA30" s="1">
        <v>0</v>
      </c>
      <c r="BB30" s="1">
        <v>0</v>
      </c>
      <c r="BC30" s="1">
        <v>1</v>
      </c>
      <c r="BD30" s="1">
        <v>1</v>
      </c>
      <c r="BE30" s="1">
        <v>1</v>
      </c>
      <c r="BF30" s="1">
        <v>71</v>
      </c>
      <c r="BG30" s="1">
        <v>0</v>
      </c>
      <c r="BH30" s="1">
        <v>18</v>
      </c>
      <c r="BI30" s="1">
        <v>24</v>
      </c>
      <c r="BJ30" s="1">
        <v>600000</v>
      </c>
      <c r="BK30" s="1">
        <v>1</v>
      </c>
    </row>
    <row r="31" spans="1:63" ht="12.75" customHeight="1" x14ac:dyDescent="0.15">
      <c r="A31" s="5" t="s">
        <v>337</v>
      </c>
      <c r="B31" s="5" t="s">
        <v>984</v>
      </c>
      <c r="C31" s="5">
        <v>2</v>
      </c>
      <c r="D31" s="5">
        <v>4</v>
      </c>
      <c r="E31" s="5">
        <v>4</v>
      </c>
      <c r="F31" s="5">
        <v>3</v>
      </c>
      <c r="G31" s="5">
        <v>3</v>
      </c>
      <c r="H31" s="5">
        <v>2</v>
      </c>
      <c r="I31" s="5">
        <v>2</v>
      </c>
      <c r="J31" s="5">
        <v>1</v>
      </c>
      <c r="K31" s="5">
        <v>1</v>
      </c>
      <c r="L31" s="5">
        <v>1</v>
      </c>
      <c r="M31" s="5">
        <v>1</v>
      </c>
      <c r="N31" s="5">
        <v>2</v>
      </c>
      <c r="O31" s="5">
        <v>26</v>
      </c>
      <c r="P31" s="5" t="s">
        <v>981</v>
      </c>
      <c r="Q31" s="5">
        <v>3</v>
      </c>
      <c r="R31" s="5">
        <v>3</v>
      </c>
      <c r="S31" s="5">
        <v>1</v>
      </c>
      <c r="T31" s="5">
        <v>7</v>
      </c>
      <c r="U31" s="5" t="s">
        <v>981</v>
      </c>
      <c r="V31" s="5">
        <v>2</v>
      </c>
      <c r="W31" s="5">
        <v>0</v>
      </c>
      <c r="X31" s="5">
        <v>4</v>
      </c>
      <c r="Y31" s="5">
        <v>6</v>
      </c>
      <c r="Z31" s="5" t="s">
        <v>981</v>
      </c>
      <c r="AA31" s="5">
        <v>4</v>
      </c>
      <c r="AB31" s="5">
        <v>4</v>
      </c>
      <c r="AC31" s="5">
        <v>0</v>
      </c>
      <c r="AD31" s="5">
        <v>1</v>
      </c>
      <c r="AE31" s="5">
        <v>9</v>
      </c>
      <c r="AF31" s="5" t="s">
        <v>981</v>
      </c>
      <c r="AG31" s="5">
        <v>3</v>
      </c>
      <c r="AH31" s="5">
        <v>3</v>
      </c>
      <c r="AI31" s="5">
        <v>3</v>
      </c>
      <c r="AJ31" s="5">
        <v>9</v>
      </c>
      <c r="AK31" s="5" t="s">
        <v>981</v>
      </c>
      <c r="AL31" s="5">
        <v>4</v>
      </c>
      <c r="AM31" s="5">
        <v>4</v>
      </c>
      <c r="AN31" s="5">
        <v>4</v>
      </c>
      <c r="AO31" s="5">
        <v>12</v>
      </c>
      <c r="AP31" s="5" t="s">
        <v>981</v>
      </c>
      <c r="AQ31" s="5">
        <v>1</v>
      </c>
      <c r="AR31" s="5">
        <v>1</v>
      </c>
      <c r="AS31" s="5">
        <v>0</v>
      </c>
      <c r="AT31" s="5">
        <v>0</v>
      </c>
      <c r="AU31" s="5">
        <v>0</v>
      </c>
      <c r="AV31" s="5">
        <v>0</v>
      </c>
      <c r="AW31" s="5">
        <v>1</v>
      </c>
      <c r="AX31" s="5">
        <v>3</v>
      </c>
      <c r="AY31" s="5" t="s">
        <v>982</v>
      </c>
      <c r="AZ31" s="1">
        <v>0</v>
      </c>
      <c r="BA31" s="1">
        <v>1</v>
      </c>
      <c r="BB31" s="1">
        <v>0</v>
      </c>
      <c r="BC31" s="1">
        <v>1</v>
      </c>
      <c r="BD31" s="1">
        <v>0</v>
      </c>
      <c r="BE31" s="1">
        <v>0</v>
      </c>
      <c r="BF31" s="1">
        <v>68</v>
      </c>
      <c r="BG31" s="1">
        <v>0</v>
      </c>
      <c r="BH31" s="1">
        <v>14</v>
      </c>
      <c r="BI31" s="1">
        <v>34</v>
      </c>
      <c r="BJ31" s="1">
        <v>700000</v>
      </c>
      <c r="BK31" s="1">
        <v>2</v>
      </c>
    </row>
    <row r="32" spans="1:63" ht="12.75" customHeight="1" x14ac:dyDescent="0.15">
      <c r="A32" s="5" t="s">
        <v>238</v>
      </c>
      <c r="B32" s="5" t="s">
        <v>238</v>
      </c>
      <c r="C32" s="5">
        <v>1</v>
      </c>
      <c r="D32" s="5">
        <v>1</v>
      </c>
      <c r="E32" s="5">
        <v>1</v>
      </c>
      <c r="F32" s="5">
        <v>1</v>
      </c>
      <c r="G32" s="5">
        <v>1</v>
      </c>
      <c r="H32" s="5">
        <v>1</v>
      </c>
      <c r="I32" s="5">
        <v>1</v>
      </c>
      <c r="J32" s="5">
        <v>1</v>
      </c>
      <c r="K32" s="5">
        <v>1</v>
      </c>
      <c r="L32" s="5">
        <v>1</v>
      </c>
      <c r="M32" s="5">
        <v>1</v>
      </c>
      <c r="N32" s="5">
        <v>1</v>
      </c>
      <c r="O32" s="5">
        <v>12</v>
      </c>
      <c r="P32" s="5" t="s">
        <v>983</v>
      </c>
      <c r="Q32" s="5">
        <v>0</v>
      </c>
      <c r="R32" s="5">
        <v>0</v>
      </c>
      <c r="S32" s="5">
        <v>0</v>
      </c>
      <c r="T32" s="5">
        <v>0</v>
      </c>
      <c r="U32" s="5" t="s">
        <v>983</v>
      </c>
      <c r="V32" s="5">
        <v>0</v>
      </c>
      <c r="W32" s="5">
        <v>4</v>
      </c>
      <c r="X32" s="5">
        <v>4</v>
      </c>
      <c r="Y32" s="5">
        <v>8</v>
      </c>
      <c r="Z32" s="5" t="s">
        <v>981</v>
      </c>
      <c r="AA32" s="5">
        <v>0</v>
      </c>
      <c r="AB32" s="5">
        <v>0</v>
      </c>
      <c r="AC32" s="5">
        <v>0</v>
      </c>
      <c r="AD32" s="5">
        <v>0</v>
      </c>
      <c r="AE32" s="5">
        <v>0</v>
      </c>
      <c r="AF32" s="5" t="s">
        <v>983</v>
      </c>
      <c r="AG32" s="5">
        <v>0</v>
      </c>
      <c r="AH32" s="5">
        <v>0</v>
      </c>
      <c r="AI32" s="5">
        <v>1</v>
      </c>
      <c r="AJ32" s="5">
        <v>1</v>
      </c>
      <c r="AK32" s="5" t="s">
        <v>983</v>
      </c>
      <c r="AL32" s="5">
        <v>1</v>
      </c>
      <c r="AM32" s="5">
        <v>1</v>
      </c>
      <c r="AN32" s="5">
        <v>0</v>
      </c>
      <c r="AO32" s="5">
        <v>2</v>
      </c>
      <c r="AP32" s="5" t="s">
        <v>983</v>
      </c>
      <c r="AQ32" s="5">
        <v>0</v>
      </c>
      <c r="AR32" s="5">
        <v>0</v>
      </c>
      <c r="AS32" s="5">
        <v>0</v>
      </c>
      <c r="AT32" s="5">
        <v>0</v>
      </c>
      <c r="AU32" s="5">
        <v>0</v>
      </c>
      <c r="AV32" s="5">
        <v>0</v>
      </c>
      <c r="AW32" s="5">
        <v>0</v>
      </c>
      <c r="AX32" s="5">
        <v>0</v>
      </c>
      <c r="AY32" s="5" t="s">
        <v>983</v>
      </c>
      <c r="AZ32" s="1">
        <v>0</v>
      </c>
      <c r="BA32" s="1">
        <v>0</v>
      </c>
      <c r="BB32" s="1">
        <v>0</v>
      </c>
      <c r="BC32" s="1">
        <v>1</v>
      </c>
      <c r="BD32" s="1">
        <v>1</v>
      </c>
      <c r="BE32" s="1">
        <v>1</v>
      </c>
      <c r="BF32" s="1">
        <v>30</v>
      </c>
      <c r="BG32" s="1">
        <v>0</v>
      </c>
      <c r="BH32" s="1">
        <v>14</v>
      </c>
      <c r="BI32" s="1">
        <v>24</v>
      </c>
      <c r="BJ32" s="1">
        <v>500000</v>
      </c>
      <c r="BK32" s="1">
        <v>5</v>
      </c>
    </row>
    <row r="33" spans="1:63" ht="12.75" customHeight="1" x14ac:dyDescent="0.15">
      <c r="A33" s="5" t="s">
        <v>238</v>
      </c>
      <c r="B33" s="5" t="s">
        <v>238</v>
      </c>
      <c r="C33" s="5">
        <v>3</v>
      </c>
      <c r="D33" s="5">
        <v>3</v>
      </c>
      <c r="E33" s="5">
        <v>3</v>
      </c>
      <c r="F33" s="5">
        <v>3</v>
      </c>
      <c r="G33" s="5">
        <v>3</v>
      </c>
      <c r="H33" s="5">
        <v>3</v>
      </c>
      <c r="I33" s="5">
        <v>3</v>
      </c>
      <c r="J33" s="5">
        <v>3</v>
      </c>
      <c r="K33" s="5">
        <v>3</v>
      </c>
      <c r="L33" s="5">
        <v>3</v>
      </c>
      <c r="M33" s="5">
        <v>3</v>
      </c>
      <c r="N33" s="5">
        <v>2</v>
      </c>
      <c r="O33" s="5">
        <v>35</v>
      </c>
      <c r="P33" s="5" t="s">
        <v>981</v>
      </c>
      <c r="Q33" s="5">
        <v>3</v>
      </c>
      <c r="R33" s="5">
        <v>3</v>
      </c>
      <c r="S33" s="5">
        <v>3</v>
      </c>
      <c r="T33" s="5">
        <v>9</v>
      </c>
      <c r="U33" s="5" t="s">
        <v>981</v>
      </c>
      <c r="V33" s="5">
        <v>3</v>
      </c>
      <c r="W33" s="5">
        <v>3</v>
      </c>
      <c r="X33" s="5">
        <v>3</v>
      </c>
      <c r="Y33" s="5">
        <v>9</v>
      </c>
      <c r="Z33" s="5" t="s">
        <v>981</v>
      </c>
      <c r="AA33" s="5">
        <v>1</v>
      </c>
      <c r="AB33" s="5">
        <v>1</v>
      </c>
      <c r="AC33" s="5">
        <v>1</v>
      </c>
      <c r="AD33" s="5">
        <v>1</v>
      </c>
      <c r="AE33" s="5">
        <v>4</v>
      </c>
      <c r="AF33" s="5" t="s">
        <v>982</v>
      </c>
      <c r="AG33" s="5">
        <v>3</v>
      </c>
      <c r="AH33" s="5">
        <v>3</v>
      </c>
      <c r="AI33" s="5">
        <v>3</v>
      </c>
      <c r="AJ33" s="5">
        <v>9</v>
      </c>
      <c r="AK33" s="5" t="s">
        <v>981</v>
      </c>
      <c r="AL33" s="5">
        <v>3</v>
      </c>
      <c r="AM33" s="5">
        <v>3</v>
      </c>
      <c r="AN33" s="5">
        <v>3</v>
      </c>
      <c r="AO33" s="5">
        <v>9</v>
      </c>
      <c r="AP33" s="5" t="s">
        <v>981</v>
      </c>
      <c r="AQ33" s="5">
        <v>1</v>
      </c>
      <c r="AR33" s="5">
        <v>1</v>
      </c>
      <c r="AS33" s="5">
        <v>1</v>
      </c>
      <c r="AT33" s="5">
        <v>1</v>
      </c>
      <c r="AU33" s="5">
        <v>1</v>
      </c>
      <c r="AV33" s="5">
        <v>1</v>
      </c>
      <c r="AW33" s="5">
        <v>1</v>
      </c>
      <c r="AX33" s="5">
        <v>7</v>
      </c>
      <c r="AY33" s="5" t="s">
        <v>982</v>
      </c>
      <c r="AZ33" s="1">
        <v>1</v>
      </c>
      <c r="BA33" s="1">
        <v>0</v>
      </c>
      <c r="BB33" s="1">
        <v>0</v>
      </c>
      <c r="BC33" s="1">
        <v>1</v>
      </c>
      <c r="BD33" s="1">
        <v>1</v>
      </c>
      <c r="BE33" s="1">
        <v>1</v>
      </c>
      <c r="BF33" s="1">
        <v>48</v>
      </c>
      <c r="BG33" s="1">
        <v>0</v>
      </c>
      <c r="BH33" s="1">
        <v>14</v>
      </c>
      <c r="BI33" s="1">
        <v>2</v>
      </c>
      <c r="BJ33" s="1">
        <v>900000</v>
      </c>
      <c r="BK33" s="1">
        <v>4</v>
      </c>
    </row>
    <row r="34" spans="1:63" ht="12.75" customHeight="1" x14ac:dyDescent="0.15">
      <c r="A34" s="5" t="s">
        <v>238</v>
      </c>
      <c r="B34" s="5" t="s">
        <v>238</v>
      </c>
      <c r="C34" s="5">
        <v>2</v>
      </c>
      <c r="D34" s="5">
        <v>4</v>
      </c>
      <c r="E34" s="5">
        <v>3</v>
      </c>
      <c r="F34" s="5">
        <v>2</v>
      </c>
      <c r="G34" s="5">
        <v>2</v>
      </c>
      <c r="H34" s="5">
        <v>1</v>
      </c>
      <c r="I34" s="5">
        <v>1</v>
      </c>
      <c r="J34" s="5">
        <v>4</v>
      </c>
      <c r="K34" s="5">
        <v>4</v>
      </c>
      <c r="L34" s="5">
        <v>3</v>
      </c>
      <c r="M34" s="5">
        <v>2</v>
      </c>
      <c r="N34" s="5">
        <v>2</v>
      </c>
      <c r="O34" s="5">
        <v>30</v>
      </c>
      <c r="P34" s="5" t="s">
        <v>981</v>
      </c>
      <c r="Q34" s="5">
        <v>1</v>
      </c>
      <c r="R34" s="5">
        <v>1</v>
      </c>
      <c r="S34" s="5">
        <v>1</v>
      </c>
      <c r="T34" s="5">
        <v>3</v>
      </c>
      <c r="U34" s="5" t="s">
        <v>982</v>
      </c>
      <c r="V34" s="5">
        <v>1</v>
      </c>
      <c r="W34" s="5">
        <v>1</v>
      </c>
      <c r="X34" s="5">
        <v>1</v>
      </c>
      <c r="Y34" s="5">
        <v>3</v>
      </c>
      <c r="Z34" s="5" t="s">
        <v>982</v>
      </c>
      <c r="AA34" s="5">
        <v>1</v>
      </c>
      <c r="AB34" s="5">
        <v>1</v>
      </c>
      <c r="AC34" s="5">
        <v>1</v>
      </c>
      <c r="AD34" s="5">
        <v>1</v>
      </c>
      <c r="AE34" s="5">
        <v>4</v>
      </c>
      <c r="AF34" s="5" t="s">
        <v>982</v>
      </c>
      <c r="AG34" s="5">
        <v>2</v>
      </c>
      <c r="AH34" s="5">
        <v>4</v>
      </c>
      <c r="AI34" s="5">
        <v>2</v>
      </c>
      <c r="AJ34" s="5">
        <v>8</v>
      </c>
      <c r="AK34" s="5" t="s">
        <v>981</v>
      </c>
      <c r="AL34" s="5">
        <v>2</v>
      </c>
      <c r="AM34" s="5">
        <v>2</v>
      </c>
      <c r="AN34" s="5">
        <v>2</v>
      </c>
      <c r="AO34" s="5">
        <v>6</v>
      </c>
      <c r="AP34" s="5" t="s">
        <v>981</v>
      </c>
      <c r="AQ34" s="5">
        <v>0</v>
      </c>
      <c r="AR34" s="5">
        <v>0</v>
      </c>
      <c r="AS34" s="5">
        <v>0</v>
      </c>
      <c r="AT34" s="5">
        <v>0</v>
      </c>
      <c r="AU34" s="5">
        <v>0</v>
      </c>
      <c r="AV34" s="5">
        <v>0</v>
      </c>
      <c r="AW34" s="5">
        <v>0</v>
      </c>
      <c r="AX34" s="5">
        <v>0</v>
      </c>
      <c r="AY34" s="5" t="s">
        <v>983</v>
      </c>
      <c r="AZ34" s="1">
        <v>1</v>
      </c>
      <c r="BA34" s="1">
        <v>0</v>
      </c>
      <c r="BB34" s="1">
        <v>0</v>
      </c>
      <c r="BC34" s="1">
        <v>1</v>
      </c>
      <c r="BD34" s="1">
        <v>1</v>
      </c>
      <c r="BE34" s="1">
        <v>1</v>
      </c>
      <c r="BF34" s="1">
        <v>42</v>
      </c>
      <c r="BG34" s="1">
        <v>0</v>
      </c>
      <c r="BH34" s="1">
        <v>12</v>
      </c>
      <c r="BI34" s="1">
        <v>24</v>
      </c>
      <c r="BJ34" s="1">
        <v>500000</v>
      </c>
      <c r="BK34" s="1">
        <v>5</v>
      </c>
    </row>
    <row r="35" spans="1:63" ht="12.75" customHeight="1" x14ac:dyDescent="0.15">
      <c r="A35" s="5" t="s">
        <v>238</v>
      </c>
      <c r="B35" s="5" t="s">
        <v>238</v>
      </c>
      <c r="C35" s="5">
        <v>2</v>
      </c>
      <c r="D35" s="5">
        <v>3</v>
      </c>
      <c r="E35" s="5">
        <v>3</v>
      </c>
      <c r="F35" s="5">
        <v>2</v>
      </c>
      <c r="G35" s="5">
        <v>3</v>
      </c>
      <c r="H35" s="5">
        <v>2</v>
      </c>
      <c r="I35" s="5">
        <v>1</v>
      </c>
      <c r="J35" s="5">
        <v>1</v>
      </c>
      <c r="K35" s="5">
        <v>1</v>
      </c>
      <c r="L35" s="5">
        <v>1</v>
      </c>
      <c r="M35" s="5">
        <v>1</v>
      </c>
      <c r="N35" s="5">
        <v>1</v>
      </c>
      <c r="O35" s="5">
        <v>21</v>
      </c>
      <c r="P35" s="5" t="s">
        <v>982</v>
      </c>
      <c r="Q35" s="5">
        <v>1</v>
      </c>
      <c r="R35" s="5">
        <v>1</v>
      </c>
      <c r="S35" s="5">
        <v>0</v>
      </c>
      <c r="T35" s="5">
        <v>2</v>
      </c>
      <c r="U35" s="5" t="s">
        <v>982</v>
      </c>
      <c r="V35" s="5">
        <v>0</v>
      </c>
      <c r="W35" s="5">
        <v>1</v>
      </c>
      <c r="X35" s="5">
        <v>2</v>
      </c>
      <c r="Y35" s="5">
        <v>3</v>
      </c>
      <c r="Z35" s="5" t="s">
        <v>982</v>
      </c>
      <c r="AA35" s="5">
        <v>2</v>
      </c>
      <c r="AB35" s="5">
        <v>2</v>
      </c>
      <c r="AC35" s="5">
        <v>1</v>
      </c>
      <c r="AD35" s="5">
        <v>0</v>
      </c>
      <c r="AE35" s="5">
        <v>5</v>
      </c>
      <c r="AF35" s="5" t="s">
        <v>981</v>
      </c>
      <c r="AG35" s="5">
        <v>0</v>
      </c>
      <c r="AH35" s="5">
        <v>0</v>
      </c>
      <c r="AI35" s="5">
        <v>0</v>
      </c>
      <c r="AJ35" s="5">
        <v>0</v>
      </c>
      <c r="AK35" s="5" t="s">
        <v>983</v>
      </c>
      <c r="AL35" s="5">
        <v>0</v>
      </c>
      <c r="AM35" s="5">
        <v>0</v>
      </c>
      <c r="AN35" s="5">
        <v>0</v>
      </c>
      <c r="AO35" s="5">
        <v>0</v>
      </c>
      <c r="AP35" s="5" t="s">
        <v>983</v>
      </c>
      <c r="AQ35" s="5">
        <v>0</v>
      </c>
      <c r="AR35" s="5">
        <v>0</v>
      </c>
      <c r="AS35" s="5">
        <v>0</v>
      </c>
      <c r="AT35" s="5">
        <v>0</v>
      </c>
      <c r="AU35" s="5">
        <v>0</v>
      </c>
      <c r="AV35" s="5">
        <v>0</v>
      </c>
      <c r="AW35" s="5">
        <v>0</v>
      </c>
      <c r="AX35" s="5">
        <v>0</v>
      </c>
      <c r="AY35" s="5" t="s">
        <v>983</v>
      </c>
      <c r="AZ35" s="1">
        <v>1</v>
      </c>
      <c r="BA35" s="1">
        <v>0</v>
      </c>
      <c r="BB35" s="1">
        <v>0</v>
      </c>
      <c r="BC35" s="1">
        <v>1</v>
      </c>
      <c r="BD35" s="1">
        <v>1</v>
      </c>
      <c r="BE35" s="1">
        <v>1</v>
      </c>
      <c r="BF35" s="1">
        <v>51</v>
      </c>
      <c r="BG35" s="1">
        <v>0</v>
      </c>
      <c r="BH35" s="1">
        <v>6</v>
      </c>
      <c r="BI35" s="1">
        <v>2</v>
      </c>
      <c r="BJ35" s="1">
        <v>700000</v>
      </c>
      <c r="BK35" s="1">
        <v>2</v>
      </c>
    </row>
    <row r="36" spans="1:63" ht="12.75" customHeight="1" x14ac:dyDescent="0.15">
      <c r="A36" s="5" t="s">
        <v>330</v>
      </c>
      <c r="B36" s="5" t="s">
        <v>984</v>
      </c>
      <c r="C36" s="5">
        <v>1</v>
      </c>
      <c r="D36" s="5">
        <v>1</v>
      </c>
      <c r="E36" s="5">
        <v>1</v>
      </c>
      <c r="F36" s="5">
        <v>1</v>
      </c>
      <c r="G36" s="5">
        <v>1</v>
      </c>
      <c r="H36" s="5">
        <v>1</v>
      </c>
      <c r="I36" s="5">
        <v>1</v>
      </c>
      <c r="J36" s="5">
        <v>4</v>
      </c>
      <c r="K36" s="5">
        <v>4</v>
      </c>
      <c r="L36" s="5">
        <v>4</v>
      </c>
      <c r="M36" s="5">
        <v>4</v>
      </c>
      <c r="N36" s="5">
        <v>4</v>
      </c>
      <c r="O36" s="5">
        <v>27</v>
      </c>
      <c r="P36" s="5" t="s">
        <v>981</v>
      </c>
      <c r="Q36" s="5">
        <v>0</v>
      </c>
      <c r="R36" s="5">
        <v>0</v>
      </c>
      <c r="S36" s="5">
        <v>0</v>
      </c>
      <c r="T36" s="5">
        <v>0</v>
      </c>
      <c r="U36" s="5" t="s">
        <v>983</v>
      </c>
      <c r="V36" s="5">
        <v>0</v>
      </c>
      <c r="W36" s="5">
        <v>0</v>
      </c>
      <c r="X36" s="5">
        <v>0</v>
      </c>
      <c r="Y36" s="5">
        <v>0</v>
      </c>
      <c r="Z36" s="5" t="s">
        <v>983</v>
      </c>
      <c r="AA36" s="5">
        <v>4</v>
      </c>
      <c r="AB36" s="5">
        <v>4</v>
      </c>
      <c r="AC36" s="5">
        <v>4</v>
      </c>
      <c r="AD36" s="5">
        <v>4</v>
      </c>
      <c r="AE36" s="5">
        <v>16</v>
      </c>
      <c r="AF36" s="5" t="s">
        <v>981</v>
      </c>
      <c r="AG36" s="5">
        <v>0</v>
      </c>
      <c r="AH36" s="5">
        <v>0</v>
      </c>
      <c r="AI36" s="5">
        <v>0</v>
      </c>
      <c r="AJ36" s="5">
        <v>0</v>
      </c>
      <c r="AK36" s="5" t="s">
        <v>983</v>
      </c>
      <c r="AL36" s="5">
        <v>0</v>
      </c>
      <c r="AM36" s="5">
        <v>0</v>
      </c>
      <c r="AN36" s="5">
        <v>0</v>
      </c>
      <c r="AO36" s="5">
        <v>0</v>
      </c>
      <c r="AP36" s="5" t="s">
        <v>983</v>
      </c>
      <c r="AQ36" s="5">
        <v>0</v>
      </c>
      <c r="AR36" s="5">
        <v>0</v>
      </c>
      <c r="AS36" s="5">
        <v>0</v>
      </c>
      <c r="AT36" s="5">
        <v>0</v>
      </c>
      <c r="AU36" s="5">
        <v>0</v>
      </c>
      <c r="AV36" s="5">
        <v>0</v>
      </c>
      <c r="AW36" s="5">
        <v>0</v>
      </c>
      <c r="AX36" s="5">
        <v>0</v>
      </c>
      <c r="AY36" s="5" t="s">
        <v>983</v>
      </c>
      <c r="AZ36" s="1">
        <v>1</v>
      </c>
      <c r="BA36" s="1">
        <v>0</v>
      </c>
      <c r="BB36" s="1">
        <v>1</v>
      </c>
      <c r="BC36" s="1">
        <v>1</v>
      </c>
      <c r="BD36" s="1">
        <v>0</v>
      </c>
      <c r="BE36" s="1">
        <v>1</v>
      </c>
      <c r="BF36" s="1">
        <v>37</v>
      </c>
      <c r="BG36" s="1">
        <v>0</v>
      </c>
      <c r="BH36" s="1">
        <v>14</v>
      </c>
      <c r="BI36" s="1">
        <v>3</v>
      </c>
      <c r="BJ36" s="1">
        <v>380000</v>
      </c>
      <c r="BK36" s="1">
        <v>3</v>
      </c>
    </row>
    <row r="37" spans="1:63" ht="12.75" customHeight="1" x14ac:dyDescent="0.15">
      <c r="A37" s="5" t="s">
        <v>238</v>
      </c>
      <c r="B37" s="5" t="s">
        <v>238</v>
      </c>
      <c r="C37" s="5">
        <v>2</v>
      </c>
      <c r="D37" s="5">
        <v>3</v>
      </c>
      <c r="E37" s="5">
        <v>3</v>
      </c>
      <c r="F37" s="5">
        <v>2</v>
      </c>
      <c r="G37" s="5">
        <v>2</v>
      </c>
      <c r="H37" s="5">
        <v>2</v>
      </c>
      <c r="I37" s="5">
        <v>1</v>
      </c>
      <c r="J37" s="5">
        <v>2</v>
      </c>
      <c r="K37" s="5">
        <v>1</v>
      </c>
      <c r="L37" s="5">
        <v>2</v>
      </c>
      <c r="M37" s="5">
        <v>2</v>
      </c>
      <c r="N37" s="5">
        <v>2</v>
      </c>
      <c r="O37" s="5">
        <v>24</v>
      </c>
      <c r="P37" s="5" t="s">
        <v>981</v>
      </c>
      <c r="Q37" s="5">
        <v>2</v>
      </c>
      <c r="R37" s="5">
        <v>2</v>
      </c>
      <c r="S37" s="5">
        <v>2</v>
      </c>
      <c r="T37" s="5">
        <v>6</v>
      </c>
      <c r="U37" s="5" t="s">
        <v>981</v>
      </c>
      <c r="V37" s="5">
        <v>2</v>
      </c>
      <c r="W37" s="5">
        <v>3</v>
      </c>
      <c r="X37" s="5">
        <v>4</v>
      </c>
      <c r="Y37" s="5">
        <v>9</v>
      </c>
      <c r="Z37" s="5" t="s">
        <v>981</v>
      </c>
      <c r="AA37" s="5">
        <v>4</v>
      </c>
      <c r="AB37" s="5">
        <v>4</v>
      </c>
      <c r="AC37" s="5">
        <v>4</v>
      </c>
      <c r="AD37" s="5">
        <v>4</v>
      </c>
      <c r="AE37" s="5">
        <v>16</v>
      </c>
      <c r="AF37" s="5" t="s">
        <v>981</v>
      </c>
      <c r="AG37" s="5">
        <v>2</v>
      </c>
      <c r="AH37" s="5">
        <v>0</v>
      </c>
      <c r="AI37" s="5">
        <v>0</v>
      </c>
      <c r="AJ37" s="5">
        <v>2</v>
      </c>
      <c r="AK37" s="5" t="s">
        <v>983</v>
      </c>
      <c r="AL37" s="5">
        <v>1</v>
      </c>
      <c r="AM37" s="5">
        <v>1</v>
      </c>
      <c r="AN37" s="5">
        <v>3</v>
      </c>
      <c r="AO37" s="5">
        <v>5</v>
      </c>
      <c r="AP37" s="5" t="s">
        <v>982</v>
      </c>
      <c r="AQ37" s="5">
        <v>0</v>
      </c>
      <c r="AR37" s="5">
        <v>0</v>
      </c>
      <c r="AS37" s="5">
        <v>0</v>
      </c>
      <c r="AT37" s="5">
        <v>0</v>
      </c>
      <c r="AU37" s="5">
        <v>0</v>
      </c>
      <c r="AV37" s="5">
        <v>0</v>
      </c>
      <c r="AW37" s="5">
        <v>0</v>
      </c>
      <c r="AX37" s="5">
        <v>0</v>
      </c>
      <c r="AY37" s="5" t="s">
        <v>983</v>
      </c>
      <c r="AZ37" s="1">
        <v>0</v>
      </c>
      <c r="BA37" s="1">
        <v>0</v>
      </c>
      <c r="BB37" s="1">
        <v>0</v>
      </c>
      <c r="BC37" s="1">
        <v>1</v>
      </c>
      <c r="BD37" s="1">
        <v>1</v>
      </c>
      <c r="BE37" s="1">
        <v>1</v>
      </c>
      <c r="BF37" s="1">
        <v>0</v>
      </c>
      <c r="BG37" s="1">
        <v>0</v>
      </c>
      <c r="BI37" s="1">
        <v>11</v>
      </c>
      <c r="BJ37" s="1">
        <v>0</v>
      </c>
      <c r="BK37" s="1">
        <v>5</v>
      </c>
    </row>
    <row r="38" spans="1:63" ht="12.75" customHeight="1" x14ac:dyDescent="0.15">
      <c r="A38" s="5" t="s">
        <v>238</v>
      </c>
      <c r="B38" s="5" t="s">
        <v>238</v>
      </c>
      <c r="C38" s="5">
        <v>2</v>
      </c>
      <c r="D38" s="5">
        <v>2</v>
      </c>
      <c r="E38" s="5">
        <v>2</v>
      </c>
      <c r="F38" s="5">
        <v>2</v>
      </c>
      <c r="G38" s="5">
        <v>2</v>
      </c>
      <c r="H38" s="5">
        <v>2</v>
      </c>
      <c r="I38" s="5">
        <v>1</v>
      </c>
      <c r="J38" s="5">
        <v>2</v>
      </c>
      <c r="K38" s="5">
        <v>2</v>
      </c>
      <c r="L38" s="5">
        <v>2</v>
      </c>
      <c r="M38" s="5">
        <v>2</v>
      </c>
      <c r="N38" s="5">
        <v>2</v>
      </c>
      <c r="O38" s="5">
        <v>23</v>
      </c>
      <c r="P38" s="5" t="s">
        <v>982</v>
      </c>
      <c r="Q38" s="5">
        <v>3</v>
      </c>
      <c r="R38" s="5">
        <v>2</v>
      </c>
      <c r="S38" s="5">
        <v>0</v>
      </c>
      <c r="T38" s="5">
        <v>5</v>
      </c>
      <c r="U38" s="5" t="s">
        <v>981</v>
      </c>
      <c r="V38" s="5">
        <v>1</v>
      </c>
      <c r="W38" s="5">
        <v>1</v>
      </c>
      <c r="X38" s="5">
        <v>0</v>
      </c>
      <c r="Y38" s="5">
        <v>2</v>
      </c>
      <c r="Z38" s="5" t="s">
        <v>982</v>
      </c>
      <c r="AA38" s="5">
        <v>1</v>
      </c>
      <c r="AB38" s="5">
        <v>1</v>
      </c>
      <c r="AC38" s="5">
        <v>1</v>
      </c>
      <c r="AD38" s="5">
        <v>0</v>
      </c>
      <c r="AE38" s="5">
        <v>3</v>
      </c>
      <c r="AF38" s="5" t="s">
        <v>982</v>
      </c>
      <c r="AG38" s="5">
        <v>0</v>
      </c>
      <c r="AH38" s="5">
        <v>0</v>
      </c>
      <c r="AI38" s="5">
        <v>0</v>
      </c>
      <c r="AJ38" s="5">
        <v>0</v>
      </c>
      <c r="AK38" s="5" t="s">
        <v>983</v>
      </c>
      <c r="AL38" s="5">
        <v>0</v>
      </c>
      <c r="AM38" s="5">
        <v>2</v>
      </c>
      <c r="AN38" s="5">
        <v>0</v>
      </c>
      <c r="AO38" s="5">
        <v>2</v>
      </c>
      <c r="AP38" s="5" t="s">
        <v>983</v>
      </c>
      <c r="AQ38" s="5">
        <v>0</v>
      </c>
      <c r="AR38" s="5">
        <v>0</v>
      </c>
      <c r="AS38" s="5">
        <v>0</v>
      </c>
      <c r="AT38" s="5">
        <v>0</v>
      </c>
      <c r="AU38" s="5">
        <v>0</v>
      </c>
      <c r="AV38" s="5">
        <v>0</v>
      </c>
      <c r="AW38" s="5">
        <v>0</v>
      </c>
      <c r="AX38" s="5">
        <v>0</v>
      </c>
      <c r="AY38" s="5" t="s">
        <v>983</v>
      </c>
      <c r="AZ38" s="1">
        <v>0</v>
      </c>
      <c r="BA38" s="1">
        <v>0</v>
      </c>
      <c r="BB38" s="1">
        <v>1</v>
      </c>
      <c r="BC38" s="1">
        <v>1</v>
      </c>
      <c r="BD38" s="1">
        <v>1</v>
      </c>
      <c r="BE38" s="1">
        <v>1</v>
      </c>
      <c r="BF38" s="1">
        <v>0</v>
      </c>
      <c r="BG38" s="1">
        <v>0</v>
      </c>
      <c r="BI38" s="1">
        <v>11</v>
      </c>
      <c r="BJ38" s="1">
        <v>0</v>
      </c>
      <c r="BK38" s="1">
        <v>5</v>
      </c>
    </row>
    <row r="39" spans="1:63" ht="12.75" customHeight="1" x14ac:dyDescent="0.15">
      <c r="A39" s="5" t="s">
        <v>238</v>
      </c>
      <c r="B39" s="5" t="s">
        <v>238</v>
      </c>
      <c r="C39" s="5">
        <v>3</v>
      </c>
      <c r="D39" s="5">
        <v>3</v>
      </c>
      <c r="E39" s="5">
        <v>3</v>
      </c>
      <c r="F39" s="5">
        <v>3</v>
      </c>
      <c r="G39" s="5">
        <v>3</v>
      </c>
      <c r="H39" s="5">
        <v>2</v>
      </c>
      <c r="I39" s="5">
        <v>2</v>
      </c>
      <c r="J39" s="5">
        <v>1</v>
      </c>
      <c r="K39" s="5">
        <v>1</v>
      </c>
      <c r="L39" s="5">
        <v>1</v>
      </c>
      <c r="M39" s="5">
        <v>1</v>
      </c>
      <c r="N39" s="5">
        <v>3</v>
      </c>
      <c r="O39" s="5">
        <v>26</v>
      </c>
      <c r="P39" s="5" t="s">
        <v>981</v>
      </c>
      <c r="Q39" s="5">
        <v>0</v>
      </c>
      <c r="R39" s="5">
        <v>0</v>
      </c>
      <c r="S39" s="5">
        <v>0</v>
      </c>
      <c r="T39" s="5">
        <v>0</v>
      </c>
      <c r="U39" s="5" t="s">
        <v>983</v>
      </c>
      <c r="V39" s="5">
        <v>1</v>
      </c>
      <c r="W39" s="5">
        <v>3</v>
      </c>
      <c r="X39" s="5">
        <v>4</v>
      </c>
      <c r="Y39" s="5">
        <v>8</v>
      </c>
      <c r="Z39" s="5" t="s">
        <v>981</v>
      </c>
      <c r="AA39" s="5">
        <v>4</v>
      </c>
      <c r="AB39" s="5">
        <v>4</v>
      </c>
      <c r="AC39" s="5">
        <v>0</v>
      </c>
      <c r="AD39" s="5">
        <v>0</v>
      </c>
      <c r="AE39" s="5">
        <v>8</v>
      </c>
      <c r="AF39" s="5" t="s">
        <v>981</v>
      </c>
      <c r="AG39" s="5">
        <v>2</v>
      </c>
      <c r="AH39" s="5">
        <v>0</v>
      </c>
      <c r="AI39" s="5">
        <v>0</v>
      </c>
      <c r="AJ39" s="5">
        <v>2</v>
      </c>
      <c r="AK39" s="5" t="s">
        <v>983</v>
      </c>
      <c r="AL39" s="5">
        <v>1</v>
      </c>
      <c r="AM39" s="5">
        <v>2</v>
      </c>
      <c r="AN39" s="5">
        <v>2</v>
      </c>
      <c r="AO39" s="5">
        <v>5</v>
      </c>
      <c r="AP39" s="5" t="s">
        <v>982</v>
      </c>
      <c r="AQ39" s="5">
        <v>0</v>
      </c>
      <c r="AR39" s="5">
        <v>0</v>
      </c>
      <c r="AS39" s="5">
        <v>0</v>
      </c>
      <c r="AT39" s="5">
        <v>0</v>
      </c>
      <c r="AU39" s="5">
        <v>0</v>
      </c>
      <c r="AV39" s="5">
        <v>0</v>
      </c>
      <c r="AW39" s="5">
        <v>0</v>
      </c>
      <c r="AX39" s="5">
        <v>0</v>
      </c>
      <c r="AY39" s="5" t="s">
        <v>983</v>
      </c>
      <c r="AZ39" s="1">
        <v>0</v>
      </c>
      <c r="BA39" s="1">
        <v>0</v>
      </c>
      <c r="BB39" s="1">
        <v>0</v>
      </c>
      <c r="BC39" s="1">
        <v>1</v>
      </c>
      <c r="BD39" s="1">
        <v>0</v>
      </c>
      <c r="BE39" s="1">
        <v>1</v>
      </c>
      <c r="BF39" s="1">
        <v>44</v>
      </c>
      <c r="BG39" s="1">
        <v>0</v>
      </c>
      <c r="BH39" s="1">
        <v>14</v>
      </c>
      <c r="BI39" s="1">
        <v>34</v>
      </c>
      <c r="BJ39" s="1">
        <v>0</v>
      </c>
      <c r="BK39" s="1">
        <v>2</v>
      </c>
    </row>
    <row r="40" spans="1:63" ht="12.75" customHeight="1" x14ac:dyDescent="0.15">
      <c r="A40" s="5" t="s">
        <v>238</v>
      </c>
      <c r="B40" s="5" t="s">
        <v>238</v>
      </c>
      <c r="C40" s="5">
        <v>3</v>
      </c>
      <c r="D40" s="5">
        <v>3</v>
      </c>
      <c r="E40" s="5">
        <v>1</v>
      </c>
      <c r="F40" s="5">
        <v>1</v>
      </c>
      <c r="G40" s="5">
        <v>1</v>
      </c>
      <c r="H40" s="5">
        <v>1</v>
      </c>
      <c r="I40" s="5">
        <v>1</v>
      </c>
      <c r="J40" s="5">
        <v>1</v>
      </c>
      <c r="K40" s="5">
        <v>1</v>
      </c>
      <c r="L40" s="5">
        <v>1</v>
      </c>
      <c r="M40" s="5">
        <v>1</v>
      </c>
      <c r="N40" s="5">
        <v>1</v>
      </c>
      <c r="O40" s="5">
        <v>16</v>
      </c>
      <c r="P40" s="5" t="s">
        <v>983</v>
      </c>
      <c r="Q40" s="5">
        <v>2</v>
      </c>
      <c r="R40" s="5">
        <v>3</v>
      </c>
      <c r="S40" s="5">
        <v>0</v>
      </c>
      <c r="T40" s="5">
        <v>5</v>
      </c>
      <c r="U40" s="5" t="s">
        <v>981</v>
      </c>
      <c r="V40" s="5">
        <v>1</v>
      </c>
      <c r="W40" s="5">
        <v>2</v>
      </c>
      <c r="X40" s="5">
        <v>1</v>
      </c>
      <c r="Y40" s="5">
        <v>4</v>
      </c>
      <c r="Z40" s="5" t="s">
        <v>982</v>
      </c>
      <c r="AA40" s="5">
        <v>4</v>
      </c>
      <c r="AB40" s="5">
        <v>4</v>
      </c>
      <c r="AC40" s="5">
        <v>1</v>
      </c>
      <c r="AD40" s="5">
        <v>3</v>
      </c>
      <c r="AE40" s="5">
        <v>12</v>
      </c>
      <c r="AF40" s="5" t="s">
        <v>981</v>
      </c>
      <c r="AG40" s="5">
        <v>2</v>
      </c>
      <c r="AH40" s="5">
        <v>3</v>
      </c>
      <c r="AI40" s="5">
        <v>3</v>
      </c>
      <c r="AJ40" s="5">
        <v>8</v>
      </c>
      <c r="AK40" s="5" t="s">
        <v>981</v>
      </c>
      <c r="AL40" s="5">
        <v>2</v>
      </c>
      <c r="AM40" s="5">
        <v>0</v>
      </c>
      <c r="AN40" s="5">
        <v>2</v>
      </c>
      <c r="AO40" s="5">
        <v>4</v>
      </c>
      <c r="AP40" s="5" t="s">
        <v>982</v>
      </c>
      <c r="AQ40" s="5">
        <v>0</v>
      </c>
      <c r="AR40" s="5">
        <v>0</v>
      </c>
      <c r="AS40" s="5">
        <v>0</v>
      </c>
      <c r="AT40" s="5">
        <v>0</v>
      </c>
      <c r="AU40" s="5">
        <v>0</v>
      </c>
      <c r="AV40" s="5">
        <v>0</v>
      </c>
      <c r="AW40" s="5">
        <v>0</v>
      </c>
      <c r="AX40" s="5">
        <v>0</v>
      </c>
      <c r="AY40" s="5" t="s">
        <v>983</v>
      </c>
      <c r="AZ40" s="1">
        <v>0</v>
      </c>
      <c r="BA40" s="1">
        <v>0</v>
      </c>
      <c r="BB40" s="1">
        <v>0</v>
      </c>
      <c r="BC40" s="1">
        <v>1</v>
      </c>
      <c r="BD40" s="1">
        <v>1</v>
      </c>
      <c r="BE40" s="1">
        <v>1</v>
      </c>
      <c r="BF40" s="1">
        <v>53</v>
      </c>
      <c r="BG40" s="1">
        <v>0</v>
      </c>
      <c r="BH40" s="1">
        <v>2</v>
      </c>
      <c r="BI40" s="1">
        <v>2</v>
      </c>
      <c r="BJ40" s="1">
        <v>300000</v>
      </c>
      <c r="BK40" s="1">
        <v>4</v>
      </c>
    </row>
    <row r="41" spans="1:63" ht="12.75" customHeight="1" x14ac:dyDescent="0.15">
      <c r="A41" s="5" t="s">
        <v>238</v>
      </c>
      <c r="B41" s="5" t="s">
        <v>238</v>
      </c>
      <c r="C41" s="5">
        <v>4</v>
      </c>
      <c r="D41" s="5">
        <v>4</v>
      </c>
      <c r="E41" s="5">
        <v>3</v>
      </c>
      <c r="F41" s="5">
        <v>3</v>
      </c>
      <c r="G41" s="5">
        <v>4</v>
      </c>
      <c r="H41" s="5">
        <v>4</v>
      </c>
      <c r="I41" s="5">
        <v>4</v>
      </c>
      <c r="J41" s="5">
        <v>3</v>
      </c>
      <c r="K41" s="5">
        <v>3</v>
      </c>
      <c r="L41" s="5">
        <v>3</v>
      </c>
      <c r="M41" s="5">
        <v>4</v>
      </c>
      <c r="N41" s="5">
        <v>4</v>
      </c>
      <c r="O41" s="5">
        <v>43</v>
      </c>
      <c r="P41" s="5" t="s">
        <v>981</v>
      </c>
      <c r="Q41" s="5">
        <v>4</v>
      </c>
      <c r="R41" s="5">
        <v>4</v>
      </c>
      <c r="S41" s="5">
        <v>0</v>
      </c>
      <c r="T41" s="5">
        <v>8</v>
      </c>
      <c r="U41" s="5" t="s">
        <v>981</v>
      </c>
      <c r="V41" s="5">
        <v>3</v>
      </c>
      <c r="W41" s="5">
        <v>2</v>
      </c>
      <c r="X41" s="5">
        <v>2</v>
      </c>
      <c r="Y41" s="5">
        <v>7</v>
      </c>
      <c r="Z41" s="5" t="s">
        <v>981</v>
      </c>
      <c r="AA41" s="5">
        <v>2</v>
      </c>
      <c r="AB41" s="5">
        <v>2</v>
      </c>
      <c r="AC41" s="5">
        <v>2</v>
      </c>
      <c r="AD41" s="5">
        <v>2</v>
      </c>
      <c r="AE41" s="5">
        <v>8</v>
      </c>
      <c r="AF41" s="5" t="s">
        <v>981</v>
      </c>
      <c r="AG41" s="5">
        <v>4</v>
      </c>
      <c r="AH41" s="5">
        <v>2</v>
      </c>
      <c r="AI41" s="5">
        <v>2</v>
      </c>
      <c r="AJ41" s="5">
        <v>8</v>
      </c>
      <c r="AK41" s="5" t="s">
        <v>981</v>
      </c>
      <c r="AL41" s="5">
        <v>2</v>
      </c>
      <c r="AM41" s="5">
        <v>1</v>
      </c>
      <c r="AN41" s="5">
        <v>1</v>
      </c>
      <c r="AO41" s="5">
        <v>4</v>
      </c>
      <c r="AP41" s="5" t="s">
        <v>982</v>
      </c>
      <c r="AQ41" s="5">
        <v>0</v>
      </c>
      <c r="AR41" s="5">
        <v>0</v>
      </c>
      <c r="AS41" s="5">
        <v>0</v>
      </c>
      <c r="AT41" s="5">
        <v>0</v>
      </c>
      <c r="AU41" s="5">
        <v>0</v>
      </c>
      <c r="AV41" s="5">
        <v>0</v>
      </c>
      <c r="AW41" s="5">
        <v>0</v>
      </c>
      <c r="AX41" s="5">
        <v>0</v>
      </c>
      <c r="AY41" s="5" t="s">
        <v>983</v>
      </c>
      <c r="AZ41" s="1">
        <v>1</v>
      </c>
      <c r="BA41" s="1">
        <v>0</v>
      </c>
      <c r="BB41" s="1">
        <v>1</v>
      </c>
      <c r="BC41" s="1">
        <v>1</v>
      </c>
      <c r="BD41" s="1">
        <v>1</v>
      </c>
      <c r="BE41" s="1">
        <v>1</v>
      </c>
      <c r="BF41" s="1">
        <v>42</v>
      </c>
      <c r="BG41" s="1">
        <v>0</v>
      </c>
      <c r="BH41" s="1">
        <v>14</v>
      </c>
      <c r="BI41" s="1">
        <v>34</v>
      </c>
      <c r="BJ41" s="1">
        <v>1232000</v>
      </c>
      <c r="BK41" s="1">
        <v>3</v>
      </c>
    </row>
    <row r="42" spans="1:63" ht="12.75" customHeight="1" x14ac:dyDescent="0.15">
      <c r="A42" s="5" t="s">
        <v>330</v>
      </c>
      <c r="B42" s="5" t="s">
        <v>984</v>
      </c>
      <c r="C42" s="5">
        <v>3</v>
      </c>
      <c r="D42" s="5">
        <v>4</v>
      </c>
      <c r="E42" s="5">
        <v>4</v>
      </c>
      <c r="F42" s="5">
        <v>3</v>
      </c>
      <c r="G42" s="5">
        <v>3</v>
      </c>
      <c r="H42" s="5">
        <v>2</v>
      </c>
      <c r="I42" s="5">
        <v>2</v>
      </c>
      <c r="J42" s="5">
        <v>2</v>
      </c>
      <c r="K42" s="5">
        <v>3</v>
      </c>
      <c r="L42" s="5">
        <v>3</v>
      </c>
      <c r="M42" s="5">
        <v>3</v>
      </c>
      <c r="N42" s="5">
        <v>2</v>
      </c>
      <c r="O42" s="5">
        <v>34</v>
      </c>
      <c r="P42" s="5" t="s">
        <v>981</v>
      </c>
      <c r="Q42" s="5">
        <v>3</v>
      </c>
      <c r="R42" s="5">
        <v>2</v>
      </c>
      <c r="S42" s="5">
        <v>2</v>
      </c>
      <c r="T42" s="5">
        <v>7</v>
      </c>
      <c r="U42" s="5" t="s">
        <v>981</v>
      </c>
      <c r="V42" s="5">
        <v>4</v>
      </c>
      <c r="W42" s="5">
        <v>4</v>
      </c>
      <c r="X42" s="5">
        <v>4</v>
      </c>
      <c r="Y42" s="5">
        <v>12</v>
      </c>
      <c r="Z42" s="5" t="s">
        <v>981</v>
      </c>
      <c r="AA42" s="5">
        <v>2</v>
      </c>
      <c r="AB42" s="5">
        <v>1</v>
      </c>
      <c r="AC42" s="5">
        <v>2</v>
      </c>
      <c r="AD42" s="5">
        <v>1</v>
      </c>
      <c r="AE42" s="5">
        <v>6</v>
      </c>
      <c r="AF42" s="5" t="s">
        <v>981</v>
      </c>
      <c r="AG42" s="5">
        <v>3</v>
      </c>
      <c r="AH42" s="5">
        <v>3</v>
      </c>
      <c r="AI42" s="5">
        <v>3</v>
      </c>
      <c r="AJ42" s="5">
        <v>9</v>
      </c>
      <c r="AK42" s="5" t="s">
        <v>981</v>
      </c>
      <c r="AL42" s="5">
        <v>2</v>
      </c>
      <c r="AM42" s="5">
        <v>3</v>
      </c>
      <c r="AN42" s="5">
        <v>2</v>
      </c>
      <c r="AO42" s="5">
        <v>7</v>
      </c>
      <c r="AP42" s="5" t="s">
        <v>981</v>
      </c>
      <c r="AQ42" s="5">
        <v>2</v>
      </c>
      <c r="AR42" s="5">
        <v>2</v>
      </c>
      <c r="AS42" s="5">
        <v>1</v>
      </c>
      <c r="AT42" s="5">
        <v>0</v>
      </c>
      <c r="AU42" s="5">
        <v>0</v>
      </c>
      <c r="AV42" s="5">
        <v>2</v>
      </c>
      <c r="AW42" s="5">
        <v>2</v>
      </c>
      <c r="AX42" s="5">
        <v>9</v>
      </c>
      <c r="AY42" s="5" t="s">
        <v>982</v>
      </c>
      <c r="AZ42" s="1">
        <v>1</v>
      </c>
      <c r="BA42" s="1">
        <v>0</v>
      </c>
      <c r="BB42" s="1">
        <v>1</v>
      </c>
      <c r="BC42" s="1">
        <v>1</v>
      </c>
      <c r="BD42" s="1">
        <v>1</v>
      </c>
      <c r="BE42" s="1">
        <v>1</v>
      </c>
      <c r="BF42" s="1">
        <v>64</v>
      </c>
      <c r="BG42" s="1">
        <v>1</v>
      </c>
      <c r="BH42" s="1">
        <v>13</v>
      </c>
      <c r="BI42" s="1">
        <v>24</v>
      </c>
      <c r="BJ42" s="1">
        <v>600000</v>
      </c>
      <c r="BK42" s="1">
        <v>2</v>
      </c>
    </row>
    <row r="43" spans="1:63" ht="12.75" customHeight="1" x14ac:dyDescent="0.15">
      <c r="A43" s="5" t="s">
        <v>238</v>
      </c>
      <c r="B43" s="5" t="s">
        <v>238</v>
      </c>
      <c r="C43" s="5">
        <v>2</v>
      </c>
      <c r="D43" s="5">
        <v>3</v>
      </c>
      <c r="E43" s="5">
        <v>3</v>
      </c>
      <c r="F43" s="5">
        <v>3</v>
      </c>
      <c r="G43" s="5">
        <v>3</v>
      </c>
      <c r="H43" s="5">
        <v>3</v>
      </c>
      <c r="I43" s="5">
        <v>2</v>
      </c>
      <c r="J43" s="5">
        <v>2</v>
      </c>
      <c r="K43" s="5">
        <v>2</v>
      </c>
      <c r="L43" s="5">
        <v>2</v>
      </c>
      <c r="M43" s="5">
        <v>2</v>
      </c>
      <c r="N43" s="5">
        <v>2</v>
      </c>
      <c r="O43" s="5">
        <v>29</v>
      </c>
      <c r="P43" s="5" t="s">
        <v>981</v>
      </c>
      <c r="Q43" s="5">
        <v>2</v>
      </c>
      <c r="R43" s="5">
        <v>1</v>
      </c>
      <c r="S43" s="5">
        <v>0</v>
      </c>
      <c r="T43" s="5">
        <v>3</v>
      </c>
      <c r="U43" s="5" t="s">
        <v>982</v>
      </c>
      <c r="V43" s="5">
        <v>0</v>
      </c>
      <c r="W43" s="5">
        <v>0</v>
      </c>
      <c r="X43" s="5">
        <v>0</v>
      </c>
      <c r="Y43" s="5">
        <v>0</v>
      </c>
      <c r="Z43" s="5" t="s">
        <v>983</v>
      </c>
      <c r="AA43" s="5">
        <v>4</v>
      </c>
      <c r="AB43" s="5">
        <v>4</v>
      </c>
      <c r="AC43" s="5">
        <v>4</v>
      </c>
      <c r="AD43" s="5">
        <v>4</v>
      </c>
      <c r="AE43" s="5">
        <v>16</v>
      </c>
      <c r="AF43" s="5" t="s">
        <v>981</v>
      </c>
      <c r="AG43" s="5">
        <v>0</v>
      </c>
      <c r="AH43" s="5">
        <v>0</v>
      </c>
      <c r="AI43" s="5">
        <v>0</v>
      </c>
      <c r="AJ43" s="5">
        <v>0</v>
      </c>
      <c r="AK43" s="5" t="s">
        <v>983</v>
      </c>
      <c r="AL43" s="5">
        <v>0</v>
      </c>
      <c r="AM43" s="5">
        <v>0</v>
      </c>
      <c r="AN43" s="5">
        <v>0</v>
      </c>
      <c r="AO43" s="5">
        <v>0</v>
      </c>
      <c r="AP43" s="5" t="s">
        <v>983</v>
      </c>
      <c r="AQ43" s="5">
        <v>0</v>
      </c>
      <c r="AR43" s="5">
        <v>0</v>
      </c>
      <c r="AS43" s="5">
        <v>0</v>
      </c>
      <c r="AT43" s="5">
        <v>0</v>
      </c>
      <c r="AU43" s="5">
        <v>0</v>
      </c>
      <c r="AV43" s="5">
        <v>0</v>
      </c>
      <c r="AW43" s="5">
        <v>0</v>
      </c>
      <c r="AX43" s="5">
        <v>0</v>
      </c>
      <c r="AY43" s="5" t="s">
        <v>983</v>
      </c>
      <c r="AZ43" s="1">
        <v>0</v>
      </c>
      <c r="BA43" s="1">
        <v>0</v>
      </c>
      <c r="BB43" s="1">
        <v>0</v>
      </c>
      <c r="BC43" s="1">
        <v>1</v>
      </c>
      <c r="BD43" s="1">
        <v>1</v>
      </c>
      <c r="BE43" s="1">
        <v>1</v>
      </c>
      <c r="BF43" s="1">
        <v>51</v>
      </c>
      <c r="BG43" s="1">
        <v>0</v>
      </c>
      <c r="BH43" s="1">
        <v>14</v>
      </c>
      <c r="BI43" s="1">
        <v>29</v>
      </c>
      <c r="BJ43" s="1">
        <v>800000</v>
      </c>
      <c r="BK43" s="1">
        <v>4</v>
      </c>
    </row>
    <row r="44" spans="1:63" ht="12.75" customHeight="1" x14ac:dyDescent="0.15">
      <c r="A44" s="5" t="s">
        <v>238</v>
      </c>
      <c r="B44" s="5" t="s">
        <v>238</v>
      </c>
      <c r="C44" s="5">
        <v>3</v>
      </c>
      <c r="D44" s="5">
        <v>4</v>
      </c>
      <c r="E44" s="5">
        <v>4</v>
      </c>
      <c r="F44" s="5">
        <v>4</v>
      </c>
      <c r="G44" s="5">
        <v>3</v>
      </c>
      <c r="H44" s="5">
        <v>3</v>
      </c>
      <c r="I44" s="5">
        <v>3</v>
      </c>
      <c r="J44" s="5">
        <v>1</v>
      </c>
      <c r="K44" s="5">
        <v>2</v>
      </c>
      <c r="L44" s="5">
        <v>1</v>
      </c>
      <c r="M44" s="5">
        <v>3</v>
      </c>
      <c r="N44" s="5">
        <v>3</v>
      </c>
      <c r="O44" s="5">
        <v>34</v>
      </c>
      <c r="P44" s="5" t="s">
        <v>981</v>
      </c>
      <c r="Q44" s="5">
        <v>4</v>
      </c>
      <c r="R44" s="5">
        <v>3</v>
      </c>
      <c r="S44" s="5">
        <v>2</v>
      </c>
      <c r="T44" s="5">
        <v>9</v>
      </c>
      <c r="U44" s="5" t="s">
        <v>981</v>
      </c>
      <c r="V44" s="5">
        <v>4</v>
      </c>
      <c r="W44" s="5">
        <v>4</v>
      </c>
      <c r="X44" s="5">
        <v>4</v>
      </c>
      <c r="Y44" s="5">
        <v>12</v>
      </c>
      <c r="Z44" s="5" t="s">
        <v>981</v>
      </c>
      <c r="AA44" s="5">
        <v>4</v>
      </c>
      <c r="AB44" s="5">
        <v>4</v>
      </c>
      <c r="AC44" s="5">
        <v>4</v>
      </c>
      <c r="AD44" s="5">
        <v>4</v>
      </c>
      <c r="AE44" s="5">
        <v>16</v>
      </c>
      <c r="AF44" s="5" t="s">
        <v>981</v>
      </c>
      <c r="AG44" s="5">
        <v>2</v>
      </c>
      <c r="AH44" s="5">
        <v>4</v>
      </c>
      <c r="AI44" s="5">
        <v>4</v>
      </c>
      <c r="AJ44" s="5">
        <v>10</v>
      </c>
      <c r="AK44" s="5" t="s">
        <v>981</v>
      </c>
      <c r="AL44" s="5">
        <v>4</v>
      </c>
      <c r="AM44" s="5">
        <v>4</v>
      </c>
      <c r="AN44" s="5">
        <v>4</v>
      </c>
      <c r="AO44" s="5">
        <v>12</v>
      </c>
      <c r="AP44" s="5" t="s">
        <v>981</v>
      </c>
      <c r="AQ44" s="5">
        <v>1</v>
      </c>
      <c r="AR44" s="5">
        <v>4</v>
      </c>
      <c r="AS44" s="5">
        <v>3</v>
      </c>
      <c r="AT44" s="5">
        <v>2</v>
      </c>
      <c r="AU44" s="5">
        <v>0</v>
      </c>
      <c r="AV44" s="5">
        <v>0</v>
      </c>
      <c r="AW44" s="5">
        <v>0</v>
      </c>
      <c r="AX44" s="5">
        <v>10</v>
      </c>
      <c r="AY44" s="5" t="s">
        <v>982</v>
      </c>
      <c r="AZ44" s="1">
        <v>0</v>
      </c>
      <c r="BA44" s="1">
        <v>0</v>
      </c>
      <c r="BB44" s="1">
        <v>0</v>
      </c>
      <c r="BC44" s="1">
        <v>1</v>
      </c>
      <c r="BD44" s="1">
        <v>1</v>
      </c>
      <c r="BE44" s="1">
        <v>1</v>
      </c>
      <c r="BF44" s="1">
        <v>68</v>
      </c>
      <c r="BG44" s="1">
        <v>0</v>
      </c>
      <c r="BH44" s="1">
        <v>12</v>
      </c>
      <c r="BI44" s="1">
        <v>5</v>
      </c>
      <c r="BJ44" s="1">
        <v>400000</v>
      </c>
      <c r="BK44" s="1">
        <v>1</v>
      </c>
    </row>
    <row r="45" spans="1:63" ht="12.75" customHeight="1" x14ac:dyDescent="0.15">
      <c r="A45" s="5" t="s">
        <v>238</v>
      </c>
      <c r="B45" s="5" t="s">
        <v>238</v>
      </c>
      <c r="C45" s="5">
        <v>2</v>
      </c>
      <c r="D45" s="5">
        <v>4</v>
      </c>
      <c r="E45" s="5">
        <v>4</v>
      </c>
      <c r="F45" s="5">
        <v>2</v>
      </c>
      <c r="G45" s="5">
        <v>3</v>
      </c>
      <c r="H45" s="5">
        <v>2</v>
      </c>
      <c r="I45" s="5">
        <v>2</v>
      </c>
      <c r="J45" s="5">
        <v>2</v>
      </c>
      <c r="K45" s="5">
        <v>1</v>
      </c>
      <c r="L45" s="5">
        <v>2</v>
      </c>
      <c r="M45" s="5">
        <v>2</v>
      </c>
      <c r="N45" s="5">
        <v>2</v>
      </c>
      <c r="O45" s="5">
        <v>28</v>
      </c>
      <c r="P45" s="5" t="s">
        <v>981</v>
      </c>
      <c r="Q45" s="5">
        <v>3</v>
      </c>
      <c r="R45" s="5">
        <v>0</v>
      </c>
      <c r="S45" s="5">
        <v>0</v>
      </c>
      <c r="T45" s="5">
        <v>3</v>
      </c>
      <c r="U45" s="5" t="s">
        <v>982</v>
      </c>
      <c r="V45" s="5">
        <v>0</v>
      </c>
      <c r="W45" s="5">
        <v>0</v>
      </c>
      <c r="X45" s="5">
        <v>4</v>
      </c>
      <c r="Y45" s="5">
        <v>4</v>
      </c>
      <c r="Z45" s="5" t="s">
        <v>982</v>
      </c>
      <c r="AA45" s="5">
        <v>4</v>
      </c>
      <c r="AB45" s="5">
        <v>4</v>
      </c>
      <c r="AC45" s="5">
        <v>4</v>
      </c>
      <c r="AD45" s="5">
        <v>4</v>
      </c>
      <c r="AE45" s="5">
        <v>16</v>
      </c>
      <c r="AF45" s="5" t="s">
        <v>981</v>
      </c>
      <c r="AG45" s="5">
        <v>2</v>
      </c>
      <c r="AH45" s="5">
        <v>2</v>
      </c>
      <c r="AI45" s="5">
        <v>0</v>
      </c>
      <c r="AJ45" s="5">
        <v>4</v>
      </c>
      <c r="AK45" s="5" t="s">
        <v>982</v>
      </c>
      <c r="AL45" s="5">
        <v>0</v>
      </c>
      <c r="AM45" s="5">
        <v>1</v>
      </c>
      <c r="AN45" s="5">
        <v>0</v>
      </c>
      <c r="AO45" s="5">
        <v>1</v>
      </c>
      <c r="AP45" s="5" t="s">
        <v>983</v>
      </c>
      <c r="AQ45" s="5">
        <v>0</v>
      </c>
      <c r="AR45" s="5">
        <v>0</v>
      </c>
      <c r="AS45" s="5">
        <v>0</v>
      </c>
      <c r="AT45" s="5">
        <v>0</v>
      </c>
      <c r="AU45" s="5">
        <v>0</v>
      </c>
      <c r="AV45" s="5">
        <v>0</v>
      </c>
      <c r="AW45" s="5">
        <v>0</v>
      </c>
      <c r="AX45" s="5">
        <v>0</v>
      </c>
      <c r="AY45" s="5" t="s">
        <v>983</v>
      </c>
      <c r="AZ45" s="1">
        <v>1</v>
      </c>
      <c r="BA45" s="1">
        <v>0</v>
      </c>
      <c r="BB45" s="1">
        <v>1</v>
      </c>
      <c r="BC45" s="1">
        <v>1</v>
      </c>
      <c r="BD45" s="1">
        <v>1</v>
      </c>
      <c r="BE45" s="1">
        <v>1</v>
      </c>
      <c r="BF45" s="1">
        <v>35</v>
      </c>
      <c r="BG45" s="1">
        <v>1</v>
      </c>
      <c r="BH45" s="1">
        <v>12</v>
      </c>
      <c r="BI45" s="1">
        <v>24</v>
      </c>
      <c r="BJ45" s="1">
        <v>1150000</v>
      </c>
      <c r="BK45" s="1">
        <v>1</v>
      </c>
    </row>
    <row r="46" spans="1:63" ht="12.75" customHeight="1" x14ac:dyDescent="0.15">
      <c r="A46" s="5" t="s">
        <v>238</v>
      </c>
      <c r="B46" s="5" t="s">
        <v>238</v>
      </c>
      <c r="C46" s="5">
        <v>3</v>
      </c>
      <c r="D46" s="5">
        <v>2</v>
      </c>
      <c r="E46" s="5">
        <v>2</v>
      </c>
      <c r="F46" s="5">
        <v>3</v>
      </c>
      <c r="G46" s="5">
        <v>3</v>
      </c>
      <c r="H46" s="5">
        <v>3</v>
      </c>
      <c r="I46" s="5">
        <v>2</v>
      </c>
      <c r="J46" s="5">
        <v>3</v>
      </c>
      <c r="K46" s="5">
        <v>2</v>
      </c>
      <c r="L46" s="5">
        <v>2</v>
      </c>
      <c r="M46" s="5">
        <v>2</v>
      </c>
      <c r="N46" s="5">
        <v>2</v>
      </c>
      <c r="O46" s="5">
        <v>29</v>
      </c>
      <c r="P46" s="5" t="s">
        <v>981</v>
      </c>
      <c r="Q46" s="5">
        <v>2</v>
      </c>
      <c r="R46" s="5">
        <v>2</v>
      </c>
      <c r="S46" s="5">
        <v>2</v>
      </c>
      <c r="T46" s="5">
        <v>6</v>
      </c>
      <c r="U46" s="5" t="s">
        <v>981</v>
      </c>
      <c r="V46" s="5">
        <v>2</v>
      </c>
      <c r="W46" s="5">
        <v>2</v>
      </c>
      <c r="X46" s="5">
        <v>4</v>
      </c>
      <c r="Y46" s="5">
        <v>8</v>
      </c>
      <c r="Z46" s="5" t="s">
        <v>981</v>
      </c>
      <c r="AA46" s="5">
        <v>2</v>
      </c>
      <c r="AB46" s="5">
        <v>2</v>
      </c>
      <c r="AC46" s="5">
        <v>2</v>
      </c>
      <c r="AD46" s="5">
        <v>2</v>
      </c>
      <c r="AE46" s="5">
        <v>8</v>
      </c>
      <c r="AF46" s="5" t="s">
        <v>981</v>
      </c>
      <c r="AG46" s="5">
        <v>2</v>
      </c>
      <c r="AH46" s="5">
        <v>2</v>
      </c>
      <c r="AI46" s="5">
        <v>2</v>
      </c>
      <c r="AJ46" s="5">
        <v>6</v>
      </c>
      <c r="AK46" s="5" t="s">
        <v>981</v>
      </c>
      <c r="AL46" s="5">
        <v>2</v>
      </c>
      <c r="AM46" s="5">
        <v>2</v>
      </c>
      <c r="AN46" s="5">
        <v>2</v>
      </c>
      <c r="AO46" s="5">
        <v>6</v>
      </c>
      <c r="AP46" s="5" t="s">
        <v>981</v>
      </c>
      <c r="AQ46" s="5">
        <v>1</v>
      </c>
      <c r="AR46" s="5">
        <v>1</v>
      </c>
      <c r="AS46" s="5">
        <v>0</v>
      </c>
      <c r="AT46" s="5">
        <v>0</v>
      </c>
      <c r="AU46" s="5">
        <v>0</v>
      </c>
      <c r="AV46" s="5">
        <v>0</v>
      </c>
      <c r="AW46" s="5">
        <v>0</v>
      </c>
      <c r="AX46" s="5">
        <v>2</v>
      </c>
      <c r="AY46" s="5" t="s">
        <v>982</v>
      </c>
      <c r="AZ46" s="1">
        <v>0</v>
      </c>
      <c r="BA46" s="1">
        <v>0</v>
      </c>
      <c r="BB46" s="1">
        <v>0</v>
      </c>
      <c r="BC46" s="1">
        <v>1</v>
      </c>
      <c r="BD46" s="1">
        <v>0</v>
      </c>
      <c r="BE46" s="1">
        <v>1</v>
      </c>
      <c r="BF46" s="1">
        <v>29</v>
      </c>
      <c r="BG46" s="1">
        <v>0</v>
      </c>
      <c r="BH46" s="1">
        <v>14</v>
      </c>
      <c r="BI46" s="1">
        <v>1</v>
      </c>
      <c r="BJ46" s="1">
        <v>420000</v>
      </c>
      <c r="BK46" s="1">
        <v>2</v>
      </c>
    </row>
    <row r="47" spans="1:63" ht="12.75" customHeight="1" x14ac:dyDescent="0.15">
      <c r="A47" s="5" t="s">
        <v>238</v>
      </c>
      <c r="B47" s="5" t="s">
        <v>238</v>
      </c>
      <c r="C47" s="5">
        <v>1</v>
      </c>
      <c r="D47" s="5">
        <v>2</v>
      </c>
      <c r="E47" s="5">
        <v>2</v>
      </c>
      <c r="F47" s="5">
        <v>2</v>
      </c>
      <c r="G47" s="5">
        <v>2</v>
      </c>
      <c r="H47" s="5">
        <v>2</v>
      </c>
      <c r="I47" s="5">
        <v>1</v>
      </c>
      <c r="J47" s="5">
        <v>2</v>
      </c>
      <c r="K47" s="5">
        <v>1</v>
      </c>
      <c r="L47" s="5">
        <v>2</v>
      </c>
      <c r="M47" s="5">
        <v>1</v>
      </c>
      <c r="N47" s="5">
        <v>1</v>
      </c>
      <c r="O47" s="5">
        <v>19</v>
      </c>
      <c r="P47" s="5" t="s">
        <v>982</v>
      </c>
      <c r="Q47" s="5">
        <v>1</v>
      </c>
      <c r="R47" s="5">
        <v>0</v>
      </c>
      <c r="S47" s="5">
        <v>0</v>
      </c>
      <c r="T47" s="5">
        <v>1</v>
      </c>
      <c r="U47" s="5" t="s">
        <v>983</v>
      </c>
      <c r="V47" s="5">
        <v>1</v>
      </c>
      <c r="W47" s="5">
        <v>2</v>
      </c>
      <c r="X47" s="5">
        <v>2</v>
      </c>
      <c r="Y47" s="5">
        <v>5</v>
      </c>
      <c r="Z47" s="5" t="s">
        <v>982</v>
      </c>
      <c r="AA47" s="5">
        <v>0</v>
      </c>
      <c r="AB47" s="5">
        <v>0</v>
      </c>
      <c r="AC47" s="5">
        <v>0</v>
      </c>
      <c r="AD47" s="5">
        <v>0</v>
      </c>
      <c r="AE47" s="5">
        <v>0</v>
      </c>
      <c r="AF47" s="5" t="s">
        <v>983</v>
      </c>
      <c r="AG47" s="5">
        <v>0</v>
      </c>
      <c r="AH47" s="5">
        <v>0</v>
      </c>
      <c r="AI47" s="5">
        <v>0</v>
      </c>
      <c r="AJ47" s="5">
        <v>0</v>
      </c>
      <c r="AK47" s="5" t="s">
        <v>983</v>
      </c>
      <c r="AL47" s="5">
        <v>0</v>
      </c>
      <c r="AM47" s="5">
        <v>0</v>
      </c>
      <c r="AN47" s="5">
        <v>0</v>
      </c>
      <c r="AO47" s="5">
        <v>0</v>
      </c>
      <c r="AP47" s="5" t="s">
        <v>983</v>
      </c>
      <c r="AQ47" s="5">
        <v>0</v>
      </c>
      <c r="AR47" s="5">
        <v>0</v>
      </c>
      <c r="AS47" s="5">
        <v>0</v>
      </c>
      <c r="AT47" s="5">
        <v>0</v>
      </c>
      <c r="AU47" s="5">
        <v>0</v>
      </c>
      <c r="AV47" s="5">
        <v>0</v>
      </c>
      <c r="AW47" s="5">
        <v>0</v>
      </c>
      <c r="AX47" s="5">
        <v>0</v>
      </c>
      <c r="AY47" s="5" t="s">
        <v>983</v>
      </c>
      <c r="AZ47" s="1">
        <v>0</v>
      </c>
      <c r="BA47" s="1">
        <v>0</v>
      </c>
      <c r="BB47" s="1">
        <v>0</v>
      </c>
      <c r="BC47" s="1">
        <v>1</v>
      </c>
      <c r="BD47" s="1">
        <v>0</v>
      </c>
      <c r="BE47" s="1">
        <v>1</v>
      </c>
      <c r="BF47" s="1">
        <v>0</v>
      </c>
      <c r="BG47" s="1">
        <v>1</v>
      </c>
      <c r="BI47" s="1">
        <v>3</v>
      </c>
      <c r="BJ47" s="1">
        <v>0</v>
      </c>
      <c r="BK47" s="1">
        <v>2</v>
      </c>
    </row>
    <row r="48" spans="1:63" ht="12.75" customHeight="1" x14ac:dyDescent="0.15">
      <c r="A48" s="5" t="s">
        <v>238</v>
      </c>
      <c r="B48" s="5" t="s">
        <v>238</v>
      </c>
      <c r="C48" s="5">
        <v>4</v>
      </c>
      <c r="D48" s="5">
        <v>4</v>
      </c>
      <c r="E48" s="5">
        <v>4</v>
      </c>
      <c r="F48" s="5">
        <v>3</v>
      </c>
      <c r="G48" s="5">
        <v>4</v>
      </c>
      <c r="H48" s="5">
        <v>3</v>
      </c>
      <c r="I48" s="5">
        <v>1</v>
      </c>
      <c r="J48" s="5">
        <v>4</v>
      </c>
      <c r="K48" s="5">
        <v>4</v>
      </c>
      <c r="L48" s="5">
        <v>3</v>
      </c>
      <c r="M48" s="5">
        <v>2</v>
      </c>
      <c r="N48" s="5">
        <v>3</v>
      </c>
      <c r="O48" s="5">
        <v>39</v>
      </c>
      <c r="P48" s="5" t="s">
        <v>981</v>
      </c>
      <c r="Q48" s="5">
        <v>2</v>
      </c>
      <c r="R48" s="5">
        <v>3</v>
      </c>
      <c r="S48" s="5">
        <v>0</v>
      </c>
      <c r="T48" s="5">
        <v>5</v>
      </c>
      <c r="U48" s="5" t="s">
        <v>981</v>
      </c>
      <c r="V48" s="5">
        <v>2</v>
      </c>
      <c r="W48" s="5">
        <v>3</v>
      </c>
      <c r="X48" s="5">
        <v>4</v>
      </c>
      <c r="Y48" s="5">
        <v>9</v>
      </c>
      <c r="Z48" s="5" t="s">
        <v>981</v>
      </c>
      <c r="AA48" s="5">
        <v>0</v>
      </c>
      <c r="AB48" s="5">
        <v>2</v>
      </c>
      <c r="AC48" s="5">
        <v>0</v>
      </c>
      <c r="AD48" s="5">
        <v>0</v>
      </c>
      <c r="AE48" s="5">
        <v>2</v>
      </c>
      <c r="AF48" s="5" t="s">
        <v>982</v>
      </c>
      <c r="AG48" s="5">
        <v>2</v>
      </c>
      <c r="AH48" s="5">
        <v>0</v>
      </c>
      <c r="AI48" s="5">
        <v>0</v>
      </c>
      <c r="AJ48" s="5">
        <v>2</v>
      </c>
      <c r="AK48" s="5" t="s">
        <v>983</v>
      </c>
      <c r="AL48" s="5">
        <v>3</v>
      </c>
      <c r="AM48" s="5">
        <v>2</v>
      </c>
      <c r="AN48" s="5">
        <v>0</v>
      </c>
      <c r="AO48" s="5">
        <v>5</v>
      </c>
      <c r="AP48" s="5" t="s">
        <v>982</v>
      </c>
      <c r="AQ48" s="5">
        <v>0</v>
      </c>
      <c r="AR48" s="5">
        <v>0</v>
      </c>
      <c r="AS48" s="5">
        <v>0</v>
      </c>
      <c r="AT48" s="5">
        <v>0</v>
      </c>
      <c r="AU48" s="5">
        <v>0</v>
      </c>
      <c r="AV48" s="5">
        <v>0</v>
      </c>
      <c r="AW48" s="5">
        <v>0</v>
      </c>
      <c r="AX48" s="5">
        <v>0</v>
      </c>
      <c r="AY48" s="5" t="s">
        <v>983</v>
      </c>
      <c r="AZ48" s="1">
        <v>1</v>
      </c>
      <c r="BA48" s="1">
        <v>0</v>
      </c>
      <c r="BB48" s="1">
        <v>1</v>
      </c>
      <c r="BC48" s="1">
        <v>1</v>
      </c>
      <c r="BD48" s="1">
        <v>1</v>
      </c>
      <c r="BE48" s="1">
        <v>1</v>
      </c>
      <c r="BF48" s="1">
        <v>36</v>
      </c>
      <c r="BG48" s="1">
        <v>0</v>
      </c>
      <c r="BH48" s="1">
        <v>16</v>
      </c>
      <c r="BI48" s="1">
        <v>24</v>
      </c>
      <c r="BJ48" s="1">
        <v>0</v>
      </c>
      <c r="BK48" s="1">
        <v>3</v>
      </c>
    </row>
    <row r="49" spans="1:63" ht="12.75" customHeight="1" x14ac:dyDescent="0.15">
      <c r="A49" s="5" t="s">
        <v>330</v>
      </c>
      <c r="B49" s="5" t="s">
        <v>984</v>
      </c>
      <c r="C49" s="5">
        <v>2</v>
      </c>
      <c r="D49" s="5">
        <v>1</v>
      </c>
      <c r="E49" s="5">
        <v>1</v>
      </c>
      <c r="F49" s="5">
        <v>1</v>
      </c>
      <c r="G49" s="5">
        <v>2</v>
      </c>
      <c r="H49" s="5">
        <v>2</v>
      </c>
      <c r="I49" s="5">
        <v>1</v>
      </c>
      <c r="J49" s="5">
        <v>2</v>
      </c>
      <c r="K49" s="5">
        <v>1</v>
      </c>
      <c r="L49" s="5">
        <v>2</v>
      </c>
      <c r="M49" s="5">
        <v>1</v>
      </c>
      <c r="N49" s="5">
        <v>1</v>
      </c>
      <c r="O49" s="5">
        <v>17</v>
      </c>
      <c r="P49" s="5" t="s">
        <v>983</v>
      </c>
      <c r="Q49" s="5">
        <v>0</v>
      </c>
      <c r="R49" s="5">
        <v>0</v>
      </c>
      <c r="S49" s="5">
        <v>0</v>
      </c>
      <c r="T49" s="5">
        <v>0</v>
      </c>
      <c r="U49" s="5" t="s">
        <v>983</v>
      </c>
      <c r="V49" s="5">
        <v>0</v>
      </c>
      <c r="W49" s="5">
        <v>0</v>
      </c>
      <c r="X49" s="5">
        <v>0</v>
      </c>
      <c r="Y49" s="5">
        <v>0</v>
      </c>
      <c r="Z49" s="5" t="s">
        <v>983</v>
      </c>
      <c r="AA49" s="5">
        <v>2</v>
      </c>
      <c r="AB49" s="5">
        <v>2</v>
      </c>
      <c r="AC49" s="5">
        <v>1</v>
      </c>
      <c r="AD49" s="5">
        <v>1</v>
      </c>
      <c r="AE49" s="5">
        <v>6</v>
      </c>
      <c r="AF49" s="5" t="s">
        <v>981</v>
      </c>
      <c r="AG49" s="5">
        <v>0</v>
      </c>
      <c r="AH49" s="5">
        <v>2</v>
      </c>
      <c r="AI49" s="5">
        <v>3</v>
      </c>
      <c r="AJ49" s="5">
        <v>5</v>
      </c>
      <c r="AK49" s="5" t="s">
        <v>982</v>
      </c>
      <c r="AL49" s="5">
        <v>1</v>
      </c>
      <c r="AM49" s="5">
        <v>0</v>
      </c>
      <c r="AN49" s="5">
        <v>0</v>
      </c>
      <c r="AO49" s="5">
        <v>1</v>
      </c>
      <c r="AP49" s="5" t="s">
        <v>983</v>
      </c>
      <c r="AQ49" s="5">
        <v>0</v>
      </c>
      <c r="AR49" s="5">
        <v>0</v>
      </c>
      <c r="AS49" s="5">
        <v>0</v>
      </c>
      <c r="AT49" s="5">
        <v>0</v>
      </c>
      <c r="AU49" s="5">
        <v>0</v>
      </c>
      <c r="AV49" s="5">
        <v>0</v>
      </c>
      <c r="AW49" s="5">
        <v>0</v>
      </c>
      <c r="AX49" s="5">
        <v>0</v>
      </c>
      <c r="AY49" s="5" t="s">
        <v>983</v>
      </c>
      <c r="AZ49" s="1">
        <v>0</v>
      </c>
      <c r="BA49" s="1">
        <v>0</v>
      </c>
      <c r="BB49" s="1">
        <v>0</v>
      </c>
      <c r="BC49" s="1">
        <v>1</v>
      </c>
      <c r="BD49" s="1">
        <v>1</v>
      </c>
      <c r="BE49" s="1">
        <v>1</v>
      </c>
      <c r="BF49" s="1">
        <v>47</v>
      </c>
      <c r="BG49" s="1">
        <v>0</v>
      </c>
      <c r="BH49" s="1">
        <v>14</v>
      </c>
      <c r="BI49" s="1">
        <v>33</v>
      </c>
      <c r="BJ49" s="1">
        <v>500000</v>
      </c>
      <c r="BK49" s="1">
        <v>3</v>
      </c>
    </row>
    <row r="50" spans="1:63" ht="12.75" customHeight="1" x14ac:dyDescent="0.15">
      <c r="A50" s="5" t="s">
        <v>330</v>
      </c>
      <c r="B50" s="5" t="s">
        <v>984</v>
      </c>
      <c r="C50" s="5">
        <v>3</v>
      </c>
      <c r="D50" s="5">
        <v>4</v>
      </c>
      <c r="E50" s="5">
        <v>4</v>
      </c>
      <c r="F50" s="5">
        <v>3</v>
      </c>
      <c r="G50" s="5">
        <v>4</v>
      </c>
      <c r="H50" s="5">
        <v>4</v>
      </c>
      <c r="I50" s="5">
        <v>3</v>
      </c>
      <c r="J50" s="5">
        <v>3</v>
      </c>
      <c r="K50" s="5">
        <v>3</v>
      </c>
      <c r="L50" s="5">
        <v>3</v>
      </c>
      <c r="M50" s="5">
        <v>3</v>
      </c>
      <c r="N50" s="5">
        <v>3</v>
      </c>
      <c r="O50" s="5">
        <v>40</v>
      </c>
      <c r="P50" s="5" t="s">
        <v>981</v>
      </c>
      <c r="Q50" s="5">
        <v>3</v>
      </c>
      <c r="R50" s="5">
        <v>2</v>
      </c>
      <c r="S50" s="5">
        <v>0</v>
      </c>
      <c r="T50" s="5">
        <v>5</v>
      </c>
      <c r="U50" s="5" t="s">
        <v>981</v>
      </c>
      <c r="V50" s="5">
        <v>1</v>
      </c>
      <c r="W50" s="5">
        <v>0</v>
      </c>
      <c r="X50" s="5">
        <v>3</v>
      </c>
      <c r="Y50" s="5">
        <v>4</v>
      </c>
      <c r="Z50" s="5" t="s">
        <v>982</v>
      </c>
      <c r="AA50" s="5">
        <v>3</v>
      </c>
      <c r="AB50" s="5">
        <v>0</v>
      </c>
      <c r="AC50" s="5">
        <v>1</v>
      </c>
      <c r="AD50" s="5">
        <v>0</v>
      </c>
      <c r="AE50" s="5">
        <v>4</v>
      </c>
      <c r="AF50" s="5" t="s">
        <v>982</v>
      </c>
      <c r="AG50" s="5">
        <v>1</v>
      </c>
      <c r="AH50" s="5">
        <v>0</v>
      </c>
      <c r="AI50" s="5">
        <v>0</v>
      </c>
      <c r="AJ50" s="5">
        <v>1</v>
      </c>
      <c r="AK50" s="5" t="s">
        <v>983</v>
      </c>
      <c r="AL50" s="5">
        <v>2</v>
      </c>
      <c r="AM50" s="5">
        <v>2</v>
      </c>
      <c r="AN50" s="5">
        <v>1</v>
      </c>
      <c r="AO50" s="5">
        <v>5</v>
      </c>
      <c r="AP50" s="5" t="s">
        <v>982</v>
      </c>
      <c r="AQ50" s="5">
        <v>0</v>
      </c>
      <c r="AR50" s="5">
        <v>1</v>
      </c>
      <c r="AS50" s="5">
        <v>0</v>
      </c>
      <c r="AT50" s="5">
        <v>0</v>
      </c>
      <c r="AU50" s="5">
        <v>0</v>
      </c>
      <c r="AV50" s="5">
        <v>0</v>
      </c>
      <c r="AW50" s="5">
        <v>1</v>
      </c>
      <c r="AX50" s="5">
        <v>2</v>
      </c>
      <c r="AY50" s="5" t="s">
        <v>982</v>
      </c>
      <c r="AZ50" s="1">
        <v>1</v>
      </c>
      <c r="BA50" s="1">
        <v>0</v>
      </c>
      <c r="BB50" s="1">
        <v>1</v>
      </c>
      <c r="BC50" s="1">
        <v>1</v>
      </c>
      <c r="BD50" s="1">
        <v>0</v>
      </c>
      <c r="BE50" s="1">
        <v>1</v>
      </c>
      <c r="BF50" s="1">
        <v>38</v>
      </c>
      <c r="BG50" s="1">
        <v>0</v>
      </c>
      <c r="BH50" s="1">
        <v>14</v>
      </c>
      <c r="BI50" s="1">
        <v>13</v>
      </c>
      <c r="BJ50" s="1">
        <v>210000</v>
      </c>
      <c r="BK50" s="1">
        <v>4</v>
      </c>
    </row>
    <row r="51" spans="1:63" ht="12.75" customHeight="1" x14ac:dyDescent="0.15">
      <c r="A51" s="5" t="s">
        <v>330</v>
      </c>
      <c r="B51" s="5" t="s">
        <v>984</v>
      </c>
      <c r="C51" s="5">
        <v>2</v>
      </c>
      <c r="D51" s="5">
        <v>2</v>
      </c>
      <c r="E51" s="5">
        <v>2</v>
      </c>
      <c r="F51" s="5">
        <v>2</v>
      </c>
      <c r="G51" s="5">
        <v>2</v>
      </c>
      <c r="H51" s="5">
        <v>2</v>
      </c>
      <c r="I51" s="5">
        <v>2</v>
      </c>
      <c r="J51" s="5">
        <v>2</v>
      </c>
      <c r="K51" s="5">
        <v>2</v>
      </c>
      <c r="L51" s="5">
        <v>2</v>
      </c>
      <c r="M51" s="5">
        <v>2</v>
      </c>
      <c r="N51" s="5">
        <v>2</v>
      </c>
      <c r="O51" s="5">
        <v>24</v>
      </c>
      <c r="P51" s="5" t="s">
        <v>981</v>
      </c>
      <c r="Q51" s="5">
        <v>2</v>
      </c>
      <c r="R51" s="5">
        <v>2</v>
      </c>
      <c r="S51" s="5">
        <v>1</v>
      </c>
      <c r="T51" s="5">
        <v>5</v>
      </c>
      <c r="U51" s="5" t="s">
        <v>981</v>
      </c>
      <c r="V51" s="5">
        <v>2</v>
      </c>
      <c r="W51" s="5">
        <v>2</v>
      </c>
      <c r="X51" s="5">
        <v>2</v>
      </c>
      <c r="Y51" s="5">
        <v>6</v>
      </c>
      <c r="Z51" s="5" t="s">
        <v>981</v>
      </c>
      <c r="AA51" s="5">
        <v>2</v>
      </c>
      <c r="AB51" s="5">
        <v>2</v>
      </c>
      <c r="AC51" s="5">
        <v>2</v>
      </c>
      <c r="AD51" s="5">
        <v>2</v>
      </c>
      <c r="AE51" s="5">
        <v>8</v>
      </c>
      <c r="AF51" s="5" t="s">
        <v>981</v>
      </c>
      <c r="AG51" s="5">
        <v>2</v>
      </c>
      <c r="AH51" s="5">
        <v>2</v>
      </c>
      <c r="AI51" s="5">
        <v>2</v>
      </c>
      <c r="AJ51" s="5">
        <v>6</v>
      </c>
      <c r="AK51" s="5" t="s">
        <v>981</v>
      </c>
      <c r="AL51" s="5">
        <v>2</v>
      </c>
      <c r="AM51" s="5">
        <v>2</v>
      </c>
      <c r="AN51" s="5">
        <v>2</v>
      </c>
      <c r="AO51" s="5">
        <v>6</v>
      </c>
      <c r="AP51" s="5" t="s">
        <v>981</v>
      </c>
      <c r="AQ51" s="5">
        <v>0</v>
      </c>
      <c r="AR51" s="5">
        <v>1</v>
      </c>
      <c r="AS51" s="5">
        <v>0</v>
      </c>
      <c r="AT51" s="5">
        <v>0</v>
      </c>
      <c r="AU51" s="5">
        <v>0</v>
      </c>
      <c r="AV51" s="5">
        <v>0</v>
      </c>
      <c r="AW51" s="5">
        <v>0</v>
      </c>
      <c r="AX51" s="5">
        <v>1</v>
      </c>
      <c r="AY51" s="5" t="s">
        <v>982</v>
      </c>
      <c r="AZ51" s="1">
        <v>1</v>
      </c>
      <c r="BA51" s="1">
        <v>0</v>
      </c>
      <c r="BB51" s="1">
        <v>1</v>
      </c>
      <c r="BC51" s="1">
        <v>1</v>
      </c>
      <c r="BD51" s="1">
        <v>1</v>
      </c>
      <c r="BE51" s="1">
        <v>1</v>
      </c>
      <c r="BF51" s="1">
        <v>54</v>
      </c>
      <c r="BG51" s="1">
        <v>0</v>
      </c>
      <c r="BH51" s="1">
        <v>16</v>
      </c>
      <c r="BI51" s="1">
        <v>34</v>
      </c>
      <c r="BJ51" s="1">
        <v>0</v>
      </c>
      <c r="BK51" s="1">
        <v>2</v>
      </c>
    </row>
    <row r="52" spans="1:63" ht="12.75" customHeight="1" x14ac:dyDescent="0.15">
      <c r="A52" s="5" t="s">
        <v>238</v>
      </c>
      <c r="B52" s="5" t="s">
        <v>238</v>
      </c>
      <c r="C52" s="5">
        <v>1</v>
      </c>
      <c r="D52" s="5">
        <v>2</v>
      </c>
      <c r="E52" s="5">
        <v>2</v>
      </c>
      <c r="F52" s="5">
        <v>1</v>
      </c>
      <c r="G52" s="5">
        <v>2</v>
      </c>
      <c r="H52" s="5">
        <v>1</v>
      </c>
      <c r="I52" s="5">
        <v>1</v>
      </c>
      <c r="J52" s="5">
        <v>1</v>
      </c>
      <c r="K52" s="5">
        <v>1</v>
      </c>
      <c r="L52" s="5">
        <v>1</v>
      </c>
      <c r="M52" s="5">
        <v>1</v>
      </c>
      <c r="N52" s="5">
        <v>1</v>
      </c>
      <c r="O52" s="5">
        <v>15</v>
      </c>
      <c r="P52" s="5" t="s">
        <v>983</v>
      </c>
      <c r="Q52" s="5">
        <v>1</v>
      </c>
      <c r="R52" s="5">
        <v>1</v>
      </c>
      <c r="S52" s="5">
        <v>1</v>
      </c>
      <c r="T52" s="5">
        <v>3</v>
      </c>
      <c r="U52" s="5" t="s">
        <v>982</v>
      </c>
      <c r="V52" s="5">
        <v>1</v>
      </c>
      <c r="W52" s="5">
        <v>1</v>
      </c>
      <c r="X52" s="5">
        <v>1</v>
      </c>
      <c r="Y52" s="5">
        <v>3</v>
      </c>
      <c r="Z52" s="5" t="s">
        <v>982</v>
      </c>
      <c r="AA52" s="5">
        <v>0</v>
      </c>
      <c r="AB52" s="5">
        <v>0</v>
      </c>
      <c r="AC52" s="5">
        <v>0</v>
      </c>
      <c r="AD52" s="5">
        <v>0</v>
      </c>
      <c r="AE52" s="5">
        <v>0</v>
      </c>
      <c r="AF52" s="5" t="s">
        <v>983</v>
      </c>
      <c r="AG52" s="5">
        <v>0</v>
      </c>
      <c r="AH52" s="5">
        <v>0</v>
      </c>
      <c r="AI52" s="5">
        <v>0</v>
      </c>
      <c r="AJ52" s="5">
        <v>0</v>
      </c>
      <c r="AK52" s="5" t="s">
        <v>983</v>
      </c>
      <c r="AL52" s="5">
        <v>0</v>
      </c>
      <c r="AM52" s="5">
        <v>0</v>
      </c>
      <c r="AN52" s="5">
        <v>0</v>
      </c>
      <c r="AO52" s="5">
        <v>0</v>
      </c>
      <c r="AP52" s="5" t="s">
        <v>983</v>
      </c>
      <c r="AQ52" s="5">
        <v>0</v>
      </c>
      <c r="AR52" s="5">
        <v>0</v>
      </c>
      <c r="AS52" s="5">
        <v>0</v>
      </c>
      <c r="AT52" s="5">
        <v>0</v>
      </c>
      <c r="AU52" s="5">
        <v>0</v>
      </c>
      <c r="AV52" s="5">
        <v>0</v>
      </c>
      <c r="AW52" s="5">
        <v>0</v>
      </c>
      <c r="AX52" s="5">
        <v>0</v>
      </c>
      <c r="AY52" s="5" t="s">
        <v>983</v>
      </c>
      <c r="AZ52" s="1">
        <v>1</v>
      </c>
      <c r="BA52" s="1">
        <v>0</v>
      </c>
      <c r="BB52" s="1">
        <v>1</v>
      </c>
      <c r="BC52" s="1">
        <v>1</v>
      </c>
      <c r="BD52" s="1">
        <v>0</v>
      </c>
      <c r="BE52" s="1">
        <v>1</v>
      </c>
      <c r="BF52" s="1">
        <v>34</v>
      </c>
      <c r="BG52" s="1">
        <v>1</v>
      </c>
      <c r="BH52" s="1">
        <v>10</v>
      </c>
      <c r="BI52" s="1">
        <v>34</v>
      </c>
      <c r="BJ52" s="1">
        <v>0</v>
      </c>
      <c r="BK52" s="1">
        <v>3</v>
      </c>
    </row>
    <row r="53" spans="1:63" ht="12.75" customHeight="1" x14ac:dyDescent="0.15">
      <c r="A53" s="5" t="s">
        <v>238</v>
      </c>
      <c r="B53" s="5" t="s">
        <v>238</v>
      </c>
      <c r="C53" s="5">
        <v>1</v>
      </c>
      <c r="D53" s="5">
        <v>2</v>
      </c>
      <c r="E53" s="5">
        <v>2</v>
      </c>
      <c r="F53" s="5">
        <v>2</v>
      </c>
      <c r="G53" s="5">
        <v>2</v>
      </c>
      <c r="H53" s="5">
        <v>2</v>
      </c>
      <c r="I53" s="5">
        <v>1</v>
      </c>
      <c r="J53" s="5">
        <v>2</v>
      </c>
      <c r="K53" s="5">
        <v>2</v>
      </c>
      <c r="L53" s="5">
        <v>2</v>
      </c>
      <c r="M53" s="5">
        <v>2</v>
      </c>
      <c r="N53" s="5">
        <v>2</v>
      </c>
      <c r="O53" s="5">
        <v>22</v>
      </c>
      <c r="P53" s="5" t="s">
        <v>982</v>
      </c>
      <c r="Q53" s="5">
        <v>2</v>
      </c>
      <c r="R53" s="5">
        <v>2</v>
      </c>
      <c r="S53" s="5">
        <v>1</v>
      </c>
      <c r="T53" s="5">
        <v>5</v>
      </c>
      <c r="U53" s="5" t="s">
        <v>981</v>
      </c>
      <c r="V53" s="5">
        <v>1</v>
      </c>
      <c r="W53" s="5">
        <v>2</v>
      </c>
      <c r="X53" s="5">
        <v>2</v>
      </c>
      <c r="Y53" s="5">
        <v>5</v>
      </c>
      <c r="Z53" s="5" t="s">
        <v>982</v>
      </c>
      <c r="AA53" s="5">
        <v>2</v>
      </c>
      <c r="AB53" s="5">
        <v>2</v>
      </c>
      <c r="AC53" s="5">
        <v>2</v>
      </c>
      <c r="AD53" s="5">
        <v>2</v>
      </c>
      <c r="AE53" s="5">
        <v>8</v>
      </c>
      <c r="AF53" s="5" t="s">
        <v>981</v>
      </c>
      <c r="AG53" s="5">
        <v>2</v>
      </c>
      <c r="AH53" s="5">
        <v>2</v>
      </c>
      <c r="AI53" s="5">
        <v>1</v>
      </c>
      <c r="AJ53" s="5">
        <v>5</v>
      </c>
      <c r="AK53" s="5" t="s">
        <v>982</v>
      </c>
      <c r="AL53" s="5">
        <v>1</v>
      </c>
      <c r="AM53" s="5">
        <v>1</v>
      </c>
      <c r="AN53" s="5">
        <v>1</v>
      </c>
      <c r="AO53" s="5">
        <v>3</v>
      </c>
      <c r="AP53" s="5" t="s">
        <v>982</v>
      </c>
      <c r="AQ53" s="5">
        <v>0</v>
      </c>
      <c r="AR53" s="5">
        <v>0</v>
      </c>
      <c r="AS53" s="5">
        <v>0</v>
      </c>
      <c r="AT53" s="5">
        <v>0</v>
      </c>
      <c r="AU53" s="5">
        <v>0</v>
      </c>
      <c r="AV53" s="5">
        <v>0</v>
      </c>
      <c r="AW53" s="5">
        <v>0</v>
      </c>
      <c r="AX53" s="5">
        <v>0</v>
      </c>
      <c r="AY53" s="5" t="s">
        <v>983</v>
      </c>
      <c r="AZ53" s="1">
        <v>1</v>
      </c>
      <c r="BA53" s="1">
        <v>0</v>
      </c>
      <c r="BB53" s="1">
        <v>1</v>
      </c>
      <c r="BC53" s="1">
        <v>1</v>
      </c>
      <c r="BD53" s="1">
        <v>1</v>
      </c>
      <c r="BE53" s="1">
        <v>1</v>
      </c>
      <c r="BF53" s="1">
        <v>51</v>
      </c>
      <c r="BG53" s="1">
        <v>0</v>
      </c>
      <c r="BH53" s="1">
        <v>16</v>
      </c>
      <c r="BI53" s="1">
        <v>24</v>
      </c>
      <c r="BJ53" s="1">
        <v>780000</v>
      </c>
      <c r="BK53" s="1">
        <v>3</v>
      </c>
    </row>
    <row r="54" spans="1:63" ht="12.75" customHeight="1" x14ac:dyDescent="0.15">
      <c r="A54" s="5" t="s">
        <v>238</v>
      </c>
      <c r="B54" s="5" t="s">
        <v>238</v>
      </c>
      <c r="C54" s="5">
        <v>4</v>
      </c>
      <c r="D54" s="5">
        <v>3</v>
      </c>
      <c r="E54" s="5">
        <v>3</v>
      </c>
      <c r="F54" s="5">
        <v>2</v>
      </c>
      <c r="G54" s="5">
        <v>3</v>
      </c>
      <c r="H54" s="5">
        <v>1</v>
      </c>
      <c r="I54" s="5">
        <v>1</v>
      </c>
      <c r="J54" s="5">
        <v>1</v>
      </c>
      <c r="K54" s="5">
        <v>1</v>
      </c>
      <c r="L54" s="5">
        <v>3</v>
      </c>
      <c r="M54" s="5">
        <v>1</v>
      </c>
      <c r="N54" s="5">
        <v>3</v>
      </c>
      <c r="O54" s="5">
        <v>26</v>
      </c>
      <c r="P54" s="5" t="s">
        <v>981</v>
      </c>
      <c r="Q54" s="5">
        <v>3</v>
      </c>
      <c r="R54" s="5">
        <v>3</v>
      </c>
      <c r="S54" s="5">
        <v>3</v>
      </c>
      <c r="T54" s="5">
        <v>9</v>
      </c>
      <c r="U54" s="5" t="s">
        <v>981</v>
      </c>
      <c r="V54" s="5">
        <v>3</v>
      </c>
      <c r="W54" s="5">
        <v>3</v>
      </c>
      <c r="X54" s="5">
        <v>3</v>
      </c>
      <c r="Y54" s="5">
        <v>9</v>
      </c>
      <c r="Z54" s="5" t="s">
        <v>981</v>
      </c>
      <c r="AA54" s="5">
        <v>0</v>
      </c>
      <c r="AB54" s="5">
        <v>0</v>
      </c>
      <c r="AC54" s="5">
        <v>0</v>
      </c>
      <c r="AD54" s="5">
        <v>0</v>
      </c>
      <c r="AE54" s="5">
        <v>0</v>
      </c>
      <c r="AF54" s="5" t="s">
        <v>983</v>
      </c>
      <c r="AG54" s="5">
        <v>0</v>
      </c>
      <c r="AH54" s="5">
        <v>0</v>
      </c>
      <c r="AI54" s="5">
        <v>0</v>
      </c>
      <c r="AJ54" s="5">
        <v>0</v>
      </c>
      <c r="AK54" s="5" t="s">
        <v>983</v>
      </c>
      <c r="AL54" s="5">
        <v>0</v>
      </c>
      <c r="AM54" s="5">
        <v>0</v>
      </c>
      <c r="AN54" s="5">
        <v>3</v>
      </c>
      <c r="AO54" s="5">
        <v>3</v>
      </c>
      <c r="AP54" s="5" t="s">
        <v>982</v>
      </c>
      <c r="AQ54" s="5">
        <v>0</v>
      </c>
      <c r="AR54" s="5">
        <v>0</v>
      </c>
      <c r="AS54" s="5">
        <v>0</v>
      </c>
      <c r="AT54" s="5">
        <v>0</v>
      </c>
      <c r="AU54" s="5">
        <v>0</v>
      </c>
      <c r="AV54" s="5">
        <v>0</v>
      </c>
      <c r="AW54" s="5">
        <v>0</v>
      </c>
      <c r="AX54" s="5">
        <v>0</v>
      </c>
      <c r="AY54" s="5" t="s">
        <v>983</v>
      </c>
      <c r="AZ54" s="1">
        <v>1</v>
      </c>
      <c r="BA54" s="1">
        <v>0</v>
      </c>
      <c r="BB54" s="1">
        <v>1</v>
      </c>
      <c r="BC54" s="1">
        <v>1</v>
      </c>
      <c r="BD54" s="1">
        <v>0</v>
      </c>
      <c r="BE54" s="1">
        <v>1</v>
      </c>
      <c r="BF54" s="1">
        <v>35</v>
      </c>
      <c r="BG54" s="1">
        <v>0</v>
      </c>
      <c r="BH54" s="1">
        <v>14</v>
      </c>
      <c r="BI54" s="1">
        <v>8</v>
      </c>
      <c r="BJ54" s="1">
        <v>400000</v>
      </c>
      <c r="BK54" s="1">
        <v>3</v>
      </c>
    </row>
    <row r="55" spans="1:63" ht="12.75" customHeight="1" x14ac:dyDescent="0.15">
      <c r="A55" s="5" t="s">
        <v>238</v>
      </c>
      <c r="B55" s="5" t="s">
        <v>238</v>
      </c>
      <c r="C55" s="5">
        <v>2</v>
      </c>
      <c r="D55" s="5">
        <v>2</v>
      </c>
      <c r="E55" s="5">
        <v>2</v>
      </c>
      <c r="F55" s="5">
        <v>1</v>
      </c>
      <c r="G55" s="5">
        <v>2</v>
      </c>
      <c r="H55" s="5">
        <v>2</v>
      </c>
      <c r="I55" s="5">
        <v>1</v>
      </c>
      <c r="J55" s="5">
        <v>1</v>
      </c>
      <c r="K55" s="5">
        <v>2</v>
      </c>
      <c r="L55" s="5">
        <v>2</v>
      </c>
      <c r="M55" s="5">
        <v>2</v>
      </c>
      <c r="N55" s="5">
        <v>2</v>
      </c>
      <c r="O55" s="5">
        <v>21</v>
      </c>
      <c r="P55" s="5" t="s">
        <v>982</v>
      </c>
      <c r="Q55" s="5">
        <v>4</v>
      </c>
      <c r="R55" s="5">
        <v>3</v>
      </c>
      <c r="S55" s="5">
        <v>0</v>
      </c>
      <c r="T55" s="5">
        <v>7</v>
      </c>
      <c r="U55" s="5" t="s">
        <v>981</v>
      </c>
      <c r="V55" s="5">
        <v>0</v>
      </c>
      <c r="W55" s="5">
        <v>2</v>
      </c>
      <c r="X55" s="5">
        <v>2</v>
      </c>
      <c r="Y55" s="5">
        <v>4</v>
      </c>
      <c r="Z55" s="5" t="s">
        <v>982</v>
      </c>
      <c r="AA55" s="5">
        <v>2</v>
      </c>
      <c r="AB55" s="5">
        <v>2</v>
      </c>
      <c r="AC55" s="5">
        <v>2</v>
      </c>
      <c r="AD55" s="5">
        <v>2</v>
      </c>
      <c r="AE55" s="5">
        <v>8</v>
      </c>
      <c r="AF55" s="5" t="s">
        <v>981</v>
      </c>
      <c r="AG55" s="5">
        <v>2</v>
      </c>
      <c r="AH55" s="5">
        <v>2</v>
      </c>
      <c r="AI55" s="5">
        <v>2</v>
      </c>
      <c r="AJ55" s="5">
        <v>6</v>
      </c>
      <c r="AK55" s="5" t="s">
        <v>981</v>
      </c>
      <c r="AL55" s="5">
        <v>2</v>
      </c>
      <c r="AM55" s="5">
        <v>2</v>
      </c>
      <c r="AN55" s="5">
        <v>2</v>
      </c>
      <c r="AO55" s="5">
        <v>6</v>
      </c>
      <c r="AP55" s="5" t="s">
        <v>981</v>
      </c>
      <c r="AQ55" s="5">
        <v>0</v>
      </c>
      <c r="AR55" s="5">
        <v>1</v>
      </c>
      <c r="AS55" s="5">
        <v>1</v>
      </c>
      <c r="AT55" s="5">
        <v>1</v>
      </c>
      <c r="AU55" s="5">
        <v>1</v>
      </c>
      <c r="AV55" s="5">
        <v>1</v>
      </c>
      <c r="AW55" s="5">
        <v>1</v>
      </c>
      <c r="AX55" s="5">
        <v>6</v>
      </c>
      <c r="AY55" s="5" t="s">
        <v>982</v>
      </c>
      <c r="AZ55" s="1">
        <v>1</v>
      </c>
      <c r="BA55" s="1">
        <v>0</v>
      </c>
      <c r="BB55" s="1">
        <v>0</v>
      </c>
      <c r="BC55" s="1">
        <v>1</v>
      </c>
      <c r="BD55" s="1">
        <v>1</v>
      </c>
      <c r="BE55" s="1">
        <v>1</v>
      </c>
      <c r="BF55" s="1">
        <v>57</v>
      </c>
      <c r="BG55" s="1">
        <v>0</v>
      </c>
      <c r="BH55" s="1">
        <v>14</v>
      </c>
      <c r="BI55" s="1">
        <v>3</v>
      </c>
      <c r="BJ55" s="1">
        <v>240000</v>
      </c>
      <c r="BK55" s="1">
        <v>3</v>
      </c>
    </row>
    <row r="56" spans="1:63" ht="12.75" customHeight="1" x14ac:dyDescent="0.15">
      <c r="A56" s="5" t="s">
        <v>238</v>
      </c>
      <c r="B56" s="5" t="s">
        <v>238</v>
      </c>
      <c r="C56" s="5">
        <v>3</v>
      </c>
      <c r="D56" s="5">
        <v>3</v>
      </c>
      <c r="E56" s="5">
        <v>3</v>
      </c>
      <c r="F56" s="5">
        <v>2</v>
      </c>
      <c r="G56" s="5">
        <v>2</v>
      </c>
      <c r="H56" s="5">
        <v>2</v>
      </c>
      <c r="I56" s="5">
        <v>1</v>
      </c>
      <c r="J56" s="5">
        <v>1</v>
      </c>
      <c r="K56" s="5">
        <v>1</v>
      </c>
      <c r="L56" s="5">
        <v>1</v>
      </c>
      <c r="M56" s="5">
        <v>2</v>
      </c>
      <c r="N56" s="5">
        <v>2</v>
      </c>
      <c r="O56" s="5">
        <v>23</v>
      </c>
      <c r="P56" s="5" t="s">
        <v>982</v>
      </c>
      <c r="Q56" s="5">
        <v>3</v>
      </c>
      <c r="R56" s="5">
        <v>2</v>
      </c>
      <c r="S56" s="5">
        <v>0</v>
      </c>
      <c r="T56" s="5">
        <v>5</v>
      </c>
      <c r="U56" s="5" t="s">
        <v>981</v>
      </c>
      <c r="V56" s="5">
        <v>2</v>
      </c>
      <c r="W56" s="5">
        <v>2</v>
      </c>
      <c r="X56" s="5">
        <v>2</v>
      </c>
      <c r="Y56" s="5">
        <v>6</v>
      </c>
      <c r="Z56" s="5" t="s">
        <v>981</v>
      </c>
      <c r="AA56" s="5">
        <v>4</v>
      </c>
      <c r="AB56" s="5">
        <v>4</v>
      </c>
      <c r="AC56" s="5">
        <v>4</v>
      </c>
      <c r="AD56" s="5">
        <v>4</v>
      </c>
      <c r="AE56" s="5">
        <v>16</v>
      </c>
      <c r="AF56" s="5" t="s">
        <v>981</v>
      </c>
      <c r="AG56" s="5">
        <v>0</v>
      </c>
      <c r="AH56" s="5">
        <v>0</v>
      </c>
      <c r="AI56" s="5">
        <v>0</v>
      </c>
      <c r="AJ56" s="5">
        <v>0</v>
      </c>
      <c r="AK56" s="5" t="s">
        <v>983</v>
      </c>
      <c r="AL56" s="5">
        <v>0</v>
      </c>
      <c r="AM56" s="5">
        <v>0</v>
      </c>
      <c r="AN56" s="5">
        <v>2</v>
      </c>
      <c r="AO56" s="5">
        <v>2</v>
      </c>
      <c r="AP56" s="5" t="s">
        <v>983</v>
      </c>
      <c r="AQ56" s="5">
        <v>0</v>
      </c>
      <c r="AR56" s="5">
        <v>0</v>
      </c>
      <c r="AS56" s="5">
        <v>0</v>
      </c>
      <c r="AT56" s="5">
        <v>0</v>
      </c>
      <c r="AU56" s="5">
        <v>0</v>
      </c>
      <c r="AV56" s="5">
        <v>0</v>
      </c>
      <c r="AW56" s="5">
        <v>0</v>
      </c>
      <c r="AX56" s="5">
        <v>0</v>
      </c>
      <c r="AY56" s="5" t="s">
        <v>983</v>
      </c>
      <c r="AZ56" s="1">
        <v>0</v>
      </c>
      <c r="BA56" s="1">
        <v>0</v>
      </c>
      <c r="BB56" s="1">
        <v>0</v>
      </c>
      <c r="BC56" s="1">
        <v>1</v>
      </c>
      <c r="BD56" s="1">
        <v>1</v>
      </c>
      <c r="BE56" s="1">
        <v>1</v>
      </c>
      <c r="BF56" s="1">
        <v>28</v>
      </c>
      <c r="BG56" s="1">
        <v>0</v>
      </c>
      <c r="BH56" s="1">
        <v>17</v>
      </c>
      <c r="BI56" s="1">
        <v>3</v>
      </c>
      <c r="BJ56" s="1">
        <v>240000</v>
      </c>
      <c r="BK56" s="1">
        <v>3</v>
      </c>
    </row>
    <row r="57" spans="1:63" ht="12.75" customHeight="1" x14ac:dyDescent="0.15">
      <c r="A57" s="5" t="s">
        <v>238</v>
      </c>
      <c r="B57" s="5" t="s">
        <v>238</v>
      </c>
      <c r="C57" s="5">
        <v>3</v>
      </c>
      <c r="D57" s="5">
        <v>4</v>
      </c>
      <c r="E57" s="5">
        <v>4</v>
      </c>
      <c r="F57" s="5">
        <v>3</v>
      </c>
      <c r="G57" s="5">
        <v>4</v>
      </c>
      <c r="H57" s="5">
        <v>1</v>
      </c>
      <c r="I57" s="5">
        <v>1</v>
      </c>
      <c r="J57" s="5">
        <v>4</v>
      </c>
      <c r="K57" s="5">
        <v>4</v>
      </c>
      <c r="L57" s="5">
        <v>3</v>
      </c>
      <c r="M57" s="5">
        <v>4</v>
      </c>
      <c r="N57" s="5">
        <v>4</v>
      </c>
      <c r="O57" s="5">
        <v>39</v>
      </c>
      <c r="P57" s="5" t="s">
        <v>981</v>
      </c>
      <c r="Q57" s="5">
        <v>1</v>
      </c>
      <c r="R57" s="5">
        <v>0</v>
      </c>
      <c r="S57" s="5">
        <v>0</v>
      </c>
      <c r="T57" s="5">
        <v>1</v>
      </c>
      <c r="U57" s="5" t="s">
        <v>983</v>
      </c>
      <c r="V57" s="5">
        <v>2</v>
      </c>
      <c r="W57" s="5">
        <v>2</v>
      </c>
      <c r="X57" s="5">
        <v>0</v>
      </c>
      <c r="Y57" s="5">
        <v>4</v>
      </c>
      <c r="Z57" s="5" t="s">
        <v>982</v>
      </c>
      <c r="AA57" s="5">
        <v>4</v>
      </c>
      <c r="AB57" s="5">
        <v>4</v>
      </c>
      <c r="AC57" s="5">
        <v>4</v>
      </c>
      <c r="AD57" s="5">
        <v>4</v>
      </c>
      <c r="AE57" s="5">
        <v>16</v>
      </c>
      <c r="AF57" s="5" t="s">
        <v>981</v>
      </c>
      <c r="AG57" s="5">
        <v>0</v>
      </c>
      <c r="AH57" s="5">
        <v>0</v>
      </c>
      <c r="AI57" s="5">
        <v>0</v>
      </c>
      <c r="AJ57" s="5">
        <v>0</v>
      </c>
      <c r="AK57" s="5" t="s">
        <v>983</v>
      </c>
      <c r="AL57" s="5">
        <v>3</v>
      </c>
      <c r="AM57" s="5">
        <v>4</v>
      </c>
      <c r="AN57" s="5">
        <v>3</v>
      </c>
      <c r="AO57" s="5">
        <v>10</v>
      </c>
      <c r="AP57" s="5" t="s">
        <v>981</v>
      </c>
      <c r="AQ57" s="5">
        <v>0</v>
      </c>
      <c r="AR57" s="5">
        <v>0</v>
      </c>
      <c r="AS57" s="5">
        <v>0</v>
      </c>
      <c r="AT57" s="5">
        <v>0</v>
      </c>
      <c r="AU57" s="5">
        <v>0</v>
      </c>
      <c r="AV57" s="5">
        <v>0</v>
      </c>
      <c r="AW57" s="5">
        <v>0</v>
      </c>
      <c r="AX57" s="5">
        <v>0</v>
      </c>
      <c r="AY57" s="5" t="s">
        <v>983</v>
      </c>
      <c r="AZ57" s="1">
        <v>0</v>
      </c>
      <c r="BA57" s="1">
        <v>0</v>
      </c>
      <c r="BB57" s="1">
        <v>0</v>
      </c>
      <c r="BC57" s="1">
        <v>1</v>
      </c>
      <c r="BD57" s="1">
        <v>0</v>
      </c>
      <c r="BE57" s="1">
        <v>0</v>
      </c>
      <c r="BF57" s="1">
        <v>37</v>
      </c>
      <c r="BG57" s="1">
        <v>1</v>
      </c>
      <c r="BH57" s="1">
        <v>16</v>
      </c>
      <c r="BI57" s="1">
        <v>11</v>
      </c>
      <c r="BJ57" s="1">
        <v>0</v>
      </c>
      <c r="BK57" s="1">
        <v>1</v>
      </c>
    </row>
    <row r="58" spans="1:63" ht="12.75" customHeight="1" x14ac:dyDescent="0.15">
      <c r="A58" s="5" t="s">
        <v>238</v>
      </c>
      <c r="B58" s="5" t="s">
        <v>238</v>
      </c>
      <c r="C58" s="5">
        <v>3</v>
      </c>
      <c r="D58" s="5">
        <v>3</v>
      </c>
      <c r="E58" s="5">
        <v>3</v>
      </c>
      <c r="F58" s="5">
        <v>3</v>
      </c>
      <c r="G58" s="5">
        <v>2</v>
      </c>
      <c r="H58" s="5">
        <v>2</v>
      </c>
      <c r="I58" s="5">
        <v>1</v>
      </c>
      <c r="J58" s="5">
        <v>1</v>
      </c>
      <c r="K58" s="5">
        <v>1</v>
      </c>
      <c r="L58" s="5">
        <v>2</v>
      </c>
      <c r="M58" s="5">
        <v>2</v>
      </c>
      <c r="N58" s="5">
        <v>1</v>
      </c>
      <c r="O58" s="5">
        <v>24</v>
      </c>
      <c r="P58" s="5" t="s">
        <v>981</v>
      </c>
      <c r="Q58" s="5">
        <v>2</v>
      </c>
      <c r="R58" s="5">
        <v>3</v>
      </c>
      <c r="S58" s="5">
        <v>1</v>
      </c>
      <c r="T58" s="5">
        <v>6</v>
      </c>
      <c r="U58" s="5" t="s">
        <v>981</v>
      </c>
      <c r="V58" s="5">
        <v>4</v>
      </c>
      <c r="W58" s="5">
        <v>4</v>
      </c>
      <c r="X58" s="5">
        <v>3</v>
      </c>
      <c r="Y58" s="5">
        <v>11</v>
      </c>
      <c r="Z58" s="5" t="s">
        <v>981</v>
      </c>
      <c r="AA58" s="5">
        <v>1</v>
      </c>
      <c r="AB58" s="5">
        <v>1</v>
      </c>
      <c r="AC58" s="5">
        <v>1</v>
      </c>
      <c r="AD58" s="5">
        <v>1</v>
      </c>
      <c r="AE58" s="5">
        <v>4</v>
      </c>
      <c r="AF58" s="5" t="s">
        <v>982</v>
      </c>
      <c r="AG58" s="5">
        <v>3</v>
      </c>
      <c r="AH58" s="5">
        <v>4</v>
      </c>
      <c r="AI58" s="5">
        <v>4</v>
      </c>
      <c r="AJ58" s="5">
        <v>11</v>
      </c>
      <c r="AK58" s="5" t="s">
        <v>981</v>
      </c>
      <c r="AL58" s="5">
        <v>2</v>
      </c>
      <c r="AM58" s="5">
        <v>2</v>
      </c>
      <c r="AN58" s="5">
        <v>2</v>
      </c>
      <c r="AO58" s="5">
        <v>6</v>
      </c>
      <c r="AP58" s="5" t="s">
        <v>981</v>
      </c>
      <c r="AQ58" s="5">
        <v>1</v>
      </c>
      <c r="AR58" s="5">
        <v>1</v>
      </c>
      <c r="AS58" s="5">
        <v>1</v>
      </c>
      <c r="AT58" s="5">
        <v>1</v>
      </c>
      <c r="AU58" s="5">
        <v>0</v>
      </c>
      <c r="AV58" s="5">
        <v>0</v>
      </c>
      <c r="AW58" s="5">
        <v>0</v>
      </c>
      <c r="AX58" s="5">
        <v>4</v>
      </c>
      <c r="AY58" s="5" t="s">
        <v>982</v>
      </c>
      <c r="AZ58" s="1">
        <v>1</v>
      </c>
      <c r="BA58" s="1">
        <v>0</v>
      </c>
      <c r="BB58" s="1">
        <v>1</v>
      </c>
      <c r="BC58" s="1">
        <v>1</v>
      </c>
      <c r="BD58" s="1">
        <v>1</v>
      </c>
      <c r="BE58" s="1">
        <v>1</v>
      </c>
      <c r="BF58" s="1">
        <v>37</v>
      </c>
      <c r="BG58" s="1">
        <v>1</v>
      </c>
      <c r="BH58" s="1">
        <v>16</v>
      </c>
      <c r="BI58" s="1">
        <v>11</v>
      </c>
      <c r="BJ58" s="1">
        <v>0</v>
      </c>
      <c r="BK58" s="1">
        <v>1</v>
      </c>
    </row>
    <row r="59" spans="1:63" ht="12.75" customHeight="1" x14ac:dyDescent="0.15">
      <c r="A59" s="5" t="s">
        <v>238</v>
      </c>
      <c r="B59" s="5" t="s">
        <v>238</v>
      </c>
      <c r="C59" s="5">
        <v>1</v>
      </c>
      <c r="D59" s="5">
        <v>2</v>
      </c>
      <c r="E59" s="5">
        <v>1</v>
      </c>
      <c r="F59" s="5">
        <v>1</v>
      </c>
      <c r="G59" s="5">
        <v>1</v>
      </c>
      <c r="H59" s="5">
        <v>1</v>
      </c>
      <c r="I59" s="5">
        <v>1</v>
      </c>
      <c r="J59" s="5">
        <v>1</v>
      </c>
      <c r="K59" s="5">
        <v>1</v>
      </c>
      <c r="L59" s="5">
        <v>1</v>
      </c>
      <c r="M59" s="5">
        <v>1</v>
      </c>
      <c r="N59" s="5">
        <v>1</v>
      </c>
      <c r="O59" s="5">
        <v>13</v>
      </c>
      <c r="P59" s="5" t="s">
        <v>983</v>
      </c>
      <c r="Q59" s="5">
        <v>0</v>
      </c>
      <c r="R59" s="5">
        <v>0</v>
      </c>
      <c r="S59" s="5">
        <v>0</v>
      </c>
      <c r="T59" s="5">
        <v>0</v>
      </c>
      <c r="U59" s="5" t="s">
        <v>983</v>
      </c>
      <c r="V59" s="5">
        <v>0</v>
      </c>
      <c r="W59" s="5">
        <v>0</v>
      </c>
      <c r="X59" s="5">
        <v>0</v>
      </c>
      <c r="Y59" s="5">
        <v>0</v>
      </c>
      <c r="Z59" s="5" t="s">
        <v>983</v>
      </c>
      <c r="AA59" s="5">
        <v>4</v>
      </c>
      <c r="AB59" s="5">
        <v>0</v>
      </c>
      <c r="AC59" s="5">
        <v>0</v>
      </c>
      <c r="AD59" s="5">
        <v>0</v>
      </c>
      <c r="AE59" s="5">
        <v>4</v>
      </c>
      <c r="AF59" s="5" t="s">
        <v>982</v>
      </c>
      <c r="AG59" s="5">
        <v>0</v>
      </c>
      <c r="AH59" s="5">
        <v>0</v>
      </c>
      <c r="AI59" s="5">
        <v>0</v>
      </c>
      <c r="AJ59" s="5">
        <v>0</v>
      </c>
      <c r="AK59" s="5" t="s">
        <v>983</v>
      </c>
      <c r="AL59" s="5">
        <v>0</v>
      </c>
      <c r="AM59" s="5">
        <v>0</v>
      </c>
      <c r="AN59" s="5">
        <v>0</v>
      </c>
      <c r="AO59" s="5">
        <v>0</v>
      </c>
      <c r="AP59" s="5" t="s">
        <v>983</v>
      </c>
      <c r="AQ59" s="5">
        <v>0</v>
      </c>
      <c r="AR59" s="5">
        <v>0</v>
      </c>
      <c r="AS59" s="5">
        <v>0</v>
      </c>
      <c r="AT59" s="5">
        <v>0</v>
      </c>
      <c r="AU59" s="5">
        <v>0</v>
      </c>
      <c r="AV59" s="5">
        <v>0</v>
      </c>
      <c r="AW59" s="5">
        <v>0</v>
      </c>
      <c r="AX59" s="5">
        <v>0</v>
      </c>
      <c r="AY59" s="5" t="s">
        <v>983</v>
      </c>
      <c r="AZ59" s="1">
        <v>1</v>
      </c>
      <c r="BA59" s="1">
        <v>0</v>
      </c>
      <c r="BB59" s="1">
        <v>1</v>
      </c>
      <c r="BC59" s="1">
        <v>1</v>
      </c>
      <c r="BD59" s="1">
        <v>1</v>
      </c>
      <c r="BE59" s="1">
        <v>1</v>
      </c>
      <c r="BF59" s="1">
        <v>46</v>
      </c>
      <c r="BG59" s="1">
        <v>0</v>
      </c>
      <c r="BH59" s="1">
        <v>14</v>
      </c>
      <c r="BI59" s="1">
        <v>2</v>
      </c>
      <c r="BJ59" s="1">
        <v>350000</v>
      </c>
      <c r="BK59" s="1">
        <v>3</v>
      </c>
    </row>
    <row r="60" spans="1:63" ht="12.75" customHeight="1" x14ac:dyDescent="0.15">
      <c r="A60" s="5" t="s">
        <v>337</v>
      </c>
      <c r="B60" s="5" t="s">
        <v>984</v>
      </c>
      <c r="C60" s="5">
        <v>1</v>
      </c>
      <c r="D60" s="5">
        <v>2</v>
      </c>
      <c r="E60" s="5">
        <v>2</v>
      </c>
      <c r="F60" s="5">
        <v>2</v>
      </c>
      <c r="G60" s="5">
        <v>2</v>
      </c>
      <c r="H60" s="5">
        <v>1</v>
      </c>
      <c r="I60" s="5">
        <v>1</v>
      </c>
      <c r="J60" s="5">
        <v>1</v>
      </c>
      <c r="K60" s="5">
        <v>1</v>
      </c>
      <c r="L60" s="5">
        <v>1</v>
      </c>
      <c r="M60" s="5">
        <v>1</v>
      </c>
      <c r="N60" s="5">
        <v>1</v>
      </c>
      <c r="O60" s="5">
        <v>16</v>
      </c>
      <c r="P60" s="5" t="s">
        <v>983</v>
      </c>
      <c r="Q60" s="5">
        <v>0</v>
      </c>
      <c r="R60" s="5">
        <v>0</v>
      </c>
      <c r="S60" s="5">
        <v>0</v>
      </c>
      <c r="T60" s="5">
        <v>0</v>
      </c>
      <c r="U60" s="5" t="s">
        <v>983</v>
      </c>
      <c r="V60" s="5">
        <v>0</v>
      </c>
      <c r="W60" s="5">
        <v>0</v>
      </c>
      <c r="X60" s="5">
        <v>0</v>
      </c>
      <c r="Y60" s="5">
        <v>0</v>
      </c>
      <c r="Z60" s="5" t="s">
        <v>983</v>
      </c>
      <c r="AA60" s="5">
        <v>1</v>
      </c>
      <c r="AB60" s="5">
        <v>1</v>
      </c>
      <c r="AC60" s="5">
        <v>0</v>
      </c>
      <c r="AD60" s="5">
        <v>0</v>
      </c>
      <c r="AE60" s="5">
        <v>2</v>
      </c>
      <c r="AF60" s="5" t="s">
        <v>982</v>
      </c>
      <c r="AG60" s="5">
        <v>0</v>
      </c>
      <c r="AH60" s="5">
        <v>0</v>
      </c>
      <c r="AI60" s="5">
        <v>0</v>
      </c>
      <c r="AJ60" s="5">
        <v>0</v>
      </c>
      <c r="AK60" s="5" t="s">
        <v>983</v>
      </c>
      <c r="AL60" s="5">
        <v>0</v>
      </c>
      <c r="AM60" s="5">
        <v>0</v>
      </c>
      <c r="AN60" s="5">
        <v>0</v>
      </c>
      <c r="AO60" s="5">
        <v>0</v>
      </c>
      <c r="AP60" s="5" t="s">
        <v>983</v>
      </c>
      <c r="AQ60" s="5">
        <v>0</v>
      </c>
      <c r="AR60" s="5">
        <v>0</v>
      </c>
      <c r="AS60" s="5">
        <v>0</v>
      </c>
      <c r="AT60" s="5">
        <v>0</v>
      </c>
      <c r="AU60" s="5">
        <v>0</v>
      </c>
      <c r="AV60" s="5">
        <v>0</v>
      </c>
      <c r="AW60" s="5">
        <v>0</v>
      </c>
      <c r="AX60" s="5">
        <v>0</v>
      </c>
      <c r="AY60" s="5" t="s">
        <v>983</v>
      </c>
      <c r="AZ60" s="1">
        <v>1</v>
      </c>
      <c r="BA60" s="1">
        <v>0</v>
      </c>
      <c r="BB60" s="1">
        <v>1</v>
      </c>
      <c r="BC60" s="1">
        <v>1</v>
      </c>
      <c r="BD60" s="1">
        <v>0</v>
      </c>
      <c r="BE60" s="1">
        <v>1</v>
      </c>
      <c r="BF60" s="1">
        <v>0</v>
      </c>
      <c r="BG60" s="1">
        <v>0</v>
      </c>
      <c r="BI60" s="1">
        <v>24</v>
      </c>
      <c r="BJ60" s="1">
        <v>0</v>
      </c>
      <c r="BK60" s="1">
        <v>4</v>
      </c>
    </row>
    <row r="61" spans="1:63" ht="12.75" customHeight="1" x14ac:dyDescent="0.15">
      <c r="A61" s="5" t="s">
        <v>238</v>
      </c>
      <c r="B61" s="5" t="s">
        <v>238</v>
      </c>
      <c r="C61" s="5">
        <v>2</v>
      </c>
      <c r="D61" s="5">
        <v>2</v>
      </c>
      <c r="E61" s="5">
        <v>1</v>
      </c>
      <c r="F61" s="5">
        <v>2</v>
      </c>
      <c r="G61" s="5">
        <v>2</v>
      </c>
      <c r="H61" s="5">
        <v>2</v>
      </c>
      <c r="I61" s="5">
        <v>2</v>
      </c>
      <c r="J61" s="5">
        <v>1</v>
      </c>
      <c r="K61" s="5">
        <v>1</v>
      </c>
      <c r="L61" s="5">
        <v>2</v>
      </c>
      <c r="M61" s="5">
        <v>2</v>
      </c>
      <c r="N61" s="5">
        <v>1</v>
      </c>
      <c r="O61" s="5">
        <v>20</v>
      </c>
      <c r="P61" s="5" t="s">
        <v>982</v>
      </c>
      <c r="Q61" s="5">
        <v>2</v>
      </c>
      <c r="R61" s="5">
        <v>1</v>
      </c>
      <c r="S61" s="5">
        <v>1</v>
      </c>
      <c r="T61" s="5">
        <v>4</v>
      </c>
      <c r="U61" s="5" t="s">
        <v>982</v>
      </c>
      <c r="V61" s="5">
        <v>0</v>
      </c>
      <c r="W61" s="5">
        <v>2</v>
      </c>
      <c r="X61" s="5">
        <v>3</v>
      </c>
      <c r="Y61" s="5">
        <v>5</v>
      </c>
      <c r="Z61" s="5" t="s">
        <v>982</v>
      </c>
      <c r="AA61" s="5">
        <v>3</v>
      </c>
      <c r="AB61" s="5">
        <v>0</v>
      </c>
      <c r="AC61" s="5">
        <v>0</v>
      </c>
      <c r="AD61" s="5">
        <v>0</v>
      </c>
      <c r="AE61" s="5">
        <v>3</v>
      </c>
      <c r="AF61" s="5" t="s">
        <v>982</v>
      </c>
      <c r="AG61" s="5">
        <v>0</v>
      </c>
      <c r="AH61" s="5">
        <v>0</v>
      </c>
      <c r="AI61" s="5">
        <v>0</v>
      </c>
      <c r="AJ61" s="5">
        <v>0</v>
      </c>
      <c r="AK61" s="5" t="s">
        <v>983</v>
      </c>
      <c r="AL61" s="5">
        <v>1</v>
      </c>
      <c r="AM61" s="5">
        <v>0</v>
      </c>
      <c r="AN61" s="5">
        <v>1</v>
      </c>
      <c r="AO61" s="5">
        <v>2</v>
      </c>
      <c r="AP61" s="5" t="s">
        <v>983</v>
      </c>
      <c r="AQ61" s="5">
        <v>0</v>
      </c>
      <c r="AR61" s="5">
        <v>0</v>
      </c>
      <c r="AS61" s="5">
        <v>0</v>
      </c>
      <c r="AT61" s="5">
        <v>0</v>
      </c>
      <c r="AU61" s="5">
        <v>0</v>
      </c>
      <c r="AV61" s="5">
        <v>0</v>
      </c>
      <c r="AW61" s="5">
        <v>0</v>
      </c>
      <c r="AX61" s="5">
        <v>0</v>
      </c>
      <c r="AY61" s="5" t="s">
        <v>983</v>
      </c>
      <c r="AZ61" s="1">
        <v>1</v>
      </c>
      <c r="BA61" s="1">
        <v>0</v>
      </c>
      <c r="BB61" s="1">
        <v>0</v>
      </c>
      <c r="BC61" s="1">
        <v>1</v>
      </c>
      <c r="BD61" s="1">
        <v>1</v>
      </c>
      <c r="BE61" s="1">
        <v>1</v>
      </c>
      <c r="BF61" s="1">
        <v>44</v>
      </c>
      <c r="BG61" s="1">
        <v>0</v>
      </c>
      <c r="BH61" s="1">
        <v>16</v>
      </c>
      <c r="BI61" s="1">
        <v>13</v>
      </c>
      <c r="BJ61" s="1">
        <v>500000</v>
      </c>
      <c r="BK61" s="1">
        <v>1</v>
      </c>
    </row>
    <row r="62" spans="1:63" ht="12.75" customHeight="1" x14ac:dyDescent="0.15">
      <c r="A62" s="5" t="s">
        <v>238</v>
      </c>
      <c r="B62" s="5" t="s">
        <v>238</v>
      </c>
      <c r="C62" s="5">
        <v>1</v>
      </c>
      <c r="D62" s="5">
        <v>1</v>
      </c>
      <c r="E62" s="5">
        <v>1</v>
      </c>
      <c r="F62" s="5">
        <v>1</v>
      </c>
      <c r="G62" s="5">
        <v>1</v>
      </c>
      <c r="H62" s="5">
        <v>1</v>
      </c>
      <c r="I62" s="5">
        <v>1</v>
      </c>
      <c r="J62" s="5">
        <v>1</v>
      </c>
      <c r="K62" s="5">
        <v>1</v>
      </c>
      <c r="L62" s="5">
        <v>1</v>
      </c>
      <c r="M62" s="5">
        <v>1</v>
      </c>
      <c r="N62" s="5">
        <v>1</v>
      </c>
      <c r="O62" s="5">
        <v>12</v>
      </c>
      <c r="P62" s="5" t="s">
        <v>983</v>
      </c>
      <c r="Q62" s="5">
        <v>1</v>
      </c>
      <c r="R62" s="5">
        <v>2</v>
      </c>
      <c r="S62" s="5">
        <v>1</v>
      </c>
      <c r="T62" s="5">
        <v>4</v>
      </c>
      <c r="U62" s="5" t="s">
        <v>982</v>
      </c>
      <c r="V62" s="5">
        <v>1</v>
      </c>
      <c r="W62" s="5">
        <v>3</v>
      </c>
      <c r="X62" s="5">
        <v>1</v>
      </c>
      <c r="Y62" s="5">
        <v>5</v>
      </c>
      <c r="Z62" s="5" t="s">
        <v>982</v>
      </c>
      <c r="AA62" s="5">
        <v>2</v>
      </c>
      <c r="AB62" s="5">
        <v>2</v>
      </c>
      <c r="AC62" s="5">
        <v>0</v>
      </c>
      <c r="AD62" s="5">
        <v>0</v>
      </c>
      <c r="AE62" s="5">
        <v>4</v>
      </c>
      <c r="AF62" s="5" t="s">
        <v>982</v>
      </c>
      <c r="AG62" s="5">
        <v>0</v>
      </c>
      <c r="AH62" s="5">
        <v>0</v>
      </c>
      <c r="AI62" s="5">
        <v>0</v>
      </c>
      <c r="AJ62" s="5">
        <v>0</v>
      </c>
      <c r="AK62" s="5" t="s">
        <v>983</v>
      </c>
      <c r="AL62" s="5">
        <v>0</v>
      </c>
      <c r="AM62" s="5">
        <v>0</v>
      </c>
      <c r="AN62" s="5">
        <v>0</v>
      </c>
      <c r="AO62" s="5">
        <v>0</v>
      </c>
      <c r="AP62" s="5" t="s">
        <v>983</v>
      </c>
      <c r="AQ62" s="5">
        <v>0</v>
      </c>
      <c r="AR62" s="5">
        <v>0</v>
      </c>
      <c r="AS62" s="5">
        <v>0</v>
      </c>
      <c r="AT62" s="5">
        <v>0</v>
      </c>
      <c r="AU62" s="5">
        <v>0</v>
      </c>
      <c r="AV62" s="5">
        <v>0</v>
      </c>
      <c r="AW62" s="5">
        <v>0</v>
      </c>
      <c r="AX62" s="5">
        <v>0</v>
      </c>
      <c r="AY62" s="5" t="s">
        <v>983</v>
      </c>
      <c r="AZ62" s="1">
        <v>1</v>
      </c>
      <c r="BA62" s="1">
        <v>0</v>
      </c>
      <c r="BB62" s="1">
        <v>1</v>
      </c>
      <c r="BC62" s="1">
        <v>1</v>
      </c>
      <c r="BD62" s="1">
        <v>1</v>
      </c>
      <c r="BE62" s="1">
        <v>1</v>
      </c>
      <c r="BF62" s="1">
        <v>44</v>
      </c>
      <c r="BG62" s="1">
        <v>0</v>
      </c>
      <c r="BH62" s="1">
        <v>16</v>
      </c>
      <c r="BI62" s="1">
        <v>34</v>
      </c>
      <c r="BJ62" s="1">
        <v>450000</v>
      </c>
      <c r="BK62" s="1">
        <v>3</v>
      </c>
    </row>
    <row r="63" spans="1:63" ht="12.75" customHeight="1" x14ac:dyDescent="0.15">
      <c r="A63" s="5" t="s">
        <v>238</v>
      </c>
      <c r="B63" s="5" t="s">
        <v>238</v>
      </c>
      <c r="C63" s="5">
        <v>1</v>
      </c>
      <c r="D63" s="5">
        <v>2</v>
      </c>
      <c r="E63" s="5">
        <v>1</v>
      </c>
      <c r="F63" s="5">
        <v>1</v>
      </c>
      <c r="G63" s="5">
        <v>1</v>
      </c>
      <c r="H63" s="5">
        <v>1</v>
      </c>
      <c r="I63" s="5">
        <v>1</v>
      </c>
      <c r="J63" s="5">
        <v>1</v>
      </c>
      <c r="K63" s="5">
        <v>1</v>
      </c>
      <c r="L63" s="5">
        <v>1</v>
      </c>
      <c r="M63" s="5">
        <v>1</v>
      </c>
      <c r="N63" s="5">
        <v>1</v>
      </c>
      <c r="O63" s="5">
        <v>13</v>
      </c>
      <c r="P63" s="5" t="s">
        <v>983</v>
      </c>
      <c r="Q63" s="5">
        <v>3</v>
      </c>
      <c r="R63" s="5">
        <v>3</v>
      </c>
      <c r="S63" s="5">
        <v>3</v>
      </c>
      <c r="T63" s="5">
        <v>9</v>
      </c>
      <c r="U63" s="5" t="s">
        <v>981</v>
      </c>
      <c r="V63" s="5">
        <v>3</v>
      </c>
      <c r="W63" s="5">
        <v>3</v>
      </c>
      <c r="X63" s="5">
        <v>3</v>
      </c>
      <c r="Y63" s="5">
        <v>9</v>
      </c>
      <c r="Z63" s="5" t="s">
        <v>981</v>
      </c>
      <c r="AA63" s="5">
        <v>1</v>
      </c>
      <c r="AB63" s="5">
        <v>1</v>
      </c>
      <c r="AC63" s="5">
        <v>1</v>
      </c>
      <c r="AD63" s="5">
        <v>1</v>
      </c>
      <c r="AE63" s="5">
        <v>4</v>
      </c>
      <c r="AF63" s="5" t="s">
        <v>982</v>
      </c>
      <c r="AG63" s="5">
        <v>3</v>
      </c>
      <c r="AH63" s="5">
        <v>3</v>
      </c>
      <c r="AI63" s="5">
        <v>3</v>
      </c>
      <c r="AJ63" s="5">
        <v>9</v>
      </c>
      <c r="AK63" s="5" t="s">
        <v>981</v>
      </c>
      <c r="AL63" s="5">
        <v>3</v>
      </c>
      <c r="AM63" s="5">
        <v>3</v>
      </c>
      <c r="AN63" s="5">
        <v>3</v>
      </c>
      <c r="AO63" s="5">
        <v>9</v>
      </c>
      <c r="AP63" s="5" t="s">
        <v>981</v>
      </c>
      <c r="AQ63" s="5">
        <v>0</v>
      </c>
      <c r="AR63" s="5">
        <v>0</v>
      </c>
      <c r="AS63" s="5">
        <v>0</v>
      </c>
      <c r="AT63" s="5">
        <v>0</v>
      </c>
      <c r="AU63" s="5">
        <v>0</v>
      </c>
      <c r="AV63" s="5">
        <v>0</v>
      </c>
      <c r="AW63" s="5">
        <v>0</v>
      </c>
      <c r="AX63" s="5">
        <v>0</v>
      </c>
      <c r="AY63" s="5" t="s">
        <v>983</v>
      </c>
      <c r="AZ63" s="1">
        <v>0</v>
      </c>
      <c r="BA63" s="1">
        <v>0</v>
      </c>
      <c r="BB63" s="1">
        <v>0</v>
      </c>
      <c r="BC63" s="1">
        <v>1</v>
      </c>
      <c r="BD63" s="1">
        <v>0</v>
      </c>
      <c r="BE63" s="1">
        <v>1</v>
      </c>
      <c r="BF63" s="1">
        <v>0</v>
      </c>
      <c r="BG63" s="1">
        <v>1</v>
      </c>
      <c r="BI63" s="1">
        <v>11</v>
      </c>
      <c r="BJ63" s="1">
        <v>0</v>
      </c>
      <c r="BK63" s="1">
        <v>1</v>
      </c>
    </row>
    <row r="64" spans="1:63" ht="12.75" customHeight="1" x14ac:dyDescent="0.15">
      <c r="A64" s="5" t="s">
        <v>238</v>
      </c>
      <c r="B64" s="5" t="s">
        <v>238</v>
      </c>
      <c r="C64" s="5">
        <v>2</v>
      </c>
      <c r="D64" s="5">
        <v>1</v>
      </c>
      <c r="E64" s="5">
        <v>1</v>
      </c>
      <c r="F64" s="5">
        <v>1</v>
      </c>
      <c r="G64" s="5">
        <v>1</v>
      </c>
      <c r="H64" s="5">
        <v>1</v>
      </c>
      <c r="I64" s="5">
        <v>1</v>
      </c>
      <c r="J64" s="5">
        <v>3</v>
      </c>
      <c r="K64" s="5">
        <v>4</v>
      </c>
      <c r="L64" s="5">
        <v>4</v>
      </c>
      <c r="M64" s="5">
        <v>4</v>
      </c>
      <c r="N64" s="5">
        <v>4</v>
      </c>
      <c r="O64" s="5">
        <v>27</v>
      </c>
      <c r="P64" s="5" t="s">
        <v>981</v>
      </c>
      <c r="Q64" s="5">
        <v>1</v>
      </c>
      <c r="R64" s="5">
        <v>1</v>
      </c>
      <c r="S64" s="5">
        <v>0</v>
      </c>
      <c r="T64" s="5">
        <v>2</v>
      </c>
      <c r="U64" s="5" t="s">
        <v>982</v>
      </c>
      <c r="V64" s="5">
        <v>0</v>
      </c>
      <c r="W64" s="5">
        <v>1</v>
      </c>
      <c r="X64" s="5">
        <v>1</v>
      </c>
      <c r="Y64" s="5">
        <v>2</v>
      </c>
      <c r="Z64" s="5" t="s">
        <v>982</v>
      </c>
      <c r="AA64" s="5">
        <v>2</v>
      </c>
      <c r="AB64" s="5">
        <v>1</v>
      </c>
      <c r="AC64" s="5">
        <v>0</v>
      </c>
      <c r="AD64" s="5">
        <v>0</v>
      </c>
      <c r="AE64" s="5">
        <v>3</v>
      </c>
      <c r="AF64" s="5" t="s">
        <v>982</v>
      </c>
      <c r="AG64" s="5">
        <v>1</v>
      </c>
      <c r="AH64" s="5">
        <v>0</v>
      </c>
      <c r="AI64" s="5">
        <v>0</v>
      </c>
      <c r="AJ64" s="5">
        <v>1</v>
      </c>
      <c r="AK64" s="5" t="s">
        <v>983</v>
      </c>
      <c r="AL64" s="5">
        <v>0</v>
      </c>
      <c r="AM64" s="5">
        <v>0</v>
      </c>
      <c r="AN64" s="5">
        <v>1</v>
      </c>
      <c r="AO64" s="5">
        <v>1</v>
      </c>
      <c r="AP64" s="5" t="s">
        <v>983</v>
      </c>
      <c r="AQ64" s="5">
        <v>0</v>
      </c>
      <c r="AR64" s="5">
        <v>0</v>
      </c>
      <c r="AS64" s="5">
        <v>0</v>
      </c>
      <c r="AT64" s="5">
        <v>0</v>
      </c>
      <c r="AU64" s="5">
        <v>0</v>
      </c>
      <c r="AV64" s="5">
        <v>0</v>
      </c>
      <c r="AW64" s="5">
        <v>0</v>
      </c>
      <c r="AX64" s="5">
        <v>0</v>
      </c>
      <c r="AY64" s="5" t="s">
        <v>983</v>
      </c>
      <c r="AZ64" s="1">
        <v>1</v>
      </c>
      <c r="BA64" s="1">
        <v>0</v>
      </c>
      <c r="BB64" s="1">
        <v>1</v>
      </c>
      <c r="BC64" s="1">
        <v>1</v>
      </c>
      <c r="BD64" s="1">
        <v>1</v>
      </c>
      <c r="BE64" s="1">
        <v>1</v>
      </c>
      <c r="BF64" s="1">
        <v>36</v>
      </c>
      <c r="BG64" s="1">
        <v>0</v>
      </c>
      <c r="BH64" s="1">
        <v>88</v>
      </c>
      <c r="BI64" s="1">
        <v>1</v>
      </c>
      <c r="BJ64" s="1">
        <v>0</v>
      </c>
      <c r="BK64" s="1">
        <v>4</v>
      </c>
    </row>
    <row r="65" spans="1:63" ht="12.75" customHeight="1" x14ac:dyDescent="0.15">
      <c r="A65" s="5" t="s">
        <v>238</v>
      </c>
      <c r="B65" s="5" t="s">
        <v>238</v>
      </c>
      <c r="C65" s="5">
        <v>2</v>
      </c>
      <c r="D65" s="5">
        <v>3</v>
      </c>
      <c r="E65" s="5">
        <v>3</v>
      </c>
      <c r="F65" s="5">
        <v>2</v>
      </c>
      <c r="G65" s="5">
        <v>2</v>
      </c>
      <c r="H65" s="5">
        <v>2</v>
      </c>
      <c r="I65" s="5">
        <v>1</v>
      </c>
      <c r="J65" s="5">
        <v>1</v>
      </c>
      <c r="K65" s="5">
        <v>2</v>
      </c>
      <c r="L65" s="5">
        <v>1</v>
      </c>
      <c r="M65" s="5">
        <v>1</v>
      </c>
      <c r="N65" s="5">
        <v>1</v>
      </c>
      <c r="O65" s="5">
        <v>21</v>
      </c>
      <c r="P65" s="5" t="s">
        <v>982</v>
      </c>
      <c r="Q65" s="5">
        <v>3</v>
      </c>
      <c r="R65" s="5">
        <v>3</v>
      </c>
      <c r="S65" s="5">
        <v>3</v>
      </c>
      <c r="T65" s="5">
        <v>9</v>
      </c>
      <c r="U65" s="5" t="s">
        <v>981</v>
      </c>
      <c r="V65" s="5">
        <v>3</v>
      </c>
      <c r="W65" s="5">
        <v>3</v>
      </c>
      <c r="X65" s="5">
        <v>3</v>
      </c>
      <c r="Y65" s="5">
        <v>9</v>
      </c>
      <c r="Z65" s="5" t="s">
        <v>981</v>
      </c>
      <c r="AA65" s="5">
        <v>1</v>
      </c>
      <c r="AB65" s="5">
        <v>1</v>
      </c>
      <c r="AC65" s="5">
        <v>1</v>
      </c>
      <c r="AD65" s="5">
        <v>4</v>
      </c>
      <c r="AE65" s="5">
        <v>7</v>
      </c>
      <c r="AF65" s="5" t="s">
        <v>981</v>
      </c>
      <c r="AG65" s="5">
        <v>3</v>
      </c>
      <c r="AH65" s="5">
        <v>3</v>
      </c>
      <c r="AI65" s="5">
        <v>3</v>
      </c>
      <c r="AJ65" s="5">
        <v>9</v>
      </c>
      <c r="AK65" s="5" t="s">
        <v>981</v>
      </c>
      <c r="AL65" s="5">
        <v>2</v>
      </c>
      <c r="AM65" s="5">
        <v>3</v>
      </c>
      <c r="AN65" s="5">
        <v>3</v>
      </c>
      <c r="AO65" s="5">
        <v>8</v>
      </c>
      <c r="AP65" s="5" t="s">
        <v>981</v>
      </c>
      <c r="AQ65" s="5">
        <v>0</v>
      </c>
      <c r="AR65" s="5">
        <v>0</v>
      </c>
      <c r="AS65" s="5">
        <v>0</v>
      </c>
      <c r="AT65" s="5">
        <v>0</v>
      </c>
      <c r="AU65" s="5">
        <v>0</v>
      </c>
      <c r="AV65" s="5">
        <v>0</v>
      </c>
      <c r="AW65" s="5">
        <v>0</v>
      </c>
      <c r="AX65" s="5">
        <v>0</v>
      </c>
      <c r="AY65" s="5" t="s">
        <v>983</v>
      </c>
      <c r="AZ65" s="1">
        <v>0</v>
      </c>
      <c r="BA65" s="1">
        <v>0</v>
      </c>
      <c r="BB65" s="1">
        <v>0</v>
      </c>
      <c r="BC65" s="1">
        <v>1</v>
      </c>
      <c r="BD65" s="1">
        <v>1</v>
      </c>
      <c r="BE65" s="1">
        <v>1</v>
      </c>
      <c r="BF65" s="1">
        <v>34</v>
      </c>
      <c r="BG65" s="1">
        <v>0</v>
      </c>
      <c r="BH65" s="1">
        <v>14</v>
      </c>
      <c r="BI65" s="1">
        <v>34</v>
      </c>
      <c r="BJ65" s="1">
        <v>500000</v>
      </c>
      <c r="BK65" s="1">
        <v>2</v>
      </c>
    </row>
    <row r="66" spans="1:63" ht="12.75" customHeight="1" x14ac:dyDescent="0.15">
      <c r="A66" s="5" t="s">
        <v>238</v>
      </c>
      <c r="B66" s="5" t="s">
        <v>238</v>
      </c>
      <c r="C66" s="5">
        <v>2</v>
      </c>
      <c r="D66" s="5">
        <v>3</v>
      </c>
      <c r="E66" s="5">
        <v>3</v>
      </c>
      <c r="F66" s="5">
        <v>3</v>
      </c>
      <c r="G66" s="5">
        <v>3</v>
      </c>
      <c r="H66" s="5">
        <v>1</v>
      </c>
      <c r="I66" s="5">
        <v>1</v>
      </c>
      <c r="J66" s="5">
        <v>1</v>
      </c>
      <c r="K66" s="5">
        <v>1</v>
      </c>
      <c r="L66" s="5">
        <v>3</v>
      </c>
      <c r="M66" s="5">
        <v>1</v>
      </c>
      <c r="N66" s="5">
        <v>1</v>
      </c>
      <c r="O66" s="5">
        <v>23</v>
      </c>
      <c r="P66" s="5" t="s">
        <v>982</v>
      </c>
      <c r="Q66" s="5">
        <v>0</v>
      </c>
      <c r="R66" s="5">
        <v>1</v>
      </c>
      <c r="S66" s="5">
        <v>1</v>
      </c>
      <c r="T66" s="5">
        <v>2</v>
      </c>
      <c r="U66" s="5" t="s">
        <v>982</v>
      </c>
      <c r="V66" s="5">
        <v>0</v>
      </c>
      <c r="W66" s="5">
        <v>0</v>
      </c>
      <c r="X66" s="5">
        <v>0</v>
      </c>
      <c r="Y66" s="5">
        <v>0</v>
      </c>
      <c r="Z66" s="5" t="s">
        <v>983</v>
      </c>
      <c r="AA66" s="5">
        <v>2</v>
      </c>
      <c r="AB66" s="5">
        <v>1</v>
      </c>
      <c r="AC66" s="5">
        <v>0</v>
      </c>
      <c r="AD66" s="5">
        <v>0</v>
      </c>
      <c r="AE66" s="5">
        <v>3</v>
      </c>
      <c r="AF66" s="5" t="s">
        <v>982</v>
      </c>
      <c r="AG66" s="5">
        <v>0</v>
      </c>
      <c r="AH66" s="5">
        <v>0</v>
      </c>
      <c r="AI66" s="5">
        <v>0</v>
      </c>
      <c r="AJ66" s="5">
        <v>0</v>
      </c>
      <c r="AK66" s="5" t="s">
        <v>983</v>
      </c>
      <c r="AL66" s="5">
        <v>0</v>
      </c>
      <c r="AM66" s="5">
        <v>0</v>
      </c>
      <c r="AN66" s="5">
        <v>0</v>
      </c>
      <c r="AO66" s="5">
        <v>0</v>
      </c>
      <c r="AP66" s="5" t="s">
        <v>983</v>
      </c>
      <c r="AQ66" s="5">
        <v>0</v>
      </c>
      <c r="AR66" s="5">
        <v>0</v>
      </c>
      <c r="AS66" s="5">
        <v>0</v>
      </c>
      <c r="AT66" s="5">
        <v>0</v>
      </c>
      <c r="AU66" s="5">
        <v>0</v>
      </c>
      <c r="AV66" s="5">
        <v>0</v>
      </c>
      <c r="AW66" s="5">
        <v>0</v>
      </c>
      <c r="AX66" s="5">
        <v>0</v>
      </c>
      <c r="AY66" s="5" t="s">
        <v>983</v>
      </c>
      <c r="AZ66" s="1">
        <v>0</v>
      </c>
      <c r="BA66" s="1">
        <v>0</v>
      </c>
      <c r="BB66" s="1">
        <v>0</v>
      </c>
      <c r="BC66" s="1">
        <v>1</v>
      </c>
      <c r="BD66" s="1">
        <v>1</v>
      </c>
      <c r="BE66" s="1">
        <v>1</v>
      </c>
      <c r="BF66" s="1">
        <v>52</v>
      </c>
      <c r="BG66" s="1">
        <v>1</v>
      </c>
      <c r="BH66" s="1">
        <v>14</v>
      </c>
      <c r="BI66" s="1">
        <v>1</v>
      </c>
      <c r="BJ66" s="1">
        <v>0</v>
      </c>
      <c r="BK66" s="1">
        <v>4</v>
      </c>
    </row>
    <row r="67" spans="1:63" ht="12.75" customHeight="1" x14ac:dyDescent="0.15">
      <c r="A67" s="5" t="s">
        <v>238</v>
      </c>
      <c r="B67" s="5" t="s">
        <v>238</v>
      </c>
      <c r="C67" s="5">
        <v>2</v>
      </c>
      <c r="D67" s="5">
        <v>1</v>
      </c>
      <c r="E67" s="5">
        <v>1</v>
      </c>
      <c r="F67" s="5">
        <v>1</v>
      </c>
      <c r="G67" s="5">
        <v>1</v>
      </c>
      <c r="H67" s="5">
        <v>1</v>
      </c>
      <c r="I67" s="5">
        <v>1</v>
      </c>
      <c r="J67" s="5">
        <v>2</v>
      </c>
      <c r="K67" s="5">
        <v>2</v>
      </c>
      <c r="L67" s="5">
        <v>2</v>
      </c>
      <c r="M67" s="5">
        <v>2</v>
      </c>
      <c r="N67" s="5">
        <v>2</v>
      </c>
      <c r="O67" s="5">
        <v>18</v>
      </c>
      <c r="P67" s="5" t="s">
        <v>983</v>
      </c>
      <c r="Q67" s="5">
        <v>0</v>
      </c>
      <c r="R67" s="5">
        <v>0</v>
      </c>
      <c r="S67" s="5">
        <v>0</v>
      </c>
      <c r="T67" s="5">
        <v>0</v>
      </c>
      <c r="U67" s="5" t="s">
        <v>983</v>
      </c>
      <c r="V67" s="5">
        <v>0</v>
      </c>
      <c r="W67" s="5">
        <v>0</v>
      </c>
      <c r="X67" s="5">
        <v>0</v>
      </c>
      <c r="Y67" s="5">
        <v>0</v>
      </c>
      <c r="Z67" s="5" t="s">
        <v>983</v>
      </c>
      <c r="AA67" s="5">
        <v>4</v>
      </c>
      <c r="AB67" s="5">
        <v>4</v>
      </c>
      <c r="AC67" s="5">
        <v>0</v>
      </c>
      <c r="AD67" s="5">
        <v>0</v>
      </c>
      <c r="AE67" s="5">
        <v>8</v>
      </c>
      <c r="AF67" s="5" t="s">
        <v>981</v>
      </c>
      <c r="AG67" s="5">
        <v>0</v>
      </c>
      <c r="AH67" s="5">
        <v>0</v>
      </c>
      <c r="AI67" s="5">
        <v>0</v>
      </c>
      <c r="AJ67" s="5">
        <v>0</v>
      </c>
      <c r="AK67" s="5" t="s">
        <v>983</v>
      </c>
      <c r="AL67" s="5">
        <v>0</v>
      </c>
      <c r="AM67" s="5">
        <v>0</v>
      </c>
      <c r="AN67" s="5">
        <v>0</v>
      </c>
      <c r="AO67" s="5">
        <v>0</v>
      </c>
      <c r="AP67" s="5" t="s">
        <v>983</v>
      </c>
      <c r="AQ67" s="5">
        <v>0</v>
      </c>
      <c r="AR67" s="5">
        <v>0</v>
      </c>
      <c r="AS67" s="5">
        <v>0</v>
      </c>
      <c r="AT67" s="5">
        <v>0</v>
      </c>
      <c r="AU67" s="5">
        <v>0</v>
      </c>
      <c r="AV67" s="5">
        <v>0</v>
      </c>
      <c r="AW67" s="5">
        <v>0</v>
      </c>
      <c r="AX67" s="5">
        <v>0</v>
      </c>
      <c r="AY67" s="5" t="s">
        <v>983</v>
      </c>
      <c r="AZ67" s="1">
        <v>1</v>
      </c>
      <c r="BA67" s="1">
        <v>1</v>
      </c>
      <c r="BB67" s="1">
        <v>0</v>
      </c>
      <c r="BC67" s="1">
        <v>1</v>
      </c>
      <c r="BD67" s="1">
        <v>1</v>
      </c>
      <c r="BE67" s="1">
        <v>1</v>
      </c>
      <c r="BF67" s="1">
        <v>55</v>
      </c>
      <c r="BG67" s="1">
        <v>0</v>
      </c>
      <c r="BH67" s="1">
        <v>12</v>
      </c>
      <c r="BI67" s="1">
        <v>31</v>
      </c>
      <c r="BJ67" s="1">
        <v>0</v>
      </c>
      <c r="BK67" s="1">
        <v>5</v>
      </c>
    </row>
    <row r="68" spans="1:63" ht="12.75" customHeight="1" x14ac:dyDescent="0.15">
      <c r="A68" s="5" t="s">
        <v>238</v>
      </c>
      <c r="B68" s="5" t="s">
        <v>238</v>
      </c>
      <c r="C68" s="5">
        <v>4</v>
      </c>
      <c r="D68" s="5">
        <v>3</v>
      </c>
      <c r="E68" s="5">
        <v>4</v>
      </c>
      <c r="F68" s="5">
        <v>4</v>
      </c>
      <c r="G68" s="5">
        <v>3</v>
      </c>
      <c r="H68" s="5">
        <v>4</v>
      </c>
      <c r="I68" s="5">
        <v>2</v>
      </c>
      <c r="J68" s="5">
        <v>3</v>
      </c>
      <c r="K68" s="5">
        <v>2</v>
      </c>
      <c r="L68" s="5">
        <v>3</v>
      </c>
      <c r="M68" s="5">
        <v>3</v>
      </c>
      <c r="N68" s="5">
        <v>2</v>
      </c>
      <c r="O68" s="5">
        <v>37</v>
      </c>
      <c r="P68" s="5" t="s">
        <v>981</v>
      </c>
      <c r="Q68" s="5">
        <v>3</v>
      </c>
      <c r="R68" s="5">
        <v>2</v>
      </c>
      <c r="S68" s="5">
        <v>1</v>
      </c>
      <c r="T68" s="5">
        <v>6</v>
      </c>
      <c r="U68" s="5" t="s">
        <v>981</v>
      </c>
      <c r="V68" s="5">
        <v>1</v>
      </c>
      <c r="W68" s="5">
        <v>1</v>
      </c>
      <c r="X68" s="5">
        <v>1</v>
      </c>
      <c r="Y68" s="5">
        <v>3</v>
      </c>
      <c r="Z68" s="5" t="s">
        <v>982</v>
      </c>
      <c r="AA68" s="5">
        <v>4</v>
      </c>
      <c r="AB68" s="5">
        <v>4</v>
      </c>
      <c r="AC68" s="5">
        <v>4</v>
      </c>
      <c r="AD68" s="5">
        <v>0</v>
      </c>
      <c r="AE68" s="5">
        <v>12</v>
      </c>
      <c r="AF68" s="5" t="s">
        <v>981</v>
      </c>
      <c r="AG68" s="5">
        <v>2</v>
      </c>
      <c r="AH68" s="5">
        <v>0</v>
      </c>
      <c r="AI68" s="5">
        <v>1</v>
      </c>
      <c r="AJ68" s="5">
        <v>3</v>
      </c>
      <c r="AK68" s="5" t="s">
        <v>982</v>
      </c>
      <c r="AL68" s="5">
        <v>1</v>
      </c>
      <c r="AM68" s="5">
        <v>1</v>
      </c>
      <c r="AN68" s="5">
        <v>1</v>
      </c>
      <c r="AO68" s="5">
        <v>3</v>
      </c>
      <c r="AP68" s="5" t="s">
        <v>982</v>
      </c>
      <c r="AQ68" s="5">
        <v>0</v>
      </c>
      <c r="AR68" s="5">
        <v>0</v>
      </c>
      <c r="AS68" s="5">
        <v>0</v>
      </c>
      <c r="AT68" s="5">
        <v>0</v>
      </c>
      <c r="AU68" s="5">
        <v>0</v>
      </c>
      <c r="AV68" s="5">
        <v>0</v>
      </c>
      <c r="AW68" s="5">
        <v>0</v>
      </c>
      <c r="AX68" s="5">
        <v>0</v>
      </c>
      <c r="AY68" s="5" t="s">
        <v>983</v>
      </c>
      <c r="AZ68" s="1">
        <v>1</v>
      </c>
      <c r="BA68" s="1">
        <v>0</v>
      </c>
      <c r="BB68" s="1">
        <v>1</v>
      </c>
      <c r="BC68" s="1">
        <v>1</v>
      </c>
      <c r="BD68" s="1">
        <v>1</v>
      </c>
      <c r="BE68" s="1">
        <v>1</v>
      </c>
      <c r="BF68" s="1">
        <v>62</v>
      </c>
      <c r="BG68" s="1">
        <v>0</v>
      </c>
      <c r="BH68" s="1">
        <v>14</v>
      </c>
      <c r="BI68" s="1">
        <v>6</v>
      </c>
      <c r="BJ68" s="1">
        <v>290000</v>
      </c>
      <c r="BK68" s="1">
        <v>3</v>
      </c>
    </row>
    <row r="69" spans="1:63" ht="12.75" customHeight="1" x14ac:dyDescent="0.15">
      <c r="A69" s="5" t="s">
        <v>238</v>
      </c>
      <c r="B69" s="5" t="s">
        <v>238</v>
      </c>
      <c r="C69" s="5">
        <v>4</v>
      </c>
      <c r="D69" s="5">
        <v>3</v>
      </c>
      <c r="E69" s="5">
        <v>3</v>
      </c>
      <c r="F69" s="5">
        <v>3</v>
      </c>
      <c r="G69" s="5">
        <v>3</v>
      </c>
      <c r="H69" s="5">
        <v>3</v>
      </c>
      <c r="I69" s="5">
        <v>3</v>
      </c>
      <c r="J69" s="5">
        <v>2</v>
      </c>
      <c r="K69" s="5">
        <v>2</v>
      </c>
      <c r="L69" s="5">
        <v>3</v>
      </c>
      <c r="M69" s="5">
        <v>3</v>
      </c>
      <c r="N69" s="5">
        <v>3</v>
      </c>
      <c r="O69" s="5">
        <v>35</v>
      </c>
      <c r="P69" s="5" t="s">
        <v>981</v>
      </c>
      <c r="Q69" s="5">
        <v>3</v>
      </c>
      <c r="R69" s="5">
        <v>4</v>
      </c>
      <c r="S69" s="5">
        <v>2</v>
      </c>
      <c r="T69" s="5">
        <v>9</v>
      </c>
      <c r="U69" s="5" t="s">
        <v>981</v>
      </c>
      <c r="V69" s="5">
        <v>2</v>
      </c>
      <c r="W69" s="5">
        <v>2</v>
      </c>
      <c r="X69" s="5">
        <v>2</v>
      </c>
      <c r="Y69" s="5">
        <v>6</v>
      </c>
      <c r="Z69" s="5" t="s">
        <v>981</v>
      </c>
      <c r="AA69" s="5">
        <v>2</v>
      </c>
      <c r="AB69" s="5">
        <v>2</v>
      </c>
      <c r="AC69" s="5">
        <v>3</v>
      </c>
      <c r="AD69" s="5">
        <v>3</v>
      </c>
      <c r="AE69" s="5">
        <v>10</v>
      </c>
      <c r="AF69" s="5" t="s">
        <v>981</v>
      </c>
      <c r="AG69" s="5">
        <v>1</v>
      </c>
      <c r="AH69" s="5">
        <v>1</v>
      </c>
      <c r="AI69" s="5">
        <v>1</v>
      </c>
      <c r="AJ69" s="5">
        <v>3</v>
      </c>
      <c r="AK69" s="5" t="s">
        <v>982</v>
      </c>
      <c r="AL69" s="5">
        <v>2</v>
      </c>
      <c r="AM69" s="5">
        <v>2</v>
      </c>
      <c r="AN69" s="5">
        <v>1</v>
      </c>
      <c r="AO69" s="5">
        <v>5</v>
      </c>
      <c r="AP69" s="5" t="s">
        <v>982</v>
      </c>
      <c r="AQ69" s="5">
        <v>1</v>
      </c>
      <c r="AR69" s="5">
        <v>0</v>
      </c>
      <c r="AS69" s="5">
        <v>0</v>
      </c>
      <c r="AT69" s="5">
        <v>0</v>
      </c>
      <c r="AU69" s="5">
        <v>0</v>
      </c>
      <c r="AV69" s="5">
        <v>0</v>
      </c>
      <c r="AW69" s="5">
        <v>0</v>
      </c>
      <c r="AX69" s="5">
        <v>1</v>
      </c>
      <c r="AY69" s="5" t="s">
        <v>982</v>
      </c>
      <c r="AZ69" s="1">
        <v>1</v>
      </c>
      <c r="BA69" s="1">
        <v>0</v>
      </c>
      <c r="BB69" s="1">
        <v>1</v>
      </c>
      <c r="BC69" s="1">
        <v>1</v>
      </c>
      <c r="BD69" s="1">
        <v>1</v>
      </c>
      <c r="BE69" s="1">
        <v>1</v>
      </c>
      <c r="BF69" s="1">
        <v>37</v>
      </c>
      <c r="BG69" s="1">
        <v>0</v>
      </c>
      <c r="BH69" s="1">
        <v>14</v>
      </c>
      <c r="BI69" s="1">
        <v>34</v>
      </c>
      <c r="BJ69" s="1">
        <v>0</v>
      </c>
      <c r="BK69" s="1">
        <v>1</v>
      </c>
    </row>
    <row r="70" spans="1:63" ht="12.75" customHeight="1" x14ac:dyDescent="0.15">
      <c r="A70" s="5" t="s">
        <v>238</v>
      </c>
      <c r="B70" s="5" t="s">
        <v>238</v>
      </c>
      <c r="C70" s="5">
        <v>4</v>
      </c>
      <c r="D70" s="5">
        <v>4</v>
      </c>
      <c r="E70" s="5">
        <v>4</v>
      </c>
      <c r="F70" s="5">
        <v>4</v>
      </c>
      <c r="G70" s="5">
        <v>2</v>
      </c>
      <c r="H70" s="5">
        <v>2</v>
      </c>
      <c r="I70" s="5">
        <v>1</v>
      </c>
      <c r="J70" s="5">
        <v>1</v>
      </c>
      <c r="K70" s="5">
        <v>4</v>
      </c>
      <c r="L70" s="5">
        <v>4</v>
      </c>
      <c r="M70" s="5">
        <v>4</v>
      </c>
      <c r="N70" s="5">
        <v>4</v>
      </c>
      <c r="O70" s="5">
        <v>38</v>
      </c>
      <c r="P70" s="5" t="s">
        <v>981</v>
      </c>
      <c r="Q70" s="5">
        <v>2</v>
      </c>
      <c r="R70" s="5">
        <v>2</v>
      </c>
      <c r="S70" s="5">
        <v>2</v>
      </c>
      <c r="T70" s="5">
        <v>6</v>
      </c>
      <c r="U70" s="5" t="s">
        <v>981</v>
      </c>
      <c r="V70" s="5">
        <v>2</v>
      </c>
      <c r="W70" s="5">
        <v>2</v>
      </c>
      <c r="X70" s="5">
        <v>2</v>
      </c>
      <c r="Y70" s="5">
        <v>6</v>
      </c>
      <c r="Z70" s="5" t="s">
        <v>981</v>
      </c>
      <c r="AA70" s="5">
        <v>2</v>
      </c>
      <c r="AB70" s="5">
        <v>2</v>
      </c>
      <c r="AC70" s="5">
        <v>3</v>
      </c>
      <c r="AD70" s="5">
        <v>2</v>
      </c>
      <c r="AE70" s="5">
        <v>9</v>
      </c>
      <c r="AF70" s="5" t="s">
        <v>981</v>
      </c>
      <c r="AG70" s="5">
        <v>2</v>
      </c>
      <c r="AH70" s="5">
        <v>2</v>
      </c>
      <c r="AI70" s="5">
        <v>2</v>
      </c>
      <c r="AJ70" s="5">
        <v>6</v>
      </c>
      <c r="AK70" s="5" t="s">
        <v>981</v>
      </c>
      <c r="AL70" s="5">
        <v>2</v>
      </c>
      <c r="AM70" s="5">
        <v>2</v>
      </c>
      <c r="AN70" s="5">
        <v>2</v>
      </c>
      <c r="AO70" s="5">
        <v>6</v>
      </c>
      <c r="AP70" s="5" t="s">
        <v>981</v>
      </c>
      <c r="AQ70" s="5">
        <v>1</v>
      </c>
      <c r="AR70" s="5">
        <v>2</v>
      </c>
      <c r="AS70" s="5">
        <v>3</v>
      </c>
      <c r="AT70" s="5">
        <v>2</v>
      </c>
      <c r="AU70" s="5">
        <v>2</v>
      </c>
      <c r="AV70" s="5">
        <v>3</v>
      </c>
      <c r="AW70" s="5">
        <v>3</v>
      </c>
      <c r="AX70" s="5">
        <v>16</v>
      </c>
      <c r="AY70" s="5" t="s">
        <v>981</v>
      </c>
      <c r="AZ70" s="1">
        <v>1</v>
      </c>
      <c r="BA70" s="1">
        <v>0</v>
      </c>
      <c r="BB70" s="1">
        <v>1</v>
      </c>
      <c r="BC70" s="1">
        <v>1</v>
      </c>
      <c r="BD70" s="1">
        <v>1</v>
      </c>
      <c r="BE70" s="1">
        <v>1</v>
      </c>
      <c r="BF70" s="1">
        <v>33</v>
      </c>
      <c r="BG70" s="1">
        <v>1</v>
      </c>
      <c r="BH70" s="1">
        <v>14</v>
      </c>
      <c r="BI70" s="1">
        <v>9</v>
      </c>
      <c r="BJ70" s="1">
        <v>200000</v>
      </c>
      <c r="BK70" s="1">
        <v>4</v>
      </c>
    </row>
    <row r="71" spans="1:63" ht="12.75" customHeight="1" x14ac:dyDescent="0.15">
      <c r="A71" s="5" t="s">
        <v>238</v>
      </c>
      <c r="B71" s="5" t="s">
        <v>238</v>
      </c>
      <c r="C71" s="5">
        <v>3</v>
      </c>
      <c r="D71" s="5">
        <v>3</v>
      </c>
      <c r="E71" s="5">
        <v>2</v>
      </c>
      <c r="F71" s="5">
        <v>2</v>
      </c>
      <c r="G71" s="5">
        <v>2</v>
      </c>
      <c r="H71" s="5">
        <v>2</v>
      </c>
      <c r="I71" s="5">
        <v>1</v>
      </c>
      <c r="J71" s="5">
        <v>1</v>
      </c>
      <c r="K71" s="5">
        <v>1</v>
      </c>
      <c r="L71" s="5">
        <v>2</v>
      </c>
      <c r="M71" s="5">
        <v>2</v>
      </c>
      <c r="N71" s="5">
        <v>1</v>
      </c>
      <c r="O71" s="5">
        <v>22</v>
      </c>
      <c r="P71" s="5" t="s">
        <v>982</v>
      </c>
      <c r="Q71" s="5">
        <v>3</v>
      </c>
      <c r="R71" s="5">
        <v>2</v>
      </c>
      <c r="S71" s="5">
        <v>1</v>
      </c>
      <c r="T71" s="5">
        <v>6</v>
      </c>
      <c r="U71" s="5" t="s">
        <v>981</v>
      </c>
      <c r="V71" s="5">
        <v>1</v>
      </c>
      <c r="W71" s="5">
        <v>1</v>
      </c>
      <c r="X71" s="5">
        <v>2</v>
      </c>
      <c r="Y71" s="5">
        <v>4</v>
      </c>
      <c r="Z71" s="5" t="s">
        <v>982</v>
      </c>
      <c r="AA71" s="5">
        <v>0</v>
      </c>
      <c r="AB71" s="5">
        <v>1</v>
      </c>
      <c r="AC71" s="5">
        <v>2</v>
      </c>
      <c r="AD71" s="5">
        <v>0</v>
      </c>
      <c r="AE71" s="5">
        <v>3</v>
      </c>
      <c r="AF71" s="5" t="s">
        <v>982</v>
      </c>
      <c r="AG71" s="5">
        <v>0</v>
      </c>
      <c r="AH71" s="5">
        <v>0</v>
      </c>
      <c r="AI71" s="5">
        <v>0</v>
      </c>
      <c r="AJ71" s="5">
        <v>0</v>
      </c>
      <c r="AK71" s="5" t="s">
        <v>983</v>
      </c>
      <c r="AL71" s="5">
        <v>2</v>
      </c>
      <c r="AM71" s="5">
        <v>2</v>
      </c>
      <c r="AN71" s="5">
        <v>2</v>
      </c>
      <c r="AO71" s="5">
        <v>6</v>
      </c>
      <c r="AP71" s="5" t="s">
        <v>981</v>
      </c>
      <c r="AQ71" s="5">
        <v>0</v>
      </c>
      <c r="AR71" s="5">
        <v>0</v>
      </c>
      <c r="AS71" s="5">
        <v>0</v>
      </c>
      <c r="AT71" s="5">
        <v>0</v>
      </c>
      <c r="AU71" s="5">
        <v>0</v>
      </c>
      <c r="AV71" s="5">
        <v>0</v>
      </c>
      <c r="AW71" s="5">
        <v>0</v>
      </c>
      <c r="AX71" s="5">
        <v>0</v>
      </c>
      <c r="AY71" s="5" t="s">
        <v>983</v>
      </c>
      <c r="AZ71" s="1">
        <v>1</v>
      </c>
      <c r="BA71" s="1">
        <v>0</v>
      </c>
      <c r="BB71" s="1">
        <v>1</v>
      </c>
      <c r="BC71" s="1">
        <v>1</v>
      </c>
      <c r="BD71" s="1">
        <v>1</v>
      </c>
      <c r="BE71" s="1">
        <v>1</v>
      </c>
      <c r="BF71" s="1">
        <v>37</v>
      </c>
      <c r="BG71" s="1">
        <v>1</v>
      </c>
      <c r="BH71" s="1">
        <v>14</v>
      </c>
      <c r="BI71" s="1">
        <v>1</v>
      </c>
      <c r="BJ71" s="1">
        <v>250000</v>
      </c>
      <c r="BK71" s="1">
        <v>5</v>
      </c>
    </row>
    <row r="72" spans="1:63" ht="12.75" customHeight="1" x14ac:dyDescent="0.15">
      <c r="A72" s="5" t="s">
        <v>238</v>
      </c>
      <c r="B72" s="5" t="s">
        <v>238</v>
      </c>
      <c r="C72" s="5">
        <v>2</v>
      </c>
      <c r="D72" s="5">
        <v>1</v>
      </c>
      <c r="E72" s="5">
        <v>2</v>
      </c>
      <c r="F72" s="5">
        <v>2</v>
      </c>
      <c r="G72" s="5">
        <v>2</v>
      </c>
      <c r="H72" s="5">
        <v>1</v>
      </c>
      <c r="I72" s="5">
        <v>1</v>
      </c>
      <c r="J72" s="5">
        <v>2</v>
      </c>
      <c r="K72" s="5">
        <v>2</v>
      </c>
      <c r="L72" s="5">
        <v>2</v>
      </c>
      <c r="M72" s="5">
        <v>2</v>
      </c>
      <c r="N72" s="5">
        <v>2</v>
      </c>
      <c r="O72" s="5">
        <v>21</v>
      </c>
      <c r="P72" s="5" t="s">
        <v>982</v>
      </c>
      <c r="Q72" s="5">
        <v>0</v>
      </c>
      <c r="R72" s="5">
        <v>0</v>
      </c>
      <c r="S72" s="5">
        <v>0</v>
      </c>
      <c r="T72" s="5">
        <v>0</v>
      </c>
      <c r="U72" s="5" t="s">
        <v>983</v>
      </c>
      <c r="V72" s="5">
        <v>0</v>
      </c>
      <c r="W72" s="5">
        <v>0</v>
      </c>
      <c r="X72" s="5">
        <v>2</v>
      </c>
      <c r="Y72" s="5">
        <v>2</v>
      </c>
      <c r="Z72" s="5" t="s">
        <v>982</v>
      </c>
      <c r="AA72" s="5">
        <v>2</v>
      </c>
      <c r="AB72" s="5">
        <v>2</v>
      </c>
      <c r="AC72" s="5">
        <v>0</v>
      </c>
      <c r="AD72" s="5">
        <v>0</v>
      </c>
      <c r="AE72" s="5">
        <v>4</v>
      </c>
      <c r="AF72" s="5" t="s">
        <v>982</v>
      </c>
      <c r="AG72" s="5">
        <v>2</v>
      </c>
      <c r="AH72" s="5">
        <v>2</v>
      </c>
      <c r="AI72" s="5">
        <v>2</v>
      </c>
      <c r="AJ72" s="5">
        <v>6</v>
      </c>
      <c r="AK72" s="5" t="s">
        <v>981</v>
      </c>
      <c r="AL72" s="5">
        <v>0</v>
      </c>
      <c r="AM72" s="5">
        <v>0</v>
      </c>
      <c r="AN72" s="5">
        <v>0</v>
      </c>
      <c r="AO72" s="5">
        <v>0</v>
      </c>
      <c r="AP72" s="5" t="s">
        <v>983</v>
      </c>
      <c r="AQ72" s="5">
        <v>0</v>
      </c>
      <c r="AR72" s="5">
        <v>0</v>
      </c>
      <c r="AS72" s="5">
        <v>0</v>
      </c>
      <c r="AT72" s="5">
        <v>0</v>
      </c>
      <c r="AU72" s="5">
        <v>0</v>
      </c>
      <c r="AV72" s="5">
        <v>0</v>
      </c>
      <c r="AW72" s="5">
        <v>0</v>
      </c>
      <c r="AX72" s="5">
        <v>0</v>
      </c>
      <c r="AY72" s="5" t="s">
        <v>983</v>
      </c>
      <c r="AZ72" s="1">
        <v>0</v>
      </c>
      <c r="BA72" s="1">
        <v>1</v>
      </c>
      <c r="BB72" s="1">
        <v>0</v>
      </c>
      <c r="BC72" s="1">
        <v>1</v>
      </c>
      <c r="BD72" s="1">
        <v>1</v>
      </c>
      <c r="BE72" s="1">
        <v>1</v>
      </c>
      <c r="BF72" s="1">
        <v>53</v>
      </c>
      <c r="BG72" s="1">
        <v>0</v>
      </c>
      <c r="BH72" s="1">
        <v>14</v>
      </c>
      <c r="BI72" s="1">
        <v>24</v>
      </c>
      <c r="BJ72" s="1">
        <v>450000</v>
      </c>
      <c r="BK72" s="1">
        <v>4</v>
      </c>
    </row>
    <row r="73" spans="1:63" ht="12.75" customHeight="1" x14ac:dyDescent="0.15">
      <c r="A73" s="5" t="s">
        <v>337</v>
      </c>
      <c r="B73" s="5" t="s">
        <v>984</v>
      </c>
      <c r="C73" s="5">
        <v>3</v>
      </c>
      <c r="D73" s="5">
        <v>3</v>
      </c>
      <c r="E73" s="5">
        <v>4</v>
      </c>
      <c r="F73" s="5">
        <v>3</v>
      </c>
      <c r="G73" s="5">
        <v>3</v>
      </c>
      <c r="H73" s="5">
        <v>3</v>
      </c>
      <c r="I73" s="5">
        <v>2</v>
      </c>
      <c r="J73" s="5">
        <v>2</v>
      </c>
      <c r="K73" s="5">
        <v>2</v>
      </c>
      <c r="L73" s="5">
        <v>3</v>
      </c>
      <c r="M73" s="5">
        <v>2</v>
      </c>
      <c r="N73" s="5">
        <v>2</v>
      </c>
      <c r="O73" s="5">
        <v>32</v>
      </c>
      <c r="P73" s="5" t="s">
        <v>981</v>
      </c>
      <c r="Q73" s="5">
        <v>3</v>
      </c>
      <c r="R73" s="5">
        <v>2</v>
      </c>
      <c r="S73" s="5">
        <v>2</v>
      </c>
      <c r="T73" s="5">
        <v>7</v>
      </c>
      <c r="U73" s="5" t="s">
        <v>981</v>
      </c>
      <c r="V73" s="5">
        <v>1</v>
      </c>
      <c r="W73" s="5">
        <v>4</v>
      </c>
      <c r="X73" s="5">
        <v>4</v>
      </c>
      <c r="Y73" s="5">
        <v>9</v>
      </c>
      <c r="Z73" s="5" t="s">
        <v>981</v>
      </c>
      <c r="AA73" s="5">
        <v>1</v>
      </c>
      <c r="AB73" s="5">
        <v>1</v>
      </c>
      <c r="AC73" s="5">
        <v>1</v>
      </c>
      <c r="AD73" s="5">
        <v>2</v>
      </c>
      <c r="AE73" s="5">
        <v>5</v>
      </c>
      <c r="AF73" s="5" t="s">
        <v>981</v>
      </c>
      <c r="AG73" s="5">
        <v>4</v>
      </c>
      <c r="AH73" s="5">
        <v>4</v>
      </c>
      <c r="AI73" s="5">
        <v>0</v>
      </c>
      <c r="AJ73" s="5">
        <v>8</v>
      </c>
      <c r="AK73" s="5" t="s">
        <v>981</v>
      </c>
      <c r="AL73" s="5">
        <v>3</v>
      </c>
      <c r="AM73" s="5">
        <v>3</v>
      </c>
      <c r="AN73" s="5">
        <v>3</v>
      </c>
      <c r="AO73" s="5">
        <v>9</v>
      </c>
      <c r="AP73" s="5" t="s">
        <v>981</v>
      </c>
      <c r="AQ73" s="5">
        <v>0</v>
      </c>
      <c r="AR73" s="5">
        <v>0</v>
      </c>
      <c r="AS73" s="5">
        <v>0</v>
      </c>
      <c r="AT73" s="5">
        <v>0</v>
      </c>
      <c r="AU73" s="5">
        <v>0</v>
      </c>
      <c r="AV73" s="5">
        <v>0</v>
      </c>
      <c r="AW73" s="5">
        <v>0</v>
      </c>
      <c r="AX73" s="5">
        <v>0</v>
      </c>
      <c r="AY73" s="5" t="s">
        <v>983</v>
      </c>
      <c r="AZ73" s="1">
        <v>0</v>
      </c>
      <c r="BA73" s="1">
        <v>0</v>
      </c>
      <c r="BB73" s="1">
        <v>0</v>
      </c>
      <c r="BC73" s="1">
        <v>1</v>
      </c>
      <c r="BD73" s="1">
        <v>1</v>
      </c>
      <c r="BE73" s="1">
        <v>1</v>
      </c>
      <c r="BF73" s="1">
        <v>53</v>
      </c>
      <c r="BG73" s="1">
        <v>0</v>
      </c>
      <c r="BH73" s="1">
        <v>14</v>
      </c>
      <c r="BI73" s="1">
        <v>24</v>
      </c>
      <c r="BJ73" s="1">
        <v>450000</v>
      </c>
      <c r="BK73" s="1">
        <v>4</v>
      </c>
    </row>
    <row r="74" spans="1:63" ht="12.75" customHeight="1" x14ac:dyDescent="0.15">
      <c r="A74" s="5" t="s">
        <v>238</v>
      </c>
      <c r="B74" s="5" t="s">
        <v>238</v>
      </c>
      <c r="C74" s="5">
        <v>1</v>
      </c>
      <c r="D74" s="5">
        <v>1</v>
      </c>
      <c r="E74" s="5">
        <v>1</v>
      </c>
      <c r="F74" s="5">
        <v>1</v>
      </c>
      <c r="G74" s="5">
        <v>1</v>
      </c>
      <c r="H74" s="5">
        <v>1</v>
      </c>
      <c r="I74" s="5">
        <v>1</v>
      </c>
      <c r="J74" s="5">
        <v>1</v>
      </c>
      <c r="K74" s="5">
        <v>1</v>
      </c>
      <c r="L74" s="5">
        <v>1</v>
      </c>
      <c r="M74" s="5">
        <v>1</v>
      </c>
      <c r="N74" s="5">
        <v>1</v>
      </c>
      <c r="O74" s="5">
        <v>12</v>
      </c>
      <c r="P74" s="5" t="s">
        <v>983</v>
      </c>
      <c r="Q74" s="5">
        <v>1</v>
      </c>
      <c r="R74" s="5">
        <v>1</v>
      </c>
      <c r="S74" s="5">
        <v>0</v>
      </c>
      <c r="T74" s="5">
        <v>2</v>
      </c>
      <c r="U74" s="5" t="s">
        <v>982</v>
      </c>
      <c r="V74" s="5">
        <v>0</v>
      </c>
      <c r="W74" s="5">
        <v>0</v>
      </c>
      <c r="X74" s="5">
        <v>0</v>
      </c>
      <c r="Y74" s="5">
        <v>0</v>
      </c>
      <c r="Z74" s="5" t="s">
        <v>983</v>
      </c>
      <c r="AA74" s="5">
        <v>1</v>
      </c>
      <c r="AB74" s="5">
        <v>1</v>
      </c>
      <c r="AC74" s="5">
        <v>1</v>
      </c>
      <c r="AD74" s="5">
        <v>1</v>
      </c>
      <c r="AE74" s="5">
        <v>4</v>
      </c>
      <c r="AF74" s="5" t="s">
        <v>982</v>
      </c>
      <c r="AG74" s="5">
        <v>0</v>
      </c>
      <c r="AH74" s="5">
        <v>0</v>
      </c>
      <c r="AI74" s="5">
        <v>0</v>
      </c>
      <c r="AJ74" s="5">
        <v>0</v>
      </c>
      <c r="AK74" s="5" t="s">
        <v>983</v>
      </c>
      <c r="AL74" s="5">
        <v>0</v>
      </c>
      <c r="AM74" s="5">
        <v>0</v>
      </c>
      <c r="AN74" s="5">
        <v>0</v>
      </c>
      <c r="AO74" s="5">
        <v>0</v>
      </c>
      <c r="AP74" s="5" t="s">
        <v>983</v>
      </c>
      <c r="AQ74" s="5">
        <v>0</v>
      </c>
      <c r="AR74" s="5">
        <v>0</v>
      </c>
      <c r="AS74" s="5">
        <v>0</v>
      </c>
      <c r="AT74" s="5">
        <v>0</v>
      </c>
      <c r="AU74" s="5">
        <v>0</v>
      </c>
      <c r="AV74" s="5">
        <v>0</v>
      </c>
      <c r="AW74" s="5">
        <v>0</v>
      </c>
      <c r="AX74" s="5">
        <v>0</v>
      </c>
      <c r="AY74" s="5" t="s">
        <v>983</v>
      </c>
      <c r="AZ74" s="1">
        <v>1</v>
      </c>
      <c r="BA74" s="1">
        <v>0</v>
      </c>
      <c r="BB74" s="1">
        <v>1</v>
      </c>
      <c r="BC74" s="1">
        <v>1</v>
      </c>
      <c r="BD74" s="1">
        <v>0</v>
      </c>
      <c r="BE74" s="1">
        <v>1</v>
      </c>
      <c r="BF74" s="1">
        <v>41</v>
      </c>
      <c r="BG74" s="1">
        <v>0</v>
      </c>
      <c r="BH74" s="1">
        <v>18</v>
      </c>
      <c r="BI74" s="1">
        <v>31</v>
      </c>
      <c r="BJ74" s="1">
        <v>1200000</v>
      </c>
      <c r="BK74" s="1">
        <v>2</v>
      </c>
    </row>
    <row r="75" spans="1:63" ht="12.75" customHeight="1" x14ac:dyDescent="0.15">
      <c r="A75" s="5" t="s">
        <v>337</v>
      </c>
      <c r="B75" s="5" t="s">
        <v>984</v>
      </c>
      <c r="C75" s="5">
        <v>2</v>
      </c>
      <c r="D75" s="5">
        <v>2</v>
      </c>
      <c r="E75" s="5">
        <v>2</v>
      </c>
      <c r="F75" s="5">
        <v>2</v>
      </c>
      <c r="G75" s="5">
        <v>2</v>
      </c>
      <c r="H75" s="5">
        <v>2</v>
      </c>
      <c r="I75" s="5">
        <v>2</v>
      </c>
      <c r="J75" s="5">
        <v>2</v>
      </c>
      <c r="K75" s="5">
        <v>2</v>
      </c>
      <c r="L75" s="5">
        <v>2</v>
      </c>
      <c r="M75" s="5">
        <v>2</v>
      </c>
      <c r="N75" s="5">
        <v>2</v>
      </c>
      <c r="O75" s="5">
        <v>24</v>
      </c>
      <c r="P75" s="5" t="s">
        <v>981</v>
      </c>
      <c r="Q75" s="5">
        <v>2</v>
      </c>
      <c r="R75" s="5">
        <v>3</v>
      </c>
      <c r="S75" s="5">
        <v>0</v>
      </c>
      <c r="T75" s="5">
        <v>5</v>
      </c>
      <c r="U75" s="5" t="s">
        <v>981</v>
      </c>
      <c r="V75" s="5">
        <v>0</v>
      </c>
      <c r="W75" s="5">
        <v>1</v>
      </c>
      <c r="X75" s="5">
        <v>1</v>
      </c>
      <c r="Y75" s="5">
        <v>2</v>
      </c>
      <c r="Z75" s="5" t="s">
        <v>982</v>
      </c>
      <c r="AA75" s="5">
        <v>4</v>
      </c>
      <c r="AB75" s="5">
        <v>4</v>
      </c>
      <c r="AC75" s="5">
        <v>0</v>
      </c>
      <c r="AD75" s="5">
        <v>0</v>
      </c>
      <c r="AE75" s="5">
        <v>8</v>
      </c>
      <c r="AF75" s="5" t="s">
        <v>981</v>
      </c>
      <c r="AG75" s="5">
        <v>0</v>
      </c>
      <c r="AH75" s="5">
        <v>0</v>
      </c>
      <c r="AI75" s="5">
        <v>1</v>
      </c>
      <c r="AJ75" s="5">
        <v>1</v>
      </c>
      <c r="AK75" s="5" t="s">
        <v>983</v>
      </c>
      <c r="AL75" s="5">
        <v>2</v>
      </c>
      <c r="AM75" s="5">
        <v>2</v>
      </c>
      <c r="AN75" s="5">
        <v>2</v>
      </c>
      <c r="AO75" s="5">
        <v>6</v>
      </c>
      <c r="AP75" s="5" t="s">
        <v>981</v>
      </c>
      <c r="AQ75" s="5">
        <v>0</v>
      </c>
      <c r="AR75" s="5">
        <v>0</v>
      </c>
      <c r="AS75" s="5">
        <v>0</v>
      </c>
      <c r="AT75" s="5">
        <v>0</v>
      </c>
      <c r="AU75" s="5">
        <v>0</v>
      </c>
      <c r="AV75" s="5">
        <v>0</v>
      </c>
      <c r="AW75" s="5">
        <v>0</v>
      </c>
      <c r="AX75" s="5">
        <v>0</v>
      </c>
      <c r="AY75" s="5" t="s">
        <v>983</v>
      </c>
      <c r="AZ75" s="1">
        <v>1</v>
      </c>
      <c r="BA75" s="1">
        <v>0</v>
      </c>
      <c r="BB75" s="1">
        <v>1</v>
      </c>
      <c r="BC75" s="1">
        <v>1</v>
      </c>
      <c r="BD75" s="1">
        <v>1</v>
      </c>
      <c r="BE75" s="1">
        <v>1</v>
      </c>
      <c r="BF75" s="1">
        <v>56</v>
      </c>
      <c r="BG75" s="1">
        <v>0</v>
      </c>
      <c r="BH75" s="1">
        <v>14</v>
      </c>
      <c r="BI75" s="1">
        <v>24</v>
      </c>
      <c r="BJ75" s="1">
        <v>0</v>
      </c>
      <c r="BK75" s="1">
        <v>5</v>
      </c>
    </row>
    <row r="76" spans="1:63" ht="12.75" customHeight="1" x14ac:dyDescent="0.15">
      <c r="A76" s="5" t="s">
        <v>238</v>
      </c>
      <c r="B76" s="5" t="s">
        <v>238</v>
      </c>
      <c r="C76" s="5">
        <v>1</v>
      </c>
      <c r="D76" s="5">
        <v>1</v>
      </c>
      <c r="E76" s="5">
        <v>1</v>
      </c>
      <c r="F76" s="5">
        <v>1</v>
      </c>
      <c r="G76" s="5">
        <v>1</v>
      </c>
      <c r="H76" s="5">
        <v>1</v>
      </c>
      <c r="I76" s="5">
        <v>1</v>
      </c>
      <c r="J76" s="5">
        <v>1</v>
      </c>
      <c r="K76" s="5">
        <v>1</v>
      </c>
      <c r="L76" s="5">
        <v>1</v>
      </c>
      <c r="M76" s="5">
        <v>1</v>
      </c>
      <c r="N76" s="5">
        <v>1</v>
      </c>
      <c r="O76" s="5">
        <v>12</v>
      </c>
      <c r="P76" s="5" t="s">
        <v>983</v>
      </c>
      <c r="Q76" s="5">
        <v>2</v>
      </c>
      <c r="R76" s="5">
        <v>2</v>
      </c>
      <c r="S76" s="5">
        <v>2</v>
      </c>
      <c r="T76" s="5">
        <v>6</v>
      </c>
      <c r="U76" s="5" t="s">
        <v>981</v>
      </c>
      <c r="V76" s="5">
        <v>2</v>
      </c>
      <c r="W76" s="5">
        <v>2</v>
      </c>
      <c r="X76" s="5">
        <v>2</v>
      </c>
      <c r="Y76" s="5">
        <v>6</v>
      </c>
      <c r="Z76" s="5" t="s">
        <v>981</v>
      </c>
      <c r="AA76" s="5">
        <v>0</v>
      </c>
      <c r="AB76" s="5">
        <v>0</v>
      </c>
      <c r="AC76" s="5">
        <v>0</v>
      </c>
      <c r="AD76" s="5">
        <v>2</v>
      </c>
      <c r="AE76" s="5">
        <v>2</v>
      </c>
      <c r="AF76" s="5" t="s">
        <v>982</v>
      </c>
      <c r="AG76" s="5">
        <v>2</v>
      </c>
      <c r="AH76" s="5">
        <v>2</v>
      </c>
      <c r="AI76" s="5">
        <v>2</v>
      </c>
      <c r="AJ76" s="5">
        <v>6</v>
      </c>
      <c r="AK76" s="5" t="s">
        <v>981</v>
      </c>
      <c r="AL76" s="5">
        <v>2</v>
      </c>
      <c r="AM76" s="5">
        <v>2</v>
      </c>
      <c r="AN76" s="5">
        <v>2</v>
      </c>
      <c r="AO76" s="5">
        <v>6</v>
      </c>
      <c r="AP76" s="5" t="s">
        <v>981</v>
      </c>
      <c r="AQ76" s="5">
        <v>0</v>
      </c>
      <c r="AR76" s="5">
        <v>0</v>
      </c>
      <c r="AS76" s="5">
        <v>0</v>
      </c>
      <c r="AT76" s="5">
        <v>0</v>
      </c>
      <c r="AU76" s="5">
        <v>0</v>
      </c>
      <c r="AV76" s="5">
        <v>0</v>
      </c>
      <c r="AW76" s="5">
        <v>0</v>
      </c>
      <c r="AX76" s="5">
        <v>0</v>
      </c>
      <c r="AY76" s="5" t="s">
        <v>983</v>
      </c>
      <c r="AZ76" s="1">
        <v>1</v>
      </c>
      <c r="BA76" s="1">
        <v>0</v>
      </c>
      <c r="BB76" s="1">
        <v>1</v>
      </c>
      <c r="BC76" s="1">
        <v>1</v>
      </c>
      <c r="BD76" s="1">
        <v>1</v>
      </c>
      <c r="BE76" s="1">
        <v>1</v>
      </c>
      <c r="BF76" s="1">
        <v>56</v>
      </c>
      <c r="BG76" s="1">
        <v>0</v>
      </c>
      <c r="BH76" s="1">
        <v>14</v>
      </c>
      <c r="BI76" s="1">
        <v>33</v>
      </c>
      <c r="BJ76" s="1">
        <v>500000</v>
      </c>
      <c r="BK76" s="1">
        <v>3</v>
      </c>
    </row>
    <row r="77" spans="1:63" ht="12.75" customHeight="1" x14ac:dyDescent="0.15">
      <c r="A77" s="5" t="s">
        <v>238</v>
      </c>
      <c r="B77" s="5" t="s">
        <v>238</v>
      </c>
      <c r="C77" s="5">
        <v>1</v>
      </c>
      <c r="D77" s="5">
        <v>1</v>
      </c>
      <c r="E77" s="5">
        <v>2</v>
      </c>
      <c r="F77" s="5">
        <v>1</v>
      </c>
      <c r="G77" s="5">
        <v>1</v>
      </c>
      <c r="H77" s="5">
        <v>1</v>
      </c>
      <c r="I77" s="5">
        <v>1</v>
      </c>
      <c r="J77" s="5">
        <v>1</v>
      </c>
      <c r="K77" s="5">
        <v>1</v>
      </c>
      <c r="L77" s="5">
        <v>1</v>
      </c>
      <c r="M77" s="5">
        <v>1</v>
      </c>
      <c r="N77" s="5">
        <v>1</v>
      </c>
      <c r="O77" s="5">
        <v>13</v>
      </c>
      <c r="P77" s="5" t="s">
        <v>983</v>
      </c>
      <c r="Q77" s="5">
        <v>2</v>
      </c>
      <c r="R77" s="5">
        <v>2</v>
      </c>
      <c r="S77" s="5">
        <v>2</v>
      </c>
      <c r="T77" s="5">
        <v>6</v>
      </c>
      <c r="U77" s="5" t="s">
        <v>981</v>
      </c>
      <c r="V77" s="5">
        <v>3</v>
      </c>
      <c r="W77" s="5">
        <v>2</v>
      </c>
      <c r="X77" s="5">
        <v>2</v>
      </c>
      <c r="Y77" s="5">
        <v>7</v>
      </c>
      <c r="Z77" s="5" t="s">
        <v>981</v>
      </c>
      <c r="AA77" s="5">
        <v>1</v>
      </c>
      <c r="AB77" s="5">
        <v>1</v>
      </c>
      <c r="AC77" s="5">
        <v>1</v>
      </c>
      <c r="AD77" s="5">
        <v>1</v>
      </c>
      <c r="AE77" s="5">
        <v>4</v>
      </c>
      <c r="AF77" s="5" t="s">
        <v>982</v>
      </c>
      <c r="AG77" s="5">
        <v>3</v>
      </c>
      <c r="AH77" s="5">
        <v>2</v>
      </c>
      <c r="AI77" s="5">
        <v>2</v>
      </c>
      <c r="AJ77" s="5">
        <v>7</v>
      </c>
      <c r="AK77" s="5" t="s">
        <v>981</v>
      </c>
      <c r="AL77" s="5">
        <v>2</v>
      </c>
      <c r="AM77" s="5">
        <v>2</v>
      </c>
      <c r="AN77" s="5">
        <v>2</v>
      </c>
      <c r="AO77" s="5">
        <v>6</v>
      </c>
      <c r="AP77" s="5" t="s">
        <v>981</v>
      </c>
      <c r="AQ77" s="5">
        <v>0</v>
      </c>
      <c r="AR77" s="5">
        <v>0</v>
      </c>
      <c r="AS77" s="5">
        <v>0</v>
      </c>
      <c r="AT77" s="5">
        <v>0</v>
      </c>
      <c r="AU77" s="5">
        <v>0</v>
      </c>
      <c r="AV77" s="5">
        <v>0</v>
      </c>
      <c r="AW77" s="5">
        <v>0</v>
      </c>
      <c r="AX77" s="5">
        <v>0</v>
      </c>
      <c r="AY77" s="5" t="s">
        <v>983</v>
      </c>
      <c r="AZ77" s="1">
        <v>1</v>
      </c>
      <c r="BA77" s="1">
        <v>0</v>
      </c>
      <c r="BB77" s="1">
        <v>1</v>
      </c>
      <c r="BC77" s="1">
        <v>1</v>
      </c>
      <c r="BD77" s="1">
        <v>1</v>
      </c>
      <c r="BE77" s="1">
        <v>1</v>
      </c>
      <c r="BF77" s="1">
        <v>41</v>
      </c>
      <c r="BG77" s="1">
        <v>0</v>
      </c>
      <c r="BH77" s="1">
        <v>17</v>
      </c>
      <c r="BI77" s="1">
        <v>26</v>
      </c>
      <c r="BJ77" s="1">
        <v>250000</v>
      </c>
      <c r="BK77" s="1">
        <v>2</v>
      </c>
    </row>
    <row r="78" spans="1:63" ht="12.75" customHeight="1" x14ac:dyDescent="0.15">
      <c r="A78" s="5" t="s">
        <v>238</v>
      </c>
      <c r="B78" s="5" t="s">
        <v>238</v>
      </c>
      <c r="C78" s="5">
        <v>1</v>
      </c>
      <c r="D78" s="5">
        <v>1</v>
      </c>
      <c r="E78" s="5">
        <v>1</v>
      </c>
      <c r="F78" s="5">
        <v>1</v>
      </c>
      <c r="G78" s="5">
        <v>1</v>
      </c>
      <c r="H78" s="5">
        <v>1</v>
      </c>
      <c r="I78" s="5">
        <v>1</v>
      </c>
      <c r="J78" s="5">
        <v>1</v>
      </c>
      <c r="K78" s="5">
        <v>1</v>
      </c>
      <c r="L78" s="5">
        <v>1</v>
      </c>
      <c r="M78" s="5">
        <v>1</v>
      </c>
      <c r="N78" s="5">
        <v>1</v>
      </c>
      <c r="O78" s="5">
        <v>12</v>
      </c>
      <c r="P78" s="5" t="s">
        <v>983</v>
      </c>
      <c r="Q78" s="5">
        <v>4</v>
      </c>
      <c r="R78" s="5">
        <v>2</v>
      </c>
      <c r="S78" s="5">
        <v>0</v>
      </c>
      <c r="T78" s="5">
        <v>6</v>
      </c>
      <c r="U78" s="5" t="s">
        <v>981</v>
      </c>
      <c r="V78" s="5">
        <v>0</v>
      </c>
      <c r="W78" s="5">
        <v>0</v>
      </c>
      <c r="X78" s="5">
        <v>0</v>
      </c>
      <c r="Y78" s="5">
        <v>0</v>
      </c>
      <c r="Z78" s="5" t="s">
        <v>983</v>
      </c>
      <c r="AA78" s="5">
        <v>4</v>
      </c>
      <c r="AB78" s="5">
        <v>4</v>
      </c>
      <c r="AC78" s="5">
        <v>4</v>
      </c>
      <c r="AD78" s="5">
        <v>4</v>
      </c>
      <c r="AE78" s="5">
        <v>16</v>
      </c>
      <c r="AF78" s="5" t="s">
        <v>981</v>
      </c>
      <c r="AG78" s="5">
        <v>0</v>
      </c>
      <c r="AH78" s="5">
        <v>0</v>
      </c>
      <c r="AI78" s="5">
        <v>0</v>
      </c>
      <c r="AJ78" s="5">
        <v>0</v>
      </c>
      <c r="AK78" s="5" t="s">
        <v>983</v>
      </c>
      <c r="AL78" s="5">
        <v>0</v>
      </c>
      <c r="AM78" s="5">
        <v>0</v>
      </c>
      <c r="AN78" s="5">
        <v>0</v>
      </c>
      <c r="AO78" s="5">
        <v>0</v>
      </c>
      <c r="AP78" s="5" t="s">
        <v>983</v>
      </c>
      <c r="AQ78" s="5">
        <v>0</v>
      </c>
      <c r="AR78" s="5">
        <v>0</v>
      </c>
      <c r="AS78" s="5">
        <v>0</v>
      </c>
      <c r="AT78" s="5">
        <v>0</v>
      </c>
      <c r="AU78" s="5">
        <v>0</v>
      </c>
      <c r="AV78" s="5">
        <v>0</v>
      </c>
      <c r="AW78" s="5">
        <v>0</v>
      </c>
      <c r="AX78" s="5">
        <v>0</v>
      </c>
      <c r="AY78" s="5" t="s">
        <v>983</v>
      </c>
      <c r="AZ78" s="1">
        <v>1</v>
      </c>
      <c r="BA78" s="1">
        <v>0</v>
      </c>
      <c r="BB78" s="1">
        <v>1</v>
      </c>
      <c r="BC78" s="1">
        <v>1</v>
      </c>
      <c r="BD78" s="1">
        <v>1</v>
      </c>
      <c r="BE78" s="1">
        <v>1</v>
      </c>
      <c r="BF78" s="1">
        <v>0</v>
      </c>
      <c r="BG78" s="1">
        <v>0</v>
      </c>
      <c r="BI78" s="1">
        <v>24</v>
      </c>
      <c r="BJ78" s="1">
        <v>0</v>
      </c>
      <c r="BK78" s="1">
        <v>7</v>
      </c>
    </row>
    <row r="79" spans="1:63" ht="12.75" customHeight="1" x14ac:dyDescent="0.15">
      <c r="A79" s="5" t="s">
        <v>238</v>
      </c>
      <c r="B79" s="5" t="s">
        <v>238</v>
      </c>
      <c r="C79" s="5">
        <v>1</v>
      </c>
      <c r="D79" s="5">
        <v>1</v>
      </c>
      <c r="E79" s="5">
        <v>1</v>
      </c>
      <c r="F79" s="5">
        <v>1</v>
      </c>
      <c r="G79" s="5">
        <v>1</v>
      </c>
      <c r="H79" s="5">
        <v>1</v>
      </c>
      <c r="I79" s="5">
        <v>1</v>
      </c>
      <c r="J79" s="5">
        <v>2</v>
      </c>
      <c r="K79" s="5">
        <v>2</v>
      </c>
      <c r="L79" s="5">
        <v>2</v>
      </c>
      <c r="M79" s="5">
        <v>2</v>
      </c>
      <c r="N79" s="5">
        <v>2</v>
      </c>
      <c r="O79" s="5">
        <v>17</v>
      </c>
      <c r="P79" s="5" t="s">
        <v>983</v>
      </c>
      <c r="Q79" s="5">
        <v>3</v>
      </c>
      <c r="R79" s="5">
        <v>3</v>
      </c>
      <c r="S79" s="5">
        <v>4</v>
      </c>
      <c r="T79" s="5">
        <v>10</v>
      </c>
      <c r="U79" s="5" t="s">
        <v>981</v>
      </c>
      <c r="V79" s="5">
        <v>3</v>
      </c>
      <c r="W79" s="5">
        <v>3</v>
      </c>
      <c r="X79" s="5">
        <v>3</v>
      </c>
      <c r="Y79" s="5">
        <v>9</v>
      </c>
      <c r="Z79" s="5" t="s">
        <v>981</v>
      </c>
      <c r="AA79" s="5">
        <v>1</v>
      </c>
      <c r="AB79" s="5">
        <v>1</v>
      </c>
      <c r="AC79" s="5">
        <v>1</v>
      </c>
      <c r="AD79" s="5">
        <v>0</v>
      </c>
      <c r="AE79" s="5">
        <v>3</v>
      </c>
      <c r="AF79" s="5" t="s">
        <v>982</v>
      </c>
      <c r="AG79" s="5">
        <v>4</v>
      </c>
      <c r="AH79" s="5">
        <v>3</v>
      </c>
      <c r="AI79" s="5">
        <v>3</v>
      </c>
      <c r="AJ79" s="5">
        <v>10</v>
      </c>
      <c r="AK79" s="5" t="s">
        <v>981</v>
      </c>
      <c r="AL79" s="5">
        <v>3</v>
      </c>
      <c r="AM79" s="5">
        <v>3</v>
      </c>
      <c r="AN79" s="5">
        <v>3</v>
      </c>
      <c r="AO79" s="5">
        <v>9</v>
      </c>
      <c r="AP79" s="5" t="s">
        <v>981</v>
      </c>
      <c r="AQ79" s="5">
        <v>0</v>
      </c>
      <c r="AR79" s="5">
        <v>0</v>
      </c>
      <c r="AS79" s="5">
        <v>0</v>
      </c>
      <c r="AT79" s="5">
        <v>0</v>
      </c>
      <c r="AU79" s="5">
        <v>0</v>
      </c>
      <c r="AV79" s="5">
        <v>0</v>
      </c>
      <c r="AW79" s="5">
        <v>0</v>
      </c>
      <c r="AX79" s="5">
        <v>0</v>
      </c>
      <c r="AY79" s="5" t="s">
        <v>983</v>
      </c>
      <c r="AZ79" s="1">
        <v>1</v>
      </c>
      <c r="BA79" s="1">
        <v>0</v>
      </c>
      <c r="BB79" s="1">
        <v>1</v>
      </c>
      <c r="BC79" s="1">
        <v>1</v>
      </c>
      <c r="BD79" s="1">
        <v>1</v>
      </c>
      <c r="BE79" s="1">
        <v>1</v>
      </c>
      <c r="BF79" s="1">
        <v>57</v>
      </c>
      <c r="BG79" s="1">
        <v>0</v>
      </c>
      <c r="BH79" s="1">
        <v>14</v>
      </c>
      <c r="BI79" s="1">
        <v>5</v>
      </c>
      <c r="BJ79" s="1">
        <v>650000</v>
      </c>
      <c r="BK79" s="1">
        <v>1</v>
      </c>
    </row>
    <row r="80" spans="1:63" ht="12.75" customHeight="1" x14ac:dyDescent="0.15">
      <c r="A80" s="5" t="s">
        <v>238</v>
      </c>
      <c r="B80" s="5" t="s">
        <v>238</v>
      </c>
      <c r="C80" s="5">
        <v>4</v>
      </c>
      <c r="D80" s="5">
        <v>3</v>
      </c>
      <c r="E80" s="5">
        <v>3</v>
      </c>
      <c r="F80" s="5">
        <v>3</v>
      </c>
      <c r="G80" s="5">
        <v>3</v>
      </c>
      <c r="H80" s="5">
        <v>2</v>
      </c>
      <c r="I80" s="5">
        <v>1</v>
      </c>
      <c r="J80" s="5">
        <v>1</v>
      </c>
      <c r="K80" s="5">
        <v>1</v>
      </c>
      <c r="L80" s="5">
        <v>1</v>
      </c>
      <c r="M80" s="5">
        <v>1</v>
      </c>
      <c r="N80" s="5">
        <v>1</v>
      </c>
      <c r="O80" s="5">
        <v>24</v>
      </c>
      <c r="P80" s="5" t="s">
        <v>981</v>
      </c>
      <c r="Q80" s="5">
        <v>1</v>
      </c>
      <c r="R80" s="5">
        <v>1</v>
      </c>
      <c r="S80" s="5">
        <v>1</v>
      </c>
      <c r="T80" s="5">
        <v>3</v>
      </c>
      <c r="U80" s="5" t="s">
        <v>982</v>
      </c>
      <c r="V80" s="5">
        <v>1</v>
      </c>
      <c r="W80" s="5">
        <v>2</v>
      </c>
      <c r="X80" s="5">
        <v>1</v>
      </c>
      <c r="Y80" s="5">
        <v>4</v>
      </c>
      <c r="Z80" s="5" t="s">
        <v>982</v>
      </c>
      <c r="AA80" s="5">
        <v>0</v>
      </c>
      <c r="AB80" s="5">
        <v>0</v>
      </c>
      <c r="AC80" s="5">
        <v>0</v>
      </c>
      <c r="AD80" s="5">
        <v>0</v>
      </c>
      <c r="AE80" s="5">
        <v>0</v>
      </c>
      <c r="AF80" s="5" t="s">
        <v>983</v>
      </c>
      <c r="AG80" s="5">
        <v>2</v>
      </c>
      <c r="AH80" s="5">
        <v>0</v>
      </c>
      <c r="AI80" s="5">
        <v>0</v>
      </c>
      <c r="AJ80" s="5">
        <v>2</v>
      </c>
      <c r="AK80" s="5" t="s">
        <v>983</v>
      </c>
      <c r="AL80" s="5">
        <v>0</v>
      </c>
      <c r="AM80" s="5">
        <v>0</v>
      </c>
      <c r="AN80" s="5">
        <v>0</v>
      </c>
      <c r="AO80" s="5">
        <v>0</v>
      </c>
      <c r="AP80" s="5" t="s">
        <v>983</v>
      </c>
      <c r="AQ80" s="5">
        <v>0</v>
      </c>
      <c r="AR80" s="5">
        <v>0</v>
      </c>
      <c r="AS80" s="5">
        <v>0</v>
      </c>
      <c r="AT80" s="5">
        <v>0</v>
      </c>
      <c r="AU80" s="5">
        <v>0</v>
      </c>
      <c r="AV80" s="5">
        <v>0</v>
      </c>
      <c r="AW80" s="5">
        <v>0</v>
      </c>
      <c r="AX80" s="5">
        <v>0</v>
      </c>
      <c r="AY80" s="5" t="s">
        <v>983</v>
      </c>
      <c r="AZ80" s="1">
        <v>0</v>
      </c>
      <c r="BA80" s="1">
        <v>0</v>
      </c>
      <c r="BB80" s="1">
        <v>0</v>
      </c>
      <c r="BC80" s="1">
        <v>1</v>
      </c>
      <c r="BD80" s="1">
        <v>1</v>
      </c>
      <c r="BE80" s="1">
        <v>1</v>
      </c>
      <c r="BF80" s="1">
        <v>41</v>
      </c>
      <c r="BG80" s="1">
        <v>0</v>
      </c>
      <c r="BH80" s="1">
        <v>15</v>
      </c>
      <c r="BI80" s="1">
        <v>34</v>
      </c>
      <c r="BJ80" s="1">
        <v>400000</v>
      </c>
      <c r="BK80" s="1">
        <v>1</v>
      </c>
    </row>
    <row r="81" spans="1:63" ht="12.75" customHeight="1" x14ac:dyDescent="0.15">
      <c r="A81" s="5" t="s">
        <v>238</v>
      </c>
      <c r="B81" s="5" t="s">
        <v>238</v>
      </c>
      <c r="C81" s="5">
        <v>2</v>
      </c>
      <c r="D81" s="5">
        <v>3</v>
      </c>
      <c r="E81" s="5">
        <v>3</v>
      </c>
      <c r="F81" s="5">
        <v>1</v>
      </c>
      <c r="G81" s="5">
        <v>1</v>
      </c>
      <c r="H81" s="5">
        <v>1</v>
      </c>
      <c r="I81" s="5">
        <v>1</v>
      </c>
      <c r="J81" s="5">
        <v>2</v>
      </c>
      <c r="K81" s="5">
        <v>2</v>
      </c>
      <c r="L81" s="5">
        <v>2</v>
      </c>
      <c r="M81" s="5">
        <v>2</v>
      </c>
      <c r="N81" s="5">
        <v>2</v>
      </c>
      <c r="O81" s="5">
        <v>22</v>
      </c>
      <c r="P81" s="5" t="s">
        <v>982</v>
      </c>
      <c r="Q81" s="5">
        <v>3</v>
      </c>
      <c r="R81" s="5">
        <v>3</v>
      </c>
      <c r="S81" s="5">
        <v>3</v>
      </c>
      <c r="T81" s="5">
        <v>9</v>
      </c>
      <c r="U81" s="5" t="s">
        <v>981</v>
      </c>
      <c r="V81" s="5">
        <v>3</v>
      </c>
      <c r="W81" s="5">
        <v>3</v>
      </c>
      <c r="X81" s="5">
        <v>3</v>
      </c>
      <c r="Y81" s="5">
        <v>9</v>
      </c>
      <c r="Z81" s="5" t="s">
        <v>981</v>
      </c>
      <c r="AA81" s="5">
        <v>1</v>
      </c>
      <c r="AB81" s="5">
        <v>1</v>
      </c>
      <c r="AC81" s="5">
        <v>2</v>
      </c>
      <c r="AD81" s="5">
        <v>2</v>
      </c>
      <c r="AE81" s="5">
        <v>6</v>
      </c>
      <c r="AF81" s="5" t="s">
        <v>981</v>
      </c>
      <c r="AG81" s="5">
        <v>2</v>
      </c>
      <c r="AH81" s="5">
        <v>2</v>
      </c>
      <c r="AI81" s="5">
        <v>2</v>
      </c>
      <c r="AJ81" s="5">
        <v>6</v>
      </c>
      <c r="AK81" s="5" t="s">
        <v>981</v>
      </c>
      <c r="AL81" s="5">
        <v>2</v>
      </c>
      <c r="AM81" s="5">
        <v>2</v>
      </c>
      <c r="AN81" s="5">
        <v>3</v>
      </c>
      <c r="AO81" s="5">
        <v>7</v>
      </c>
      <c r="AP81" s="5" t="s">
        <v>981</v>
      </c>
      <c r="AQ81" s="5">
        <v>0</v>
      </c>
      <c r="AR81" s="5">
        <v>0</v>
      </c>
      <c r="AS81" s="5">
        <v>0</v>
      </c>
      <c r="AT81" s="5">
        <v>0</v>
      </c>
      <c r="AU81" s="5">
        <v>0</v>
      </c>
      <c r="AV81" s="5">
        <v>0</v>
      </c>
      <c r="AW81" s="5">
        <v>0</v>
      </c>
      <c r="AX81" s="5">
        <v>0</v>
      </c>
      <c r="AY81" s="5" t="s">
        <v>983</v>
      </c>
      <c r="AZ81" s="1">
        <v>1</v>
      </c>
      <c r="BA81" s="1">
        <v>0</v>
      </c>
      <c r="BB81" s="1">
        <v>1</v>
      </c>
      <c r="BC81" s="1">
        <v>1</v>
      </c>
      <c r="BD81" s="1">
        <v>1</v>
      </c>
      <c r="BE81" s="1">
        <v>1</v>
      </c>
      <c r="BF81" s="1">
        <v>43</v>
      </c>
      <c r="BG81" s="1">
        <v>0</v>
      </c>
      <c r="BH81" s="1">
        <v>16</v>
      </c>
      <c r="BI81" s="1">
        <v>28</v>
      </c>
      <c r="BJ81" s="1">
        <v>600000</v>
      </c>
      <c r="BK81" s="1">
        <v>4</v>
      </c>
    </row>
    <row r="82" spans="1:63" ht="12.75" customHeight="1" x14ac:dyDescent="0.15">
      <c r="A82" s="5" t="s">
        <v>330</v>
      </c>
      <c r="B82" s="5" t="s">
        <v>984</v>
      </c>
      <c r="C82" s="5">
        <v>1</v>
      </c>
      <c r="D82" s="5">
        <v>2</v>
      </c>
      <c r="E82" s="5">
        <v>2</v>
      </c>
      <c r="F82" s="5">
        <v>2</v>
      </c>
      <c r="G82" s="5">
        <v>1</v>
      </c>
      <c r="H82" s="5">
        <v>1</v>
      </c>
      <c r="I82" s="5">
        <v>1</v>
      </c>
      <c r="J82" s="5">
        <v>1</v>
      </c>
      <c r="K82" s="5">
        <v>1</v>
      </c>
      <c r="L82" s="5">
        <v>1</v>
      </c>
      <c r="M82" s="5">
        <v>1</v>
      </c>
      <c r="N82" s="5">
        <v>1</v>
      </c>
      <c r="O82" s="5">
        <v>15</v>
      </c>
      <c r="P82" s="5" t="s">
        <v>983</v>
      </c>
      <c r="Q82" s="5">
        <v>3</v>
      </c>
      <c r="R82" s="5">
        <v>2</v>
      </c>
      <c r="S82" s="5">
        <v>1</v>
      </c>
      <c r="T82" s="5">
        <v>6</v>
      </c>
      <c r="U82" s="5" t="s">
        <v>981</v>
      </c>
      <c r="V82" s="5">
        <v>2</v>
      </c>
      <c r="W82" s="5">
        <v>2</v>
      </c>
      <c r="X82" s="5">
        <v>2</v>
      </c>
      <c r="Y82" s="5">
        <v>6</v>
      </c>
      <c r="Z82" s="5" t="s">
        <v>981</v>
      </c>
      <c r="AA82" s="5">
        <v>2</v>
      </c>
      <c r="AB82" s="5">
        <v>2</v>
      </c>
      <c r="AC82" s="5">
        <v>2</v>
      </c>
      <c r="AD82" s="5">
        <v>2</v>
      </c>
      <c r="AE82" s="5">
        <v>8</v>
      </c>
      <c r="AF82" s="5" t="s">
        <v>981</v>
      </c>
      <c r="AG82" s="5">
        <v>2</v>
      </c>
      <c r="AH82" s="5">
        <v>2</v>
      </c>
      <c r="AI82" s="5">
        <v>1</v>
      </c>
      <c r="AJ82" s="5">
        <v>5</v>
      </c>
      <c r="AK82" s="5" t="s">
        <v>982</v>
      </c>
      <c r="AL82" s="5">
        <v>1</v>
      </c>
      <c r="AM82" s="5">
        <v>1</v>
      </c>
      <c r="AN82" s="5">
        <v>1</v>
      </c>
      <c r="AO82" s="5">
        <v>3</v>
      </c>
      <c r="AP82" s="5" t="s">
        <v>982</v>
      </c>
      <c r="AQ82" s="5">
        <v>1</v>
      </c>
      <c r="AR82" s="5">
        <v>0</v>
      </c>
      <c r="AS82" s="5">
        <v>0</v>
      </c>
      <c r="AT82" s="5">
        <v>0</v>
      </c>
      <c r="AU82" s="5">
        <v>0</v>
      </c>
      <c r="AV82" s="5">
        <v>0</v>
      </c>
      <c r="AW82" s="5">
        <v>0</v>
      </c>
      <c r="AX82" s="5">
        <v>1</v>
      </c>
      <c r="AY82" s="5" t="s">
        <v>982</v>
      </c>
      <c r="AZ82" s="1">
        <v>1</v>
      </c>
      <c r="BA82" s="1">
        <v>0</v>
      </c>
      <c r="BB82" s="1">
        <v>1</v>
      </c>
      <c r="BC82" s="1">
        <v>1</v>
      </c>
      <c r="BD82" s="1">
        <v>1</v>
      </c>
      <c r="BE82" s="1">
        <v>1</v>
      </c>
      <c r="BF82" s="1">
        <v>0</v>
      </c>
      <c r="BG82" s="1">
        <v>1</v>
      </c>
      <c r="BI82" s="1">
        <v>34</v>
      </c>
      <c r="BJ82" s="1">
        <v>0</v>
      </c>
      <c r="BK82" s="1">
        <v>4</v>
      </c>
    </row>
    <row r="83" spans="1:63" ht="12.75" customHeight="1" x14ac:dyDescent="0.15">
      <c r="A83" s="5" t="s">
        <v>337</v>
      </c>
      <c r="B83" s="5" t="s">
        <v>984</v>
      </c>
      <c r="C83" s="5">
        <v>2</v>
      </c>
      <c r="D83" s="5">
        <v>1</v>
      </c>
      <c r="E83" s="5">
        <v>1</v>
      </c>
      <c r="F83" s="5">
        <v>1</v>
      </c>
      <c r="G83" s="5">
        <v>1</v>
      </c>
      <c r="H83" s="5">
        <v>1</v>
      </c>
      <c r="I83" s="5">
        <v>1</v>
      </c>
      <c r="J83" s="5">
        <v>2</v>
      </c>
      <c r="K83" s="5">
        <v>2</v>
      </c>
      <c r="L83" s="5">
        <v>2</v>
      </c>
      <c r="M83" s="5">
        <v>2</v>
      </c>
      <c r="N83" s="5">
        <v>2</v>
      </c>
      <c r="O83" s="5">
        <v>18</v>
      </c>
      <c r="P83" s="5" t="s">
        <v>983</v>
      </c>
      <c r="Q83" s="5">
        <v>0</v>
      </c>
      <c r="R83" s="5">
        <v>0</v>
      </c>
      <c r="S83" s="5">
        <v>0</v>
      </c>
      <c r="T83" s="5">
        <v>0</v>
      </c>
      <c r="U83" s="5" t="s">
        <v>983</v>
      </c>
      <c r="V83" s="5">
        <v>0</v>
      </c>
      <c r="W83" s="5">
        <v>1</v>
      </c>
      <c r="X83" s="5">
        <v>0</v>
      </c>
      <c r="Y83" s="5">
        <v>1</v>
      </c>
      <c r="Z83" s="5" t="s">
        <v>983</v>
      </c>
      <c r="AA83" s="5">
        <v>2</v>
      </c>
      <c r="AB83" s="5">
        <v>4</v>
      </c>
      <c r="AC83" s="5">
        <v>1</v>
      </c>
      <c r="AD83" s="5">
        <v>1</v>
      </c>
      <c r="AE83" s="5">
        <v>8</v>
      </c>
      <c r="AF83" s="5" t="s">
        <v>981</v>
      </c>
      <c r="AG83" s="5">
        <v>0</v>
      </c>
      <c r="AH83" s="5">
        <v>0</v>
      </c>
      <c r="AI83" s="5">
        <v>0</v>
      </c>
      <c r="AJ83" s="5">
        <v>0</v>
      </c>
      <c r="AK83" s="5" t="s">
        <v>983</v>
      </c>
      <c r="AL83" s="5">
        <v>0</v>
      </c>
      <c r="AM83" s="5">
        <v>0</v>
      </c>
      <c r="AN83" s="5">
        <v>0</v>
      </c>
      <c r="AO83" s="5">
        <v>0</v>
      </c>
      <c r="AP83" s="5" t="s">
        <v>983</v>
      </c>
      <c r="AQ83" s="5">
        <v>0</v>
      </c>
      <c r="AR83" s="5">
        <v>0</v>
      </c>
      <c r="AS83" s="5">
        <v>0</v>
      </c>
      <c r="AT83" s="5">
        <v>0</v>
      </c>
      <c r="AU83" s="5">
        <v>0</v>
      </c>
      <c r="AV83" s="5">
        <v>0</v>
      </c>
      <c r="AW83" s="5">
        <v>0</v>
      </c>
      <c r="AX83" s="5">
        <v>0</v>
      </c>
      <c r="AY83" s="5" t="s">
        <v>983</v>
      </c>
      <c r="AZ83" s="1">
        <v>0</v>
      </c>
      <c r="BA83" s="1">
        <v>0</v>
      </c>
      <c r="BB83" s="1">
        <v>0</v>
      </c>
      <c r="BC83" s="1">
        <v>1</v>
      </c>
      <c r="BD83" s="1">
        <v>1</v>
      </c>
      <c r="BE83" s="1">
        <v>1</v>
      </c>
      <c r="BF83" s="1">
        <v>68</v>
      </c>
      <c r="BG83" s="1">
        <v>0</v>
      </c>
      <c r="BH83" s="1">
        <v>12</v>
      </c>
      <c r="BI83" s="1">
        <v>1</v>
      </c>
      <c r="BJ83" s="1">
        <v>260000</v>
      </c>
      <c r="BK83" s="1">
        <v>2</v>
      </c>
    </row>
    <row r="84" spans="1:63" ht="12.75" customHeight="1" x14ac:dyDescent="0.15">
      <c r="A84" s="5" t="s">
        <v>238</v>
      </c>
      <c r="B84" s="5" t="s">
        <v>238</v>
      </c>
      <c r="C84" s="5">
        <v>2</v>
      </c>
      <c r="D84" s="5">
        <v>1</v>
      </c>
      <c r="E84" s="5">
        <v>1</v>
      </c>
      <c r="F84" s="5">
        <v>1</v>
      </c>
      <c r="G84" s="5">
        <v>1</v>
      </c>
      <c r="H84" s="5">
        <v>1</v>
      </c>
      <c r="I84" s="5">
        <v>1</v>
      </c>
      <c r="J84" s="5">
        <v>1</v>
      </c>
      <c r="K84" s="5">
        <v>1</v>
      </c>
      <c r="L84" s="5">
        <v>1</v>
      </c>
      <c r="M84" s="5">
        <v>1</v>
      </c>
      <c r="N84" s="5">
        <v>1</v>
      </c>
      <c r="O84" s="5">
        <v>13</v>
      </c>
      <c r="P84" s="5" t="s">
        <v>983</v>
      </c>
      <c r="Q84" s="5">
        <v>2</v>
      </c>
      <c r="R84" s="5">
        <v>2</v>
      </c>
      <c r="S84" s="5">
        <v>2</v>
      </c>
      <c r="T84" s="5">
        <v>6</v>
      </c>
      <c r="U84" s="5" t="s">
        <v>981</v>
      </c>
      <c r="V84" s="5">
        <v>2</v>
      </c>
      <c r="W84" s="5">
        <v>2</v>
      </c>
      <c r="X84" s="5">
        <v>2</v>
      </c>
      <c r="Y84" s="5">
        <v>6</v>
      </c>
      <c r="Z84" s="5" t="s">
        <v>981</v>
      </c>
      <c r="AA84" s="5">
        <v>2</v>
      </c>
      <c r="AB84" s="5">
        <v>2</v>
      </c>
      <c r="AC84" s="5">
        <v>2</v>
      </c>
      <c r="AD84" s="5">
        <v>2</v>
      </c>
      <c r="AE84" s="5">
        <v>8</v>
      </c>
      <c r="AF84" s="5" t="s">
        <v>981</v>
      </c>
      <c r="AG84" s="5">
        <v>2</v>
      </c>
      <c r="AH84" s="5">
        <v>2</v>
      </c>
      <c r="AI84" s="5">
        <v>2</v>
      </c>
      <c r="AJ84" s="5">
        <v>6</v>
      </c>
      <c r="AK84" s="5" t="s">
        <v>981</v>
      </c>
      <c r="AL84" s="5">
        <v>2</v>
      </c>
      <c r="AM84" s="5">
        <v>2</v>
      </c>
      <c r="AN84" s="5">
        <v>2</v>
      </c>
      <c r="AO84" s="5">
        <v>6</v>
      </c>
      <c r="AP84" s="5" t="s">
        <v>981</v>
      </c>
      <c r="AQ84" s="5">
        <v>0</v>
      </c>
      <c r="AR84" s="5">
        <v>0</v>
      </c>
      <c r="AS84" s="5">
        <v>0</v>
      </c>
      <c r="AT84" s="5">
        <v>0</v>
      </c>
      <c r="AU84" s="5">
        <v>0</v>
      </c>
      <c r="AV84" s="5">
        <v>0</v>
      </c>
      <c r="AW84" s="5">
        <v>0</v>
      </c>
      <c r="AX84" s="5">
        <v>0</v>
      </c>
      <c r="AY84" s="5" t="s">
        <v>983</v>
      </c>
      <c r="AZ84" s="1">
        <v>0</v>
      </c>
      <c r="BA84" s="1">
        <v>0</v>
      </c>
      <c r="BB84" s="1">
        <v>0</v>
      </c>
      <c r="BC84" s="1">
        <v>1</v>
      </c>
      <c r="BD84" s="1">
        <v>1</v>
      </c>
      <c r="BE84" s="1">
        <v>1</v>
      </c>
      <c r="BF84" s="1">
        <v>31</v>
      </c>
      <c r="BG84" s="1">
        <v>0</v>
      </c>
      <c r="BH84" s="1">
        <v>16</v>
      </c>
      <c r="BI84" s="1">
        <v>28</v>
      </c>
      <c r="BJ84" s="1">
        <v>650000</v>
      </c>
      <c r="BK84" s="1">
        <v>4</v>
      </c>
    </row>
    <row r="85" spans="1:63" ht="12.75" customHeight="1" x14ac:dyDescent="0.15">
      <c r="A85" s="5" t="s">
        <v>238</v>
      </c>
      <c r="B85" s="5" t="s">
        <v>238</v>
      </c>
      <c r="C85" s="5">
        <v>1</v>
      </c>
      <c r="D85" s="5">
        <v>2</v>
      </c>
      <c r="E85" s="5">
        <v>2</v>
      </c>
      <c r="F85" s="5">
        <v>1</v>
      </c>
      <c r="G85" s="5">
        <v>1</v>
      </c>
      <c r="H85" s="5">
        <v>1</v>
      </c>
      <c r="I85" s="5">
        <v>1</v>
      </c>
      <c r="J85" s="5">
        <v>1</v>
      </c>
      <c r="K85" s="5">
        <v>1</v>
      </c>
      <c r="L85" s="5">
        <v>2</v>
      </c>
      <c r="M85" s="5">
        <v>1</v>
      </c>
      <c r="N85" s="5">
        <v>1</v>
      </c>
      <c r="O85" s="5">
        <v>15</v>
      </c>
      <c r="P85" s="5" t="s">
        <v>983</v>
      </c>
      <c r="Q85" s="5">
        <v>2</v>
      </c>
      <c r="R85" s="5">
        <v>2</v>
      </c>
      <c r="S85" s="5">
        <v>1</v>
      </c>
      <c r="T85" s="5">
        <v>5</v>
      </c>
      <c r="U85" s="5" t="s">
        <v>981</v>
      </c>
      <c r="V85" s="5">
        <v>0</v>
      </c>
      <c r="W85" s="5">
        <v>0</v>
      </c>
      <c r="X85" s="5">
        <v>0</v>
      </c>
      <c r="Y85" s="5">
        <v>0</v>
      </c>
      <c r="Z85" s="5" t="s">
        <v>983</v>
      </c>
      <c r="AA85" s="5">
        <v>3</v>
      </c>
      <c r="AB85" s="5">
        <v>4</v>
      </c>
      <c r="AC85" s="5">
        <v>4</v>
      </c>
      <c r="AD85" s="5">
        <v>4</v>
      </c>
      <c r="AE85" s="5">
        <v>15</v>
      </c>
      <c r="AF85" s="5" t="s">
        <v>981</v>
      </c>
      <c r="AG85" s="5">
        <v>0</v>
      </c>
      <c r="AH85" s="5">
        <v>0</v>
      </c>
      <c r="AI85" s="5">
        <v>0</v>
      </c>
      <c r="AJ85" s="5">
        <v>0</v>
      </c>
      <c r="AK85" s="5" t="s">
        <v>983</v>
      </c>
      <c r="AL85" s="5">
        <v>0</v>
      </c>
      <c r="AM85" s="5">
        <v>0</v>
      </c>
      <c r="AN85" s="5">
        <v>0</v>
      </c>
      <c r="AO85" s="5">
        <v>0</v>
      </c>
      <c r="AP85" s="5" t="s">
        <v>983</v>
      </c>
      <c r="AQ85" s="5">
        <v>0</v>
      </c>
      <c r="AR85" s="5">
        <v>0</v>
      </c>
      <c r="AS85" s="5">
        <v>0</v>
      </c>
      <c r="AT85" s="5">
        <v>0</v>
      </c>
      <c r="AU85" s="5">
        <v>0</v>
      </c>
      <c r="AV85" s="5">
        <v>0</v>
      </c>
      <c r="AW85" s="5">
        <v>0</v>
      </c>
      <c r="AX85" s="5">
        <v>0</v>
      </c>
      <c r="AY85" s="5" t="s">
        <v>983</v>
      </c>
      <c r="AZ85" s="1">
        <v>0</v>
      </c>
      <c r="BA85" s="1">
        <v>0</v>
      </c>
      <c r="BB85" s="1">
        <v>1</v>
      </c>
      <c r="BC85" s="1">
        <v>1</v>
      </c>
      <c r="BD85" s="1">
        <v>1</v>
      </c>
      <c r="BE85" s="1">
        <v>1</v>
      </c>
      <c r="BF85" s="1">
        <v>41</v>
      </c>
      <c r="BG85" s="1">
        <v>1</v>
      </c>
      <c r="BH85" s="1">
        <v>17</v>
      </c>
      <c r="BI85" s="1">
        <v>24</v>
      </c>
      <c r="BJ85" s="1">
        <v>2000000</v>
      </c>
      <c r="BK85" s="1">
        <v>3</v>
      </c>
    </row>
    <row r="86" spans="1:63" ht="12.75" customHeight="1" x14ac:dyDescent="0.15">
      <c r="A86" s="5" t="s">
        <v>337</v>
      </c>
      <c r="B86" s="5" t="s">
        <v>984</v>
      </c>
      <c r="C86" s="5">
        <v>2</v>
      </c>
      <c r="D86" s="5">
        <v>2</v>
      </c>
      <c r="E86" s="5">
        <v>1</v>
      </c>
      <c r="F86" s="5">
        <v>1</v>
      </c>
      <c r="G86" s="5">
        <v>1</v>
      </c>
      <c r="H86" s="5">
        <v>1</v>
      </c>
      <c r="I86" s="5">
        <v>1</v>
      </c>
      <c r="J86" s="5">
        <v>1</v>
      </c>
      <c r="K86" s="5">
        <v>1</v>
      </c>
      <c r="L86" s="5">
        <v>2</v>
      </c>
      <c r="M86" s="5">
        <v>2</v>
      </c>
      <c r="N86" s="5">
        <v>1</v>
      </c>
      <c r="O86" s="5">
        <v>16</v>
      </c>
      <c r="P86" s="5" t="s">
        <v>983</v>
      </c>
      <c r="Q86" s="5">
        <v>1</v>
      </c>
      <c r="R86" s="5">
        <v>0</v>
      </c>
      <c r="S86" s="5">
        <v>0</v>
      </c>
      <c r="T86" s="5">
        <v>1</v>
      </c>
      <c r="U86" s="5" t="s">
        <v>983</v>
      </c>
      <c r="V86" s="5">
        <v>0</v>
      </c>
      <c r="W86" s="5">
        <v>4</v>
      </c>
      <c r="X86" s="5">
        <v>4</v>
      </c>
      <c r="Y86" s="5">
        <v>8</v>
      </c>
      <c r="Z86" s="5" t="s">
        <v>981</v>
      </c>
      <c r="AA86" s="5">
        <v>0</v>
      </c>
      <c r="AB86" s="5">
        <v>1</v>
      </c>
      <c r="AC86" s="5">
        <v>0</v>
      </c>
      <c r="AD86" s="5">
        <v>0</v>
      </c>
      <c r="AE86" s="5">
        <v>1</v>
      </c>
      <c r="AF86" s="5" t="s">
        <v>982</v>
      </c>
      <c r="AG86" s="5">
        <v>0</v>
      </c>
      <c r="AH86" s="5">
        <v>0</v>
      </c>
      <c r="AI86" s="5">
        <v>0</v>
      </c>
      <c r="AJ86" s="5">
        <v>0</v>
      </c>
      <c r="AK86" s="5" t="s">
        <v>983</v>
      </c>
      <c r="AL86" s="5">
        <v>1</v>
      </c>
      <c r="AM86" s="5">
        <v>2</v>
      </c>
      <c r="AN86" s="5">
        <v>2</v>
      </c>
      <c r="AO86" s="5">
        <v>5</v>
      </c>
      <c r="AP86" s="5" t="s">
        <v>982</v>
      </c>
      <c r="AQ86" s="5">
        <v>0</v>
      </c>
      <c r="AR86" s="5">
        <v>0</v>
      </c>
      <c r="AS86" s="5">
        <v>0</v>
      </c>
      <c r="AT86" s="5">
        <v>0</v>
      </c>
      <c r="AU86" s="5">
        <v>0</v>
      </c>
      <c r="AV86" s="5">
        <v>0</v>
      </c>
      <c r="AW86" s="5">
        <v>0</v>
      </c>
      <c r="AX86" s="5">
        <v>0</v>
      </c>
      <c r="AY86" s="5" t="s">
        <v>983</v>
      </c>
      <c r="AZ86" s="1">
        <v>1</v>
      </c>
      <c r="BA86" s="1">
        <v>0</v>
      </c>
      <c r="BB86" s="1">
        <v>0</v>
      </c>
      <c r="BC86" s="1">
        <v>0</v>
      </c>
      <c r="BD86" s="1">
        <v>0</v>
      </c>
      <c r="BE86" s="1">
        <v>0</v>
      </c>
      <c r="BF86" s="1">
        <v>41</v>
      </c>
      <c r="BG86" s="1">
        <v>1</v>
      </c>
      <c r="BH86" s="1">
        <v>17</v>
      </c>
      <c r="BI86" s="1">
        <v>24</v>
      </c>
      <c r="BJ86" s="1">
        <v>2000000</v>
      </c>
      <c r="BK86" s="1">
        <v>3</v>
      </c>
    </row>
    <row r="87" spans="1:63" ht="12.75" customHeight="1" x14ac:dyDescent="0.15">
      <c r="A87" s="5" t="s">
        <v>330</v>
      </c>
      <c r="B87" s="5" t="s">
        <v>984</v>
      </c>
      <c r="C87" s="5">
        <v>2</v>
      </c>
      <c r="D87" s="5">
        <v>2</v>
      </c>
      <c r="E87" s="5">
        <v>2</v>
      </c>
      <c r="F87" s="5">
        <v>2</v>
      </c>
      <c r="G87" s="5">
        <v>1</v>
      </c>
      <c r="H87" s="5">
        <v>1</v>
      </c>
      <c r="I87" s="5">
        <v>1</v>
      </c>
      <c r="J87" s="5">
        <v>2</v>
      </c>
      <c r="K87" s="5">
        <v>2</v>
      </c>
      <c r="L87" s="5">
        <v>2</v>
      </c>
      <c r="M87" s="5">
        <v>2</v>
      </c>
      <c r="N87" s="5">
        <v>2</v>
      </c>
      <c r="O87" s="5">
        <v>21</v>
      </c>
      <c r="P87" s="5" t="s">
        <v>982</v>
      </c>
      <c r="Q87" s="5">
        <v>1</v>
      </c>
      <c r="R87" s="5">
        <v>2</v>
      </c>
      <c r="S87" s="5">
        <v>2</v>
      </c>
      <c r="T87" s="5">
        <v>5</v>
      </c>
      <c r="U87" s="5" t="s">
        <v>981</v>
      </c>
      <c r="V87" s="5">
        <v>1</v>
      </c>
      <c r="W87" s="5">
        <v>1</v>
      </c>
      <c r="X87" s="5">
        <v>1</v>
      </c>
      <c r="Y87" s="5">
        <v>3</v>
      </c>
      <c r="Z87" s="5" t="s">
        <v>982</v>
      </c>
      <c r="AA87" s="5">
        <v>1</v>
      </c>
      <c r="AB87" s="5">
        <v>1</v>
      </c>
      <c r="AC87" s="5">
        <v>0</v>
      </c>
      <c r="AD87" s="5">
        <v>1</v>
      </c>
      <c r="AE87" s="5">
        <v>3</v>
      </c>
      <c r="AF87" s="5" t="s">
        <v>982</v>
      </c>
      <c r="AG87" s="5">
        <v>1</v>
      </c>
      <c r="AH87" s="5">
        <v>1</v>
      </c>
      <c r="AI87" s="5">
        <v>2</v>
      </c>
      <c r="AJ87" s="5">
        <v>4</v>
      </c>
      <c r="AK87" s="5" t="s">
        <v>982</v>
      </c>
      <c r="AL87" s="5">
        <v>1</v>
      </c>
      <c r="AM87" s="5">
        <v>1</v>
      </c>
      <c r="AN87" s="5">
        <v>1</v>
      </c>
      <c r="AO87" s="5">
        <v>3</v>
      </c>
      <c r="AP87" s="5" t="s">
        <v>982</v>
      </c>
      <c r="AQ87" s="5">
        <v>0</v>
      </c>
      <c r="AR87" s="5">
        <v>0</v>
      </c>
      <c r="AS87" s="5">
        <v>0</v>
      </c>
      <c r="AT87" s="5">
        <v>0</v>
      </c>
      <c r="AU87" s="5">
        <v>0</v>
      </c>
      <c r="AV87" s="5">
        <v>0</v>
      </c>
      <c r="AW87" s="5">
        <v>0</v>
      </c>
      <c r="AX87" s="5">
        <v>0</v>
      </c>
      <c r="AY87" s="5" t="s">
        <v>983</v>
      </c>
      <c r="AZ87" s="1">
        <v>1</v>
      </c>
      <c r="BA87" s="1">
        <v>0</v>
      </c>
      <c r="BB87" s="1">
        <v>0</v>
      </c>
      <c r="BC87" s="1">
        <v>1</v>
      </c>
      <c r="BD87" s="1">
        <v>0</v>
      </c>
      <c r="BE87" s="1">
        <v>1</v>
      </c>
      <c r="BF87" s="1">
        <v>62</v>
      </c>
      <c r="BG87" s="1">
        <v>0</v>
      </c>
      <c r="BH87" s="1">
        <v>14</v>
      </c>
      <c r="BI87" s="1">
        <v>5</v>
      </c>
      <c r="BJ87" s="1">
        <v>700000</v>
      </c>
      <c r="BK87" s="1">
        <v>3</v>
      </c>
    </row>
    <row r="88" spans="1:63" ht="12.75" customHeight="1" x14ac:dyDescent="0.15">
      <c r="A88" s="5" t="s">
        <v>238</v>
      </c>
      <c r="B88" s="5" t="s">
        <v>238</v>
      </c>
      <c r="C88" s="5">
        <v>2</v>
      </c>
      <c r="D88" s="5">
        <v>3</v>
      </c>
      <c r="E88" s="5">
        <v>3</v>
      </c>
      <c r="F88" s="5">
        <v>2</v>
      </c>
      <c r="G88" s="5">
        <v>2</v>
      </c>
      <c r="H88" s="5">
        <v>1</v>
      </c>
      <c r="I88" s="5">
        <v>2</v>
      </c>
      <c r="J88" s="5">
        <v>2</v>
      </c>
      <c r="K88" s="5">
        <v>1</v>
      </c>
      <c r="L88" s="5">
        <v>2</v>
      </c>
      <c r="M88" s="5">
        <v>1</v>
      </c>
      <c r="N88" s="5">
        <v>2</v>
      </c>
      <c r="O88" s="5">
        <v>23</v>
      </c>
      <c r="P88" s="5" t="s">
        <v>982</v>
      </c>
      <c r="Q88" s="5">
        <v>2</v>
      </c>
      <c r="R88" s="5">
        <v>1</v>
      </c>
      <c r="S88" s="5">
        <v>0</v>
      </c>
      <c r="T88" s="5">
        <v>3</v>
      </c>
      <c r="U88" s="5" t="s">
        <v>982</v>
      </c>
      <c r="V88" s="5">
        <v>1</v>
      </c>
      <c r="W88" s="5">
        <v>2</v>
      </c>
      <c r="X88" s="5">
        <v>2</v>
      </c>
      <c r="Y88" s="5">
        <v>5</v>
      </c>
      <c r="Z88" s="5" t="s">
        <v>982</v>
      </c>
      <c r="AA88" s="5">
        <v>3</v>
      </c>
      <c r="AB88" s="5">
        <v>2</v>
      </c>
      <c r="AC88" s="5">
        <v>3</v>
      </c>
      <c r="AD88" s="5">
        <v>4</v>
      </c>
      <c r="AE88" s="5">
        <v>12</v>
      </c>
      <c r="AF88" s="5" t="s">
        <v>981</v>
      </c>
      <c r="AG88" s="5">
        <v>1</v>
      </c>
      <c r="AH88" s="5">
        <v>1</v>
      </c>
      <c r="AI88" s="5">
        <v>1</v>
      </c>
      <c r="AJ88" s="5">
        <v>3</v>
      </c>
      <c r="AK88" s="5" t="s">
        <v>982</v>
      </c>
      <c r="AL88" s="5">
        <v>1</v>
      </c>
      <c r="AM88" s="5">
        <v>0</v>
      </c>
      <c r="AN88" s="5">
        <v>1</v>
      </c>
      <c r="AO88" s="5">
        <v>2</v>
      </c>
      <c r="AP88" s="5" t="s">
        <v>983</v>
      </c>
      <c r="AQ88" s="5">
        <v>1</v>
      </c>
      <c r="AR88" s="5">
        <v>1</v>
      </c>
      <c r="AS88" s="5">
        <v>4</v>
      </c>
      <c r="AT88" s="5">
        <v>0</v>
      </c>
      <c r="AU88" s="5">
        <v>0</v>
      </c>
      <c r="AV88" s="5">
        <v>3</v>
      </c>
      <c r="AW88" s="5">
        <v>3</v>
      </c>
      <c r="AX88" s="5">
        <v>12</v>
      </c>
      <c r="AY88" s="5" t="s">
        <v>982</v>
      </c>
      <c r="AZ88" s="1">
        <v>0</v>
      </c>
      <c r="BA88" s="1">
        <v>0</v>
      </c>
      <c r="BB88" s="1">
        <v>0</v>
      </c>
      <c r="BC88" s="1">
        <v>1</v>
      </c>
      <c r="BD88" s="1">
        <v>1</v>
      </c>
      <c r="BE88" s="1">
        <v>0</v>
      </c>
      <c r="BF88" s="1">
        <v>59</v>
      </c>
      <c r="BG88" s="1">
        <v>0</v>
      </c>
      <c r="BH88" s="1">
        <v>18</v>
      </c>
      <c r="BI88" s="1">
        <v>13</v>
      </c>
      <c r="BJ88" s="1">
        <v>485000</v>
      </c>
      <c r="BK88" s="1">
        <v>1</v>
      </c>
    </row>
    <row r="89" spans="1:63" ht="12.75" customHeight="1" x14ac:dyDescent="0.15">
      <c r="A89" s="5" t="s">
        <v>330</v>
      </c>
      <c r="B89" s="5" t="s">
        <v>984</v>
      </c>
      <c r="C89" s="5">
        <v>1</v>
      </c>
      <c r="D89" s="5">
        <v>1</v>
      </c>
      <c r="E89" s="5">
        <v>3</v>
      </c>
      <c r="F89" s="5">
        <v>1</v>
      </c>
      <c r="G89" s="5">
        <v>1</v>
      </c>
      <c r="H89" s="5">
        <v>2</v>
      </c>
      <c r="I89" s="5">
        <v>1</v>
      </c>
      <c r="J89" s="5">
        <v>1</v>
      </c>
      <c r="K89" s="5">
        <v>1</v>
      </c>
      <c r="L89" s="5">
        <v>1</v>
      </c>
      <c r="M89" s="5">
        <v>1</v>
      </c>
      <c r="N89" s="5">
        <v>1</v>
      </c>
      <c r="O89" s="5">
        <v>15</v>
      </c>
      <c r="P89" s="5" t="s">
        <v>983</v>
      </c>
      <c r="Q89" s="5">
        <v>2</v>
      </c>
      <c r="R89" s="5">
        <v>1</v>
      </c>
      <c r="S89" s="5">
        <v>0</v>
      </c>
      <c r="T89" s="5">
        <v>3</v>
      </c>
      <c r="U89" s="5" t="s">
        <v>982</v>
      </c>
      <c r="V89" s="5">
        <v>1</v>
      </c>
      <c r="W89" s="5">
        <v>3</v>
      </c>
      <c r="X89" s="5">
        <v>4</v>
      </c>
      <c r="Y89" s="5">
        <v>8</v>
      </c>
      <c r="Z89" s="5" t="s">
        <v>981</v>
      </c>
      <c r="AA89" s="5">
        <v>4</v>
      </c>
      <c r="AB89" s="5">
        <v>0</v>
      </c>
      <c r="AC89" s="5">
        <v>0</v>
      </c>
      <c r="AD89" s="5">
        <v>2</v>
      </c>
      <c r="AE89" s="5">
        <v>6</v>
      </c>
      <c r="AF89" s="5" t="s">
        <v>981</v>
      </c>
      <c r="AG89" s="5">
        <v>2</v>
      </c>
      <c r="AH89" s="5">
        <v>2</v>
      </c>
      <c r="AI89" s="5">
        <v>2</v>
      </c>
      <c r="AJ89" s="5">
        <v>6</v>
      </c>
      <c r="AK89" s="5" t="s">
        <v>981</v>
      </c>
      <c r="AL89" s="5">
        <v>2</v>
      </c>
      <c r="AM89" s="5">
        <v>2</v>
      </c>
      <c r="AN89" s="5">
        <v>2</v>
      </c>
      <c r="AO89" s="5">
        <v>6</v>
      </c>
      <c r="AP89" s="5" t="s">
        <v>981</v>
      </c>
      <c r="AQ89" s="5">
        <v>1</v>
      </c>
      <c r="AR89" s="5">
        <v>1</v>
      </c>
      <c r="AS89" s="5">
        <v>1</v>
      </c>
      <c r="AT89" s="5">
        <v>0</v>
      </c>
      <c r="AU89" s="5">
        <v>0</v>
      </c>
      <c r="AV89" s="5">
        <v>1</v>
      </c>
      <c r="AW89" s="5">
        <v>1</v>
      </c>
      <c r="AX89" s="5">
        <v>5</v>
      </c>
      <c r="AY89" s="5" t="s">
        <v>982</v>
      </c>
      <c r="AZ89" s="1">
        <v>1</v>
      </c>
      <c r="BA89" s="1">
        <v>0</v>
      </c>
      <c r="BB89" s="1">
        <v>1</v>
      </c>
      <c r="BC89" s="1">
        <v>1</v>
      </c>
      <c r="BD89" s="1">
        <v>1</v>
      </c>
      <c r="BE89" s="1">
        <v>1</v>
      </c>
      <c r="BF89" s="1">
        <v>54</v>
      </c>
      <c r="BG89" s="1">
        <v>1</v>
      </c>
      <c r="BH89" s="1">
        <v>13</v>
      </c>
      <c r="BI89" s="1">
        <v>3</v>
      </c>
      <c r="BJ89" s="1">
        <v>700000</v>
      </c>
      <c r="BK89" s="1">
        <v>3</v>
      </c>
    </row>
    <row r="90" spans="1:63" ht="12.75" customHeight="1" x14ac:dyDescent="0.15">
      <c r="A90" s="5" t="s">
        <v>330</v>
      </c>
      <c r="B90" s="5" t="s">
        <v>984</v>
      </c>
      <c r="C90" s="5">
        <v>4</v>
      </c>
      <c r="D90" s="5">
        <v>3</v>
      </c>
      <c r="E90" s="5">
        <v>4</v>
      </c>
      <c r="F90" s="5">
        <v>4</v>
      </c>
      <c r="G90" s="5">
        <v>4</v>
      </c>
      <c r="H90" s="5">
        <v>4</v>
      </c>
      <c r="I90" s="5">
        <v>4</v>
      </c>
      <c r="J90" s="5">
        <v>4</v>
      </c>
      <c r="K90" s="5">
        <v>4</v>
      </c>
      <c r="L90" s="5">
        <v>4</v>
      </c>
      <c r="M90" s="5">
        <v>4</v>
      </c>
      <c r="N90" s="5">
        <v>4</v>
      </c>
      <c r="O90" s="5">
        <v>47</v>
      </c>
      <c r="P90" s="5" t="s">
        <v>981</v>
      </c>
      <c r="Q90" s="5">
        <v>0</v>
      </c>
      <c r="R90" s="5">
        <v>0</v>
      </c>
      <c r="S90" s="5">
        <v>0</v>
      </c>
      <c r="T90" s="5">
        <v>0</v>
      </c>
      <c r="U90" s="5" t="s">
        <v>983</v>
      </c>
      <c r="V90" s="5">
        <v>0</v>
      </c>
      <c r="W90" s="5">
        <v>0</v>
      </c>
      <c r="X90" s="5">
        <v>1</v>
      </c>
      <c r="Y90" s="5">
        <v>1</v>
      </c>
      <c r="Z90" s="5" t="s">
        <v>983</v>
      </c>
      <c r="AA90" s="5">
        <v>3</v>
      </c>
      <c r="AB90" s="5">
        <v>2</v>
      </c>
      <c r="AC90" s="5">
        <v>0</v>
      </c>
      <c r="AD90" s="5">
        <v>0</v>
      </c>
      <c r="AE90" s="5">
        <v>5</v>
      </c>
      <c r="AF90" s="5" t="s">
        <v>981</v>
      </c>
      <c r="AG90" s="5">
        <v>2</v>
      </c>
      <c r="AH90" s="5">
        <v>1</v>
      </c>
      <c r="AI90" s="5">
        <v>0</v>
      </c>
      <c r="AJ90" s="5">
        <v>3</v>
      </c>
      <c r="AK90" s="5" t="s">
        <v>982</v>
      </c>
      <c r="AL90" s="5">
        <v>0</v>
      </c>
      <c r="AM90" s="5">
        <v>0</v>
      </c>
      <c r="AN90" s="5">
        <v>0</v>
      </c>
      <c r="AO90" s="5">
        <v>0</v>
      </c>
      <c r="AP90" s="5" t="s">
        <v>983</v>
      </c>
      <c r="AQ90" s="5">
        <v>0</v>
      </c>
      <c r="AR90" s="5">
        <v>0</v>
      </c>
      <c r="AS90" s="5">
        <v>0</v>
      </c>
      <c r="AT90" s="5">
        <v>0</v>
      </c>
      <c r="AU90" s="5">
        <v>0</v>
      </c>
      <c r="AV90" s="5">
        <v>0</v>
      </c>
      <c r="AW90" s="5">
        <v>0</v>
      </c>
      <c r="AX90" s="5">
        <v>0</v>
      </c>
      <c r="AY90" s="5" t="s">
        <v>983</v>
      </c>
      <c r="AZ90" s="1">
        <v>1</v>
      </c>
      <c r="BA90" s="1">
        <v>0</v>
      </c>
      <c r="BB90" s="1">
        <v>1</v>
      </c>
      <c r="BC90" s="1">
        <v>1</v>
      </c>
      <c r="BD90" s="1">
        <v>1</v>
      </c>
      <c r="BE90" s="1">
        <v>1</v>
      </c>
      <c r="BF90" s="1">
        <v>49</v>
      </c>
      <c r="BG90" s="1">
        <v>1</v>
      </c>
      <c r="BH90" s="1">
        <v>12</v>
      </c>
      <c r="BI90" s="1">
        <v>15</v>
      </c>
      <c r="BJ90" s="1">
        <v>750000</v>
      </c>
      <c r="BK90" s="1">
        <v>3</v>
      </c>
    </row>
    <row r="91" spans="1:63" ht="12.75" customHeight="1" x14ac:dyDescent="0.15">
      <c r="A91" s="5" t="s">
        <v>238</v>
      </c>
      <c r="B91" s="5" t="s">
        <v>238</v>
      </c>
      <c r="C91" s="5">
        <v>2</v>
      </c>
      <c r="D91" s="5">
        <v>2</v>
      </c>
      <c r="E91" s="5">
        <v>2</v>
      </c>
      <c r="F91" s="5">
        <v>3</v>
      </c>
      <c r="G91" s="5">
        <v>3</v>
      </c>
      <c r="H91" s="5">
        <v>3</v>
      </c>
      <c r="I91" s="5">
        <v>2</v>
      </c>
      <c r="J91" s="5">
        <v>2</v>
      </c>
      <c r="K91" s="5">
        <v>2</v>
      </c>
      <c r="L91" s="5">
        <v>2</v>
      </c>
      <c r="M91" s="5">
        <v>2</v>
      </c>
      <c r="N91" s="5">
        <v>2</v>
      </c>
      <c r="O91" s="5">
        <v>27</v>
      </c>
      <c r="P91" s="5" t="s">
        <v>981</v>
      </c>
      <c r="Q91" s="5">
        <v>1</v>
      </c>
      <c r="R91" s="5">
        <v>0</v>
      </c>
      <c r="S91" s="5">
        <v>0</v>
      </c>
      <c r="T91" s="5">
        <v>1</v>
      </c>
      <c r="U91" s="5" t="s">
        <v>983</v>
      </c>
      <c r="V91" s="5">
        <v>2</v>
      </c>
      <c r="W91" s="5">
        <v>2</v>
      </c>
      <c r="X91" s="5">
        <v>1</v>
      </c>
      <c r="Y91" s="5">
        <v>5</v>
      </c>
      <c r="Z91" s="5" t="s">
        <v>982</v>
      </c>
      <c r="AA91" s="5">
        <v>4</v>
      </c>
      <c r="AB91" s="5">
        <v>4</v>
      </c>
      <c r="AC91" s="5">
        <v>4</v>
      </c>
      <c r="AD91" s="5">
        <v>0</v>
      </c>
      <c r="AE91" s="5">
        <v>12</v>
      </c>
      <c r="AF91" s="5" t="s">
        <v>981</v>
      </c>
      <c r="AG91" s="5">
        <v>0</v>
      </c>
      <c r="AH91" s="5">
        <v>0</v>
      </c>
      <c r="AI91" s="5">
        <v>2</v>
      </c>
      <c r="AJ91" s="5">
        <v>2</v>
      </c>
      <c r="AK91" s="5" t="s">
        <v>983</v>
      </c>
      <c r="AL91" s="5">
        <v>1</v>
      </c>
      <c r="AM91" s="5">
        <v>1</v>
      </c>
      <c r="AN91" s="5">
        <v>0</v>
      </c>
      <c r="AO91" s="5">
        <v>2</v>
      </c>
      <c r="AP91" s="5" t="s">
        <v>983</v>
      </c>
      <c r="AQ91" s="5">
        <v>0</v>
      </c>
      <c r="AR91" s="5">
        <v>0</v>
      </c>
      <c r="AS91" s="5">
        <v>0</v>
      </c>
      <c r="AT91" s="5">
        <v>0</v>
      </c>
      <c r="AU91" s="5">
        <v>0</v>
      </c>
      <c r="AV91" s="5">
        <v>0</v>
      </c>
      <c r="AW91" s="5">
        <v>0</v>
      </c>
      <c r="AX91" s="5">
        <v>0</v>
      </c>
      <c r="AY91" s="5" t="s">
        <v>983</v>
      </c>
      <c r="AZ91" s="1">
        <v>1</v>
      </c>
      <c r="BA91" s="1">
        <v>0</v>
      </c>
      <c r="BB91" s="1">
        <v>1</v>
      </c>
      <c r="BC91" s="1">
        <v>1</v>
      </c>
      <c r="BD91" s="1">
        <v>1</v>
      </c>
      <c r="BE91" s="1">
        <v>1</v>
      </c>
      <c r="BF91" s="1">
        <v>0</v>
      </c>
      <c r="BG91" s="1">
        <v>1</v>
      </c>
      <c r="BH91" s="1">
        <v>17</v>
      </c>
      <c r="BI91" s="1">
        <v>34</v>
      </c>
      <c r="BJ91" s="1">
        <v>850000</v>
      </c>
      <c r="BK91" s="1">
        <v>3</v>
      </c>
    </row>
    <row r="92" spans="1:63" ht="12.75" customHeight="1" x14ac:dyDescent="0.15">
      <c r="A92" s="5" t="s">
        <v>238</v>
      </c>
      <c r="B92" s="5" t="s">
        <v>238</v>
      </c>
      <c r="C92" s="5">
        <v>2</v>
      </c>
      <c r="D92" s="5">
        <v>1</v>
      </c>
      <c r="E92" s="5">
        <v>2</v>
      </c>
      <c r="F92" s="5">
        <v>4</v>
      </c>
      <c r="G92" s="5">
        <v>2</v>
      </c>
      <c r="H92" s="5">
        <v>3</v>
      </c>
      <c r="I92" s="5">
        <v>1</v>
      </c>
      <c r="J92" s="5">
        <v>2</v>
      </c>
      <c r="K92" s="5">
        <v>1</v>
      </c>
      <c r="L92" s="5">
        <v>1</v>
      </c>
      <c r="M92" s="5">
        <v>1</v>
      </c>
      <c r="N92" s="5">
        <v>1</v>
      </c>
      <c r="O92" s="5">
        <v>21</v>
      </c>
      <c r="P92" s="5" t="s">
        <v>982</v>
      </c>
      <c r="Q92" s="5">
        <v>4</v>
      </c>
      <c r="R92" s="5">
        <v>3</v>
      </c>
      <c r="S92" s="5">
        <v>3</v>
      </c>
      <c r="T92" s="5">
        <v>10</v>
      </c>
      <c r="U92" s="5" t="s">
        <v>981</v>
      </c>
      <c r="V92" s="5">
        <v>3</v>
      </c>
      <c r="W92" s="5">
        <v>4</v>
      </c>
      <c r="X92" s="5">
        <v>3</v>
      </c>
      <c r="Y92" s="5">
        <v>10</v>
      </c>
      <c r="Z92" s="5" t="s">
        <v>981</v>
      </c>
      <c r="AA92" s="5">
        <v>1</v>
      </c>
      <c r="AB92" s="5">
        <v>2</v>
      </c>
      <c r="AC92" s="5">
        <v>1</v>
      </c>
      <c r="AD92" s="5">
        <v>1</v>
      </c>
      <c r="AE92" s="5">
        <v>5</v>
      </c>
      <c r="AF92" s="5" t="s">
        <v>981</v>
      </c>
      <c r="AG92" s="5">
        <v>3</v>
      </c>
      <c r="AH92" s="5">
        <v>3</v>
      </c>
      <c r="AI92" s="5">
        <v>3</v>
      </c>
      <c r="AJ92" s="5">
        <v>9</v>
      </c>
      <c r="AK92" s="5" t="s">
        <v>981</v>
      </c>
      <c r="AL92" s="5">
        <v>3</v>
      </c>
      <c r="AM92" s="5">
        <v>3</v>
      </c>
      <c r="AN92" s="5">
        <v>3</v>
      </c>
      <c r="AO92" s="5">
        <v>9</v>
      </c>
      <c r="AP92" s="5" t="s">
        <v>981</v>
      </c>
      <c r="AQ92" s="5">
        <v>0</v>
      </c>
      <c r="AR92" s="5">
        <v>1</v>
      </c>
      <c r="AS92" s="5">
        <v>0</v>
      </c>
      <c r="AT92" s="5">
        <v>0</v>
      </c>
      <c r="AU92" s="5">
        <v>0</v>
      </c>
      <c r="AV92" s="5">
        <v>0</v>
      </c>
      <c r="AW92" s="5">
        <v>0</v>
      </c>
      <c r="AX92" s="5">
        <v>1</v>
      </c>
      <c r="AY92" s="5" t="s">
        <v>982</v>
      </c>
      <c r="AZ92" s="1">
        <v>1</v>
      </c>
      <c r="BA92" s="1">
        <v>0</v>
      </c>
      <c r="BB92" s="1">
        <v>0</v>
      </c>
      <c r="BC92" s="1">
        <v>1</v>
      </c>
      <c r="BD92" s="1">
        <v>1</v>
      </c>
      <c r="BE92" s="1">
        <v>1</v>
      </c>
      <c r="BF92" s="1">
        <v>29</v>
      </c>
      <c r="BG92" s="1">
        <v>1</v>
      </c>
      <c r="BH92" s="1">
        <v>14</v>
      </c>
      <c r="BI92" s="1">
        <v>11</v>
      </c>
      <c r="BJ92" s="1">
        <v>0</v>
      </c>
      <c r="BK92" s="1">
        <v>2</v>
      </c>
    </row>
    <row r="93" spans="1:63" ht="12.75" customHeight="1" x14ac:dyDescent="0.15">
      <c r="A93" s="5" t="s">
        <v>238</v>
      </c>
      <c r="B93" s="5" t="s">
        <v>238</v>
      </c>
      <c r="C93" s="5">
        <v>1</v>
      </c>
      <c r="D93" s="5">
        <v>1</v>
      </c>
      <c r="E93" s="5">
        <v>1</v>
      </c>
      <c r="F93" s="5">
        <v>1</v>
      </c>
      <c r="G93" s="5">
        <v>1</v>
      </c>
      <c r="H93" s="5">
        <v>1</v>
      </c>
      <c r="I93" s="5">
        <v>1</v>
      </c>
      <c r="J93" s="5">
        <v>1</v>
      </c>
      <c r="K93" s="5">
        <v>1</v>
      </c>
      <c r="L93" s="5">
        <v>1</v>
      </c>
      <c r="M93" s="5">
        <v>1</v>
      </c>
      <c r="N93" s="5">
        <v>1</v>
      </c>
      <c r="O93" s="5">
        <v>12</v>
      </c>
      <c r="P93" s="5" t="s">
        <v>983</v>
      </c>
      <c r="Q93" s="5">
        <v>0</v>
      </c>
      <c r="R93" s="5">
        <v>1</v>
      </c>
      <c r="S93" s="5">
        <v>0</v>
      </c>
      <c r="T93" s="5">
        <v>1</v>
      </c>
      <c r="U93" s="5" t="s">
        <v>983</v>
      </c>
      <c r="V93" s="5">
        <v>0</v>
      </c>
      <c r="W93" s="5">
        <v>2</v>
      </c>
      <c r="X93" s="5">
        <v>0</v>
      </c>
      <c r="Y93" s="5">
        <v>2</v>
      </c>
      <c r="Z93" s="5" t="s">
        <v>982</v>
      </c>
      <c r="AA93" s="5">
        <v>3</v>
      </c>
      <c r="AB93" s="5">
        <v>0</v>
      </c>
      <c r="AC93" s="5">
        <v>0</v>
      </c>
      <c r="AD93" s="5">
        <v>0</v>
      </c>
      <c r="AE93" s="5">
        <v>3</v>
      </c>
      <c r="AF93" s="5" t="s">
        <v>982</v>
      </c>
      <c r="AG93" s="5">
        <v>0</v>
      </c>
      <c r="AH93" s="5">
        <v>0</v>
      </c>
      <c r="AI93" s="5">
        <v>1</v>
      </c>
      <c r="AJ93" s="5">
        <v>1</v>
      </c>
      <c r="AK93" s="5" t="s">
        <v>983</v>
      </c>
      <c r="AL93" s="5">
        <v>0</v>
      </c>
      <c r="AM93" s="5">
        <v>0</v>
      </c>
      <c r="AN93" s="5">
        <v>0</v>
      </c>
      <c r="AO93" s="5">
        <v>0</v>
      </c>
      <c r="AP93" s="5" t="s">
        <v>983</v>
      </c>
      <c r="AQ93" s="5">
        <v>0</v>
      </c>
      <c r="AR93" s="5">
        <v>0</v>
      </c>
      <c r="AS93" s="5">
        <v>0</v>
      </c>
      <c r="AT93" s="5">
        <v>0</v>
      </c>
      <c r="AU93" s="5">
        <v>0</v>
      </c>
      <c r="AV93" s="5">
        <v>0</v>
      </c>
      <c r="AW93" s="5">
        <v>0</v>
      </c>
      <c r="AX93" s="5">
        <v>0</v>
      </c>
      <c r="AY93" s="5" t="s">
        <v>983</v>
      </c>
      <c r="AZ93" s="1">
        <v>1</v>
      </c>
      <c r="BA93" s="1">
        <v>0</v>
      </c>
      <c r="BB93" s="1">
        <v>1</v>
      </c>
      <c r="BC93" s="1">
        <v>1</v>
      </c>
      <c r="BD93" s="1">
        <v>1</v>
      </c>
      <c r="BE93" s="1">
        <v>1</v>
      </c>
      <c r="BF93" s="1">
        <v>62</v>
      </c>
      <c r="BG93" s="1">
        <v>1</v>
      </c>
      <c r="BH93" s="1">
        <v>10</v>
      </c>
      <c r="BI93" s="1">
        <v>1</v>
      </c>
      <c r="BJ93" s="1">
        <v>500000</v>
      </c>
      <c r="BK93" s="1">
        <v>3</v>
      </c>
    </row>
    <row r="94" spans="1:63" ht="12.75" customHeight="1" x14ac:dyDescent="0.15">
      <c r="A94" s="5" t="s">
        <v>238</v>
      </c>
      <c r="B94" s="5" t="s">
        <v>238</v>
      </c>
      <c r="C94" s="5">
        <v>2</v>
      </c>
      <c r="D94" s="5">
        <v>1</v>
      </c>
      <c r="E94" s="5">
        <v>1</v>
      </c>
      <c r="F94" s="5">
        <v>1</v>
      </c>
      <c r="G94" s="5">
        <v>1</v>
      </c>
      <c r="H94" s="5">
        <v>1</v>
      </c>
      <c r="I94" s="5">
        <v>1</v>
      </c>
      <c r="J94" s="5">
        <v>4</v>
      </c>
      <c r="K94" s="5">
        <v>1</v>
      </c>
      <c r="L94" s="5">
        <v>1</v>
      </c>
      <c r="M94" s="5">
        <v>1</v>
      </c>
      <c r="N94" s="5">
        <v>1</v>
      </c>
      <c r="O94" s="5">
        <v>16</v>
      </c>
      <c r="P94" s="5" t="s">
        <v>983</v>
      </c>
      <c r="Q94" s="5">
        <v>1</v>
      </c>
      <c r="R94" s="5">
        <v>1</v>
      </c>
      <c r="S94" s="5">
        <v>1</v>
      </c>
      <c r="T94" s="5">
        <v>3</v>
      </c>
      <c r="U94" s="5" t="s">
        <v>982</v>
      </c>
      <c r="V94" s="5">
        <v>1</v>
      </c>
      <c r="W94" s="5">
        <v>1</v>
      </c>
      <c r="X94" s="5">
        <v>1</v>
      </c>
      <c r="Y94" s="5">
        <v>3</v>
      </c>
      <c r="Z94" s="5" t="s">
        <v>982</v>
      </c>
      <c r="AA94" s="5">
        <v>3</v>
      </c>
      <c r="AB94" s="5">
        <v>3</v>
      </c>
      <c r="AC94" s="5">
        <v>3</v>
      </c>
      <c r="AD94" s="5">
        <v>3</v>
      </c>
      <c r="AE94" s="5">
        <v>12</v>
      </c>
      <c r="AF94" s="5" t="s">
        <v>981</v>
      </c>
      <c r="AG94" s="5">
        <v>1</v>
      </c>
      <c r="AH94" s="5">
        <v>1</v>
      </c>
      <c r="AI94" s="5">
        <v>1</v>
      </c>
      <c r="AJ94" s="5">
        <v>3</v>
      </c>
      <c r="AK94" s="5" t="s">
        <v>982</v>
      </c>
      <c r="AL94" s="5">
        <v>1</v>
      </c>
      <c r="AM94" s="5">
        <v>1</v>
      </c>
      <c r="AN94" s="5">
        <v>1</v>
      </c>
      <c r="AO94" s="5">
        <v>3</v>
      </c>
      <c r="AP94" s="5" t="s">
        <v>982</v>
      </c>
      <c r="AQ94" s="5">
        <v>0</v>
      </c>
      <c r="AR94" s="5">
        <v>0</v>
      </c>
      <c r="AS94" s="5">
        <v>0</v>
      </c>
      <c r="AT94" s="5">
        <v>0</v>
      </c>
      <c r="AU94" s="5">
        <v>0</v>
      </c>
      <c r="AV94" s="5">
        <v>0</v>
      </c>
      <c r="AW94" s="5">
        <v>0</v>
      </c>
      <c r="AX94" s="5">
        <v>0</v>
      </c>
      <c r="AY94" s="5" t="s">
        <v>983</v>
      </c>
      <c r="AZ94" s="1">
        <v>0</v>
      </c>
      <c r="BA94" s="1">
        <v>0</v>
      </c>
      <c r="BB94" s="1">
        <v>0</v>
      </c>
      <c r="BC94" s="1">
        <v>1</v>
      </c>
      <c r="BD94" s="1">
        <v>1</v>
      </c>
      <c r="BE94" s="1">
        <v>1</v>
      </c>
      <c r="BF94" s="1">
        <v>41</v>
      </c>
      <c r="BG94" s="1">
        <v>1</v>
      </c>
      <c r="BH94" s="1">
        <v>15</v>
      </c>
      <c r="BI94" s="1">
        <v>7</v>
      </c>
      <c r="BJ94" s="1">
        <v>564000</v>
      </c>
      <c r="BK94" s="1">
        <v>5</v>
      </c>
    </row>
    <row r="95" spans="1:63" ht="12.75" customHeight="1" x14ac:dyDescent="0.15">
      <c r="A95" s="5" t="s">
        <v>238</v>
      </c>
      <c r="B95" s="5" t="s">
        <v>238</v>
      </c>
      <c r="C95" s="5">
        <v>3</v>
      </c>
      <c r="D95" s="5">
        <v>3</v>
      </c>
      <c r="E95" s="5">
        <v>3</v>
      </c>
      <c r="F95" s="5">
        <v>3</v>
      </c>
      <c r="G95" s="5">
        <v>3</v>
      </c>
      <c r="H95" s="5">
        <v>3</v>
      </c>
      <c r="I95" s="5">
        <v>1</v>
      </c>
      <c r="J95" s="5">
        <v>1</v>
      </c>
      <c r="K95" s="5">
        <v>1</v>
      </c>
      <c r="L95" s="5">
        <v>4</v>
      </c>
      <c r="M95" s="5">
        <v>1</v>
      </c>
      <c r="N95" s="5">
        <v>4</v>
      </c>
      <c r="O95" s="5">
        <v>30</v>
      </c>
      <c r="P95" s="5" t="s">
        <v>981</v>
      </c>
      <c r="Q95" s="5">
        <v>3</v>
      </c>
      <c r="R95" s="5">
        <v>3</v>
      </c>
      <c r="S95" s="5">
        <v>1</v>
      </c>
      <c r="T95" s="5">
        <v>7</v>
      </c>
      <c r="U95" s="5" t="s">
        <v>981</v>
      </c>
      <c r="V95" s="5">
        <v>1</v>
      </c>
      <c r="W95" s="5">
        <v>1</v>
      </c>
      <c r="X95" s="5">
        <v>4</v>
      </c>
      <c r="Y95" s="5">
        <v>6</v>
      </c>
      <c r="Z95" s="5" t="s">
        <v>981</v>
      </c>
      <c r="AA95" s="5">
        <v>2</v>
      </c>
      <c r="AB95" s="5">
        <v>3</v>
      </c>
      <c r="AC95" s="5">
        <v>4</v>
      </c>
      <c r="AD95" s="5">
        <v>0</v>
      </c>
      <c r="AE95" s="5">
        <v>9</v>
      </c>
      <c r="AF95" s="5" t="s">
        <v>981</v>
      </c>
      <c r="AG95" s="5">
        <v>1</v>
      </c>
      <c r="AH95" s="5">
        <v>1</v>
      </c>
      <c r="AI95" s="5">
        <v>0</v>
      </c>
      <c r="AJ95" s="5">
        <v>2</v>
      </c>
      <c r="AK95" s="5" t="s">
        <v>983</v>
      </c>
      <c r="AL95" s="5">
        <v>0</v>
      </c>
      <c r="AM95" s="5">
        <v>4</v>
      </c>
      <c r="AN95" s="5">
        <v>4</v>
      </c>
      <c r="AO95" s="5">
        <v>8</v>
      </c>
      <c r="AP95" s="5" t="s">
        <v>981</v>
      </c>
      <c r="AQ95" s="5">
        <v>0</v>
      </c>
      <c r="AR95" s="5">
        <v>0</v>
      </c>
      <c r="AS95" s="5">
        <v>0</v>
      </c>
      <c r="AT95" s="5">
        <v>0</v>
      </c>
      <c r="AU95" s="5">
        <v>0</v>
      </c>
      <c r="AV95" s="5">
        <v>0</v>
      </c>
      <c r="AW95" s="5">
        <v>0</v>
      </c>
      <c r="AX95" s="5">
        <v>0</v>
      </c>
      <c r="AY95" s="5" t="s">
        <v>983</v>
      </c>
      <c r="AZ95" s="1">
        <v>0</v>
      </c>
      <c r="BA95" s="1">
        <v>0</v>
      </c>
      <c r="BB95" s="1">
        <v>0</v>
      </c>
      <c r="BC95" s="1">
        <v>1</v>
      </c>
      <c r="BD95" s="1">
        <v>1</v>
      </c>
      <c r="BE95" s="1">
        <v>1</v>
      </c>
      <c r="BF95" s="1">
        <v>41</v>
      </c>
      <c r="BG95" s="1">
        <v>1</v>
      </c>
      <c r="BH95" s="1">
        <v>15</v>
      </c>
      <c r="BI95" s="1">
        <v>7</v>
      </c>
      <c r="BJ95" s="1">
        <v>564000</v>
      </c>
      <c r="BK95" s="1">
        <v>5</v>
      </c>
    </row>
    <row r="96" spans="1:63" ht="12.75" customHeight="1" x14ac:dyDescent="0.15">
      <c r="A96" s="5" t="s">
        <v>337</v>
      </c>
      <c r="B96" s="5" t="s">
        <v>984</v>
      </c>
      <c r="C96" s="5">
        <v>2</v>
      </c>
      <c r="D96" s="5">
        <v>1</v>
      </c>
      <c r="E96" s="5">
        <v>1</v>
      </c>
      <c r="F96" s="5">
        <v>1</v>
      </c>
      <c r="G96" s="5">
        <v>1</v>
      </c>
      <c r="H96" s="5">
        <v>1</v>
      </c>
      <c r="I96" s="5">
        <v>1</v>
      </c>
      <c r="J96" s="5">
        <v>1</v>
      </c>
      <c r="K96" s="5">
        <v>1</v>
      </c>
      <c r="L96" s="5">
        <v>1</v>
      </c>
      <c r="M96" s="5">
        <v>1</v>
      </c>
      <c r="N96" s="5">
        <v>1</v>
      </c>
      <c r="O96" s="5">
        <v>13</v>
      </c>
      <c r="P96" s="5" t="s">
        <v>983</v>
      </c>
      <c r="Q96" s="5">
        <v>3</v>
      </c>
      <c r="R96" s="5">
        <v>2</v>
      </c>
      <c r="S96" s="5">
        <v>1</v>
      </c>
      <c r="T96" s="5">
        <v>6</v>
      </c>
      <c r="U96" s="5" t="s">
        <v>981</v>
      </c>
      <c r="V96" s="5">
        <v>3</v>
      </c>
      <c r="W96" s="5">
        <v>3</v>
      </c>
      <c r="X96" s="5">
        <v>3</v>
      </c>
      <c r="Y96" s="5">
        <v>9</v>
      </c>
      <c r="Z96" s="5" t="s">
        <v>981</v>
      </c>
      <c r="AA96" s="5">
        <v>3</v>
      </c>
      <c r="AB96" s="5">
        <v>3</v>
      </c>
      <c r="AC96" s="5">
        <v>2</v>
      </c>
      <c r="AD96" s="5">
        <v>1</v>
      </c>
      <c r="AE96" s="5">
        <v>9</v>
      </c>
      <c r="AF96" s="5" t="s">
        <v>981</v>
      </c>
      <c r="AG96" s="5">
        <v>2</v>
      </c>
      <c r="AH96" s="5">
        <v>2</v>
      </c>
      <c r="AI96" s="5">
        <v>2</v>
      </c>
      <c r="AJ96" s="5">
        <v>6</v>
      </c>
      <c r="AK96" s="5" t="s">
        <v>981</v>
      </c>
      <c r="AL96" s="5">
        <v>2</v>
      </c>
      <c r="AM96" s="5">
        <v>2</v>
      </c>
      <c r="AN96" s="5">
        <v>2</v>
      </c>
      <c r="AO96" s="5">
        <v>6</v>
      </c>
      <c r="AP96" s="5" t="s">
        <v>981</v>
      </c>
      <c r="AQ96" s="5">
        <v>0</v>
      </c>
      <c r="AR96" s="5">
        <v>0</v>
      </c>
      <c r="AS96" s="5">
        <v>0</v>
      </c>
      <c r="AT96" s="5">
        <v>0</v>
      </c>
      <c r="AU96" s="5">
        <v>0</v>
      </c>
      <c r="AV96" s="5">
        <v>0</v>
      </c>
      <c r="AW96" s="5">
        <v>0</v>
      </c>
      <c r="AX96" s="5">
        <v>0</v>
      </c>
      <c r="AY96" s="5" t="s">
        <v>983</v>
      </c>
      <c r="AZ96" s="1">
        <v>1</v>
      </c>
      <c r="BA96" s="1">
        <v>0</v>
      </c>
      <c r="BB96" s="1">
        <v>1</v>
      </c>
      <c r="BC96" s="1">
        <v>1</v>
      </c>
      <c r="BD96" s="1">
        <v>1</v>
      </c>
      <c r="BE96" s="1">
        <v>1</v>
      </c>
      <c r="BF96" s="1">
        <v>44</v>
      </c>
      <c r="BG96" s="1">
        <v>0</v>
      </c>
      <c r="BH96" s="1">
        <v>16</v>
      </c>
      <c r="BI96" s="1">
        <v>13</v>
      </c>
      <c r="BJ96" s="1">
        <v>1300000</v>
      </c>
      <c r="BK96" s="1">
        <v>3</v>
      </c>
    </row>
    <row r="97" spans="1:63" ht="12.75" customHeight="1" x14ac:dyDescent="0.15">
      <c r="A97" s="5" t="s">
        <v>238</v>
      </c>
      <c r="B97" s="5" t="s">
        <v>238</v>
      </c>
      <c r="C97" s="5">
        <v>1</v>
      </c>
      <c r="D97" s="5">
        <v>1</v>
      </c>
      <c r="E97" s="5">
        <v>2</v>
      </c>
      <c r="F97" s="5">
        <v>1</v>
      </c>
      <c r="G97" s="5">
        <v>1</v>
      </c>
      <c r="H97" s="5">
        <v>1</v>
      </c>
      <c r="I97" s="5">
        <v>1</v>
      </c>
      <c r="J97" s="5">
        <v>2</v>
      </c>
      <c r="K97" s="5">
        <v>2</v>
      </c>
      <c r="L97" s="5">
        <v>2</v>
      </c>
      <c r="M97" s="5">
        <v>2</v>
      </c>
      <c r="N97" s="5">
        <v>2</v>
      </c>
      <c r="O97" s="5">
        <v>18</v>
      </c>
      <c r="P97" s="5" t="s">
        <v>983</v>
      </c>
      <c r="Q97" s="5">
        <v>0</v>
      </c>
      <c r="R97" s="5">
        <v>0</v>
      </c>
      <c r="S97" s="5">
        <v>0</v>
      </c>
      <c r="T97" s="5">
        <v>0</v>
      </c>
      <c r="U97" s="5" t="s">
        <v>983</v>
      </c>
      <c r="V97" s="5">
        <v>0</v>
      </c>
      <c r="W97" s="5">
        <v>0</v>
      </c>
      <c r="X97" s="5">
        <v>0</v>
      </c>
      <c r="Y97" s="5">
        <v>0</v>
      </c>
      <c r="Z97" s="5" t="s">
        <v>983</v>
      </c>
      <c r="AA97" s="5">
        <v>4</v>
      </c>
      <c r="AB97" s="5">
        <v>4</v>
      </c>
      <c r="AC97" s="5">
        <v>4</v>
      </c>
      <c r="AD97" s="5">
        <v>4</v>
      </c>
      <c r="AE97" s="5">
        <v>16</v>
      </c>
      <c r="AF97" s="5" t="s">
        <v>981</v>
      </c>
      <c r="AG97" s="5">
        <v>0</v>
      </c>
      <c r="AH97" s="5">
        <v>0</v>
      </c>
      <c r="AI97" s="5">
        <v>0</v>
      </c>
      <c r="AJ97" s="5">
        <v>0</v>
      </c>
      <c r="AK97" s="5" t="s">
        <v>983</v>
      </c>
      <c r="AL97" s="5">
        <v>0</v>
      </c>
      <c r="AM97" s="5">
        <v>0</v>
      </c>
      <c r="AN97" s="5">
        <v>0</v>
      </c>
      <c r="AO97" s="5">
        <v>0</v>
      </c>
      <c r="AP97" s="5" t="s">
        <v>983</v>
      </c>
      <c r="AQ97" s="5">
        <v>0</v>
      </c>
      <c r="AR97" s="5">
        <v>0</v>
      </c>
      <c r="AS97" s="5">
        <v>0</v>
      </c>
      <c r="AT97" s="5">
        <v>0</v>
      </c>
      <c r="AU97" s="5">
        <v>0</v>
      </c>
      <c r="AV97" s="5">
        <v>0</v>
      </c>
      <c r="AW97" s="5">
        <v>0</v>
      </c>
      <c r="AX97" s="5">
        <v>0</v>
      </c>
      <c r="AY97" s="5" t="s">
        <v>983</v>
      </c>
      <c r="AZ97" s="1">
        <v>1</v>
      </c>
      <c r="BA97" s="1">
        <v>0</v>
      </c>
      <c r="BB97" s="1">
        <v>1</v>
      </c>
      <c r="BC97" s="1">
        <v>1</v>
      </c>
      <c r="BD97" s="1">
        <v>1</v>
      </c>
      <c r="BE97" s="1">
        <v>1</v>
      </c>
      <c r="BF97" s="1">
        <v>29</v>
      </c>
      <c r="BG97" s="1">
        <v>0</v>
      </c>
      <c r="BH97" s="1">
        <v>8</v>
      </c>
      <c r="BI97" s="1">
        <v>1</v>
      </c>
      <c r="BJ97" s="1">
        <v>380000</v>
      </c>
      <c r="BK97" s="1">
        <v>3</v>
      </c>
    </row>
    <row r="98" spans="1:63" ht="12.75" customHeight="1" x14ac:dyDescent="0.15">
      <c r="A98" s="5" t="s">
        <v>330</v>
      </c>
      <c r="B98" s="5" t="s">
        <v>984</v>
      </c>
      <c r="C98" s="5">
        <v>2</v>
      </c>
      <c r="D98" s="5">
        <v>2</v>
      </c>
      <c r="E98" s="5">
        <v>2</v>
      </c>
      <c r="F98" s="5">
        <v>3</v>
      </c>
      <c r="G98" s="5">
        <v>1</v>
      </c>
      <c r="H98" s="5">
        <v>2</v>
      </c>
      <c r="I98" s="5">
        <v>1</v>
      </c>
      <c r="J98" s="5">
        <v>2</v>
      </c>
      <c r="K98" s="5">
        <v>2</v>
      </c>
      <c r="L98" s="5">
        <v>4</v>
      </c>
      <c r="M98" s="5">
        <v>2</v>
      </c>
      <c r="N98" s="5">
        <v>4</v>
      </c>
      <c r="O98" s="5">
        <v>27</v>
      </c>
      <c r="P98" s="5" t="s">
        <v>981</v>
      </c>
      <c r="Q98" s="5">
        <v>2</v>
      </c>
      <c r="R98" s="5">
        <v>1</v>
      </c>
      <c r="S98" s="5">
        <v>1</v>
      </c>
      <c r="T98" s="5">
        <v>4</v>
      </c>
      <c r="U98" s="5" t="s">
        <v>982</v>
      </c>
      <c r="V98" s="5">
        <v>2</v>
      </c>
      <c r="W98" s="5">
        <v>1</v>
      </c>
      <c r="X98" s="5">
        <v>2</v>
      </c>
      <c r="Y98" s="5">
        <v>5</v>
      </c>
      <c r="Z98" s="5" t="s">
        <v>982</v>
      </c>
      <c r="AA98" s="5">
        <v>0</v>
      </c>
      <c r="AB98" s="5">
        <v>0</v>
      </c>
      <c r="AC98" s="5">
        <v>2</v>
      </c>
      <c r="AD98" s="5">
        <v>2</v>
      </c>
      <c r="AE98" s="5">
        <v>4</v>
      </c>
      <c r="AF98" s="5" t="s">
        <v>982</v>
      </c>
      <c r="AG98" s="5">
        <v>1</v>
      </c>
      <c r="AH98" s="5">
        <v>0</v>
      </c>
      <c r="AI98" s="5">
        <v>0</v>
      </c>
      <c r="AJ98" s="5">
        <v>1</v>
      </c>
      <c r="AK98" s="5" t="s">
        <v>983</v>
      </c>
      <c r="AL98" s="5">
        <v>1</v>
      </c>
      <c r="AM98" s="5">
        <v>1</v>
      </c>
      <c r="AN98" s="5">
        <v>0</v>
      </c>
      <c r="AO98" s="5">
        <v>2</v>
      </c>
      <c r="AP98" s="5" t="s">
        <v>983</v>
      </c>
      <c r="AQ98" s="5">
        <v>0</v>
      </c>
      <c r="AR98" s="5">
        <v>0</v>
      </c>
      <c r="AS98" s="5">
        <v>0</v>
      </c>
      <c r="AT98" s="5">
        <v>0</v>
      </c>
      <c r="AU98" s="5">
        <v>0</v>
      </c>
      <c r="AV98" s="5">
        <v>0</v>
      </c>
      <c r="AW98" s="5">
        <v>0</v>
      </c>
      <c r="AX98" s="5">
        <v>0</v>
      </c>
      <c r="AY98" s="5" t="s">
        <v>983</v>
      </c>
      <c r="AZ98" s="1">
        <v>1</v>
      </c>
      <c r="BA98" s="1">
        <v>0</v>
      </c>
      <c r="BB98" s="1">
        <v>1</v>
      </c>
      <c r="BC98" s="1">
        <v>1</v>
      </c>
      <c r="BD98" s="1">
        <v>0</v>
      </c>
      <c r="BE98" s="1">
        <v>1</v>
      </c>
      <c r="BF98" s="1">
        <v>48</v>
      </c>
      <c r="BG98" s="1">
        <v>0</v>
      </c>
      <c r="BH98" s="1">
        <v>15</v>
      </c>
      <c r="BI98" s="1">
        <v>5</v>
      </c>
      <c r="BJ98" s="1">
        <v>600000</v>
      </c>
      <c r="BK98" s="1">
        <v>1</v>
      </c>
    </row>
    <row r="99" spans="1:63" ht="12.75" customHeight="1" x14ac:dyDescent="0.15">
      <c r="A99" s="5" t="s">
        <v>238</v>
      </c>
      <c r="B99" s="5" t="s">
        <v>238</v>
      </c>
      <c r="C99" s="5">
        <v>1</v>
      </c>
      <c r="D99" s="5">
        <v>1</v>
      </c>
      <c r="E99" s="5">
        <v>1</v>
      </c>
      <c r="F99" s="5">
        <v>1</v>
      </c>
      <c r="G99" s="5">
        <v>1</v>
      </c>
      <c r="H99" s="5">
        <v>1</v>
      </c>
      <c r="I99" s="5">
        <v>1</v>
      </c>
      <c r="J99" s="5">
        <v>1</v>
      </c>
      <c r="K99" s="5">
        <v>1</v>
      </c>
      <c r="L99" s="5">
        <v>1</v>
      </c>
      <c r="M99" s="5">
        <v>1</v>
      </c>
      <c r="N99" s="5">
        <v>1</v>
      </c>
      <c r="O99" s="5">
        <v>12</v>
      </c>
      <c r="P99" s="5" t="s">
        <v>983</v>
      </c>
      <c r="Q99" s="5">
        <v>1</v>
      </c>
      <c r="R99" s="5">
        <v>1</v>
      </c>
      <c r="S99" s="5">
        <v>1</v>
      </c>
      <c r="T99" s="5">
        <v>3</v>
      </c>
      <c r="U99" s="5" t="s">
        <v>982</v>
      </c>
      <c r="V99" s="5">
        <v>1</v>
      </c>
      <c r="W99" s="5">
        <v>1</v>
      </c>
      <c r="X99" s="5">
        <v>1</v>
      </c>
      <c r="Y99" s="5">
        <v>3</v>
      </c>
      <c r="Z99" s="5" t="s">
        <v>982</v>
      </c>
      <c r="AA99" s="5">
        <v>3</v>
      </c>
      <c r="AB99" s="5">
        <v>3</v>
      </c>
      <c r="AC99" s="5">
        <v>3</v>
      </c>
      <c r="AD99" s="5">
        <v>3</v>
      </c>
      <c r="AE99" s="5">
        <v>12</v>
      </c>
      <c r="AF99" s="5" t="s">
        <v>981</v>
      </c>
      <c r="AG99" s="5">
        <v>1</v>
      </c>
      <c r="AH99" s="5">
        <v>1</v>
      </c>
      <c r="AI99" s="5">
        <v>1</v>
      </c>
      <c r="AJ99" s="5">
        <v>3</v>
      </c>
      <c r="AK99" s="5" t="s">
        <v>982</v>
      </c>
      <c r="AL99" s="5">
        <v>1</v>
      </c>
      <c r="AM99" s="5">
        <v>1</v>
      </c>
      <c r="AN99" s="5">
        <v>1</v>
      </c>
      <c r="AO99" s="5">
        <v>3</v>
      </c>
      <c r="AP99" s="5" t="s">
        <v>982</v>
      </c>
      <c r="AQ99" s="5">
        <v>0</v>
      </c>
      <c r="AR99" s="5">
        <v>0</v>
      </c>
      <c r="AS99" s="5">
        <v>0</v>
      </c>
      <c r="AT99" s="5">
        <v>0</v>
      </c>
      <c r="AU99" s="5">
        <v>0</v>
      </c>
      <c r="AV99" s="5">
        <v>0</v>
      </c>
      <c r="AW99" s="5">
        <v>0</v>
      </c>
      <c r="AX99" s="5">
        <v>0</v>
      </c>
      <c r="AY99" s="5" t="s">
        <v>983</v>
      </c>
      <c r="AZ99" s="1">
        <v>0</v>
      </c>
      <c r="BA99" s="1">
        <v>0</v>
      </c>
      <c r="BB99" s="1">
        <v>0</v>
      </c>
      <c r="BC99" s="1">
        <v>1</v>
      </c>
      <c r="BD99" s="1">
        <v>0</v>
      </c>
      <c r="BE99" s="1">
        <v>0</v>
      </c>
      <c r="BF99" s="1">
        <v>59</v>
      </c>
      <c r="BG99" s="1">
        <v>1</v>
      </c>
      <c r="BH99" s="1">
        <v>14</v>
      </c>
      <c r="BI99" s="1">
        <v>6</v>
      </c>
      <c r="BJ99" s="1">
        <v>3000000</v>
      </c>
      <c r="BK99" s="1">
        <v>3</v>
      </c>
    </row>
    <row r="100" spans="1:63" ht="12.75" customHeight="1" x14ac:dyDescent="0.15">
      <c r="A100" s="5" t="s">
        <v>330</v>
      </c>
      <c r="B100" s="5" t="s">
        <v>984</v>
      </c>
      <c r="C100" s="5">
        <v>4</v>
      </c>
      <c r="D100" s="5">
        <v>4</v>
      </c>
      <c r="E100" s="5">
        <v>4</v>
      </c>
      <c r="F100" s="5">
        <v>4</v>
      </c>
      <c r="G100" s="5">
        <v>4</v>
      </c>
      <c r="H100" s="5">
        <v>3</v>
      </c>
      <c r="I100" s="5">
        <v>3</v>
      </c>
      <c r="J100" s="5">
        <v>3</v>
      </c>
      <c r="K100" s="5">
        <v>3</v>
      </c>
      <c r="L100" s="5">
        <v>4</v>
      </c>
      <c r="M100" s="5">
        <v>3</v>
      </c>
      <c r="N100" s="5">
        <v>3</v>
      </c>
      <c r="O100" s="5">
        <v>42</v>
      </c>
      <c r="P100" s="5" t="s">
        <v>981</v>
      </c>
      <c r="Q100" s="5">
        <v>1</v>
      </c>
      <c r="R100" s="5">
        <v>1</v>
      </c>
      <c r="S100" s="5">
        <v>2</v>
      </c>
      <c r="T100" s="5">
        <v>4</v>
      </c>
      <c r="U100" s="5" t="s">
        <v>982</v>
      </c>
      <c r="V100" s="5">
        <v>3</v>
      </c>
      <c r="W100" s="5">
        <v>4</v>
      </c>
      <c r="X100" s="5">
        <v>2</v>
      </c>
      <c r="Y100" s="5">
        <v>9</v>
      </c>
      <c r="Z100" s="5" t="s">
        <v>981</v>
      </c>
      <c r="AA100" s="5">
        <v>2</v>
      </c>
      <c r="AB100" s="5">
        <v>2</v>
      </c>
      <c r="AC100" s="5">
        <v>3</v>
      </c>
      <c r="AD100" s="5">
        <v>0</v>
      </c>
      <c r="AE100" s="5">
        <v>7</v>
      </c>
      <c r="AF100" s="5" t="s">
        <v>981</v>
      </c>
      <c r="AG100" s="5">
        <v>3</v>
      </c>
      <c r="AH100" s="5">
        <v>4</v>
      </c>
      <c r="AI100" s="5">
        <v>4</v>
      </c>
      <c r="AJ100" s="5">
        <v>11</v>
      </c>
      <c r="AK100" s="5" t="s">
        <v>981</v>
      </c>
      <c r="AL100" s="5">
        <v>3</v>
      </c>
      <c r="AM100" s="5">
        <v>3</v>
      </c>
      <c r="AN100" s="5">
        <v>1</v>
      </c>
      <c r="AO100" s="5">
        <v>7</v>
      </c>
      <c r="AP100" s="5" t="s">
        <v>981</v>
      </c>
      <c r="AQ100" s="5">
        <v>1</v>
      </c>
      <c r="AR100" s="5">
        <v>0</v>
      </c>
      <c r="AS100" s="5">
        <v>0</v>
      </c>
      <c r="AT100" s="5">
        <v>0</v>
      </c>
      <c r="AU100" s="5">
        <v>0</v>
      </c>
      <c r="AV100" s="5">
        <v>0</v>
      </c>
      <c r="AW100" s="5">
        <v>0</v>
      </c>
      <c r="AX100" s="5">
        <v>1</v>
      </c>
      <c r="AY100" s="5" t="s">
        <v>982</v>
      </c>
      <c r="AZ100" s="1">
        <v>1</v>
      </c>
      <c r="BA100" s="1">
        <v>0</v>
      </c>
      <c r="BB100" s="1">
        <v>0</v>
      </c>
      <c r="BC100" s="1">
        <v>1</v>
      </c>
      <c r="BD100" s="1">
        <v>0</v>
      </c>
      <c r="BE100" s="1">
        <v>1</v>
      </c>
      <c r="BF100" s="1">
        <v>59</v>
      </c>
      <c r="BG100" s="1">
        <v>1</v>
      </c>
      <c r="BH100" s="1">
        <v>14</v>
      </c>
      <c r="BI100" s="1">
        <v>6</v>
      </c>
      <c r="BJ100" s="1">
        <v>3000000</v>
      </c>
      <c r="BK100" s="1">
        <v>3</v>
      </c>
    </row>
    <row r="101" spans="1:63" ht="12.75" customHeight="1" x14ac:dyDescent="0.15">
      <c r="A101" s="5" t="s">
        <v>238</v>
      </c>
      <c r="B101" s="5" t="s">
        <v>238</v>
      </c>
      <c r="C101" s="5">
        <v>3</v>
      </c>
      <c r="D101" s="5">
        <v>4</v>
      </c>
      <c r="E101" s="5">
        <v>3</v>
      </c>
      <c r="F101" s="5">
        <v>2</v>
      </c>
      <c r="G101" s="5">
        <v>1</v>
      </c>
      <c r="H101" s="5">
        <v>2</v>
      </c>
      <c r="I101" s="5">
        <v>2</v>
      </c>
      <c r="J101" s="5">
        <v>2</v>
      </c>
      <c r="K101" s="5">
        <v>3</v>
      </c>
      <c r="L101" s="5">
        <v>3</v>
      </c>
      <c r="M101" s="5">
        <v>3</v>
      </c>
      <c r="N101" s="5">
        <v>2</v>
      </c>
      <c r="O101" s="5">
        <v>30</v>
      </c>
      <c r="P101" s="5" t="s">
        <v>981</v>
      </c>
      <c r="Q101" s="5">
        <v>1</v>
      </c>
      <c r="R101" s="5">
        <v>3</v>
      </c>
      <c r="S101" s="5">
        <v>2</v>
      </c>
      <c r="T101" s="5">
        <v>6</v>
      </c>
      <c r="U101" s="5" t="s">
        <v>981</v>
      </c>
      <c r="V101" s="5">
        <v>1</v>
      </c>
      <c r="W101" s="5">
        <v>0</v>
      </c>
      <c r="X101" s="5">
        <v>1</v>
      </c>
      <c r="Y101" s="5">
        <v>2</v>
      </c>
      <c r="Z101" s="5" t="s">
        <v>982</v>
      </c>
      <c r="AA101" s="5">
        <v>4</v>
      </c>
      <c r="AB101" s="5">
        <v>4</v>
      </c>
      <c r="AC101" s="5">
        <v>0</v>
      </c>
      <c r="AD101" s="5">
        <v>0</v>
      </c>
      <c r="AE101" s="5">
        <v>8</v>
      </c>
      <c r="AF101" s="5" t="s">
        <v>981</v>
      </c>
      <c r="AG101" s="5">
        <v>3</v>
      </c>
      <c r="AH101" s="5">
        <v>0</v>
      </c>
      <c r="AI101" s="5">
        <v>0</v>
      </c>
      <c r="AJ101" s="5">
        <v>3</v>
      </c>
      <c r="AK101" s="5" t="s">
        <v>982</v>
      </c>
      <c r="AL101" s="5">
        <v>0</v>
      </c>
      <c r="AM101" s="5">
        <v>0</v>
      </c>
      <c r="AN101" s="5">
        <v>0</v>
      </c>
      <c r="AO101" s="5">
        <v>0</v>
      </c>
      <c r="AP101" s="5" t="s">
        <v>983</v>
      </c>
      <c r="AQ101" s="5">
        <v>0</v>
      </c>
      <c r="AR101" s="5">
        <v>0</v>
      </c>
      <c r="AS101" s="5">
        <v>0</v>
      </c>
      <c r="AT101" s="5">
        <v>0</v>
      </c>
      <c r="AU101" s="5">
        <v>0</v>
      </c>
      <c r="AV101" s="5">
        <v>0</v>
      </c>
      <c r="AW101" s="5">
        <v>0</v>
      </c>
      <c r="AX101" s="5">
        <v>0</v>
      </c>
      <c r="AY101" s="5" t="s">
        <v>983</v>
      </c>
      <c r="AZ101" s="1">
        <v>1</v>
      </c>
      <c r="BA101" s="1">
        <v>0</v>
      </c>
      <c r="BB101" s="1">
        <v>1</v>
      </c>
      <c r="BC101" s="1">
        <v>1</v>
      </c>
      <c r="BD101" s="1">
        <v>1</v>
      </c>
      <c r="BE101" s="1">
        <v>1</v>
      </c>
      <c r="BF101" s="1">
        <v>0</v>
      </c>
      <c r="BG101" s="1">
        <v>0</v>
      </c>
      <c r="BH101" s="1">
        <v>16</v>
      </c>
      <c r="BI101" s="1">
        <v>7</v>
      </c>
      <c r="BJ101" s="1">
        <v>1400</v>
      </c>
      <c r="BK101" s="1">
        <v>1</v>
      </c>
    </row>
    <row r="102" spans="1:63" ht="12.75" customHeight="1" x14ac:dyDescent="0.15">
      <c r="A102" s="5" t="s">
        <v>238</v>
      </c>
      <c r="B102" s="5" t="s">
        <v>238</v>
      </c>
      <c r="C102" s="5">
        <v>2</v>
      </c>
      <c r="D102" s="5">
        <v>3</v>
      </c>
      <c r="E102" s="5">
        <v>3</v>
      </c>
      <c r="F102" s="5">
        <v>3</v>
      </c>
      <c r="G102" s="5">
        <v>3</v>
      </c>
      <c r="H102" s="5">
        <v>3</v>
      </c>
      <c r="I102" s="5">
        <v>1</v>
      </c>
      <c r="J102" s="5">
        <v>1</v>
      </c>
      <c r="K102" s="5">
        <v>1</v>
      </c>
      <c r="L102" s="5">
        <v>3</v>
      </c>
      <c r="M102" s="5">
        <v>3</v>
      </c>
      <c r="N102" s="5">
        <v>1</v>
      </c>
      <c r="O102" s="5">
        <v>27</v>
      </c>
      <c r="P102" s="5" t="s">
        <v>981</v>
      </c>
      <c r="Q102" s="5">
        <v>4</v>
      </c>
      <c r="R102" s="5">
        <v>0</v>
      </c>
      <c r="S102" s="5">
        <v>0</v>
      </c>
      <c r="T102" s="5">
        <v>4</v>
      </c>
      <c r="U102" s="5" t="s">
        <v>982</v>
      </c>
      <c r="V102" s="5">
        <v>2</v>
      </c>
      <c r="W102" s="5">
        <v>2</v>
      </c>
      <c r="X102" s="5">
        <v>2</v>
      </c>
      <c r="Y102" s="5">
        <v>6</v>
      </c>
      <c r="Z102" s="5" t="s">
        <v>981</v>
      </c>
      <c r="AA102" s="5">
        <v>2</v>
      </c>
      <c r="AB102" s="5">
        <v>2</v>
      </c>
      <c r="AC102" s="5">
        <v>1</v>
      </c>
      <c r="AD102" s="5">
        <v>1</v>
      </c>
      <c r="AE102" s="5">
        <v>6</v>
      </c>
      <c r="AF102" s="5" t="s">
        <v>981</v>
      </c>
      <c r="AG102" s="5">
        <v>2</v>
      </c>
      <c r="AH102" s="5">
        <v>2</v>
      </c>
      <c r="AI102" s="5">
        <v>2</v>
      </c>
      <c r="AJ102" s="5">
        <v>6</v>
      </c>
      <c r="AK102" s="5" t="s">
        <v>981</v>
      </c>
      <c r="AL102" s="5">
        <v>4</v>
      </c>
      <c r="AM102" s="5">
        <v>4</v>
      </c>
      <c r="AN102" s="5">
        <v>4</v>
      </c>
      <c r="AO102" s="5">
        <v>12</v>
      </c>
      <c r="AP102" s="5" t="s">
        <v>981</v>
      </c>
      <c r="AQ102" s="5">
        <v>0</v>
      </c>
      <c r="AR102" s="5">
        <v>1</v>
      </c>
      <c r="AS102" s="5">
        <v>0</v>
      </c>
      <c r="AT102" s="5">
        <v>0</v>
      </c>
      <c r="AU102" s="5">
        <v>0</v>
      </c>
      <c r="AV102" s="5">
        <v>0</v>
      </c>
      <c r="AW102" s="5">
        <v>0</v>
      </c>
      <c r="AX102" s="5">
        <v>1</v>
      </c>
      <c r="AY102" s="5" t="s">
        <v>982</v>
      </c>
      <c r="AZ102" s="1">
        <v>1</v>
      </c>
      <c r="BA102" s="1">
        <v>0</v>
      </c>
      <c r="BB102" s="1">
        <v>0</v>
      </c>
      <c r="BC102" s="1">
        <v>1</v>
      </c>
      <c r="BD102" s="1">
        <v>1</v>
      </c>
      <c r="BE102" s="1">
        <v>1</v>
      </c>
      <c r="BF102" s="1">
        <v>39</v>
      </c>
      <c r="BG102" s="1">
        <v>1</v>
      </c>
      <c r="BH102" s="1">
        <v>15</v>
      </c>
      <c r="BI102" s="1">
        <v>5</v>
      </c>
      <c r="BJ102" s="1">
        <v>1030000</v>
      </c>
      <c r="BK102" s="1">
        <v>3</v>
      </c>
    </row>
    <row r="103" spans="1:63" ht="12.75" customHeight="1" x14ac:dyDescent="0.15">
      <c r="A103" s="5" t="s">
        <v>238</v>
      </c>
      <c r="B103" s="5" t="s">
        <v>238</v>
      </c>
      <c r="C103" s="5">
        <v>2</v>
      </c>
      <c r="D103" s="5">
        <v>3</v>
      </c>
      <c r="E103" s="5">
        <v>3</v>
      </c>
      <c r="F103" s="5">
        <v>3</v>
      </c>
      <c r="G103" s="5">
        <v>3</v>
      </c>
      <c r="H103" s="5">
        <v>3</v>
      </c>
      <c r="I103" s="5">
        <v>3</v>
      </c>
      <c r="J103" s="5">
        <v>3</v>
      </c>
      <c r="K103" s="5">
        <v>3</v>
      </c>
      <c r="L103" s="5">
        <v>2</v>
      </c>
      <c r="M103" s="5">
        <v>2</v>
      </c>
      <c r="N103" s="5">
        <v>2</v>
      </c>
      <c r="O103" s="5">
        <v>32</v>
      </c>
      <c r="P103" s="5" t="s">
        <v>981</v>
      </c>
      <c r="Q103" s="5">
        <v>3</v>
      </c>
      <c r="R103" s="5">
        <v>2</v>
      </c>
      <c r="S103" s="5">
        <v>2</v>
      </c>
      <c r="T103" s="5">
        <v>7</v>
      </c>
      <c r="U103" s="5" t="s">
        <v>981</v>
      </c>
      <c r="V103" s="5">
        <v>0</v>
      </c>
      <c r="W103" s="5">
        <v>0</v>
      </c>
      <c r="X103" s="5">
        <v>2</v>
      </c>
      <c r="Y103" s="5">
        <v>2</v>
      </c>
      <c r="Z103" s="5" t="s">
        <v>982</v>
      </c>
      <c r="AA103" s="5">
        <v>3</v>
      </c>
      <c r="AB103" s="5">
        <v>2</v>
      </c>
      <c r="AC103" s="5">
        <v>2</v>
      </c>
      <c r="AD103" s="5">
        <v>1</v>
      </c>
      <c r="AE103" s="5">
        <v>8</v>
      </c>
      <c r="AF103" s="5" t="s">
        <v>981</v>
      </c>
      <c r="AG103" s="5">
        <v>4</v>
      </c>
      <c r="AH103" s="5">
        <v>0</v>
      </c>
      <c r="AI103" s="5">
        <v>4</v>
      </c>
      <c r="AJ103" s="5">
        <v>8</v>
      </c>
      <c r="AK103" s="5" t="s">
        <v>981</v>
      </c>
      <c r="AL103" s="5">
        <v>2</v>
      </c>
      <c r="AM103" s="5">
        <v>3</v>
      </c>
      <c r="AN103" s="5">
        <v>2</v>
      </c>
      <c r="AO103" s="5">
        <v>7</v>
      </c>
      <c r="AP103" s="5" t="s">
        <v>981</v>
      </c>
      <c r="AQ103" s="5">
        <v>1</v>
      </c>
      <c r="AR103" s="5">
        <v>0</v>
      </c>
      <c r="AS103" s="5">
        <v>0</v>
      </c>
      <c r="AT103" s="5">
        <v>0</v>
      </c>
      <c r="AU103" s="5">
        <v>0</v>
      </c>
      <c r="AV103" s="5">
        <v>0</v>
      </c>
      <c r="AW103" s="5">
        <v>1</v>
      </c>
      <c r="AX103" s="5">
        <v>2</v>
      </c>
      <c r="AY103" s="5" t="s">
        <v>982</v>
      </c>
      <c r="AZ103" s="1">
        <v>0</v>
      </c>
      <c r="BA103" s="1">
        <v>0</v>
      </c>
      <c r="BB103" s="1">
        <v>0</v>
      </c>
      <c r="BC103" s="1">
        <v>1</v>
      </c>
      <c r="BD103" s="1">
        <v>1</v>
      </c>
      <c r="BE103" s="1">
        <v>1</v>
      </c>
      <c r="BF103" s="1">
        <v>64</v>
      </c>
      <c r="BG103" s="1">
        <v>0</v>
      </c>
      <c r="BH103" s="1">
        <v>14</v>
      </c>
      <c r="BI103" s="1">
        <v>34</v>
      </c>
      <c r="BJ103" s="1">
        <v>1890000</v>
      </c>
      <c r="BK103" s="1">
        <v>3</v>
      </c>
    </row>
    <row r="104" spans="1:63" ht="12.75" customHeight="1" x14ac:dyDescent="0.15">
      <c r="A104" s="5" t="s">
        <v>238</v>
      </c>
      <c r="B104" s="5" t="s">
        <v>238</v>
      </c>
      <c r="C104" s="5">
        <v>2</v>
      </c>
      <c r="D104" s="5">
        <v>3</v>
      </c>
      <c r="E104" s="5">
        <v>2</v>
      </c>
      <c r="F104" s="5">
        <v>2</v>
      </c>
      <c r="G104" s="5">
        <v>2</v>
      </c>
      <c r="H104" s="5">
        <v>2</v>
      </c>
      <c r="I104" s="5">
        <v>1</v>
      </c>
      <c r="J104" s="5">
        <v>4</v>
      </c>
      <c r="K104" s="5">
        <v>4</v>
      </c>
      <c r="L104" s="5">
        <v>2</v>
      </c>
      <c r="M104" s="5">
        <v>2</v>
      </c>
      <c r="N104" s="5">
        <v>2</v>
      </c>
      <c r="O104" s="5">
        <v>28</v>
      </c>
      <c r="P104" s="5" t="s">
        <v>981</v>
      </c>
      <c r="Q104" s="5">
        <v>2</v>
      </c>
      <c r="R104" s="5">
        <v>2</v>
      </c>
      <c r="S104" s="5">
        <v>1</v>
      </c>
      <c r="T104" s="5">
        <v>5</v>
      </c>
      <c r="U104" s="5" t="s">
        <v>981</v>
      </c>
      <c r="V104" s="5">
        <v>1</v>
      </c>
      <c r="W104" s="5">
        <v>1</v>
      </c>
      <c r="X104" s="5">
        <v>1</v>
      </c>
      <c r="Y104" s="5">
        <v>3</v>
      </c>
      <c r="Z104" s="5" t="s">
        <v>982</v>
      </c>
      <c r="AA104" s="5">
        <v>4</v>
      </c>
      <c r="AB104" s="5">
        <v>4</v>
      </c>
      <c r="AC104" s="5">
        <v>0</v>
      </c>
      <c r="AD104" s="5">
        <v>4</v>
      </c>
      <c r="AE104" s="5">
        <v>12</v>
      </c>
      <c r="AF104" s="5" t="s">
        <v>981</v>
      </c>
      <c r="AG104" s="5">
        <v>1</v>
      </c>
      <c r="AH104" s="5">
        <v>1</v>
      </c>
      <c r="AI104" s="5">
        <v>1</v>
      </c>
      <c r="AJ104" s="5">
        <v>3</v>
      </c>
      <c r="AK104" s="5" t="s">
        <v>982</v>
      </c>
      <c r="AL104" s="5">
        <v>0</v>
      </c>
      <c r="AM104" s="5">
        <v>0</v>
      </c>
      <c r="AN104" s="5">
        <v>2</v>
      </c>
      <c r="AO104" s="5">
        <v>2</v>
      </c>
      <c r="AP104" s="5" t="s">
        <v>983</v>
      </c>
      <c r="AQ104" s="5">
        <v>0</v>
      </c>
      <c r="AR104" s="5">
        <v>0</v>
      </c>
      <c r="AS104" s="5">
        <v>0</v>
      </c>
      <c r="AT104" s="5">
        <v>0</v>
      </c>
      <c r="AU104" s="5">
        <v>0</v>
      </c>
      <c r="AV104" s="5">
        <v>0</v>
      </c>
      <c r="AW104" s="5">
        <v>0</v>
      </c>
      <c r="AX104" s="5">
        <v>0</v>
      </c>
      <c r="AY104" s="5" t="s">
        <v>983</v>
      </c>
      <c r="AZ104" s="1">
        <v>0</v>
      </c>
      <c r="BA104" s="1">
        <v>0</v>
      </c>
      <c r="BB104" s="1">
        <v>0</v>
      </c>
      <c r="BC104" s="1">
        <v>1</v>
      </c>
      <c r="BD104" s="1">
        <v>1</v>
      </c>
      <c r="BE104" s="1">
        <v>1</v>
      </c>
      <c r="BF104" s="1">
        <v>64</v>
      </c>
      <c r="BG104" s="1">
        <v>0</v>
      </c>
      <c r="BH104" s="1">
        <v>14</v>
      </c>
      <c r="BI104" s="1">
        <v>34</v>
      </c>
      <c r="BJ104" s="1">
        <v>1890000</v>
      </c>
      <c r="BK104" s="1">
        <v>3</v>
      </c>
    </row>
    <row r="105" spans="1:63" ht="12.75" customHeight="1" x14ac:dyDescent="0.15">
      <c r="A105" s="5" t="s">
        <v>337</v>
      </c>
      <c r="B105" s="5" t="s">
        <v>984</v>
      </c>
      <c r="C105" s="5">
        <v>2</v>
      </c>
      <c r="D105" s="5">
        <v>3</v>
      </c>
      <c r="E105" s="5">
        <v>3</v>
      </c>
      <c r="F105" s="5">
        <v>2</v>
      </c>
      <c r="G105" s="5">
        <v>3</v>
      </c>
      <c r="H105" s="5">
        <v>3</v>
      </c>
      <c r="I105" s="5">
        <v>3</v>
      </c>
      <c r="J105" s="5">
        <v>2</v>
      </c>
      <c r="K105" s="5">
        <v>2</v>
      </c>
      <c r="L105" s="5">
        <v>2</v>
      </c>
      <c r="M105" s="5">
        <v>2</v>
      </c>
      <c r="N105" s="5">
        <v>2</v>
      </c>
      <c r="O105" s="5">
        <v>29</v>
      </c>
      <c r="P105" s="5" t="s">
        <v>981</v>
      </c>
      <c r="Q105" s="5">
        <v>2</v>
      </c>
      <c r="R105" s="5">
        <v>2</v>
      </c>
      <c r="S105" s="5">
        <v>1</v>
      </c>
      <c r="T105" s="5">
        <v>5</v>
      </c>
      <c r="U105" s="5" t="s">
        <v>981</v>
      </c>
      <c r="V105" s="5">
        <v>0</v>
      </c>
      <c r="W105" s="5">
        <v>2</v>
      </c>
      <c r="X105" s="5">
        <v>0</v>
      </c>
      <c r="Y105" s="5">
        <v>2</v>
      </c>
      <c r="Z105" s="5" t="s">
        <v>982</v>
      </c>
      <c r="AA105" s="5">
        <v>2</v>
      </c>
      <c r="AB105" s="5">
        <v>2</v>
      </c>
      <c r="AC105" s="5">
        <v>4</v>
      </c>
      <c r="AD105" s="5">
        <v>2</v>
      </c>
      <c r="AE105" s="5">
        <v>10</v>
      </c>
      <c r="AF105" s="5" t="s">
        <v>981</v>
      </c>
      <c r="AG105" s="5">
        <v>2</v>
      </c>
      <c r="AH105" s="5">
        <v>2</v>
      </c>
      <c r="AI105" s="5">
        <v>2</v>
      </c>
      <c r="AJ105" s="5">
        <v>6</v>
      </c>
      <c r="AK105" s="5" t="s">
        <v>981</v>
      </c>
      <c r="AL105" s="5">
        <v>2</v>
      </c>
      <c r="AM105" s="5">
        <v>2</v>
      </c>
      <c r="AN105" s="5">
        <v>2</v>
      </c>
      <c r="AO105" s="5">
        <v>6</v>
      </c>
      <c r="AP105" s="5" t="s">
        <v>981</v>
      </c>
      <c r="AQ105" s="5">
        <v>0</v>
      </c>
      <c r="AR105" s="5">
        <v>0</v>
      </c>
      <c r="AS105" s="5">
        <v>0</v>
      </c>
      <c r="AT105" s="5">
        <v>0</v>
      </c>
      <c r="AU105" s="5">
        <v>0</v>
      </c>
      <c r="AV105" s="5">
        <v>0</v>
      </c>
      <c r="AW105" s="5">
        <v>0</v>
      </c>
      <c r="AX105" s="5">
        <v>0</v>
      </c>
      <c r="AY105" s="5" t="s">
        <v>983</v>
      </c>
      <c r="AZ105" s="1">
        <v>0</v>
      </c>
      <c r="BA105" s="1">
        <v>0</v>
      </c>
      <c r="BB105" s="1">
        <v>1</v>
      </c>
      <c r="BC105" s="1">
        <v>1</v>
      </c>
      <c r="BD105" s="1">
        <v>1</v>
      </c>
      <c r="BE105" s="1">
        <v>1</v>
      </c>
      <c r="BF105" s="1">
        <v>37</v>
      </c>
      <c r="BG105" s="1">
        <v>0</v>
      </c>
      <c r="BH105" s="1">
        <v>17</v>
      </c>
      <c r="BI105" s="1">
        <v>31</v>
      </c>
      <c r="BJ105" s="1">
        <v>1800000</v>
      </c>
      <c r="BK105" s="1">
        <v>3</v>
      </c>
    </row>
    <row r="106" spans="1:63" ht="12.75" customHeight="1" x14ac:dyDescent="0.15">
      <c r="A106" s="5" t="s">
        <v>238</v>
      </c>
      <c r="B106" s="5" t="s">
        <v>238</v>
      </c>
      <c r="C106" s="5">
        <v>1</v>
      </c>
      <c r="D106" s="5">
        <v>4</v>
      </c>
      <c r="E106" s="5">
        <v>4</v>
      </c>
      <c r="F106" s="5">
        <v>4</v>
      </c>
      <c r="G106" s="5">
        <v>4</v>
      </c>
      <c r="H106" s="5">
        <v>4</v>
      </c>
      <c r="I106" s="5">
        <v>4</v>
      </c>
      <c r="J106" s="5">
        <v>1</v>
      </c>
      <c r="K106" s="5">
        <v>4</v>
      </c>
      <c r="L106" s="5">
        <v>1</v>
      </c>
      <c r="M106" s="5">
        <v>4</v>
      </c>
      <c r="N106" s="5">
        <v>1</v>
      </c>
      <c r="O106" s="5">
        <v>36</v>
      </c>
      <c r="P106" s="5" t="s">
        <v>981</v>
      </c>
      <c r="Q106" s="5">
        <v>0</v>
      </c>
      <c r="R106" s="5">
        <v>0</v>
      </c>
      <c r="S106" s="5">
        <v>0</v>
      </c>
      <c r="T106" s="5">
        <v>0</v>
      </c>
      <c r="U106" s="5" t="s">
        <v>983</v>
      </c>
      <c r="V106" s="5">
        <v>0</v>
      </c>
      <c r="W106" s="5">
        <v>0</v>
      </c>
      <c r="X106" s="5">
        <v>4</v>
      </c>
      <c r="Y106" s="5">
        <v>4</v>
      </c>
      <c r="Z106" s="5" t="s">
        <v>982</v>
      </c>
      <c r="AA106" s="5">
        <v>4</v>
      </c>
      <c r="AB106" s="5">
        <v>4</v>
      </c>
      <c r="AC106" s="5">
        <v>0</v>
      </c>
      <c r="AD106" s="5">
        <v>0</v>
      </c>
      <c r="AE106" s="5">
        <v>8</v>
      </c>
      <c r="AF106" s="5" t="s">
        <v>981</v>
      </c>
      <c r="AG106" s="5">
        <v>0</v>
      </c>
      <c r="AH106" s="5">
        <v>0</v>
      </c>
      <c r="AI106" s="5">
        <v>0</v>
      </c>
      <c r="AJ106" s="5">
        <v>0</v>
      </c>
      <c r="AK106" s="5" t="s">
        <v>983</v>
      </c>
      <c r="AL106" s="5">
        <v>4</v>
      </c>
      <c r="AM106" s="5">
        <v>4</v>
      </c>
      <c r="AN106" s="5">
        <v>0</v>
      </c>
      <c r="AO106" s="5">
        <v>8</v>
      </c>
      <c r="AP106" s="5" t="s">
        <v>981</v>
      </c>
      <c r="AQ106" s="5">
        <v>0</v>
      </c>
      <c r="AR106" s="5">
        <v>0</v>
      </c>
      <c r="AS106" s="5">
        <v>0</v>
      </c>
      <c r="AT106" s="5">
        <v>0</v>
      </c>
      <c r="AU106" s="5">
        <v>0</v>
      </c>
      <c r="AV106" s="5">
        <v>0</v>
      </c>
      <c r="AW106" s="5">
        <v>0</v>
      </c>
      <c r="AX106" s="5">
        <v>0</v>
      </c>
      <c r="AY106" s="5" t="s">
        <v>983</v>
      </c>
      <c r="AZ106" s="1">
        <v>1</v>
      </c>
      <c r="BA106" s="1">
        <v>0</v>
      </c>
      <c r="BB106" s="1">
        <v>1</v>
      </c>
      <c r="BC106" s="1">
        <v>1</v>
      </c>
      <c r="BD106" s="1">
        <v>1</v>
      </c>
      <c r="BE106" s="1">
        <v>1</v>
      </c>
      <c r="BF106" s="1">
        <v>34</v>
      </c>
      <c r="BG106" s="1">
        <v>0</v>
      </c>
      <c r="BH106" s="1">
        <v>14</v>
      </c>
      <c r="BI106" s="1">
        <v>24</v>
      </c>
      <c r="BJ106" s="1">
        <v>2000000</v>
      </c>
      <c r="BK106" s="1">
        <v>4</v>
      </c>
    </row>
    <row r="107" spans="1:63" ht="12.75" customHeight="1" x14ac:dyDescent="0.15">
      <c r="A107" s="5" t="s">
        <v>330</v>
      </c>
      <c r="B107" s="5" t="s">
        <v>984</v>
      </c>
      <c r="C107" s="5">
        <v>4</v>
      </c>
      <c r="D107" s="5">
        <v>4</v>
      </c>
      <c r="E107" s="5">
        <v>4</v>
      </c>
      <c r="F107" s="5">
        <v>3</v>
      </c>
      <c r="G107" s="5">
        <v>3</v>
      </c>
      <c r="H107" s="5">
        <v>4</v>
      </c>
      <c r="I107" s="5">
        <v>3</v>
      </c>
      <c r="J107" s="5">
        <v>1</v>
      </c>
      <c r="K107" s="5">
        <v>2</v>
      </c>
      <c r="L107" s="5">
        <v>4</v>
      </c>
      <c r="M107" s="5">
        <v>3</v>
      </c>
      <c r="N107" s="5">
        <v>1</v>
      </c>
      <c r="O107" s="5">
        <v>36</v>
      </c>
      <c r="P107" s="5" t="s">
        <v>981</v>
      </c>
      <c r="Q107" s="5">
        <v>1</v>
      </c>
      <c r="R107" s="5">
        <v>0</v>
      </c>
      <c r="S107" s="5">
        <v>0</v>
      </c>
      <c r="T107" s="5">
        <v>1</v>
      </c>
      <c r="U107" s="5" t="s">
        <v>983</v>
      </c>
      <c r="V107" s="5">
        <v>0</v>
      </c>
      <c r="W107" s="5">
        <v>4</v>
      </c>
      <c r="X107" s="5">
        <v>4</v>
      </c>
      <c r="Y107" s="5">
        <v>8</v>
      </c>
      <c r="Z107" s="5" t="s">
        <v>981</v>
      </c>
      <c r="AA107" s="5">
        <v>1</v>
      </c>
      <c r="AB107" s="5">
        <v>0</v>
      </c>
      <c r="AC107" s="5">
        <v>0</v>
      </c>
      <c r="AD107" s="5">
        <v>0</v>
      </c>
      <c r="AE107" s="5">
        <v>1</v>
      </c>
      <c r="AF107" s="5" t="s">
        <v>982</v>
      </c>
      <c r="AG107" s="5">
        <v>3</v>
      </c>
      <c r="AH107" s="5">
        <v>0</v>
      </c>
      <c r="AI107" s="5">
        <v>4</v>
      </c>
      <c r="AJ107" s="5">
        <v>7</v>
      </c>
      <c r="AK107" s="5" t="s">
        <v>981</v>
      </c>
      <c r="AL107" s="5">
        <v>3</v>
      </c>
      <c r="AM107" s="5">
        <v>2</v>
      </c>
      <c r="AN107" s="5">
        <v>2</v>
      </c>
      <c r="AO107" s="5">
        <v>7</v>
      </c>
      <c r="AP107" s="5" t="s">
        <v>981</v>
      </c>
      <c r="AQ107" s="5">
        <v>0</v>
      </c>
      <c r="AR107" s="5">
        <v>1</v>
      </c>
      <c r="AS107" s="5">
        <v>0</v>
      </c>
      <c r="AT107" s="5">
        <v>0</v>
      </c>
      <c r="AU107" s="5">
        <v>0</v>
      </c>
      <c r="AV107" s="5">
        <v>0</v>
      </c>
      <c r="AW107" s="5">
        <v>0</v>
      </c>
      <c r="AX107" s="5">
        <v>1</v>
      </c>
      <c r="AY107" s="5" t="s">
        <v>982</v>
      </c>
      <c r="AZ107" s="1">
        <v>0</v>
      </c>
      <c r="BA107" s="1">
        <v>0</v>
      </c>
      <c r="BB107" s="1">
        <v>0</v>
      </c>
      <c r="BC107" s="1">
        <v>1</v>
      </c>
      <c r="BD107" s="1">
        <v>1</v>
      </c>
      <c r="BE107" s="1">
        <v>1</v>
      </c>
      <c r="BF107" s="1">
        <v>11</v>
      </c>
      <c r="BG107" s="1">
        <v>1</v>
      </c>
      <c r="BH107" s="1">
        <v>8</v>
      </c>
      <c r="BI107" s="1">
        <v>11</v>
      </c>
      <c r="BJ107" s="1">
        <v>650000</v>
      </c>
      <c r="BK107" s="1">
        <v>3</v>
      </c>
    </row>
    <row r="108" spans="1:63" ht="12.75" customHeight="1" x14ac:dyDescent="0.15">
      <c r="A108" s="5" t="s">
        <v>337</v>
      </c>
      <c r="B108" s="5" t="s">
        <v>984</v>
      </c>
      <c r="C108" s="5">
        <v>2</v>
      </c>
      <c r="D108" s="5">
        <v>2</v>
      </c>
      <c r="E108" s="5">
        <v>2</v>
      </c>
      <c r="F108" s="5">
        <v>2</v>
      </c>
      <c r="G108" s="5">
        <v>1</v>
      </c>
      <c r="H108" s="5">
        <v>1</v>
      </c>
      <c r="I108" s="5">
        <v>1</v>
      </c>
      <c r="J108" s="5">
        <v>2</v>
      </c>
      <c r="K108" s="5">
        <v>2</v>
      </c>
      <c r="L108" s="5">
        <v>2</v>
      </c>
      <c r="M108" s="5">
        <v>2</v>
      </c>
      <c r="N108" s="5">
        <v>2</v>
      </c>
      <c r="O108" s="5">
        <v>21</v>
      </c>
      <c r="P108" s="5" t="s">
        <v>982</v>
      </c>
      <c r="Q108" s="5">
        <v>3</v>
      </c>
      <c r="R108" s="5">
        <v>2</v>
      </c>
      <c r="S108" s="5">
        <v>2</v>
      </c>
      <c r="T108" s="5">
        <v>7</v>
      </c>
      <c r="U108" s="5" t="s">
        <v>981</v>
      </c>
      <c r="V108" s="5">
        <v>1</v>
      </c>
      <c r="W108" s="5">
        <v>1</v>
      </c>
      <c r="X108" s="5">
        <v>0</v>
      </c>
      <c r="Y108" s="5">
        <v>2</v>
      </c>
      <c r="Z108" s="5" t="s">
        <v>982</v>
      </c>
      <c r="AA108" s="5">
        <v>1</v>
      </c>
      <c r="AB108" s="5">
        <v>1</v>
      </c>
      <c r="AC108" s="5">
        <v>1</v>
      </c>
      <c r="AD108" s="5">
        <v>0</v>
      </c>
      <c r="AE108" s="5">
        <v>3</v>
      </c>
      <c r="AF108" s="5" t="s">
        <v>982</v>
      </c>
      <c r="AG108" s="5">
        <v>1</v>
      </c>
      <c r="AH108" s="5">
        <v>1</v>
      </c>
      <c r="AI108" s="5">
        <v>0</v>
      </c>
      <c r="AJ108" s="5">
        <v>2</v>
      </c>
      <c r="AK108" s="5" t="s">
        <v>983</v>
      </c>
      <c r="AL108" s="5">
        <v>1</v>
      </c>
      <c r="AM108" s="5">
        <v>1</v>
      </c>
      <c r="AN108" s="5">
        <v>1</v>
      </c>
      <c r="AO108" s="5">
        <v>3</v>
      </c>
      <c r="AP108" s="5" t="s">
        <v>982</v>
      </c>
      <c r="AQ108" s="5">
        <v>0</v>
      </c>
      <c r="AR108" s="5">
        <v>0</v>
      </c>
      <c r="AS108" s="5">
        <v>0</v>
      </c>
      <c r="AT108" s="5">
        <v>0</v>
      </c>
      <c r="AU108" s="5">
        <v>0</v>
      </c>
      <c r="AV108" s="5">
        <v>0</v>
      </c>
      <c r="AW108" s="5">
        <v>0</v>
      </c>
      <c r="AX108" s="5">
        <v>0</v>
      </c>
      <c r="AY108" s="5" t="s">
        <v>983</v>
      </c>
      <c r="AZ108" s="1">
        <v>1</v>
      </c>
      <c r="BA108" s="1">
        <v>0</v>
      </c>
      <c r="BB108" s="1">
        <v>0</v>
      </c>
      <c r="BC108" s="1">
        <v>1</v>
      </c>
      <c r="BD108" s="1">
        <v>1</v>
      </c>
      <c r="BE108" s="1">
        <v>1</v>
      </c>
      <c r="BF108" s="1">
        <v>35</v>
      </c>
      <c r="BG108" s="1">
        <v>1</v>
      </c>
      <c r="BH108" s="1">
        <v>14</v>
      </c>
      <c r="BI108" s="1">
        <v>7</v>
      </c>
      <c r="BJ108" s="1">
        <v>380000</v>
      </c>
      <c r="BK108" s="1">
        <v>4</v>
      </c>
    </row>
    <row r="109" spans="1:63" ht="12.75" customHeight="1" x14ac:dyDescent="0.15">
      <c r="A109" s="5" t="s">
        <v>238</v>
      </c>
      <c r="B109" s="5" t="s">
        <v>238</v>
      </c>
      <c r="C109" s="5">
        <v>2</v>
      </c>
      <c r="D109" s="5">
        <v>2</v>
      </c>
      <c r="E109" s="5">
        <v>2</v>
      </c>
      <c r="F109" s="5">
        <v>1</v>
      </c>
      <c r="G109" s="5">
        <v>1</v>
      </c>
      <c r="H109" s="5">
        <v>1</v>
      </c>
      <c r="I109" s="5">
        <v>1</v>
      </c>
      <c r="J109" s="5">
        <v>2</v>
      </c>
      <c r="K109" s="5">
        <v>2</v>
      </c>
      <c r="L109" s="5">
        <v>2</v>
      </c>
      <c r="M109" s="5">
        <v>2</v>
      </c>
      <c r="N109" s="5">
        <v>1</v>
      </c>
      <c r="O109" s="5">
        <v>19</v>
      </c>
      <c r="P109" s="5" t="s">
        <v>982</v>
      </c>
      <c r="Q109" s="5">
        <v>0</v>
      </c>
      <c r="R109" s="5">
        <v>1</v>
      </c>
      <c r="S109" s="5">
        <v>0</v>
      </c>
      <c r="T109" s="5">
        <v>1</v>
      </c>
      <c r="U109" s="5" t="s">
        <v>983</v>
      </c>
      <c r="V109" s="5">
        <v>0</v>
      </c>
      <c r="W109" s="5">
        <v>0</v>
      </c>
      <c r="X109" s="5">
        <v>0</v>
      </c>
      <c r="Y109" s="5">
        <v>0</v>
      </c>
      <c r="Z109" s="5" t="s">
        <v>983</v>
      </c>
      <c r="AA109" s="5">
        <v>4</v>
      </c>
      <c r="AB109" s="5">
        <v>4</v>
      </c>
      <c r="AC109" s="5">
        <v>4</v>
      </c>
      <c r="AD109" s="5">
        <v>4</v>
      </c>
      <c r="AE109" s="5">
        <v>16</v>
      </c>
      <c r="AF109" s="5" t="s">
        <v>981</v>
      </c>
      <c r="AG109" s="5">
        <v>0</v>
      </c>
      <c r="AH109" s="5">
        <v>0</v>
      </c>
      <c r="AI109" s="5">
        <v>0</v>
      </c>
      <c r="AJ109" s="5">
        <v>0</v>
      </c>
      <c r="AK109" s="5" t="s">
        <v>983</v>
      </c>
      <c r="AL109" s="5">
        <v>0</v>
      </c>
      <c r="AM109" s="5">
        <v>0</v>
      </c>
      <c r="AN109" s="5">
        <v>0</v>
      </c>
      <c r="AO109" s="5">
        <v>0</v>
      </c>
      <c r="AP109" s="5" t="s">
        <v>983</v>
      </c>
      <c r="AQ109" s="5">
        <v>0</v>
      </c>
      <c r="AR109" s="5">
        <v>0</v>
      </c>
      <c r="AS109" s="5">
        <v>0</v>
      </c>
      <c r="AT109" s="5">
        <v>0</v>
      </c>
      <c r="AU109" s="5">
        <v>0</v>
      </c>
      <c r="AV109" s="5">
        <v>0</v>
      </c>
      <c r="AW109" s="5">
        <v>0</v>
      </c>
      <c r="AX109" s="5">
        <v>0</v>
      </c>
      <c r="AY109" s="5" t="s">
        <v>983</v>
      </c>
      <c r="AZ109" s="1">
        <v>1</v>
      </c>
      <c r="BA109" s="1">
        <v>0</v>
      </c>
      <c r="BB109" s="1">
        <v>0</v>
      </c>
      <c r="BC109" s="1">
        <v>1</v>
      </c>
      <c r="BD109" s="1">
        <v>1</v>
      </c>
      <c r="BE109" s="1">
        <v>1</v>
      </c>
      <c r="BF109" s="1">
        <v>35</v>
      </c>
      <c r="BG109" s="1">
        <v>1</v>
      </c>
      <c r="BH109" s="1">
        <v>14</v>
      </c>
      <c r="BI109" s="1">
        <v>7</v>
      </c>
      <c r="BJ109" s="1">
        <v>380000</v>
      </c>
      <c r="BK109" s="1">
        <v>4</v>
      </c>
    </row>
    <row r="110" spans="1:63" ht="12.75" customHeight="1" x14ac:dyDescent="0.15">
      <c r="A110" s="5" t="s">
        <v>238</v>
      </c>
      <c r="B110" s="5" t="s">
        <v>238</v>
      </c>
      <c r="C110" s="5">
        <v>2</v>
      </c>
      <c r="D110" s="5">
        <v>3</v>
      </c>
      <c r="E110" s="5">
        <v>2</v>
      </c>
      <c r="F110" s="5">
        <v>2</v>
      </c>
      <c r="G110" s="5">
        <v>4</v>
      </c>
      <c r="H110" s="5">
        <v>3</v>
      </c>
      <c r="I110" s="5">
        <v>2</v>
      </c>
      <c r="J110" s="5">
        <v>3</v>
      </c>
      <c r="K110" s="5">
        <v>2</v>
      </c>
      <c r="L110" s="5">
        <v>3</v>
      </c>
      <c r="M110" s="5">
        <v>3</v>
      </c>
      <c r="N110" s="5">
        <v>3</v>
      </c>
      <c r="O110" s="5">
        <v>32</v>
      </c>
      <c r="P110" s="5" t="s">
        <v>981</v>
      </c>
      <c r="Q110" s="5">
        <v>2</v>
      </c>
      <c r="R110" s="5">
        <v>3</v>
      </c>
      <c r="S110" s="5">
        <v>1</v>
      </c>
      <c r="T110" s="5">
        <v>6</v>
      </c>
      <c r="U110" s="5" t="s">
        <v>981</v>
      </c>
      <c r="V110" s="5">
        <v>1</v>
      </c>
      <c r="W110" s="5">
        <v>1</v>
      </c>
      <c r="X110" s="5">
        <v>4</v>
      </c>
      <c r="Y110" s="5">
        <v>6</v>
      </c>
      <c r="Z110" s="5" t="s">
        <v>981</v>
      </c>
      <c r="AA110" s="5">
        <v>4</v>
      </c>
      <c r="AB110" s="5">
        <v>4</v>
      </c>
      <c r="AC110" s="5">
        <v>4</v>
      </c>
      <c r="AD110" s="5">
        <v>4</v>
      </c>
      <c r="AE110" s="5">
        <v>16</v>
      </c>
      <c r="AF110" s="5" t="s">
        <v>981</v>
      </c>
      <c r="AG110" s="5">
        <v>1</v>
      </c>
      <c r="AH110" s="5">
        <v>1</v>
      </c>
      <c r="AI110" s="5">
        <v>1</v>
      </c>
      <c r="AJ110" s="5">
        <v>3</v>
      </c>
      <c r="AK110" s="5" t="s">
        <v>982</v>
      </c>
      <c r="AL110" s="5">
        <v>1</v>
      </c>
      <c r="AM110" s="5">
        <v>1</v>
      </c>
      <c r="AN110" s="5">
        <v>1</v>
      </c>
      <c r="AO110" s="5">
        <v>3</v>
      </c>
      <c r="AP110" s="5" t="s">
        <v>982</v>
      </c>
      <c r="AQ110" s="5">
        <v>0</v>
      </c>
      <c r="AR110" s="5">
        <v>0</v>
      </c>
      <c r="AS110" s="5">
        <v>0</v>
      </c>
      <c r="AT110" s="5">
        <v>0</v>
      </c>
      <c r="AU110" s="5">
        <v>0</v>
      </c>
      <c r="AV110" s="5">
        <v>0</v>
      </c>
      <c r="AW110" s="5">
        <v>0</v>
      </c>
      <c r="AX110" s="5">
        <v>0</v>
      </c>
      <c r="AY110" s="5" t="s">
        <v>983</v>
      </c>
      <c r="AZ110" s="1">
        <v>0</v>
      </c>
      <c r="BA110" s="1">
        <v>0</v>
      </c>
      <c r="BB110" s="1">
        <v>0</v>
      </c>
      <c r="BC110" s="1">
        <v>1</v>
      </c>
      <c r="BD110" s="1">
        <v>1</v>
      </c>
      <c r="BE110" s="1">
        <v>1</v>
      </c>
      <c r="BF110" s="1">
        <v>53</v>
      </c>
      <c r="BG110" s="1">
        <v>0</v>
      </c>
      <c r="BH110" s="1">
        <v>14</v>
      </c>
      <c r="BI110" s="1">
        <v>34</v>
      </c>
      <c r="BJ110" s="1">
        <v>202000</v>
      </c>
      <c r="BK110" s="1">
        <v>4</v>
      </c>
    </row>
    <row r="111" spans="1:63" ht="12.75" customHeight="1" x14ac:dyDescent="0.15">
      <c r="A111" s="5" t="s">
        <v>238</v>
      </c>
      <c r="B111" s="5" t="s">
        <v>238</v>
      </c>
      <c r="C111" s="5">
        <v>3</v>
      </c>
      <c r="D111" s="5">
        <v>3</v>
      </c>
      <c r="E111" s="5">
        <v>3</v>
      </c>
      <c r="F111" s="5">
        <v>1</v>
      </c>
      <c r="G111" s="5">
        <v>1</v>
      </c>
      <c r="H111" s="5">
        <v>1</v>
      </c>
      <c r="I111" s="5">
        <v>1</v>
      </c>
      <c r="J111" s="5">
        <v>4</v>
      </c>
      <c r="K111" s="5">
        <v>1</v>
      </c>
      <c r="L111" s="5">
        <v>2</v>
      </c>
      <c r="M111" s="5">
        <v>2</v>
      </c>
      <c r="N111" s="5">
        <v>1</v>
      </c>
      <c r="O111" s="5">
        <v>23</v>
      </c>
      <c r="P111" s="5" t="s">
        <v>982</v>
      </c>
      <c r="Q111" s="5">
        <v>3</v>
      </c>
      <c r="R111" s="5">
        <v>2</v>
      </c>
      <c r="S111" s="5">
        <v>0</v>
      </c>
      <c r="T111" s="5">
        <v>5</v>
      </c>
      <c r="U111" s="5" t="s">
        <v>981</v>
      </c>
      <c r="V111" s="5">
        <v>0</v>
      </c>
      <c r="W111" s="5">
        <v>0</v>
      </c>
      <c r="X111" s="5">
        <v>1</v>
      </c>
      <c r="Y111" s="5">
        <v>1</v>
      </c>
      <c r="Z111" s="5" t="s">
        <v>983</v>
      </c>
      <c r="AA111" s="5">
        <v>0</v>
      </c>
      <c r="AB111" s="5">
        <v>0</v>
      </c>
      <c r="AC111" s="5">
        <v>0</v>
      </c>
      <c r="AD111" s="5">
        <v>0</v>
      </c>
      <c r="AE111" s="5">
        <v>0</v>
      </c>
      <c r="AF111" s="5" t="s">
        <v>983</v>
      </c>
      <c r="AG111" s="5">
        <v>1</v>
      </c>
      <c r="AH111" s="5">
        <v>1</v>
      </c>
      <c r="AI111" s="5">
        <v>1</v>
      </c>
      <c r="AJ111" s="5">
        <v>3</v>
      </c>
      <c r="AK111" s="5" t="s">
        <v>982</v>
      </c>
      <c r="AL111" s="5">
        <v>1</v>
      </c>
      <c r="AM111" s="5">
        <v>1</v>
      </c>
      <c r="AN111" s="5">
        <v>1</v>
      </c>
      <c r="AO111" s="5">
        <v>3</v>
      </c>
      <c r="AP111" s="5" t="s">
        <v>982</v>
      </c>
      <c r="AQ111" s="5">
        <v>0</v>
      </c>
      <c r="AR111" s="5">
        <v>0</v>
      </c>
      <c r="AS111" s="5">
        <v>0</v>
      </c>
      <c r="AT111" s="5">
        <v>0</v>
      </c>
      <c r="AU111" s="5">
        <v>0</v>
      </c>
      <c r="AV111" s="5">
        <v>0</v>
      </c>
      <c r="AW111" s="5">
        <v>0</v>
      </c>
      <c r="AX111" s="5">
        <v>0</v>
      </c>
      <c r="AY111" s="5" t="s">
        <v>983</v>
      </c>
      <c r="AZ111" s="1">
        <v>0</v>
      </c>
      <c r="BA111" s="1">
        <v>0</v>
      </c>
      <c r="BB111" s="1">
        <v>1</v>
      </c>
      <c r="BC111" s="1">
        <v>1</v>
      </c>
      <c r="BD111" s="1">
        <v>1</v>
      </c>
      <c r="BE111" s="1">
        <v>1</v>
      </c>
      <c r="BF111" s="1">
        <v>37</v>
      </c>
      <c r="BG111" s="1">
        <v>0</v>
      </c>
      <c r="BH111" s="1">
        <v>16</v>
      </c>
      <c r="BI111" s="1">
        <v>11</v>
      </c>
      <c r="BJ111" s="1">
        <v>1300000</v>
      </c>
      <c r="BK111" s="1">
        <v>4</v>
      </c>
    </row>
    <row r="112" spans="1:63" ht="12.75" customHeight="1" x14ac:dyDescent="0.15">
      <c r="A112" s="5" t="s">
        <v>330</v>
      </c>
      <c r="B112" s="5" t="s">
        <v>984</v>
      </c>
      <c r="C112" s="5">
        <v>2</v>
      </c>
      <c r="D112" s="5">
        <v>2</v>
      </c>
      <c r="E112" s="5">
        <v>2</v>
      </c>
      <c r="F112" s="5">
        <v>1</v>
      </c>
      <c r="G112" s="5">
        <v>2</v>
      </c>
      <c r="H112" s="5">
        <v>1</v>
      </c>
      <c r="I112" s="5">
        <v>1</v>
      </c>
      <c r="J112" s="5">
        <v>2</v>
      </c>
      <c r="K112" s="5">
        <v>2</v>
      </c>
      <c r="L112" s="5">
        <v>2</v>
      </c>
      <c r="M112" s="5">
        <v>2</v>
      </c>
      <c r="N112" s="5">
        <v>2</v>
      </c>
      <c r="O112" s="5">
        <v>21</v>
      </c>
      <c r="P112" s="5" t="s">
        <v>982</v>
      </c>
      <c r="Q112" s="5">
        <v>0</v>
      </c>
      <c r="R112" s="5">
        <v>1</v>
      </c>
      <c r="S112" s="5">
        <v>1</v>
      </c>
      <c r="T112" s="5">
        <v>2</v>
      </c>
      <c r="U112" s="5" t="s">
        <v>982</v>
      </c>
      <c r="V112" s="5">
        <v>0</v>
      </c>
      <c r="W112" s="5">
        <v>2</v>
      </c>
      <c r="X112" s="5">
        <v>2</v>
      </c>
      <c r="Y112" s="5">
        <v>4</v>
      </c>
      <c r="Z112" s="5" t="s">
        <v>982</v>
      </c>
      <c r="AA112" s="5">
        <v>3</v>
      </c>
      <c r="AB112" s="5">
        <v>4</v>
      </c>
      <c r="AC112" s="5">
        <v>1</v>
      </c>
      <c r="AD112" s="5">
        <v>1</v>
      </c>
      <c r="AE112" s="5">
        <v>9</v>
      </c>
      <c r="AF112" s="5" t="s">
        <v>981</v>
      </c>
      <c r="AG112" s="5">
        <v>0</v>
      </c>
      <c r="AH112" s="5">
        <v>0</v>
      </c>
      <c r="AI112" s="5">
        <v>0</v>
      </c>
      <c r="AJ112" s="5">
        <v>0</v>
      </c>
      <c r="AK112" s="5" t="s">
        <v>983</v>
      </c>
      <c r="AL112" s="5">
        <v>1</v>
      </c>
      <c r="AM112" s="5">
        <v>1</v>
      </c>
      <c r="AN112" s="5">
        <v>0</v>
      </c>
      <c r="AO112" s="5">
        <v>2</v>
      </c>
      <c r="AP112" s="5" t="s">
        <v>983</v>
      </c>
      <c r="AQ112" s="5">
        <v>1</v>
      </c>
      <c r="AR112" s="5">
        <v>0</v>
      </c>
      <c r="AS112" s="5">
        <v>0</v>
      </c>
      <c r="AT112" s="5">
        <v>0</v>
      </c>
      <c r="AU112" s="5">
        <v>0</v>
      </c>
      <c r="AV112" s="5">
        <v>0</v>
      </c>
      <c r="AW112" s="5">
        <v>0</v>
      </c>
      <c r="AX112" s="5">
        <v>1</v>
      </c>
      <c r="AY112" s="5" t="s">
        <v>982</v>
      </c>
      <c r="AZ112" s="1">
        <v>1</v>
      </c>
      <c r="BA112" s="1">
        <v>0</v>
      </c>
      <c r="BB112" s="1">
        <v>0</v>
      </c>
      <c r="BC112" s="1">
        <v>0</v>
      </c>
      <c r="BD112" s="1">
        <v>0</v>
      </c>
      <c r="BE112" s="1">
        <v>0</v>
      </c>
      <c r="BF112" s="1">
        <v>37</v>
      </c>
      <c r="BG112" s="1">
        <v>1</v>
      </c>
      <c r="BH112" s="1">
        <v>18</v>
      </c>
      <c r="BI112" s="1">
        <v>2</v>
      </c>
      <c r="BJ112" s="1">
        <v>700000</v>
      </c>
      <c r="BK112" s="1">
        <v>5</v>
      </c>
    </row>
    <row r="113" spans="1:63" ht="12.75" customHeight="1" x14ac:dyDescent="0.15">
      <c r="A113" s="5" t="s">
        <v>238</v>
      </c>
      <c r="B113" s="5" t="s">
        <v>238</v>
      </c>
      <c r="C113" s="5">
        <v>1</v>
      </c>
      <c r="D113" s="5">
        <v>2</v>
      </c>
      <c r="E113" s="5">
        <v>3</v>
      </c>
      <c r="F113" s="5">
        <v>4</v>
      </c>
      <c r="G113" s="5">
        <v>2</v>
      </c>
      <c r="H113" s="5">
        <v>2</v>
      </c>
      <c r="I113" s="5">
        <v>1</v>
      </c>
      <c r="J113" s="5">
        <v>2</v>
      </c>
      <c r="K113" s="5">
        <v>1</v>
      </c>
      <c r="L113" s="5">
        <v>2</v>
      </c>
      <c r="M113" s="5">
        <v>2</v>
      </c>
      <c r="N113" s="5">
        <v>1</v>
      </c>
      <c r="O113" s="5">
        <v>23</v>
      </c>
      <c r="P113" s="5" t="s">
        <v>982</v>
      </c>
      <c r="Q113" s="5">
        <v>2</v>
      </c>
      <c r="R113" s="5">
        <v>3</v>
      </c>
      <c r="S113" s="5">
        <v>1</v>
      </c>
      <c r="T113" s="5">
        <v>6</v>
      </c>
      <c r="U113" s="5" t="s">
        <v>981</v>
      </c>
      <c r="V113" s="5">
        <v>1</v>
      </c>
      <c r="W113" s="5">
        <v>2</v>
      </c>
      <c r="X113" s="5">
        <v>1</v>
      </c>
      <c r="Y113" s="5">
        <v>4</v>
      </c>
      <c r="Z113" s="5" t="s">
        <v>982</v>
      </c>
      <c r="AA113" s="5">
        <v>2</v>
      </c>
      <c r="AB113" s="5">
        <v>3</v>
      </c>
      <c r="AC113" s="5">
        <v>3</v>
      </c>
      <c r="AD113" s="5">
        <v>3</v>
      </c>
      <c r="AE113" s="5">
        <v>11</v>
      </c>
      <c r="AF113" s="5" t="s">
        <v>981</v>
      </c>
      <c r="AG113" s="5">
        <v>2</v>
      </c>
      <c r="AH113" s="5">
        <v>1</v>
      </c>
      <c r="AI113" s="5">
        <v>2</v>
      </c>
      <c r="AJ113" s="5">
        <v>5</v>
      </c>
      <c r="AK113" s="5" t="s">
        <v>982</v>
      </c>
      <c r="AL113" s="5">
        <v>1</v>
      </c>
      <c r="AM113" s="5">
        <v>1</v>
      </c>
      <c r="AN113" s="5">
        <v>2</v>
      </c>
      <c r="AO113" s="5">
        <v>4</v>
      </c>
      <c r="AP113" s="5" t="s">
        <v>982</v>
      </c>
      <c r="AQ113" s="5">
        <v>0</v>
      </c>
      <c r="AR113" s="5">
        <v>0</v>
      </c>
      <c r="AS113" s="5">
        <v>0</v>
      </c>
      <c r="AT113" s="5">
        <v>0</v>
      </c>
      <c r="AU113" s="5">
        <v>0</v>
      </c>
      <c r="AV113" s="5">
        <v>0</v>
      </c>
      <c r="AW113" s="5">
        <v>0</v>
      </c>
      <c r="AX113" s="5">
        <v>0</v>
      </c>
      <c r="AY113" s="5" t="s">
        <v>983</v>
      </c>
      <c r="AZ113" s="1">
        <v>1</v>
      </c>
      <c r="BA113" s="1">
        <v>0</v>
      </c>
      <c r="BB113" s="1">
        <v>1</v>
      </c>
      <c r="BC113" s="1">
        <v>1</v>
      </c>
      <c r="BD113" s="1">
        <v>1</v>
      </c>
      <c r="BE113" s="1">
        <v>1</v>
      </c>
      <c r="BF113" s="1">
        <v>58</v>
      </c>
      <c r="BG113" s="1">
        <v>0</v>
      </c>
      <c r="BH113" s="1">
        <v>16</v>
      </c>
      <c r="BI113" s="1">
        <v>1</v>
      </c>
      <c r="BJ113" s="1">
        <v>800000</v>
      </c>
      <c r="BK113" s="1">
        <v>3</v>
      </c>
    </row>
    <row r="114" spans="1:63" ht="12.75" customHeight="1" x14ac:dyDescent="0.15">
      <c r="A114" s="5" t="s">
        <v>238</v>
      </c>
      <c r="B114" s="5" t="s">
        <v>238</v>
      </c>
      <c r="C114" s="5">
        <v>2</v>
      </c>
      <c r="D114" s="5">
        <v>2</v>
      </c>
      <c r="E114" s="5">
        <v>2</v>
      </c>
      <c r="F114" s="5">
        <v>1</v>
      </c>
      <c r="G114" s="5">
        <v>2</v>
      </c>
      <c r="H114" s="5">
        <v>1</v>
      </c>
      <c r="I114" s="5">
        <v>1</v>
      </c>
      <c r="J114" s="5">
        <v>1</v>
      </c>
      <c r="K114" s="5">
        <v>1</v>
      </c>
      <c r="L114" s="5">
        <v>2</v>
      </c>
      <c r="M114" s="5">
        <v>1</v>
      </c>
      <c r="N114" s="5">
        <v>1</v>
      </c>
      <c r="O114" s="5">
        <v>17</v>
      </c>
      <c r="P114" s="5" t="s">
        <v>983</v>
      </c>
      <c r="Q114" s="5">
        <v>1</v>
      </c>
      <c r="R114" s="5">
        <v>1</v>
      </c>
      <c r="S114" s="5">
        <v>1</v>
      </c>
      <c r="T114" s="5">
        <v>3</v>
      </c>
      <c r="U114" s="5" t="s">
        <v>982</v>
      </c>
      <c r="V114" s="5">
        <v>0</v>
      </c>
      <c r="W114" s="5">
        <v>1</v>
      </c>
      <c r="X114" s="5">
        <v>1</v>
      </c>
      <c r="Y114" s="5">
        <v>2</v>
      </c>
      <c r="Z114" s="5" t="s">
        <v>982</v>
      </c>
      <c r="AA114" s="5">
        <v>2</v>
      </c>
      <c r="AB114" s="5">
        <v>2</v>
      </c>
      <c r="AC114" s="5">
        <v>2</v>
      </c>
      <c r="AD114" s="5">
        <v>2</v>
      </c>
      <c r="AE114" s="5">
        <v>8</v>
      </c>
      <c r="AF114" s="5" t="s">
        <v>981</v>
      </c>
      <c r="AG114" s="5">
        <v>1</v>
      </c>
      <c r="AH114" s="5">
        <v>1</v>
      </c>
      <c r="AI114" s="5">
        <v>1</v>
      </c>
      <c r="AJ114" s="5">
        <v>3</v>
      </c>
      <c r="AK114" s="5" t="s">
        <v>982</v>
      </c>
      <c r="AL114" s="5">
        <v>1</v>
      </c>
      <c r="AM114" s="5">
        <v>1</v>
      </c>
      <c r="AN114" s="5">
        <v>1</v>
      </c>
      <c r="AO114" s="5">
        <v>3</v>
      </c>
      <c r="AP114" s="5" t="s">
        <v>982</v>
      </c>
      <c r="AQ114" s="5">
        <v>0</v>
      </c>
      <c r="AR114" s="5">
        <v>0</v>
      </c>
      <c r="AS114" s="5">
        <v>0</v>
      </c>
      <c r="AT114" s="5">
        <v>0</v>
      </c>
      <c r="AU114" s="5">
        <v>0</v>
      </c>
      <c r="AV114" s="5">
        <v>0</v>
      </c>
      <c r="AW114" s="5">
        <v>0</v>
      </c>
      <c r="AX114" s="5">
        <v>0</v>
      </c>
      <c r="AY114" s="5" t="s">
        <v>983</v>
      </c>
      <c r="AZ114" s="1">
        <v>0</v>
      </c>
      <c r="BA114" s="1">
        <v>0</v>
      </c>
      <c r="BB114" s="1">
        <v>0</v>
      </c>
      <c r="BC114" s="1">
        <v>1</v>
      </c>
      <c r="BD114" s="1">
        <v>1</v>
      </c>
      <c r="BE114" s="1">
        <v>1</v>
      </c>
      <c r="BF114" s="1">
        <v>53</v>
      </c>
      <c r="BG114" s="1">
        <v>1</v>
      </c>
      <c r="BH114" s="1">
        <v>15</v>
      </c>
      <c r="BI114" s="1">
        <v>3</v>
      </c>
      <c r="BJ114" s="1">
        <v>300000</v>
      </c>
      <c r="BK114" s="1">
        <v>3</v>
      </c>
    </row>
    <row r="115" spans="1:63" ht="12.75" customHeight="1" x14ac:dyDescent="0.15">
      <c r="A115" s="5" t="s">
        <v>238</v>
      </c>
      <c r="B115" s="5" t="s">
        <v>238</v>
      </c>
      <c r="C115" s="5">
        <v>2</v>
      </c>
      <c r="D115" s="5">
        <v>1</v>
      </c>
      <c r="E115" s="5">
        <v>1</v>
      </c>
      <c r="F115" s="5">
        <v>1</v>
      </c>
      <c r="G115" s="5">
        <v>1</v>
      </c>
      <c r="H115" s="5">
        <v>1</v>
      </c>
      <c r="I115" s="5">
        <v>1</v>
      </c>
      <c r="J115" s="5">
        <v>2</v>
      </c>
      <c r="K115" s="5">
        <v>1</v>
      </c>
      <c r="L115" s="5">
        <v>1</v>
      </c>
      <c r="M115" s="5">
        <v>1</v>
      </c>
      <c r="N115" s="5">
        <v>1</v>
      </c>
      <c r="O115" s="5">
        <v>14</v>
      </c>
      <c r="P115" s="5" t="s">
        <v>983</v>
      </c>
      <c r="Q115" s="5">
        <v>1</v>
      </c>
      <c r="R115" s="5">
        <v>1</v>
      </c>
      <c r="S115" s="5">
        <v>1</v>
      </c>
      <c r="T115" s="5">
        <v>3</v>
      </c>
      <c r="U115" s="5" t="s">
        <v>982</v>
      </c>
      <c r="V115" s="5">
        <v>1</v>
      </c>
      <c r="W115" s="5">
        <v>1</v>
      </c>
      <c r="X115" s="5">
        <v>1</v>
      </c>
      <c r="Y115" s="5">
        <v>3</v>
      </c>
      <c r="Z115" s="5" t="s">
        <v>982</v>
      </c>
      <c r="AA115" s="5">
        <v>4</v>
      </c>
      <c r="AB115" s="5">
        <v>4</v>
      </c>
      <c r="AC115" s="5">
        <v>4</v>
      </c>
      <c r="AD115" s="5">
        <v>4</v>
      </c>
      <c r="AE115" s="5">
        <v>16</v>
      </c>
      <c r="AF115" s="5" t="s">
        <v>981</v>
      </c>
      <c r="AG115" s="5">
        <v>0</v>
      </c>
      <c r="AH115" s="5">
        <v>0</v>
      </c>
      <c r="AI115" s="5">
        <v>0</v>
      </c>
      <c r="AJ115" s="5">
        <v>0</v>
      </c>
      <c r="AK115" s="5" t="s">
        <v>983</v>
      </c>
      <c r="AL115" s="5">
        <v>1</v>
      </c>
      <c r="AM115" s="5">
        <v>1</v>
      </c>
      <c r="AN115" s="5">
        <v>0</v>
      </c>
      <c r="AO115" s="5">
        <v>2</v>
      </c>
      <c r="AP115" s="5" t="s">
        <v>983</v>
      </c>
      <c r="AQ115" s="5">
        <v>0</v>
      </c>
      <c r="AR115" s="5">
        <v>0</v>
      </c>
      <c r="AS115" s="5">
        <v>0</v>
      </c>
      <c r="AT115" s="5">
        <v>0</v>
      </c>
      <c r="AU115" s="5">
        <v>0</v>
      </c>
      <c r="AV115" s="5">
        <v>0</v>
      </c>
      <c r="AW115" s="5">
        <v>0</v>
      </c>
      <c r="AX115" s="5">
        <v>0</v>
      </c>
      <c r="AY115" s="5" t="s">
        <v>983</v>
      </c>
      <c r="AZ115" s="1">
        <v>0</v>
      </c>
      <c r="BA115" s="1">
        <v>0</v>
      </c>
      <c r="BB115" s="1">
        <v>1</v>
      </c>
      <c r="BC115" s="1">
        <v>1</v>
      </c>
      <c r="BD115" s="1">
        <v>1</v>
      </c>
      <c r="BE115" s="1">
        <v>1</v>
      </c>
      <c r="BF115" s="1">
        <v>53</v>
      </c>
      <c r="BG115" s="1">
        <v>1</v>
      </c>
      <c r="BH115" s="1">
        <v>15</v>
      </c>
      <c r="BI115" s="1">
        <v>3</v>
      </c>
      <c r="BJ115" s="1">
        <v>300000</v>
      </c>
      <c r="BK115" s="1">
        <v>3</v>
      </c>
    </row>
    <row r="116" spans="1:63" ht="12.75" customHeight="1" x14ac:dyDescent="0.15">
      <c r="A116" s="5" t="s">
        <v>337</v>
      </c>
      <c r="B116" s="5" t="s">
        <v>984</v>
      </c>
      <c r="C116" s="5">
        <v>4</v>
      </c>
      <c r="D116" s="5">
        <v>4</v>
      </c>
      <c r="E116" s="5">
        <v>4</v>
      </c>
      <c r="F116" s="5">
        <v>4</v>
      </c>
      <c r="G116" s="5">
        <v>4</v>
      </c>
      <c r="H116" s="5">
        <v>4</v>
      </c>
      <c r="I116" s="5">
        <v>4</v>
      </c>
      <c r="J116" s="5">
        <v>4</v>
      </c>
      <c r="K116" s="5">
        <v>3</v>
      </c>
      <c r="L116" s="5">
        <v>3</v>
      </c>
      <c r="M116" s="5">
        <v>3</v>
      </c>
      <c r="N116" s="5">
        <v>4</v>
      </c>
      <c r="O116" s="5">
        <v>45</v>
      </c>
      <c r="P116" s="5" t="s">
        <v>981</v>
      </c>
      <c r="Q116" s="5">
        <v>2</v>
      </c>
      <c r="R116" s="5">
        <v>3</v>
      </c>
      <c r="S116" s="5">
        <v>2</v>
      </c>
      <c r="T116" s="5">
        <v>7</v>
      </c>
      <c r="U116" s="5" t="s">
        <v>981</v>
      </c>
      <c r="V116" s="5">
        <v>3</v>
      </c>
      <c r="W116" s="5">
        <v>4</v>
      </c>
      <c r="X116" s="5">
        <v>4</v>
      </c>
      <c r="Y116" s="5">
        <v>11</v>
      </c>
      <c r="Z116" s="5" t="s">
        <v>981</v>
      </c>
      <c r="AA116" s="5">
        <v>0</v>
      </c>
      <c r="AB116" s="5">
        <v>1</v>
      </c>
      <c r="AC116" s="5">
        <v>2</v>
      </c>
      <c r="AD116" s="5">
        <v>2</v>
      </c>
      <c r="AE116" s="5">
        <v>5</v>
      </c>
      <c r="AF116" s="5" t="s">
        <v>981</v>
      </c>
      <c r="AG116" s="5">
        <v>4</v>
      </c>
      <c r="AH116" s="5">
        <v>4</v>
      </c>
      <c r="AI116" s="5">
        <v>4</v>
      </c>
      <c r="AJ116" s="5">
        <v>12</v>
      </c>
      <c r="AK116" s="5" t="s">
        <v>981</v>
      </c>
      <c r="AL116" s="5">
        <v>4</v>
      </c>
      <c r="AM116" s="5">
        <v>4</v>
      </c>
      <c r="AN116" s="5">
        <v>4</v>
      </c>
      <c r="AO116" s="5">
        <v>12</v>
      </c>
      <c r="AP116" s="5" t="s">
        <v>981</v>
      </c>
      <c r="AQ116" s="5">
        <v>2</v>
      </c>
      <c r="AR116" s="5">
        <v>2</v>
      </c>
      <c r="AS116" s="5">
        <v>3</v>
      </c>
      <c r="AT116" s="5">
        <v>1</v>
      </c>
      <c r="AU116" s="5">
        <v>1</v>
      </c>
      <c r="AV116" s="5">
        <v>4</v>
      </c>
      <c r="AW116" s="5">
        <v>4</v>
      </c>
      <c r="AX116" s="5">
        <v>17</v>
      </c>
      <c r="AY116" s="5" t="s">
        <v>981</v>
      </c>
      <c r="AZ116" s="1">
        <v>0</v>
      </c>
      <c r="BA116" s="1">
        <v>0</v>
      </c>
      <c r="BB116" s="1">
        <v>0</v>
      </c>
      <c r="BC116" s="1">
        <v>1</v>
      </c>
      <c r="BD116" s="1">
        <v>1</v>
      </c>
      <c r="BE116" s="1">
        <v>1</v>
      </c>
      <c r="BF116" s="1">
        <v>47</v>
      </c>
      <c r="BG116" s="1">
        <v>1</v>
      </c>
      <c r="BH116" s="1">
        <v>11</v>
      </c>
      <c r="BI116" s="1">
        <v>24</v>
      </c>
      <c r="BJ116" s="1">
        <v>600000</v>
      </c>
      <c r="BK116" s="1">
        <v>1</v>
      </c>
    </row>
    <row r="117" spans="1:63" ht="12.75" customHeight="1" x14ac:dyDescent="0.15">
      <c r="A117" s="5" t="s">
        <v>330</v>
      </c>
      <c r="B117" s="5" t="s">
        <v>984</v>
      </c>
      <c r="C117" s="5">
        <v>3</v>
      </c>
      <c r="D117" s="5">
        <v>3</v>
      </c>
      <c r="E117" s="5">
        <v>3</v>
      </c>
      <c r="F117" s="5">
        <v>2</v>
      </c>
      <c r="G117" s="5">
        <v>2</v>
      </c>
      <c r="H117" s="5">
        <v>3</v>
      </c>
      <c r="I117" s="5">
        <v>1</v>
      </c>
      <c r="J117" s="5">
        <v>1</v>
      </c>
      <c r="K117" s="5">
        <v>1</v>
      </c>
      <c r="L117" s="5">
        <v>1</v>
      </c>
      <c r="M117" s="5">
        <v>1</v>
      </c>
      <c r="N117" s="5">
        <v>2</v>
      </c>
      <c r="O117" s="5">
        <v>23</v>
      </c>
      <c r="P117" s="5" t="s">
        <v>982</v>
      </c>
      <c r="Q117" s="5">
        <v>0</v>
      </c>
      <c r="R117" s="5">
        <v>0</v>
      </c>
      <c r="S117" s="5">
        <v>0</v>
      </c>
      <c r="T117" s="5">
        <v>0</v>
      </c>
      <c r="U117" s="5" t="s">
        <v>983</v>
      </c>
      <c r="V117" s="5">
        <v>0</v>
      </c>
      <c r="W117" s="5">
        <v>2</v>
      </c>
      <c r="X117" s="5">
        <v>4</v>
      </c>
      <c r="Y117" s="5">
        <v>6</v>
      </c>
      <c r="Z117" s="5" t="s">
        <v>981</v>
      </c>
      <c r="AA117" s="5">
        <v>0</v>
      </c>
      <c r="AB117" s="5">
        <v>0</v>
      </c>
      <c r="AC117" s="5">
        <v>0</v>
      </c>
      <c r="AD117" s="5">
        <v>0</v>
      </c>
      <c r="AE117" s="5">
        <v>0</v>
      </c>
      <c r="AF117" s="5" t="s">
        <v>983</v>
      </c>
      <c r="AG117" s="5">
        <v>0</v>
      </c>
      <c r="AH117" s="5">
        <v>0</v>
      </c>
      <c r="AI117" s="5">
        <v>0</v>
      </c>
      <c r="AJ117" s="5">
        <v>0</v>
      </c>
      <c r="AK117" s="5" t="s">
        <v>983</v>
      </c>
      <c r="AL117" s="5">
        <v>1</v>
      </c>
      <c r="AM117" s="5">
        <v>1</v>
      </c>
      <c r="AN117" s="5">
        <v>0</v>
      </c>
      <c r="AO117" s="5">
        <v>2</v>
      </c>
      <c r="AP117" s="5" t="s">
        <v>983</v>
      </c>
      <c r="AQ117" s="5">
        <v>0</v>
      </c>
      <c r="AR117" s="5">
        <v>0</v>
      </c>
      <c r="AS117" s="5">
        <v>0</v>
      </c>
      <c r="AT117" s="5">
        <v>0</v>
      </c>
      <c r="AU117" s="5">
        <v>0</v>
      </c>
      <c r="AV117" s="5">
        <v>0</v>
      </c>
      <c r="AW117" s="5">
        <v>0</v>
      </c>
      <c r="AX117" s="5">
        <v>0</v>
      </c>
      <c r="AY117" s="5" t="s">
        <v>983</v>
      </c>
      <c r="AZ117" s="1">
        <v>0</v>
      </c>
      <c r="BA117" s="1">
        <v>0</v>
      </c>
      <c r="BB117" s="1">
        <v>0</v>
      </c>
      <c r="BC117" s="1">
        <v>1</v>
      </c>
      <c r="BD117" s="1">
        <v>0</v>
      </c>
      <c r="BE117" s="1">
        <v>1</v>
      </c>
      <c r="BF117" s="1">
        <v>47</v>
      </c>
      <c r="BG117" s="1">
        <v>1</v>
      </c>
      <c r="BH117" s="1">
        <v>11</v>
      </c>
      <c r="BI117" s="1">
        <v>24</v>
      </c>
      <c r="BJ117" s="1">
        <v>600000</v>
      </c>
      <c r="BK117" s="1">
        <v>1</v>
      </c>
    </row>
    <row r="118" spans="1:63" ht="12.75" customHeight="1" x14ac:dyDescent="0.15">
      <c r="A118" s="5" t="s">
        <v>330</v>
      </c>
      <c r="B118" s="5" t="s">
        <v>984</v>
      </c>
      <c r="C118" s="5">
        <v>1</v>
      </c>
      <c r="D118" s="5">
        <v>1</v>
      </c>
      <c r="E118" s="5">
        <v>1</v>
      </c>
      <c r="F118" s="5">
        <v>1</v>
      </c>
      <c r="G118" s="5">
        <v>1</v>
      </c>
      <c r="H118" s="5">
        <v>1</v>
      </c>
      <c r="I118" s="5">
        <v>1</v>
      </c>
      <c r="J118" s="5">
        <v>1</v>
      </c>
      <c r="K118" s="5">
        <v>1</v>
      </c>
      <c r="L118" s="5">
        <v>1</v>
      </c>
      <c r="M118" s="5">
        <v>1</v>
      </c>
      <c r="N118" s="5">
        <v>1</v>
      </c>
      <c r="O118" s="5">
        <v>12</v>
      </c>
      <c r="P118" s="5" t="s">
        <v>983</v>
      </c>
      <c r="Q118" s="5">
        <v>0</v>
      </c>
      <c r="R118" s="5">
        <v>0</v>
      </c>
      <c r="S118" s="5">
        <v>0</v>
      </c>
      <c r="T118" s="5">
        <v>0</v>
      </c>
      <c r="U118" s="5" t="s">
        <v>983</v>
      </c>
      <c r="V118" s="5">
        <v>0</v>
      </c>
      <c r="W118" s="5">
        <v>0</v>
      </c>
      <c r="X118" s="5">
        <v>0</v>
      </c>
      <c r="Y118" s="5">
        <v>0</v>
      </c>
      <c r="Z118" s="5" t="s">
        <v>983</v>
      </c>
      <c r="AA118" s="5">
        <v>4</v>
      </c>
      <c r="AB118" s="5">
        <v>0</v>
      </c>
      <c r="AC118" s="5">
        <v>0</v>
      </c>
      <c r="AD118" s="5">
        <v>0</v>
      </c>
      <c r="AE118" s="5">
        <v>4</v>
      </c>
      <c r="AF118" s="5" t="s">
        <v>982</v>
      </c>
      <c r="AG118" s="5">
        <v>0</v>
      </c>
      <c r="AH118" s="5">
        <v>0</v>
      </c>
      <c r="AI118" s="5">
        <v>0</v>
      </c>
      <c r="AJ118" s="5">
        <v>0</v>
      </c>
      <c r="AK118" s="5" t="s">
        <v>983</v>
      </c>
      <c r="AL118" s="5">
        <v>0</v>
      </c>
      <c r="AM118" s="5">
        <v>0</v>
      </c>
      <c r="AN118" s="5">
        <v>0</v>
      </c>
      <c r="AO118" s="5">
        <v>0</v>
      </c>
      <c r="AP118" s="5" t="s">
        <v>983</v>
      </c>
      <c r="AQ118" s="5">
        <v>0</v>
      </c>
      <c r="AR118" s="5">
        <v>0</v>
      </c>
      <c r="AS118" s="5">
        <v>0</v>
      </c>
      <c r="AT118" s="5">
        <v>0</v>
      </c>
      <c r="AU118" s="5">
        <v>0</v>
      </c>
      <c r="AV118" s="5">
        <v>0</v>
      </c>
      <c r="AW118" s="5">
        <v>0</v>
      </c>
      <c r="AX118" s="5">
        <v>0</v>
      </c>
      <c r="AY118" s="5" t="s">
        <v>983</v>
      </c>
      <c r="AZ118" s="1">
        <v>1</v>
      </c>
      <c r="BA118" s="1">
        <v>0</v>
      </c>
      <c r="BB118" s="1">
        <v>1</v>
      </c>
      <c r="BC118" s="1">
        <v>1</v>
      </c>
      <c r="BD118" s="1">
        <v>1</v>
      </c>
      <c r="BE118" s="1">
        <v>1</v>
      </c>
      <c r="BF118" s="1">
        <v>35</v>
      </c>
      <c r="BG118" s="1">
        <v>0</v>
      </c>
      <c r="BH118" s="1">
        <v>18</v>
      </c>
      <c r="BI118" s="1">
        <v>33</v>
      </c>
      <c r="BJ118" s="1">
        <v>300000</v>
      </c>
      <c r="BK118" s="1">
        <v>3</v>
      </c>
    </row>
    <row r="119" spans="1:63" ht="12.75" customHeight="1" x14ac:dyDescent="0.15">
      <c r="A119" s="5" t="s">
        <v>238</v>
      </c>
      <c r="B119" s="5" t="s">
        <v>238</v>
      </c>
      <c r="C119" s="5">
        <v>3</v>
      </c>
      <c r="D119" s="5">
        <v>3</v>
      </c>
      <c r="E119" s="5">
        <v>3</v>
      </c>
      <c r="F119" s="5">
        <v>3</v>
      </c>
      <c r="G119" s="5">
        <v>3</v>
      </c>
      <c r="H119" s="5">
        <v>3</v>
      </c>
      <c r="I119" s="5">
        <v>2</v>
      </c>
      <c r="J119" s="5">
        <v>2</v>
      </c>
      <c r="K119" s="5">
        <v>1</v>
      </c>
      <c r="L119" s="5">
        <v>2</v>
      </c>
      <c r="M119" s="5">
        <v>3</v>
      </c>
      <c r="N119" s="5">
        <v>2</v>
      </c>
      <c r="O119" s="5">
        <v>30</v>
      </c>
      <c r="P119" s="5" t="s">
        <v>981</v>
      </c>
      <c r="Q119" s="5">
        <v>1</v>
      </c>
      <c r="R119" s="5">
        <v>1</v>
      </c>
      <c r="S119" s="5">
        <v>0</v>
      </c>
      <c r="T119" s="5">
        <v>2</v>
      </c>
      <c r="U119" s="5" t="s">
        <v>982</v>
      </c>
      <c r="V119" s="5">
        <v>0</v>
      </c>
      <c r="W119" s="5">
        <v>4</v>
      </c>
      <c r="X119" s="5">
        <v>3</v>
      </c>
      <c r="Y119" s="5">
        <v>7</v>
      </c>
      <c r="Z119" s="5" t="s">
        <v>981</v>
      </c>
      <c r="AA119" s="5">
        <v>4</v>
      </c>
      <c r="AB119" s="5">
        <v>4</v>
      </c>
      <c r="AC119" s="5">
        <v>4</v>
      </c>
      <c r="AD119" s="5">
        <v>4</v>
      </c>
      <c r="AE119" s="5">
        <v>16</v>
      </c>
      <c r="AF119" s="5" t="s">
        <v>981</v>
      </c>
      <c r="AG119" s="5">
        <v>0</v>
      </c>
      <c r="AH119" s="5">
        <v>0</v>
      </c>
      <c r="AI119" s="5">
        <v>0</v>
      </c>
      <c r="AJ119" s="5">
        <v>0</v>
      </c>
      <c r="AK119" s="5" t="s">
        <v>983</v>
      </c>
      <c r="AL119" s="5">
        <v>0</v>
      </c>
      <c r="AM119" s="5">
        <v>0</v>
      </c>
      <c r="AN119" s="5">
        <v>0</v>
      </c>
      <c r="AO119" s="5">
        <v>0</v>
      </c>
      <c r="AP119" s="5" t="s">
        <v>983</v>
      </c>
      <c r="AQ119" s="5">
        <v>0</v>
      </c>
      <c r="AR119" s="5">
        <v>0</v>
      </c>
      <c r="AS119" s="5">
        <v>0</v>
      </c>
      <c r="AT119" s="5">
        <v>0</v>
      </c>
      <c r="AU119" s="5">
        <v>0</v>
      </c>
      <c r="AV119" s="5">
        <v>0</v>
      </c>
      <c r="AW119" s="5">
        <v>0</v>
      </c>
      <c r="AX119" s="5">
        <v>0</v>
      </c>
      <c r="AY119" s="5" t="s">
        <v>983</v>
      </c>
      <c r="AZ119" s="1">
        <v>1</v>
      </c>
      <c r="BA119" s="1">
        <v>0</v>
      </c>
      <c r="BB119" s="1">
        <v>0</v>
      </c>
      <c r="BC119" s="1">
        <v>1</v>
      </c>
      <c r="BD119" s="1">
        <v>1</v>
      </c>
      <c r="BE119" s="1">
        <v>1</v>
      </c>
      <c r="BF119" s="1">
        <v>35</v>
      </c>
      <c r="BG119" s="1">
        <v>0</v>
      </c>
      <c r="BH119" s="1">
        <v>18</v>
      </c>
      <c r="BI119" s="1">
        <v>33</v>
      </c>
      <c r="BJ119" s="1">
        <v>300000</v>
      </c>
      <c r="BK119" s="1">
        <v>3</v>
      </c>
    </row>
    <row r="120" spans="1:63" ht="12.75" customHeight="1" x14ac:dyDescent="0.15">
      <c r="A120" s="5" t="s">
        <v>238</v>
      </c>
      <c r="B120" s="5" t="s">
        <v>238</v>
      </c>
      <c r="C120" s="5">
        <v>4</v>
      </c>
      <c r="D120" s="5">
        <v>4</v>
      </c>
      <c r="E120" s="5">
        <v>4</v>
      </c>
      <c r="F120" s="5">
        <v>4</v>
      </c>
      <c r="G120" s="5">
        <v>4</v>
      </c>
      <c r="H120" s="5">
        <v>4</v>
      </c>
      <c r="I120" s="5">
        <v>3</v>
      </c>
      <c r="J120" s="5">
        <v>2</v>
      </c>
      <c r="K120" s="5">
        <v>2</v>
      </c>
      <c r="L120" s="5">
        <v>2</v>
      </c>
      <c r="M120" s="5">
        <v>2</v>
      </c>
      <c r="N120" s="5">
        <v>2</v>
      </c>
      <c r="O120" s="5">
        <v>37</v>
      </c>
      <c r="P120" s="5" t="s">
        <v>981</v>
      </c>
      <c r="Q120" s="5">
        <v>4</v>
      </c>
      <c r="R120" s="5">
        <v>2</v>
      </c>
      <c r="S120" s="5">
        <v>1</v>
      </c>
      <c r="T120" s="5">
        <v>7</v>
      </c>
      <c r="U120" s="5" t="s">
        <v>981</v>
      </c>
      <c r="V120" s="5">
        <v>1</v>
      </c>
      <c r="W120" s="5">
        <v>0</v>
      </c>
      <c r="X120" s="5">
        <v>4</v>
      </c>
      <c r="Y120" s="5">
        <v>5</v>
      </c>
      <c r="Z120" s="5" t="s">
        <v>982</v>
      </c>
      <c r="AA120" s="5">
        <v>2</v>
      </c>
      <c r="AB120" s="5">
        <v>2</v>
      </c>
      <c r="AC120" s="5">
        <v>3</v>
      </c>
      <c r="AD120" s="5">
        <v>4</v>
      </c>
      <c r="AE120" s="5">
        <v>11</v>
      </c>
      <c r="AF120" s="5" t="s">
        <v>981</v>
      </c>
      <c r="AG120" s="5">
        <v>0</v>
      </c>
      <c r="AH120" s="5">
        <v>0</v>
      </c>
      <c r="AI120" s="5">
        <v>0</v>
      </c>
      <c r="AJ120" s="5">
        <v>0</v>
      </c>
      <c r="AK120" s="5" t="s">
        <v>983</v>
      </c>
      <c r="AL120" s="5">
        <v>0</v>
      </c>
      <c r="AM120" s="5">
        <v>0</v>
      </c>
      <c r="AN120" s="5">
        <v>0</v>
      </c>
      <c r="AO120" s="5">
        <v>0</v>
      </c>
      <c r="AP120" s="5" t="s">
        <v>983</v>
      </c>
      <c r="AQ120" s="5">
        <v>1</v>
      </c>
      <c r="AR120" s="5">
        <v>1</v>
      </c>
      <c r="AS120" s="5">
        <v>0</v>
      </c>
      <c r="AT120" s="5">
        <v>0</v>
      </c>
      <c r="AU120" s="5">
        <v>0</v>
      </c>
      <c r="AV120" s="5">
        <v>0</v>
      </c>
      <c r="AW120" s="5">
        <v>1</v>
      </c>
      <c r="AX120" s="5">
        <v>3</v>
      </c>
      <c r="AY120" s="5" t="s">
        <v>982</v>
      </c>
      <c r="AZ120" s="1">
        <v>1</v>
      </c>
      <c r="BA120" s="1">
        <v>0</v>
      </c>
      <c r="BB120" s="1">
        <v>1</v>
      </c>
      <c r="BC120" s="1">
        <v>1</v>
      </c>
      <c r="BD120" s="1">
        <v>1</v>
      </c>
      <c r="BE120" s="1">
        <v>1</v>
      </c>
      <c r="BF120" s="1">
        <v>45</v>
      </c>
      <c r="BG120" s="1">
        <v>1</v>
      </c>
      <c r="BH120" s="1">
        <v>14</v>
      </c>
      <c r="BI120" s="1">
        <v>3</v>
      </c>
      <c r="BJ120" s="1">
        <v>1000000</v>
      </c>
      <c r="BK120" s="1">
        <v>3</v>
      </c>
    </row>
    <row r="121" spans="1:63" ht="12.75" customHeight="1" x14ac:dyDescent="0.15">
      <c r="A121" s="5" t="s">
        <v>238</v>
      </c>
      <c r="B121" s="5" t="s">
        <v>238</v>
      </c>
      <c r="C121" s="5">
        <v>1</v>
      </c>
      <c r="D121" s="5">
        <v>1</v>
      </c>
      <c r="E121" s="5">
        <v>1</v>
      </c>
      <c r="F121" s="5">
        <v>1</v>
      </c>
      <c r="G121" s="5">
        <v>1</v>
      </c>
      <c r="H121" s="5">
        <v>1</v>
      </c>
      <c r="I121" s="5">
        <v>1</v>
      </c>
      <c r="J121" s="5">
        <v>1</v>
      </c>
      <c r="K121" s="5">
        <v>1</v>
      </c>
      <c r="L121" s="5">
        <v>1</v>
      </c>
      <c r="M121" s="5">
        <v>1</v>
      </c>
      <c r="N121" s="5">
        <v>1</v>
      </c>
      <c r="O121" s="5">
        <v>12</v>
      </c>
      <c r="P121" s="5" t="s">
        <v>983</v>
      </c>
      <c r="Q121" s="5">
        <v>2</v>
      </c>
      <c r="R121" s="5">
        <v>1</v>
      </c>
      <c r="S121" s="5">
        <v>1</v>
      </c>
      <c r="T121" s="5">
        <v>4</v>
      </c>
      <c r="U121" s="5" t="s">
        <v>982</v>
      </c>
      <c r="V121" s="5">
        <v>1</v>
      </c>
      <c r="W121" s="5">
        <v>0</v>
      </c>
      <c r="X121" s="5">
        <v>0</v>
      </c>
      <c r="Y121" s="5">
        <v>1</v>
      </c>
      <c r="Z121" s="5" t="s">
        <v>983</v>
      </c>
      <c r="AA121" s="5">
        <v>4</v>
      </c>
      <c r="AB121" s="5">
        <v>4</v>
      </c>
      <c r="AC121" s="5">
        <v>4</v>
      </c>
      <c r="AD121" s="5">
        <v>4</v>
      </c>
      <c r="AE121" s="5">
        <v>16</v>
      </c>
      <c r="AF121" s="5" t="s">
        <v>981</v>
      </c>
      <c r="AG121" s="5">
        <v>0</v>
      </c>
      <c r="AH121" s="5">
        <v>0</v>
      </c>
      <c r="AI121" s="5">
        <v>0</v>
      </c>
      <c r="AJ121" s="5">
        <v>0</v>
      </c>
      <c r="AK121" s="5" t="s">
        <v>983</v>
      </c>
      <c r="AL121" s="5">
        <v>0</v>
      </c>
      <c r="AM121" s="5">
        <v>0</v>
      </c>
      <c r="AN121" s="5">
        <v>0</v>
      </c>
      <c r="AO121" s="5">
        <v>0</v>
      </c>
      <c r="AP121" s="5" t="s">
        <v>983</v>
      </c>
      <c r="AQ121" s="5">
        <v>0</v>
      </c>
      <c r="AR121" s="5">
        <v>0</v>
      </c>
      <c r="AS121" s="5">
        <v>0</v>
      </c>
      <c r="AT121" s="5">
        <v>0</v>
      </c>
      <c r="AU121" s="5">
        <v>0</v>
      </c>
      <c r="AV121" s="5">
        <v>0</v>
      </c>
      <c r="AW121" s="5">
        <v>0</v>
      </c>
      <c r="AX121" s="5">
        <v>0</v>
      </c>
      <c r="AY121" s="5" t="s">
        <v>983</v>
      </c>
      <c r="AZ121" s="1">
        <v>0</v>
      </c>
      <c r="BA121" s="1">
        <v>0</v>
      </c>
      <c r="BB121" s="1">
        <v>1</v>
      </c>
      <c r="BC121" s="1">
        <v>1</v>
      </c>
      <c r="BD121" s="1">
        <v>1</v>
      </c>
      <c r="BE121" s="1">
        <v>1</v>
      </c>
      <c r="BF121" s="1">
        <v>36</v>
      </c>
      <c r="BG121" s="1">
        <v>1</v>
      </c>
      <c r="BH121" s="1">
        <v>14</v>
      </c>
      <c r="BI121" s="1">
        <v>8</v>
      </c>
      <c r="BJ121" s="1">
        <v>0</v>
      </c>
      <c r="BK121" s="1">
        <v>1</v>
      </c>
    </row>
    <row r="122" spans="1:63" ht="12.75" customHeight="1" x14ac:dyDescent="0.15">
      <c r="A122" s="5" t="s">
        <v>238</v>
      </c>
      <c r="B122" s="5" t="s">
        <v>238</v>
      </c>
      <c r="C122" s="5">
        <v>2</v>
      </c>
      <c r="D122" s="5">
        <v>2</v>
      </c>
      <c r="E122" s="5">
        <v>2</v>
      </c>
      <c r="F122" s="5">
        <v>1</v>
      </c>
      <c r="G122" s="5">
        <v>1</v>
      </c>
      <c r="H122" s="5">
        <v>1</v>
      </c>
      <c r="I122" s="5">
        <v>1</v>
      </c>
      <c r="J122" s="5">
        <v>2</v>
      </c>
      <c r="K122" s="5">
        <v>2</v>
      </c>
      <c r="L122" s="5">
        <v>2</v>
      </c>
      <c r="M122" s="5">
        <v>1</v>
      </c>
      <c r="N122" s="5">
        <v>1</v>
      </c>
      <c r="O122" s="5">
        <v>18</v>
      </c>
      <c r="P122" s="5" t="s">
        <v>983</v>
      </c>
      <c r="Q122" s="5">
        <v>1</v>
      </c>
      <c r="R122" s="5">
        <v>3</v>
      </c>
      <c r="S122" s="5">
        <v>0</v>
      </c>
      <c r="T122" s="5">
        <v>4</v>
      </c>
      <c r="U122" s="5" t="s">
        <v>982</v>
      </c>
      <c r="V122" s="5">
        <v>0</v>
      </c>
      <c r="W122" s="5">
        <v>2</v>
      </c>
      <c r="X122" s="5">
        <v>0</v>
      </c>
      <c r="Y122" s="5">
        <v>2</v>
      </c>
      <c r="Z122" s="5" t="s">
        <v>982</v>
      </c>
      <c r="AA122" s="5">
        <v>2</v>
      </c>
      <c r="AB122" s="5">
        <v>3</v>
      </c>
      <c r="AC122" s="5">
        <v>0</v>
      </c>
      <c r="AD122" s="5">
        <v>0</v>
      </c>
      <c r="AE122" s="5">
        <v>5</v>
      </c>
      <c r="AF122" s="5" t="s">
        <v>981</v>
      </c>
      <c r="AG122" s="5">
        <v>0</v>
      </c>
      <c r="AH122" s="5">
        <v>0</v>
      </c>
      <c r="AI122" s="5">
        <v>0</v>
      </c>
      <c r="AJ122" s="5">
        <v>0</v>
      </c>
      <c r="AK122" s="5" t="s">
        <v>983</v>
      </c>
      <c r="AL122" s="5">
        <v>1</v>
      </c>
      <c r="AM122" s="5">
        <v>1</v>
      </c>
      <c r="AN122" s="5">
        <v>2</v>
      </c>
      <c r="AO122" s="5">
        <v>4</v>
      </c>
      <c r="AP122" s="5" t="s">
        <v>982</v>
      </c>
      <c r="AQ122" s="5">
        <v>0</v>
      </c>
      <c r="AR122" s="5">
        <v>0</v>
      </c>
      <c r="AS122" s="5">
        <v>0</v>
      </c>
      <c r="AT122" s="5">
        <v>0</v>
      </c>
      <c r="AU122" s="5">
        <v>0</v>
      </c>
      <c r="AV122" s="5">
        <v>0</v>
      </c>
      <c r="AW122" s="5">
        <v>0</v>
      </c>
      <c r="AX122" s="5">
        <v>0</v>
      </c>
      <c r="AY122" s="5" t="s">
        <v>983</v>
      </c>
      <c r="AZ122" s="1">
        <v>0</v>
      </c>
      <c r="BA122" s="1">
        <v>0</v>
      </c>
      <c r="BB122" s="1">
        <v>0</v>
      </c>
      <c r="BC122" s="1">
        <v>1</v>
      </c>
      <c r="BD122" s="1">
        <v>1</v>
      </c>
      <c r="BE122" s="1">
        <v>1</v>
      </c>
      <c r="BF122" s="1">
        <v>26</v>
      </c>
      <c r="BG122" s="1">
        <v>0</v>
      </c>
      <c r="BH122" s="1">
        <v>16</v>
      </c>
      <c r="BI122" s="1">
        <v>3</v>
      </c>
      <c r="BJ122" s="1">
        <v>450000</v>
      </c>
      <c r="BK122" s="1">
        <v>2</v>
      </c>
    </row>
    <row r="123" spans="1:63" ht="12.75" customHeight="1" x14ac:dyDescent="0.15">
      <c r="A123" s="5" t="s">
        <v>337</v>
      </c>
      <c r="B123" s="5" t="s">
        <v>984</v>
      </c>
      <c r="C123" s="5">
        <v>2</v>
      </c>
      <c r="D123" s="5">
        <v>3</v>
      </c>
      <c r="E123" s="5">
        <v>2</v>
      </c>
      <c r="F123" s="5">
        <v>2</v>
      </c>
      <c r="G123" s="5">
        <v>2</v>
      </c>
      <c r="H123" s="5">
        <v>1</v>
      </c>
      <c r="I123" s="5">
        <v>1</v>
      </c>
      <c r="J123" s="5">
        <v>2</v>
      </c>
      <c r="K123" s="5">
        <v>2</v>
      </c>
      <c r="L123" s="5">
        <v>2</v>
      </c>
      <c r="M123" s="5">
        <v>1</v>
      </c>
      <c r="N123" s="5">
        <v>2</v>
      </c>
      <c r="O123" s="5">
        <v>22</v>
      </c>
      <c r="P123" s="5" t="s">
        <v>982</v>
      </c>
      <c r="Q123" s="5">
        <v>2</v>
      </c>
      <c r="R123" s="5">
        <v>1</v>
      </c>
      <c r="S123" s="5">
        <v>0</v>
      </c>
      <c r="T123" s="5">
        <v>3</v>
      </c>
      <c r="U123" s="5" t="s">
        <v>982</v>
      </c>
      <c r="V123" s="5">
        <v>2</v>
      </c>
      <c r="W123" s="5">
        <v>3</v>
      </c>
      <c r="X123" s="5">
        <v>2</v>
      </c>
      <c r="Y123" s="5">
        <v>7</v>
      </c>
      <c r="Z123" s="5" t="s">
        <v>981</v>
      </c>
      <c r="AA123" s="5">
        <v>1</v>
      </c>
      <c r="AB123" s="5">
        <v>1</v>
      </c>
      <c r="AC123" s="5">
        <v>1</v>
      </c>
      <c r="AD123" s="5">
        <v>0</v>
      </c>
      <c r="AE123" s="5">
        <v>3</v>
      </c>
      <c r="AF123" s="5" t="s">
        <v>982</v>
      </c>
      <c r="AG123" s="5">
        <v>3</v>
      </c>
      <c r="AH123" s="5">
        <v>3</v>
      </c>
      <c r="AI123" s="5">
        <v>3</v>
      </c>
      <c r="AJ123" s="5">
        <v>9</v>
      </c>
      <c r="AK123" s="5" t="s">
        <v>981</v>
      </c>
      <c r="AL123" s="5">
        <v>2</v>
      </c>
      <c r="AM123" s="5">
        <v>1</v>
      </c>
      <c r="AN123" s="5">
        <v>1</v>
      </c>
      <c r="AO123" s="5">
        <v>4</v>
      </c>
      <c r="AP123" s="5" t="s">
        <v>982</v>
      </c>
      <c r="AQ123" s="5">
        <v>0</v>
      </c>
      <c r="AR123" s="5">
        <v>0</v>
      </c>
      <c r="AS123" s="5">
        <v>0</v>
      </c>
      <c r="AT123" s="5">
        <v>0</v>
      </c>
      <c r="AU123" s="5">
        <v>0</v>
      </c>
      <c r="AV123" s="5">
        <v>0</v>
      </c>
      <c r="AW123" s="5">
        <v>0</v>
      </c>
      <c r="AX123" s="5">
        <v>0</v>
      </c>
      <c r="AY123" s="5" t="s">
        <v>983</v>
      </c>
      <c r="AZ123" s="1">
        <v>0</v>
      </c>
      <c r="BA123" s="1">
        <v>0</v>
      </c>
      <c r="BB123" s="1">
        <v>0</v>
      </c>
      <c r="BC123" s="1">
        <v>1</v>
      </c>
      <c r="BD123" s="1">
        <v>1</v>
      </c>
      <c r="BE123" s="1">
        <v>1</v>
      </c>
      <c r="BF123" s="1">
        <v>34</v>
      </c>
      <c r="BG123" s="1">
        <v>0</v>
      </c>
      <c r="BH123" s="1">
        <v>14</v>
      </c>
      <c r="BI123" s="1">
        <v>34</v>
      </c>
      <c r="BJ123" s="1">
        <v>190000</v>
      </c>
      <c r="BK123" s="1">
        <v>4</v>
      </c>
    </row>
    <row r="124" spans="1:63" ht="12.75" customHeight="1" x14ac:dyDescent="0.15">
      <c r="A124" s="5" t="s">
        <v>238</v>
      </c>
      <c r="B124" s="5" t="s">
        <v>238</v>
      </c>
      <c r="C124" s="5">
        <v>1</v>
      </c>
      <c r="D124" s="5">
        <v>1</v>
      </c>
      <c r="E124" s="5">
        <v>1</v>
      </c>
      <c r="F124" s="5">
        <v>1</v>
      </c>
      <c r="G124" s="5">
        <v>1</v>
      </c>
      <c r="H124" s="5">
        <v>1</v>
      </c>
      <c r="I124" s="5">
        <v>1</v>
      </c>
      <c r="J124" s="5">
        <v>1</v>
      </c>
      <c r="K124" s="5">
        <v>1</v>
      </c>
      <c r="L124" s="5">
        <v>1</v>
      </c>
      <c r="M124" s="5">
        <v>1</v>
      </c>
      <c r="N124" s="5">
        <v>1</v>
      </c>
      <c r="O124" s="5">
        <v>12</v>
      </c>
      <c r="P124" s="5" t="s">
        <v>983</v>
      </c>
      <c r="Q124" s="5">
        <v>2</v>
      </c>
      <c r="R124" s="5">
        <v>1</v>
      </c>
      <c r="S124" s="5">
        <v>0</v>
      </c>
      <c r="T124" s="5">
        <v>3</v>
      </c>
      <c r="U124" s="5" t="s">
        <v>982</v>
      </c>
      <c r="V124" s="5">
        <v>0</v>
      </c>
      <c r="W124" s="5">
        <v>0</v>
      </c>
      <c r="X124" s="5">
        <v>0</v>
      </c>
      <c r="Y124" s="5">
        <v>0</v>
      </c>
      <c r="Z124" s="5" t="s">
        <v>983</v>
      </c>
      <c r="AA124" s="5">
        <v>4</v>
      </c>
      <c r="AB124" s="5">
        <v>0</v>
      </c>
      <c r="AC124" s="5">
        <v>0</v>
      </c>
      <c r="AD124" s="5">
        <v>0</v>
      </c>
      <c r="AE124" s="5">
        <v>4</v>
      </c>
      <c r="AF124" s="5" t="s">
        <v>982</v>
      </c>
      <c r="AG124" s="5">
        <v>0</v>
      </c>
      <c r="AH124" s="5">
        <v>0</v>
      </c>
      <c r="AI124" s="5">
        <v>0</v>
      </c>
      <c r="AJ124" s="5">
        <v>0</v>
      </c>
      <c r="AK124" s="5" t="s">
        <v>983</v>
      </c>
      <c r="AL124" s="5">
        <v>0</v>
      </c>
      <c r="AM124" s="5">
        <v>0</v>
      </c>
      <c r="AN124" s="5">
        <v>0</v>
      </c>
      <c r="AO124" s="5">
        <v>0</v>
      </c>
      <c r="AP124" s="5" t="s">
        <v>983</v>
      </c>
      <c r="AQ124" s="5">
        <v>0</v>
      </c>
      <c r="AR124" s="5">
        <v>0</v>
      </c>
      <c r="AS124" s="5">
        <v>0</v>
      </c>
      <c r="AT124" s="5">
        <v>0</v>
      </c>
      <c r="AU124" s="5">
        <v>0</v>
      </c>
      <c r="AV124" s="5">
        <v>0</v>
      </c>
      <c r="AW124" s="5">
        <v>0</v>
      </c>
      <c r="AX124" s="5">
        <v>0</v>
      </c>
      <c r="AY124" s="5" t="s">
        <v>983</v>
      </c>
      <c r="AZ124" s="1">
        <v>0</v>
      </c>
      <c r="BA124" s="1">
        <v>0</v>
      </c>
      <c r="BB124" s="1">
        <v>0</v>
      </c>
      <c r="BC124" s="1">
        <v>1</v>
      </c>
      <c r="BD124" s="1">
        <v>0</v>
      </c>
      <c r="BE124" s="1">
        <v>1</v>
      </c>
      <c r="BF124" s="1">
        <v>33</v>
      </c>
      <c r="BG124" s="1">
        <v>0</v>
      </c>
      <c r="BH124" s="1">
        <v>18</v>
      </c>
      <c r="BI124" s="1">
        <v>34</v>
      </c>
      <c r="BJ124" s="1">
        <v>800000</v>
      </c>
      <c r="BK124" s="1">
        <v>2</v>
      </c>
    </row>
    <row r="125" spans="1:63" ht="12.75" customHeight="1" x14ac:dyDescent="0.15">
      <c r="A125" s="5" t="s">
        <v>330</v>
      </c>
      <c r="B125" s="5" t="s">
        <v>984</v>
      </c>
      <c r="C125" s="5">
        <v>1</v>
      </c>
      <c r="D125" s="5">
        <v>4</v>
      </c>
      <c r="E125" s="5">
        <v>3</v>
      </c>
      <c r="F125" s="5">
        <v>3</v>
      </c>
      <c r="G125" s="5">
        <v>3</v>
      </c>
      <c r="H125" s="5">
        <v>1</v>
      </c>
      <c r="I125" s="5">
        <v>1</v>
      </c>
      <c r="J125" s="5">
        <v>2</v>
      </c>
      <c r="K125" s="5">
        <v>2</v>
      </c>
      <c r="L125" s="5">
        <v>3</v>
      </c>
      <c r="M125" s="5">
        <v>2</v>
      </c>
      <c r="N125" s="5">
        <v>2</v>
      </c>
      <c r="O125" s="5">
        <v>27</v>
      </c>
      <c r="P125" s="5" t="s">
        <v>981</v>
      </c>
      <c r="Q125" s="5">
        <v>0</v>
      </c>
      <c r="R125" s="5">
        <v>1</v>
      </c>
      <c r="S125" s="5">
        <v>0</v>
      </c>
      <c r="T125" s="5">
        <v>1</v>
      </c>
      <c r="U125" s="5" t="s">
        <v>983</v>
      </c>
      <c r="V125" s="5">
        <v>0</v>
      </c>
      <c r="W125" s="5">
        <v>0</v>
      </c>
      <c r="X125" s="5">
        <v>0</v>
      </c>
      <c r="Y125" s="5">
        <v>0</v>
      </c>
      <c r="Z125" s="5" t="s">
        <v>983</v>
      </c>
      <c r="AA125" s="5">
        <v>3</v>
      </c>
      <c r="AB125" s="5">
        <v>0</v>
      </c>
      <c r="AC125" s="5">
        <v>0</v>
      </c>
      <c r="AD125" s="5">
        <v>0</v>
      </c>
      <c r="AE125" s="5">
        <v>3</v>
      </c>
      <c r="AF125" s="5" t="s">
        <v>982</v>
      </c>
      <c r="AG125" s="5">
        <v>1</v>
      </c>
      <c r="AH125" s="5">
        <v>0</v>
      </c>
      <c r="AI125" s="5">
        <v>0</v>
      </c>
      <c r="AJ125" s="5">
        <v>1</v>
      </c>
      <c r="AK125" s="5" t="s">
        <v>983</v>
      </c>
      <c r="AL125" s="5">
        <v>0</v>
      </c>
      <c r="AM125" s="5">
        <v>0</v>
      </c>
      <c r="AN125" s="5">
        <v>0</v>
      </c>
      <c r="AO125" s="5">
        <v>0</v>
      </c>
      <c r="AP125" s="5" t="s">
        <v>983</v>
      </c>
      <c r="AQ125" s="5">
        <v>0</v>
      </c>
      <c r="AR125" s="5">
        <v>0</v>
      </c>
      <c r="AS125" s="5">
        <v>0</v>
      </c>
      <c r="AT125" s="5">
        <v>0</v>
      </c>
      <c r="AU125" s="5">
        <v>0</v>
      </c>
      <c r="AV125" s="5">
        <v>0</v>
      </c>
      <c r="AW125" s="5">
        <v>0</v>
      </c>
      <c r="AX125" s="5">
        <v>0</v>
      </c>
      <c r="AY125" s="5" t="s">
        <v>983</v>
      </c>
      <c r="AZ125" s="1">
        <v>0</v>
      </c>
      <c r="BA125" s="1">
        <v>0</v>
      </c>
      <c r="BB125" s="1">
        <v>0</v>
      </c>
      <c r="BC125" s="1">
        <v>1</v>
      </c>
      <c r="BD125" s="1">
        <v>1</v>
      </c>
      <c r="BE125" s="1">
        <v>1</v>
      </c>
      <c r="BF125" s="1">
        <v>49</v>
      </c>
      <c r="BG125" s="1">
        <v>0</v>
      </c>
      <c r="BH125" s="1">
        <v>17</v>
      </c>
      <c r="BI125" s="1">
        <v>34</v>
      </c>
      <c r="BJ125" s="1">
        <v>800000</v>
      </c>
      <c r="BK125" s="1">
        <v>4</v>
      </c>
    </row>
    <row r="126" spans="1:63" ht="12.75" customHeight="1" x14ac:dyDescent="0.15">
      <c r="A126" s="5" t="s">
        <v>238</v>
      </c>
      <c r="B126" s="5" t="s">
        <v>238</v>
      </c>
      <c r="C126" s="5">
        <v>3</v>
      </c>
      <c r="D126" s="5">
        <v>3</v>
      </c>
      <c r="E126" s="5">
        <v>2</v>
      </c>
      <c r="F126" s="5">
        <v>2</v>
      </c>
      <c r="G126" s="5">
        <v>2</v>
      </c>
      <c r="H126" s="5">
        <v>2</v>
      </c>
      <c r="I126" s="5">
        <v>3</v>
      </c>
      <c r="J126" s="5">
        <v>3</v>
      </c>
      <c r="K126" s="5">
        <v>3</v>
      </c>
      <c r="L126" s="5">
        <v>3</v>
      </c>
      <c r="M126" s="5">
        <v>3</v>
      </c>
      <c r="N126" s="5">
        <v>2</v>
      </c>
      <c r="O126" s="5">
        <v>31</v>
      </c>
      <c r="P126" s="5" t="s">
        <v>981</v>
      </c>
      <c r="Q126" s="5">
        <v>2</v>
      </c>
      <c r="R126" s="5">
        <v>2</v>
      </c>
      <c r="S126" s="5">
        <v>2</v>
      </c>
      <c r="T126" s="5">
        <v>6</v>
      </c>
      <c r="U126" s="5" t="s">
        <v>981</v>
      </c>
      <c r="V126" s="5">
        <v>1</v>
      </c>
      <c r="W126" s="5">
        <v>2</v>
      </c>
      <c r="X126" s="5">
        <v>1</v>
      </c>
      <c r="Y126" s="5">
        <v>4</v>
      </c>
      <c r="Z126" s="5" t="s">
        <v>982</v>
      </c>
      <c r="AA126" s="5">
        <v>0</v>
      </c>
      <c r="AB126" s="5">
        <v>0</v>
      </c>
      <c r="AC126" s="5">
        <v>4</v>
      </c>
      <c r="AD126" s="5">
        <v>3</v>
      </c>
      <c r="AE126" s="5">
        <v>7</v>
      </c>
      <c r="AF126" s="5" t="s">
        <v>981</v>
      </c>
      <c r="AG126" s="5">
        <v>4</v>
      </c>
      <c r="AH126" s="5">
        <v>4</v>
      </c>
      <c r="AI126" s="5">
        <v>4</v>
      </c>
      <c r="AJ126" s="5">
        <v>12</v>
      </c>
      <c r="AK126" s="5" t="s">
        <v>981</v>
      </c>
      <c r="AL126" s="5">
        <v>3</v>
      </c>
      <c r="AM126" s="5">
        <v>3</v>
      </c>
      <c r="AN126" s="5">
        <v>4</v>
      </c>
      <c r="AO126" s="5">
        <v>10</v>
      </c>
      <c r="AP126" s="5" t="s">
        <v>981</v>
      </c>
      <c r="AQ126" s="5">
        <v>0</v>
      </c>
      <c r="AR126" s="5">
        <v>1</v>
      </c>
      <c r="AS126" s="5">
        <v>0</v>
      </c>
      <c r="AT126" s="5">
        <v>0</v>
      </c>
      <c r="AU126" s="5">
        <v>0</v>
      </c>
      <c r="AV126" s="5">
        <v>0</v>
      </c>
      <c r="AW126" s="5">
        <v>0</v>
      </c>
      <c r="AX126" s="5">
        <v>1</v>
      </c>
      <c r="AY126" s="5" t="s">
        <v>982</v>
      </c>
      <c r="AZ126" s="1">
        <v>0</v>
      </c>
      <c r="BA126" s="1">
        <v>0</v>
      </c>
      <c r="BB126" s="1">
        <v>0</v>
      </c>
      <c r="BC126" s="1">
        <v>1</v>
      </c>
      <c r="BD126" s="1">
        <v>1</v>
      </c>
      <c r="BE126" s="1">
        <v>1</v>
      </c>
      <c r="BF126" s="1">
        <v>49</v>
      </c>
      <c r="BG126" s="1">
        <v>0</v>
      </c>
      <c r="BH126" s="1">
        <v>17</v>
      </c>
      <c r="BI126" s="1">
        <v>34</v>
      </c>
      <c r="BJ126" s="1">
        <v>800000</v>
      </c>
      <c r="BK126" s="1">
        <v>4</v>
      </c>
    </row>
    <row r="127" spans="1:63" ht="12.75" customHeight="1" x14ac:dyDescent="0.15">
      <c r="A127" s="5" t="s">
        <v>238</v>
      </c>
      <c r="B127" s="5" t="s">
        <v>238</v>
      </c>
      <c r="C127" s="5">
        <v>2</v>
      </c>
      <c r="D127" s="5">
        <v>2</v>
      </c>
      <c r="E127" s="5">
        <v>2</v>
      </c>
      <c r="F127" s="5">
        <v>2</v>
      </c>
      <c r="G127" s="5">
        <v>2</v>
      </c>
      <c r="H127" s="5">
        <v>1</v>
      </c>
      <c r="I127" s="5">
        <v>1</v>
      </c>
      <c r="J127" s="5">
        <v>1</v>
      </c>
      <c r="K127" s="5">
        <v>1</v>
      </c>
      <c r="L127" s="5">
        <v>3</v>
      </c>
      <c r="M127" s="5">
        <v>1</v>
      </c>
      <c r="N127" s="5">
        <v>2</v>
      </c>
      <c r="O127" s="5">
        <v>20</v>
      </c>
      <c r="P127" s="5" t="s">
        <v>982</v>
      </c>
      <c r="Q127" s="5">
        <v>2</v>
      </c>
      <c r="R127" s="5">
        <v>1</v>
      </c>
      <c r="S127" s="5">
        <v>1</v>
      </c>
      <c r="T127" s="5">
        <v>4</v>
      </c>
      <c r="U127" s="5" t="s">
        <v>982</v>
      </c>
      <c r="V127" s="5">
        <v>0</v>
      </c>
      <c r="W127" s="5">
        <v>1</v>
      </c>
      <c r="X127" s="5">
        <v>0</v>
      </c>
      <c r="Y127" s="5">
        <v>1</v>
      </c>
      <c r="Z127" s="5" t="s">
        <v>983</v>
      </c>
      <c r="AA127" s="5">
        <v>3</v>
      </c>
      <c r="AB127" s="5">
        <v>3</v>
      </c>
      <c r="AC127" s="5">
        <v>3</v>
      </c>
      <c r="AD127" s="5">
        <v>1</v>
      </c>
      <c r="AE127" s="5">
        <v>10</v>
      </c>
      <c r="AF127" s="5" t="s">
        <v>981</v>
      </c>
      <c r="AG127" s="5">
        <v>0</v>
      </c>
      <c r="AH127" s="5">
        <v>0</v>
      </c>
      <c r="AI127" s="5">
        <v>0</v>
      </c>
      <c r="AJ127" s="5">
        <v>0</v>
      </c>
      <c r="AK127" s="5" t="s">
        <v>983</v>
      </c>
      <c r="AL127" s="5">
        <v>1</v>
      </c>
      <c r="AM127" s="5">
        <v>1</v>
      </c>
      <c r="AN127" s="5">
        <v>0</v>
      </c>
      <c r="AO127" s="5">
        <v>2</v>
      </c>
      <c r="AP127" s="5" t="s">
        <v>983</v>
      </c>
      <c r="AQ127" s="5">
        <v>0</v>
      </c>
      <c r="AR127" s="5">
        <v>0</v>
      </c>
      <c r="AS127" s="5">
        <v>0</v>
      </c>
      <c r="AT127" s="5">
        <v>0</v>
      </c>
      <c r="AU127" s="5">
        <v>0</v>
      </c>
      <c r="AV127" s="5">
        <v>0</v>
      </c>
      <c r="AW127" s="5">
        <v>0</v>
      </c>
      <c r="AX127" s="5">
        <v>0</v>
      </c>
      <c r="AY127" s="5" t="s">
        <v>983</v>
      </c>
      <c r="AZ127" s="1">
        <v>1</v>
      </c>
      <c r="BA127" s="1">
        <v>0</v>
      </c>
      <c r="BB127" s="1">
        <v>1</v>
      </c>
      <c r="BC127" s="1">
        <v>1</v>
      </c>
      <c r="BD127" s="1">
        <v>1</v>
      </c>
      <c r="BE127" s="1">
        <v>1</v>
      </c>
      <c r="BF127" s="1">
        <v>49</v>
      </c>
      <c r="BG127" s="1">
        <v>0</v>
      </c>
      <c r="BH127" s="1">
        <v>16</v>
      </c>
      <c r="BI127" s="1">
        <v>21</v>
      </c>
      <c r="BJ127" s="1">
        <v>600000</v>
      </c>
      <c r="BK127" s="1">
        <v>2</v>
      </c>
    </row>
    <row r="128" spans="1:63" ht="12.75" customHeight="1" x14ac:dyDescent="0.15">
      <c r="A128" s="5" t="s">
        <v>238</v>
      </c>
      <c r="B128" s="5" t="s">
        <v>238</v>
      </c>
      <c r="C128" s="5">
        <v>1</v>
      </c>
      <c r="D128" s="5">
        <v>2</v>
      </c>
      <c r="E128" s="5">
        <v>2</v>
      </c>
      <c r="F128" s="5">
        <v>1</v>
      </c>
      <c r="G128" s="5">
        <v>1</v>
      </c>
      <c r="H128" s="5">
        <v>1</v>
      </c>
      <c r="I128" s="5">
        <v>1</v>
      </c>
      <c r="J128" s="5">
        <v>2</v>
      </c>
      <c r="K128" s="5">
        <v>2</v>
      </c>
      <c r="L128" s="5">
        <v>2</v>
      </c>
      <c r="M128" s="5">
        <v>2</v>
      </c>
      <c r="N128" s="5">
        <v>2</v>
      </c>
      <c r="O128" s="5">
        <v>19</v>
      </c>
      <c r="P128" s="5" t="s">
        <v>982</v>
      </c>
      <c r="Q128" s="5">
        <v>0</v>
      </c>
      <c r="R128" s="5">
        <v>0</v>
      </c>
      <c r="S128" s="5">
        <v>0</v>
      </c>
      <c r="T128" s="5">
        <v>0</v>
      </c>
      <c r="U128" s="5" t="s">
        <v>983</v>
      </c>
      <c r="V128" s="5">
        <v>0</v>
      </c>
      <c r="W128" s="5">
        <v>0</v>
      </c>
      <c r="X128" s="5">
        <v>0</v>
      </c>
      <c r="Y128" s="5">
        <v>0</v>
      </c>
      <c r="Z128" s="5" t="s">
        <v>983</v>
      </c>
      <c r="AA128" s="5">
        <v>0</v>
      </c>
      <c r="AB128" s="5">
        <v>0</v>
      </c>
      <c r="AC128" s="5">
        <v>0</v>
      </c>
      <c r="AD128" s="5">
        <v>0</v>
      </c>
      <c r="AE128" s="5">
        <v>0</v>
      </c>
      <c r="AF128" s="5" t="s">
        <v>983</v>
      </c>
      <c r="AG128" s="5">
        <v>0</v>
      </c>
      <c r="AH128" s="5">
        <v>0</v>
      </c>
      <c r="AI128" s="5">
        <v>0</v>
      </c>
      <c r="AJ128" s="5">
        <v>0</v>
      </c>
      <c r="AK128" s="5" t="s">
        <v>983</v>
      </c>
      <c r="AL128" s="5">
        <v>1</v>
      </c>
      <c r="AM128" s="5">
        <v>0</v>
      </c>
      <c r="AN128" s="5">
        <v>1</v>
      </c>
      <c r="AO128" s="5">
        <v>2</v>
      </c>
      <c r="AP128" s="5" t="s">
        <v>983</v>
      </c>
      <c r="AQ128" s="5">
        <v>0</v>
      </c>
      <c r="AR128" s="5">
        <v>0</v>
      </c>
      <c r="AS128" s="5">
        <v>0</v>
      </c>
      <c r="AT128" s="5">
        <v>0</v>
      </c>
      <c r="AU128" s="5">
        <v>0</v>
      </c>
      <c r="AV128" s="5">
        <v>0</v>
      </c>
      <c r="AW128" s="5">
        <v>0</v>
      </c>
      <c r="AX128" s="5">
        <v>0</v>
      </c>
      <c r="AY128" s="5" t="s">
        <v>983</v>
      </c>
      <c r="AZ128" s="1">
        <v>0</v>
      </c>
      <c r="BA128" s="1">
        <v>0</v>
      </c>
      <c r="BB128" s="1">
        <v>1</v>
      </c>
      <c r="BC128" s="1">
        <v>1</v>
      </c>
      <c r="BD128" s="1">
        <v>1</v>
      </c>
      <c r="BE128" s="1">
        <v>1</v>
      </c>
      <c r="BF128" s="1">
        <v>45</v>
      </c>
      <c r="BG128" s="1">
        <v>0</v>
      </c>
      <c r="BH128" s="1">
        <v>14</v>
      </c>
      <c r="BI128" s="1">
        <v>7</v>
      </c>
      <c r="BJ128" s="1">
        <v>650000</v>
      </c>
      <c r="BK128" s="1">
        <v>1</v>
      </c>
    </row>
    <row r="129" spans="1:63" ht="12.75" customHeight="1" x14ac:dyDescent="0.15">
      <c r="A129" s="5" t="s">
        <v>330</v>
      </c>
      <c r="B129" s="5" t="s">
        <v>984</v>
      </c>
      <c r="C129" s="5">
        <v>1</v>
      </c>
      <c r="D129" s="5">
        <v>2</v>
      </c>
      <c r="E129" s="5">
        <v>2</v>
      </c>
      <c r="F129" s="5">
        <v>2</v>
      </c>
      <c r="G129" s="5">
        <v>1</v>
      </c>
      <c r="H129" s="5">
        <v>1</v>
      </c>
      <c r="I129" s="5">
        <v>1</v>
      </c>
      <c r="J129" s="5">
        <v>3</v>
      </c>
      <c r="K129" s="5">
        <v>3</v>
      </c>
      <c r="L129" s="5">
        <v>4</v>
      </c>
      <c r="M129" s="5">
        <v>1</v>
      </c>
      <c r="N129" s="5">
        <v>1</v>
      </c>
      <c r="O129" s="5">
        <v>22</v>
      </c>
      <c r="P129" s="5" t="s">
        <v>982</v>
      </c>
      <c r="Q129" s="5">
        <v>4</v>
      </c>
      <c r="R129" s="5">
        <v>2</v>
      </c>
      <c r="S129" s="5">
        <v>1</v>
      </c>
      <c r="T129" s="5">
        <v>7</v>
      </c>
      <c r="U129" s="5" t="s">
        <v>981</v>
      </c>
      <c r="V129" s="5">
        <v>1</v>
      </c>
      <c r="W129" s="5">
        <v>0</v>
      </c>
      <c r="X129" s="5">
        <v>0</v>
      </c>
      <c r="Y129" s="5">
        <v>1</v>
      </c>
      <c r="Z129" s="5" t="s">
        <v>983</v>
      </c>
      <c r="AA129" s="5">
        <v>4</v>
      </c>
      <c r="AB129" s="5">
        <v>4</v>
      </c>
      <c r="AC129" s="5">
        <v>0</v>
      </c>
      <c r="AD129" s="5">
        <v>0</v>
      </c>
      <c r="AE129" s="5">
        <v>8</v>
      </c>
      <c r="AF129" s="5" t="s">
        <v>981</v>
      </c>
      <c r="AG129" s="5">
        <v>4</v>
      </c>
      <c r="AH129" s="5">
        <v>4</v>
      </c>
      <c r="AI129" s="5">
        <v>4</v>
      </c>
      <c r="AJ129" s="5">
        <v>12</v>
      </c>
      <c r="AK129" s="5" t="s">
        <v>981</v>
      </c>
      <c r="AL129" s="5">
        <v>4</v>
      </c>
      <c r="AM129" s="5">
        <v>4</v>
      </c>
      <c r="AN129" s="5">
        <v>4</v>
      </c>
      <c r="AO129" s="5">
        <v>12</v>
      </c>
      <c r="AP129" s="5" t="s">
        <v>981</v>
      </c>
      <c r="AQ129" s="5">
        <v>0</v>
      </c>
      <c r="AR129" s="5">
        <v>0</v>
      </c>
      <c r="AS129" s="5">
        <v>0</v>
      </c>
      <c r="AT129" s="5">
        <v>0</v>
      </c>
      <c r="AU129" s="5">
        <v>0</v>
      </c>
      <c r="AV129" s="5">
        <v>0</v>
      </c>
      <c r="AW129" s="5">
        <v>0</v>
      </c>
      <c r="AX129" s="5">
        <v>0</v>
      </c>
      <c r="AY129" s="5" t="s">
        <v>983</v>
      </c>
      <c r="AZ129" s="1">
        <v>0</v>
      </c>
      <c r="BA129" s="1">
        <v>0</v>
      </c>
      <c r="BB129" s="1">
        <v>0</v>
      </c>
      <c r="BC129" s="1">
        <v>1</v>
      </c>
      <c r="BD129" s="1">
        <v>1</v>
      </c>
      <c r="BE129" s="1">
        <v>1</v>
      </c>
      <c r="BF129" s="1">
        <v>45</v>
      </c>
      <c r="BG129" s="1">
        <v>0</v>
      </c>
      <c r="BH129" s="1">
        <v>14</v>
      </c>
      <c r="BI129" s="1">
        <v>7</v>
      </c>
      <c r="BJ129" s="1">
        <v>650000</v>
      </c>
      <c r="BK129" s="1">
        <v>1</v>
      </c>
    </row>
    <row r="130" spans="1:63" ht="12.75" customHeight="1" x14ac:dyDescent="0.15">
      <c r="A130" s="5" t="s">
        <v>330</v>
      </c>
      <c r="B130" s="5" t="s">
        <v>984</v>
      </c>
      <c r="C130" s="5">
        <v>3</v>
      </c>
      <c r="D130" s="5">
        <v>3</v>
      </c>
      <c r="E130" s="5">
        <v>3</v>
      </c>
      <c r="F130" s="5">
        <v>3</v>
      </c>
      <c r="G130" s="5">
        <v>3</v>
      </c>
      <c r="H130" s="5">
        <v>3</v>
      </c>
      <c r="I130" s="5">
        <v>2</v>
      </c>
      <c r="J130" s="5">
        <v>2</v>
      </c>
      <c r="K130" s="5">
        <v>2</v>
      </c>
      <c r="L130" s="5">
        <v>3</v>
      </c>
      <c r="M130" s="5">
        <v>2</v>
      </c>
      <c r="N130" s="5">
        <v>2</v>
      </c>
      <c r="O130" s="5">
        <v>31</v>
      </c>
      <c r="P130" s="5" t="s">
        <v>981</v>
      </c>
      <c r="Q130" s="5">
        <v>1</v>
      </c>
      <c r="R130" s="5">
        <v>1</v>
      </c>
      <c r="S130" s="5">
        <v>1</v>
      </c>
      <c r="T130" s="5">
        <v>3</v>
      </c>
      <c r="U130" s="5" t="s">
        <v>982</v>
      </c>
      <c r="V130" s="5">
        <v>1</v>
      </c>
      <c r="W130" s="5">
        <v>1</v>
      </c>
      <c r="X130" s="5">
        <v>1</v>
      </c>
      <c r="Y130" s="5">
        <v>3</v>
      </c>
      <c r="Z130" s="5" t="s">
        <v>982</v>
      </c>
      <c r="AA130" s="5">
        <v>1</v>
      </c>
      <c r="AB130" s="5">
        <v>1</v>
      </c>
      <c r="AC130" s="5">
        <v>1</v>
      </c>
      <c r="AD130" s="5">
        <v>1</v>
      </c>
      <c r="AE130" s="5">
        <v>4</v>
      </c>
      <c r="AF130" s="5" t="s">
        <v>982</v>
      </c>
      <c r="AG130" s="5">
        <v>1</v>
      </c>
      <c r="AH130" s="5">
        <v>1</v>
      </c>
      <c r="AI130" s="5">
        <v>1</v>
      </c>
      <c r="AJ130" s="5">
        <v>3</v>
      </c>
      <c r="AK130" s="5" t="s">
        <v>982</v>
      </c>
      <c r="AL130" s="5">
        <v>1</v>
      </c>
      <c r="AM130" s="5">
        <v>1</v>
      </c>
      <c r="AN130" s="5">
        <v>1</v>
      </c>
      <c r="AO130" s="5">
        <v>3</v>
      </c>
      <c r="AP130" s="5" t="s">
        <v>982</v>
      </c>
      <c r="AQ130" s="5">
        <v>0</v>
      </c>
      <c r="AR130" s="5">
        <v>0</v>
      </c>
      <c r="AS130" s="5">
        <v>0</v>
      </c>
      <c r="AT130" s="5">
        <v>0</v>
      </c>
      <c r="AU130" s="5">
        <v>0</v>
      </c>
      <c r="AV130" s="5">
        <v>0</v>
      </c>
      <c r="AW130" s="5">
        <v>0</v>
      </c>
      <c r="AX130" s="5">
        <v>0</v>
      </c>
      <c r="AY130" s="5" t="s">
        <v>983</v>
      </c>
      <c r="AZ130" s="1">
        <v>0</v>
      </c>
      <c r="BA130" s="1">
        <v>0</v>
      </c>
      <c r="BB130" s="1">
        <v>0</v>
      </c>
      <c r="BC130" s="1">
        <v>1</v>
      </c>
      <c r="BD130" s="1">
        <v>1</v>
      </c>
      <c r="BE130" s="1">
        <v>1</v>
      </c>
      <c r="BF130" s="1">
        <v>50</v>
      </c>
      <c r="BG130" s="1">
        <v>1</v>
      </c>
      <c r="BH130" s="1">
        <v>16</v>
      </c>
      <c r="BI130" s="1">
        <v>34</v>
      </c>
      <c r="BJ130" s="1">
        <v>5400000</v>
      </c>
      <c r="BK130" s="1">
        <v>1</v>
      </c>
    </row>
    <row r="131" spans="1:63" ht="12.75" customHeight="1" x14ac:dyDescent="0.15">
      <c r="A131" s="5" t="s">
        <v>238</v>
      </c>
      <c r="B131" s="5" t="s">
        <v>238</v>
      </c>
      <c r="C131" s="5">
        <v>2</v>
      </c>
      <c r="D131" s="5">
        <v>1</v>
      </c>
      <c r="E131" s="5">
        <v>1</v>
      </c>
      <c r="F131" s="5">
        <v>2</v>
      </c>
      <c r="G131" s="5">
        <v>1</v>
      </c>
      <c r="H131" s="5">
        <v>1</v>
      </c>
      <c r="I131" s="5">
        <v>1</v>
      </c>
      <c r="J131" s="5">
        <v>2</v>
      </c>
      <c r="K131" s="5">
        <v>2</v>
      </c>
      <c r="L131" s="5">
        <v>2</v>
      </c>
      <c r="M131" s="5">
        <v>2</v>
      </c>
      <c r="N131" s="5">
        <v>2</v>
      </c>
      <c r="O131" s="5">
        <v>19</v>
      </c>
      <c r="P131" s="5" t="s">
        <v>982</v>
      </c>
      <c r="Q131" s="5">
        <v>1</v>
      </c>
      <c r="R131" s="5">
        <v>1</v>
      </c>
      <c r="S131" s="5">
        <v>1</v>
      </c>
      <c r="T131" s="5">
        <v>3</v>
      </c>
      <c r="U131" s="5" t="s">
        <v>982</v>
      </c>
      <c r="V131" s="5">
        <v>0</v>
      </c>
      <c r="W131" s="5">
        <v>0</v>
      </c>
      <c r="X131" s="5">
        <v>0</v>
      </c>
      <c r="Y131" s="5">
        <v>0</v>
      </c>
      <c r="Z131" s="5" t="s">
        <v>983</v>
      </c>
      <c r="AA131" s="5">
        <v>4</v>
      </c>
      <c r="AB131" s="5">
        <v>4</v>
      </c>
      <c r="AC131" s="5">
        <v>0</v>
      </c>
      <c r="AD131" s="5">
        <v>0</v>
      </c>
      <c r="AE131" s="5">
        <v>8</v>
      </c>
      <c r="AF131" s="5" t="s">
        <v>981</v>
      </c>
      <c r="AG131" s="5">
        <v>0</v>
      </c>
      <c r="AH131" s="5">
        <v>0</v>
      </c>
      <c r="AI131" s="5">
        <v>0</v>
      </c>
      <c r="AJ131" s="5">
        <v>0</v>
      </c>
      <c r="AK131" s="5" t="s">
        <v>983</v>
      </c>
      <c r="AL131" s="5">
        <v>0</v>
      </c>
      <c r="AM131" s="5">
        <v>0</v>
      </c>
      <c r="AN131" s="5">
        <v>0</v>
      </c>
      <c r="AO131" s="5">
        <v>0</v>
      </c>
      <c r="AP131" s="5" t="s">
        <v>983</v>
      </c>
      <c r="AQ131" s="5">
        <v>0</v>
      </c>
      <c r="AR131" s="5">
        <v>0</v>
      </c>
      <c r="AS131" s="5">
        <v>0</v>
      </c>
      <c r="AT131" s="5">
        <v>0</v>
      </c>
      <c r="AU131" s="5">
        <v>0</v>
      </c>
      <c r="AV131" s="5">
        <v>0</v>
      </c>
      <c r="AW131" s="5">
        <v>0</v>
      </c>
      <c r="AX131" s="5">
        <v>0</v>
      </c>
      <c r="AY131" s="5" t="s">
        <v>983</v>
      </c>
      <c r="AZ131" s="1">
        <v>1</v>
      </c>
      <c r="BA131" s="1">
        <v>0</v>
      </c>
      <c r="BB131" s="1">
        <v>1</v>
      </c>
      <c r="BC131" s="1">
        <v>1</v>
      </c>
      <c r="BD131" s="1">
        <v>1</v>
      </c>
      <c r="BE131" s="1">
        <v>1</v>
      </c>
      <c r="BF131" s="1">
        <v>41</v>
      </c>
      <c r="BG131" s="1">
        <v>0</v>
      </c>
      <c r="BH131" s="1">
        <v>10</v>
      </c>
      <c r="BI131" s="1">
        <v>17</v>
      </c>
      <c r="BJ131" s="1">
        <v>800000</v>
      </c>
      <c r="BK131" s="1">
        <v>5</v>
      </c>
    </row>
    <row r="132" spans="1:63" ht="12.75" customHeight="1" x14ac:dyDescent="0.15">
      <c r="A132" s="5" t="s">
        <v>337</v>
      </c>
      <c r="B132" s="5" t="s">
        <v>984</v>
      </c>
      <c r="C132" s="5">
        <v>4</v>
      </c>
      <c r="D132" s="5">
        <v>3</v>
      </c>
      <c r="E132" s="5">
        <v>3</v>
      </c>
      <c r="F132" s="5">
        <v>3</v>
      </c>
      <c r="G132" s="5">
        <v>3</v>
      </c>
      <c r="H132" s="5">
        <v>2</v>
      </c>
      <c r="I132" s="5">
        <v>1</v>
      </c>
      <c r="J132" s="5">
        <v>1</v>
      </c>
      <c r="K132" s="5">
        <v>1</v>
      </c>
      <c r="L132" s="5">
        <v>2</v>
      </c>
      <c r="M132" s="5">
        <v>2</v>
      </c>
      <c r="N132" s="5">
        <v>1</v>
      </c>
      <c r="O132" s="5">
        <v>26</v>
      </c>
      <c r="P132" s="5" t="s">
        <v>981</v>
      </c>
      <c r="Q132" s="5">
        <v>2</v>
      </c>
      <c r="R132" s="5">
        <v>3</v>
      </c>
      <c r="S132" s="5">
        <v>1</v>
      </c>
      <c r="T132" s="5">
        <v>6</v>
      </c>
      <c r="U132" s="5" t="s">
        <v>981</v>
      </c>
      <c r="V132" s="5">
        <v>1</v>
      </c>
      <c r="W132" s="5">
        <v>1</v>
      </c>
      <c r="X132" s="5">
        <v>4</v>
      </c>
      <c r="Y132" s="5">
        <v>6</v>
      </c>
      <c r="Z132" s="5" t="s">
        <v>981</v>
      </c>
      <c r="AA132" s="5">
        <v>3</v>
      </c>
      <c r="AB132" s="5">
        <v>3</v>
      </c>
      <c r="AC132" s="5">
        <v>2</v>
      </c>
      <c r="AD132" s="5">
        <v>2</v>
      </c>
      <c r="AE132" s="5">
        <v>10</v>
      </c>
      <c r="AF132" s="5" t="s">
        <v>981</v>
      </c>
      <c r="AG132" s="5">
        <v>2</v>
      </c>
      <c r="AH132" s="5">
        <v>1</v>
      </c>
      <c r="AI132" s="5">
        <v>0</v>
      </c>
      <c r="AJ132" s="5">
        <v>3</v>
      </c>
      <c r="AK132" s="5" t="s">
        <v>982</v>
      </c>
      <c r="AL132" s="5">
        <v>1</v>
      </c>
      <c r="AM132" s="5">
        <v>1</v>
      </c>
      <c r="AN132" s="5">
        <v>1</v>
      </c>
      <c r="AO132" s="5">
        <v>3</v>
      </c>
      <c r="AP132" s="5" t="s">
        <v>982</v>
      </c>
      <c r="AQ132" s="5">
        <v>1</v>
      </c>
      <c r="AR132" s="5">
        <v>1</v>
      </c>
      <c r="AS132" s="5">
        <v>0</v>
      </c>
      <c r="AT132" s="5">
        <v>0</v>
      </c>
      <c r="AU132" s="5">
        <v>0</v>
      </c>
      <c r="AV132" s="5">
        <v>0</v>
      </c>
      <c r="AW132" s="5">
        <v>0</v>
      </c>
      <c r="AX132" s="5">
        <v>2</v>
      </c>
      <c r="AY132" s="5" t="s">
        <v>982</v>
      </c>
      <c r="AZ132" s="1">
        <v>1</v>
      </c>
      <c r="BA132" s="1">
        <v>0</v>
      </c>
      <c r="BB132" s="1">
        <v>1</v>
      </c>
      <c r="BC132" s="1">
        <v>1</v>
      </c>
      <c r="BD132" s="1">
        <v>1</v>
      </c>
      <c r="BE132" s="1">
        <v>1</v>
      </c>
      <c r="BF132" s="1">
        <v>48</v>
      </c>
      <c r="BG132" s="1">
        <v>0</v>
      </c>
      <c r="BH132" s="1">
        <v>17</v>
      </c>
      <c r="BI132" s="1">
        <v>30</v>
      </c>
      <c r="BJ132" s="1">
        <v>350000</v>
      </c>
      <c r="BK132" s="1">
        <v>4</v>
      </c>
    </row>
    <row r="133" spans="1:63" ht="12.75" customHeight="1" x14ac:dyDescent="0.15">
      <c r="A133" s="5" t="s">
        <v>238</v>
      </c>
      <c r="B133" s="5" t="s">
        <v>238</v>
      </c>
      <c r="C133" s="5">
        <v>3</v>
      </c>
      <c r="D133" s="5">
        <v>4</v>
      </c>
      <c r="E133" s="5">
        <v>4</v>
      </c>
      <c r="F133" s="5">
        <v>4</v>
      </c>
      <c r="G133" s="5">
        <v>4</v>
      </c>
      <c r="H133" s="5">
        <v>4</v>
      </c>
      <c r="I133" s="5">
        <v>4</v>
      </c>
      <c r="J133" s="5">
        <v>1</v>
      </c>
      <c r="K133" s="5">
        <v>3</v>
      </c>
      <c r="L133" s="5">
        <v>2</v>
      </c>
      <c r="M133" s="5">
        <v>2</v>
      </c>
      <c r="N133" s="5">
        <v>2</v>
      </c>
      <c r="O133" s="5">
        <v>37</v>
      </c>
      <c r="P133" s="5" t="s">
        <v>981</v>
      </c>
      <c r="Q133" s="5">
        <v>2</v>
      </c>
      <c r="R133" s="5">
        <v>3</v>
      </c>
      <c r="S133" s="5">
        <v>0</v>
      </c>
      <c r="T133" s="5">
        <v>5</v>
      </c>
      <c r="U133" s="5" t="s">
        <v>981</v>
      </c>
      <c r="V133" s="5">
        <v>0</v>
      </c>
      <c r="W133" s="5">
        <v>0</v>
      </c>
      <c r="X133" s="5">
        <v>0</v>
      </c>
      <c r="Y133" s="5">
        <v>0</v>
      </c>
      <c r="Z133" s="5" t="s">
        <v>983</v>
      </c>
      <c r="AA133" s="5">
        <v>4</v>
      </c>
      <c r="AB133" s="5">
        <v>4</v>
      </c>
      <c r="AC133" s="5">
        <v>4</v>
      </c>
      <c r="AD133" s="5">
        <v>4</v>
      </c>
      <c r="AE133" s="5">
        <v>16</v>
      </c>
      <c r="AF133" s="5" t="s">
        <v>981</v>
      </c>
      <c r="AG133" s="5">
        <v>1</v>
      </c>
      <c r="AH133" s="5">
        <v>0</v>
      </c>
      <c r="AI133" s="5">
        <v>0</v>
      </c>
      <c r="AJ133" s="5">
        <v>1</v>
      </c>
      <c r="AK133" s="5" t="s">
        <v>983</v>
      </c>
      <c r="AL133" s="5">
        <v>0</v>
      </c>
      <c r="AM133" s="5">
        <v>0</v>
      </c>
      <c r="AN133" s="5">
        <v>0</v>
      </c>
      <c r="AO133" s="5">
        <v>0</v>
      </c>
      <c r="AP133" s="5" t="s">
        <v>983</v>
      </c>
      <c r="AQ133" s="5">
        <v>0</v>
      </c>
      <c r="AR133" s="5">
        <v>0</v>
      </c>
      <c r="AS133" s="5">
        <v>1</v>
      </c>
      <c r="AT133" s="5">
        <v>0</v>
      </c>
      <c r="AU133" s="5">
        <v>0</v>
      </c>
      <c r="AV133" s="5">
        <v>0</v>
      </c>
      <c r="AW133" s="5">
        <v>0</v>
      </c>
      <c r="AX133" s="5">
        <v>1</v>
      </c>
      <c r="AY133" s="5" t="s">
        <v>982</v>
      </c>
      <c r="AZ133" s="1">
        <v>1</v>
      </c>
      <c r="BA133" s="1">
        <v>0</v>
      </c>
      <c r="BB133" s="1">
        <v>1</v>
      </c>
      <c r="BC133" s="1">
        <v>1</v>
      </c>
      <c r="BD133" s="1">
        <v>1</v>
      </c>
      <c r="BE133" s="1">
        <v>1</v>
      </c>
      <c r="BF133" s="1">
        <v>48</v>
      </c>
      <c r="BG133" s="1">
        <v>0</v>
      </c>
      <c r="BH133" s="1">
        <v>17</v>
      </c>
      <c r="BI133" s="1">
        <v>30</v>
      </c>
      <c r="BJ133" s="1">
        <v>350000</v>
      </c>
      <c r="BK133" s="1">
        <v>4</v>
      </c>
    </row>
    <row r="134" spans="1:63" ht="12.75" customHeight="1" x14ac:dyDescent="0.15">
      <c r="A134" s="5" t="s">
        <v>238</v>
      </c>
      <c r="B134" s="5" t="s">
        <v>238</v>
      </c>
      <c r="C134" s="5">
        <v>1</v>
      </c>
      <c r="D134" s="5">
        <v>1</v>
      </c>
      <c r="E134" s="5">
        <v>1</v>
      </c>
      <c r="F134" s="5">
        <v>1</v>
      </c>
      <c r="G134" s="5">
        <v>1</v>
      </c>
      <c r="H134" s="5">
        <v>1</v>
      </c>
      <c r="I134" s="5">
        <v>1</v>
      </c>
      <c r="J134" s="5">
        <v>4</v>
      </c>
      <c r="K134" s="5">
        <v>4</v>
      </c>
      <c r="L134" s="5">
        <v>4</v>
      </c>
      <c r="M134" s="5">
        <v>4</v>
      </c>
      <c r="N134" s="5">
        <v>4</v>
      </c>
      <c r="O134" s="5">
        <v>27</v>
      </c>
      <c r="P134" s="5" t="s">
        <v>981</v>
      </c>
      <c r="Q134" s="5">
        <v>1</v>
      </c>
      <c r="R134" s="5">
        <v>1</v>
      </c>
      <c r="S134" s="5">
        <v>0</v>
      </c>
      <c r="T134" s="5">
        <v>2</v>
      </c>
      <c r="U134" s="5" t="s">
        <v>982</v>
      </c>
      <c r="V134" s="5">
        <v>0</v>
      </c>
      <c r="W134" s="5">
        <v>1</v>
      </c>
      <c r="X134" s="5">
        <v>0</v>
      </c>
      <c r="Y134" s="5">
        <v>1</v>
      </c>
      <c r="Z134" s="5" t="s">
        <v>983</v>
      </c>
      <c r="AA134" s="5">
        <v>3</v>
      </c>
      <c r="AB134" s="5">
        <v>2</v>
      </c>
      <c r="AC134" s="5">
        <v>0</v>
      </c>
      <c r="AD134" s="5">
        <v>0</v>
      </c>
      <c r="AE134" s="5">
        <v>5</v>
      </c>
      <c r="AF134" s="5" t="s">
        <v>981</v>
      </c>
      <c r="AG134" s="5">
        <v>1</v>
      </c>
      <c r="AH134" s="5">
        <v>0</v>
      </c>
      <c r="AI134" s="5">
        <v>0</v>
      </c>
      <c r="AJ134" s="5">
        <v>1</v>
      </c>
      <c r="AK134" s="5" t="s">
        <v>983</v>
      </c>
      <c r="AL134" s="5">
        <v>0</v>
      </c>
      <c r="AM134" s="5">
        <v>0</v>
      </c>
      <c r="AN134" s="5">
        <v>0</v>
      </c>
      <c r="AO134" s="5">
        <v>0</v>
      </c>
      <c r="AP134" s="5" t="s">
        <v>983</v>
      </c>
      <c r="AQ134" s="5">
        <v>0</v>
      </c>
      <c r="AR134" s="5">
        <v>0</v>
      </c>
      <c r="AS134" s="5">
        <v>0</v>
      </c>
      <c r="AT134" s="5">
        <v>0</v>
      </c>
      <c r="AU134" s="5">
        <v>0</v>
      </c>
      <c r="AV134" s="5">
        <v>0</v>
      </c>
      <c r="AW134" s="5">
        <v>0</v>
      </c>
      <c r="AX134" s="5">
        <v>0</v>
      </c>
      <c r="AY134" s="5" t="s">
        <v>983</v>
      </c>
      <c r="AZ134" s="1">
        <v>0</v>
      </c>
      <c r="BA134" s="1">
        <v>0</v>
      </c>
      <c r="BB134" s="1">
        <v>0</v>
      </c>
      <c r="BC134" s="1">
        <v>1</v>
      </c>
      <c r="BD134" s="1">
        <v>1</v>
      </c>
      <c r="BE134" s="1">
        <v>1</v>
      </c>
      <c r="BF134" s="1">
        <v>48</v>
      </c>
      <c r="BG134" s="1">
        <v>0</v>
      </c>
      <c r="BH134" s="1">
        <v>16</v>
      </c>
      <c r="BI134" s="1">
        <v>17</v>
      </c>
      <c r="BJ134" s="1">
        <v>0</v>
      </c>
      <c r="BK134" s="1">
        <v>2</v>
      </c>
    </row>
    <row r="135" spans="1:63" ht="12.75" customHeight="1" x14ac:dyDescent="0.15">
      <c r="A135" s="5" t="s">
        <v>330</v>
      </c>
      <c r="B135" s="5" t="s">
        <v>984</v>
      </c>
      <c r="C135" s="5">
        <v>3</v>
      </c>
      <c r="D135" s="5">
        <v>4</v>
      </c>
      <c r="E135" s="5">
        <v>4</v>
      </c>
      <c r="F135" s="5">
        <v>2</v>
      </c>
      <c r="G135" s="5">
        <v>3</v>
      </c>
      <c r="H135" s="5">
        <v>1</v>
      </c>
      <c r="I135" s="5">
        <v>1</v>
      </c>
      <c r="J135" s="5">
        <v>3</v>
      </c>
      <c r="K135" s="5">
        <v>2</v>
      </c>
      <c r="L135" s="5">
        <v>3</v>
      </c>
      <c r="M135" s="5">
        <v>2</v>
      </c>
      <c r="N135" s="5">
        <v>3</v>
      </c>
      <c r="O135" s="5">
        <v>31</v>
      </c>
      <c r="P135" s="5" t="s">
        <v>981</v>
      </c>
      <c r="Q135" s="5">
        <v>1</v>
      </c>
      <c r="R135" s="5">
        <v>2</v>
      </c>
      <c r="S135" s="5">
        <v>1</v>
      </c>
      <c r="T135" s="5">
        <v>4</v>
      </c>
      <c r="U135" s="5" t="s">
        <v>982</v>
      </c>
      <c r="V135" s="5">
        <v>4</v>
      </c>
      <c r="W135" s="5">
        <v>4</v>
      </c>
      <c r="X135" s="5">
        <v>4</v>
      </c>
      <c r="Y135" s="5">
        <v>12</v>
      </c>
      <c r="Z135" s="5" t="s">
        <v>981</v>
      </c>
      <c r="AA135" s="5">
        <v>3</v>
      </c>
      <c r="AB135" s="5">
        <v>3</v>
      </c>
      <c r="AC135" s="5">
        <v>3</v>
      </c>
      <c r="AD135" s="5">
        <v>3</v>
      </c>
      <c r="AE135" s="5">
        <v>12</v>
      </c>
      <c r="AF135" s="5" t="s">
        <v>981</v>
      </c>
      <c r="AG135" s="5">
        <v>1</v>
      </c>
      <c r="AH135" s="5">
        <v>1</v>
      </c>
      <c r="AI135" s="5">
        <v>1</v>
      </c>
      <c r="AJ135" s="5">
        <v>3</v>
      </c>
      <c r="AK135" s="5" t="s">
        <v>982</v>
      </c>
      <c r="AL135" s="5">
        <v>3</v>
      </c>
      <c r="AM135" s="5">
        <v>3</v>
      </c>
      <c r="AN135" s="5">
        <v>1</v>
      </c>
      <c r="AO135" s="5">
        <v>7</v>
      </c>
      <c r="AP135" s="5" t="s">
        <v>981</v>
      </c>
      <c r="AQ135" s="5">
        <v>2</v>
      </c>
      <c r="AR135" s="5">
        <v>1</v>
      </c>
      <c r="AS135" s="5">
        <v>0</v>
      </c>
      <c r="AT135" s="5">
        <v>0</v>
      </c>
      <c r="AU135" s="5">
        <v>1</v>
      </c>
      <c r="AV135" s="5">
        <v>0</v>
      </c>
      <c r="AW135" s="5">
        <v>1</v>
      </c>
      <c r="AX135" s="5">
        <v>5</v>
      </c>
      <c r="AY135" s="5" t="s">
        <v>982</v>
      </c>
      <c r="AZ135" s="1">
        <v>0</v>
      </c>
      <c r="BA135" s="1">
        <v>0</v>
      </c>
      <c r="BB135" s="1">
        <v>0</v>
      </c>
      <c r="BC135" s="1">
        <v>1</v>
      </c>
      <c r="BD135" s="1">
        <v>0</v>
      </c>
      <c r="BE135" s="1">
        <v>1</v>
      </c>
      <c r="BF135" s="1">
        <v>47</v>
      </c>
      <c r="BG135" s="1">
        <v>0</v>
      </c>
      <c r="BH135" s="1">
        <v>18</v>
      </c>
      <c r="BI135" s="1">
        <v>12</v>
      </c>
      <c r="BJ135" s="1">
        <v>0</v>
      </c>
      <c r="BK135" s="1">
        <v>3</v>
      </c>
    </row>
    <row r="136" spans="1:63" ht="12.75" customHeight="1" x14ac:dyDescent="0.15">
      <c r="A136" s="5" t="s">
        <v>330</v>
      </c>
      <c r="B136" s="5" t="s">
        <v>984</v>
      </c>
      <c r="C136" s="5">
        <v>2</v>
      </c>
      <c r="D136" s="5">
        <v>2</v>
      </c>
      <c r="E136" s="5">
        <v>2</v>
      </c>
      <c r="F136" s="5">
        <v>2</v>
      </c>
      <c r="G136" s="5">
        <v>1</v>
      </c>
      <c r="H136" s="5">
        <v>2</v>
      </c>
      <c r="I136" s="5">
        <v>1</v>
      </c>
      <c r="J136" s="5">
        <v>2</v>
      </c>
      <c r="K136" s="5">
        <v>2</v>
      </c>
      <c r="L136" s="5">
        <v>2</v>
      </c>
      <c r="M136" s="5">
        <v>2</v>
      </c>
      <c r="N136" s="5">
        <v>2</v>
      </c>
      <c r="O136" s="5">
        <v>22</v>
      </c>
      <c r="P136" s="5" t="s">
        <v>982</v>
      </c>
      <c r="Q136" s="5">
        <v>1</v>
      </c>
      <c r="R136" s="5">
        <v>0</v>
      </c>
      <c r="S136" s="5">
        <v>0</v>
      </c>
      <c r="T136" s="5">
        <v>1</v>
      </c>
      <c r="U136" s="5" t="s">
        <v>983</v>
      </c>
      <c r="V136" s="5">
        <v>0</v>
      </c>
      <c r="W136" s="5">
        <v>2</v>
      </c>
      <c r="X136" s="5">
        <v>2</v>
      </c>
      <c r="Y136" s="5">
        <v>4</v>
      </c>
      <c r="Z136" s="5" t="s">
        <v>982</v>
      </c>
      <c r="AA136" s="5">
        <v>4</v>
      </c>
      <c r="AB136" s="5">
        <v>4</v>
      </c>
      <c r="AC136" s="5">
        <v>1</v>
      </c>
      <c r="AD136" s="5">
        <v>1</v>
      </c>
      <c r="AE136" s="5">
        <v>10</v>
      </c>
      <c r="AF136" s="5" t="s">
        <v>981</v>
      </c>
      <c r="AG136" s="5">
        <v>1</v>
      </c>
      <c r="AH136" s="5">
        <v>1</v>
      </c>
      <c r="AI136" s="5">
        <v>2</v>
      </c>
      <c r="AJ136" s="5">
        <v>4</v>
      </c>
      <c r="AK136" s="5" t="s">
        <v>982</v>
      </c>
      <c r="AL136" s="5">
        <v>2</v>
      </c>
      <c r="AM136" s="5">
        <v>2</v>
      </c>
      <c r="AN136" s="5">
        <v>2</v>
      </c>
      <c r="AO136" s="5">
        <v>6</v>
      </c>
      <c r="AP136" s="5" t="s">
        <v>981</v>
      </c>
      <c r="AQ136" s="5">
        <v>1</v>
      </c>
      <c r="AR136" s="5">
        <v>0</v>
      </c>
      <c r="AS136" s="5">
        <v>0</v>
      </c>
      <c r="AT136" s="5">
        <v>0</v>
      </c>
      <c r="AU136" s="5">
        <v>0</v>
      </c>
      <c r="AV136" s="5">
        <v>0</v>
      </c>
      <c r="AW136" s="5">
        <v>0</v>
      </c>
      <c r="AX136" s="5">
        <v>1</v>
      </c>
      <c r="AY136" s="5" t="s">
        <v>982</v>
      </c>
      <c r="AZ136" s="1">
        <v>1</v>
      </c>
      <c r="BA136" s="1">
        <v>0</v>
      </c>
      <c r="BB136" s="1">
        <v>0</v>
      </c>
      <c r="BC136" s="1">
        <v>0</v>
      </c>
      <c r="BD136" s="1">
        <v>0</v>
      </c>
      <c r="BE136" s="1">
        <v>0</v>
      </c>
      <c r="BF136" s="1">
        <v>40</v>
      </c>
      <c r="BG136" s="1">
        <v>0</v>
      </c>
      <c r="BH136" s="1">
        <v>14</v>
      </c>
      <c r="BI136" s="1">
        <v>5</v>
      </c>
      <c r="BJ136" s="1">
        <v>550000</v>
      </c>
      <c r="BK136" s="1">
        <v>1</v>
      </c>
    </row>
    <row r="137" spans="1:63" ht="12.75" customHeight="1" x14ac:dyDescent="0.15">
      <c r="A137" s="5" t="s">
        <v>238</v>
      </c>
      <c r="B137" s="5" t="s">
        <v>238</v>
      </c>
      <c r="C137" s="5">
        <v>2</v>
      </c>
      <c r="D137" s="5">
        <v>2</v>
      </c>
      <c r="E137" s="5">
        <v>2</v>
      </c>
      <c r="F137" s="5">
        <v>2</v>
      </c>
      <c r="G137" s="5">
        <v>2</v>
      </c>
      <c r="H137" s="5">
        <v>2</v>
      </c>
      <c r="I137" s="5">
        <v>1</v>
      </c>
      <c r="J137" s="5">
        <v>1</v>
      </c>
      <c r="K137" s="5">
        <v>2</v>
      </c>
      <c r="L137" s="5">
        <v>2</v>
      </c>
      <c r="M137" s="5">
        <v>2</v>
      </c>
      <c r="N137" s="5">
        <v>2</v>
      </c>
      <c r="O137" s="5">
        <v>22</v>
      </c>
      <c r="P137" s="5" t="s">
        <v>982</v>
      </c>
      <c r="Q137" s="5">
        <v>2</v>
      </c>
      <c r="R137" s="5">
        <v>3</v>
      </c>
      <c r="S137" s="5">
        <v>1</v>
      </c>
      <c r="T137" s="5">
        <v>6</v>
      </c>
      <c r="U137" s="5" t="s">
        <v>981</v>
      </c>
      <c r="V137" s="5">
        <v>1</v>
      </c>
      <c r="W137" s="5">
        <v>1</v>
      </c>
      <c r="X137" s="5">
        <v>0</v>
      </c>
      <c r="Y137" s="5">
        <v>2</v>
      </c>
      <c r="Z137" s="5" t="s">
        <v>982</v>
      </c>
      <c r="AA137" s="5">
        <v>3</v>
      </c>
      <c r="AB137" s="5">
        <v>2</v>
      </c>
      <c r="AC137" s="5">
        <v>4</v>
      </c>
      <c r="AD137" s="5">
        <v>4</v>
      </c>
      <c r="AE137" s="5">
        <v>13</v>
      </c>
      <c r="AF137" s="5" t="s">
        <v>981</v>
      </c>
      <c r="AG137" s="5">
        <v>1</v>
      </c>
      <c r="AH137" s="5">
        <v>0</v>
      </c>
      <c r="AI137" s="5">
        <v>0</v>
      </c>
      <c r="AJ137" s="5">
        <v>1</v>
      </c>
      <c r="AK137" s="5" t="s">
        <v>983</v>
      </c>
      <c r="AL137" s="5">
        <v>1</v>
      </c>
      <c r="AM137" s="5">
        <v>1</v>
      </c>
      <c r="AN137" s="5">
        <v>1</v>
      </c>
      <c r="AO137" s="5">
        <v>3</v>
      </c>
      <c r="AP137" s="5" t="s">
        <v>982</v>
      </c>
      <c r="AQ137" s="5">
        <v>0</v>
      </c>
      <c r="AR137" s="5">
        <v>0</v>
      </c>
      <c r="AS137" s="5">
        <v>0</v>
      </c>
      <c r="AT137" s="5">
        <v>0</v>
      </c>
      <c r="AU137" s="5">
        <v>0</v>
      </c>
      <c r="AV137" s="5">
        <v>0</v>
      </c>
      <c r="AW137" s="5">
        <v>0</v>
      </c>
      <c r="AX137" s="5">
        <v>0</v>
      </c>
      <c r="AY137" s="5" t="s">
        <v>983</v>
      </c>
      <c r="AZ137" s="1">
        <v>1</v>
      </c>
      <c r="BA137" s="1">
        <v>0</v>
      </c>
      <c r="BB137" s="1">
        <v>1</v>
      </c>
      <c r="BC137" s="1">
        <v>1</v>
      </c>
      <c r="BD137" s="1">
        <v>1</v>
      </c>
      <c r="BE137" s="1">
        <v>1</v>
      </c>
      <c r="BF137" s="1">
        <v>46</v>
      </c>
      <c r="BG137" s="1">
        <v>0</v>
      </c>
      <c r="BH137" s="1">
        <v>14</v>
      </c>
      <c r="BI137" s="1">
        <v>1</v>
      </c>
      <c r="BJ137" s="1">
        <v>400000</v>
      </c>
      <c r="BK137" s="1">
        <v>4</v>
      </c>
    </row>
    <row r="138" spans="1:63" ht="12.75" customHeight="1" x14ac:dyDescent="0.15">
      <c r="A138" s="5" t="s">
        <v>238</v>
      </c>
      <c r="B138" s="5" t="s">
        <v>238</v>
      </c>
      <c r="C138" s="5">
        <v>1</v>
      </c>
      <c r="D138" s="5">
        <v>3</v>
      </c>
      <c r="E138" s="5">
        <v>3</v>
      </c>
      <c r="F138" s="5">
        <v>3</v>
      </c>
      <c r="G138" s="5">
        <v>3</v>
      </c>
      <c r="H138" s="5">
        <v>3</v>
      </c>
      <c r="I138" s="5">
        <v>3</v>
      </c>
      <c r="J138" s="5">
        <v>4</v>
      </c>
      <c r="K138" s="5">
        <v>4</v>
      </c>
      <c r="L138" s="5">
        <v>4</v>
      </c>
      <c r="M138" s="5">
        <v>4</v>
      </c>
      <c r="N138" s="5">
        <v>4</v>
      </c>
      <c r="O138" s="5">
        <v>39</v>
      </c>
      <c r="P138" s="5" t="s">
        <v>981</v>
      </c>
      <c r="Q138" s="5">
        <v>0</v>
      </c>
      <c r="R138" s="5">
        <v>0</v>
      </c>
      <c r="S138" s="5">
        <v>0</v>
      </c>
      <c r="T138" s="5">
        <v>0</v>
      </c>
      <c r="U138" s="5" t="s">
        <v>983</v>
      </c>
      <c r="V138" s="5">
        <v>0</v>
      </c>
      <c r="W138" s="5">
        <v>0</v>
      </c>
      <c r="X138" s="5">
        <v>0</v>
      </c>
      <c r="Y138" s="5">
        <v>0</v>
      </c>
      <c r="Z138" s="5" t="s">
        <v>983</v>
      </c>
      <c r="AA138" s="5">
        <v>4</v>
      </c>
      <c r="AB138" s="5">
        <v>4</v>
      </c>
      <c r="AC138" s="5">
        <v>4</v>
      </c>
      <c r="AD138" s="5">
        <v>4</v>
      </c>
      <c r="AE138" s="5">
        <v>16</v>
      </c>
      <c r="AF138" s="5" t="s">
        <v>981</v>
      </c>
      <c r="AG138" s="5">
        <v>0</v>
      </c>
      <c r="AH138" s="5">
        <v>0</v>
      </c>
      <c r="AI138" s="5">
        <v>0</v>
      </c>
      <c r="AJ138" s="5">
        <v>0</v>
      </c>
      <c r="AK138" s="5" t="s">
        <v>983</v>
      </c>
      <c r="AL138" s="5">
        <v>0</v>
      </c>
      <c r="AM138" s="5">
        <v>0</v>
      </c>
      <c r="AN138" s="5">
        <v>0</v>
      </c>
      <c r="AO138" s="5">
        <v>0</v>
      </c>
      <c r="AP138" s="5" t="s">
        <v>983</v>
      </c>
      <c r="AQ138" s="5">
        <v>0</v>
      </c>
      <c r="AR138" s="5">
        <v>0</v>
      </c>
      <c r="AS138" s="5">
        <v>0</v>
      </c>
      <c r="AT138" s="5">
        <v>0</v>
      </c>
      <c r="AU138" s="5">
        <v>0</v>
      </c>
      <c r="AV138" s="5">
        <v>0</v>
      </c>
      <c r="AW138" s="5">
        <v>0</v>
      </c>
      <c r="AX138" s="5">
        <v>0</v>
      </c>
      <c r="AY138" s="5" t="s">
        <v>983</v>
      </c>
      <c r="AZ138" s="1">
        <v>0</v>
      </c>
      <c r="BA138" s="1">
        <v>0</v>
      </c>
      <c r="BB138" s="1">
        <v>1</v>
      </c>
      <c r="BC138" s="1">
        <v>1</v>
      </c>
      <c r="BD138" s="1">
        <v>1</v>
      </c>
      <c r="BE138" s="1">
        <v>1</v>
      </c>
      <c r="BF138" s="1">
        <v>27</v>
      </c>
      <c r="BG138" s="1">
        <v>1</v>
      </c>
      <c r="BH138" s="1">
        <v>18</v>
      </c>
      <c r="BI138" s="1">
        <v>24</v>
      </c>
      <c r="BJ138" s="1">
        <v>900000</v>
      </c>
      <c r="BK138" s="1">
        <v>4</v>
      </c>
    </row>
    <row r="139" spans="1:63" ht="12.75" customHeight="1" x14ac:dyDescent="0.15">
      <c r="A139" s="5" t="s">
        <v>238</v>
      </c>
      <c r="B139" s="5" t="s">
        <v>238</v>
      </c>
      <c r="C139" s="5">
        <v>2</v>
      </c>
      <c r="D139" s="5">
        <v>1</v>
      </c>
      <c r="E139" s="5">
        <v>1</v>
      </c>
      <c r="F139" s="5">
        <v>1</v>
      </c>
      <c r="G139" s="5">
        <v>1</v>
      </c>
      <c r="H139" s="5">
        <v>1</v>
      </c>
      <c r="I139" s="5">
        <v>1</v>
      </c>
      <c r="J139" s="5">
        <v>1</v>
      </c>
      <c r="K139" s="5">
        <v>1</v>
      </c>
      <c r="L139" s="5">
        <v>1</v>
      </c>
      <c r="M139" s="5">
        <v>1</v>
      </c>
      <c r="N139" s="5">
        <v>1</v>
      </c>
      <c r="O139" s="5">
        <v>13</v>
      </c>
      <c r="P139" s="5" t="s">
        <v>983</v>
      </c>
      <c r="Q139" s="5">
        <v>1</v>
      </c>
      <c r="R139" s="5">
        <v>2</v>
      </c>
      <c r="S139" s="5">
        <v>0</v>
      </c>
      <c r="T139" s="5">
        <v>3</v>
      </c>
      <c r="U139" s="5" t="s">
        <v>982</v>
      </c>
      <c r="V139" s="5">
        <v>1</v>
      </c>
      <c r="W139" s="5">
        <v>2</v>
      </c>
      <c r="X139" s="5">
        <v>2</v>
      </c>
      <c r="Y139" s="5">
        <v>5</v>
      </c>
      <c r="Z139" s="5" t="s">
        <v>982</v>
      </c>
      <c r="AA139" s="5">
        <v>0</v>
      </c>
      <c r="AB139" s="5">
        <v>0</v>
      </c>
      <c r="AC139" s="5">
        <v>0</v>
      </c>
      <c r="AD139" s="5">
        <v>0</v>
      </c>
      <c r="AE139" s="5">
        <v>0</v>
      </c>
      <c r="AF139" s="5" t="s">
        <v>983</v>
      </c>
      <c r="AG139" s="5">
        <v>1</v>
      </c>
      <c r="AH139" s="5">
        <v>0</v>
      </c>
      <c r="AI139" s="5">
        <v>0</v>
      </c>
      <c r="AJ139" s="5">
        <v>1</v>
      </c>
      <c r="AK139" s="5" t="s">
        <v>983</v>
      </c>
      <c r="AL139" s="5">
        <v>0</v>
      </c>
      <c r="AM139" s="5">
        <v>0</v>
      </c>
      <c r="AN139" s="5">
        <v>1</v>
      </c>
      <c r="AO139" s="5">
        <v>1</v>
      </c>
      <c r="AP139" s="5" t="s">
        <v>983</v>
      </c>
      <c r="AQ139" s="5">
        <v>0</v>
      </c>
      <c r="AR139" s="5">
        <v>0</v>
      </c>
      <c r="AS139" s="5">
        <v>0</v>
      </c>
      <c r="AT139" s="5">
        <v>0</v>
      </c>
      <c r="AU139" s="5">
        <v>0</v>
      </c>
      <c r="AV139" s="5">
        <v>0</v>
      </c>
      <c r="AW139" s="5">
        <v>0</v>
      </c>
      <c r="AX139" s="5">
        <v>0</v>
      </c>
      <c r="AY139" s="5" t="s">
        <v>983</v>
      </c>
      <c r="AZ139" s="1">
        <v>1</v>
      </c>
      <c r="BA139" s="1">
        <v>0</v>
      </c>
      <c r="BB139" s="1">
        <v>0</v>
      </c>
      <c r="BC139" s="1">
        <v>1</v>
      </c>
      <c r="BD139" s="1">
        <v>1</v>
      </c>
      <c r="BE139" s="1">
        <v>1</v>
      </c>
      <c r="BF139" s="1">
        <v>36</v>
      </c>
      <c r="BG139" s="1">
        <v>0</v>
      </c>
      <c r="BH139" s="1">
        <v>14</v>
      </c>
      <c r="BI139" s="1">
        <v>1</v>
      </c>
      <c r="BJ139" s="1">
        <v>350000</v>
      </c>
      <c r="BK139" s="1">
        <v>3</v>
      </c>
    </row>
    <row r="140" spans="1:63" ht="12.75" customHeight="1" x14ac:dyDescent="0.15">
      <c r="A140" s="5" t="s">
        <v>238</v>
      </c>
      <c r="B140" s="5" t="s">
        <v>238</v>
      </c>
      <c r="C140" s="5">
        <v>1</v>
      </c>
      <c r="D140" s="5">
        <v>2</v>
      </c>
      <c r="E140" s="5">
        <v>2</v>
      </c>
      <c r="F140" s="5">
        <v>2</v>
      </c>
      <c r="G140" s="5">
        <v>1</v>
      </c>
      <c r="H140" s="5">
        <v>1</v>
      </c>
      <c r="I140" s="5">
        <v>1</v>
      </c>
      <c r="J140" s="5">
        <v>1</v>
      </c>
      <c r="K140" s="5">
        <v>1</v>
      </c>
      <c r="L140" s="5">
        <v>1</v>
      </c>
      <c r="M140" s="5">
        <v>1</v>
      </c>
      <c r="N140" s="5">
        <v>1</v>
      </c>
      <c r="O140" s="5">
        <v>15</v>
      </c>
      <c r="P140" s="5" t="s">
        <v>983</v>
      </c>
      <c r="Q140" s="5">
        <v>1</v>
      </c>
      <c r="R140" s="5">
        <v>0</v>
      </c>
      <c r="S140" s="5">
        <v>0</v>
      </c>
      <c r="T140" s="5">
        <v>1</v>
      </c>
      <c r="U140" s="5" t="s">
        <v>983</v>
      </c>
      <c r="V140" s="5">
        <v>1</v>
      </c>
      <c r="W140" s="5">
        <v>0</v>
      </c>
      <c r="X140" s="5">
        <v>1</v>
      </c>
      <c r="Y140" s="5">
        <v>2</v>
      </c>
      <c r="Z140" s="5" t="s">
        <v>982</v>
      </c>
      <c r="AA140" s="5">
        <v>4</v>
      </c>
      <c r="AB140" s="5">
        <v>4</v>
      </c>
      <c r="AC140" s="5">
        <v>4</v>
      </c>
      <c r="AD140" s="5">
        <v>4</v>
      </c>
      <c r="AE140" s="5">
        <v>16</v>
      </c>
      <c r="AF140" s="5" t="s">
        <v>981</v>
      </c>
      <c r="AG140" s="5">
        <v>0</v>
      </c>
      <c r="AH140" s="5">
        <v>0</v>
      </c>
      <c r="AI140" s="5">
        <v>0</v>
      </c>
      <c r="AJ140" s="5">
        <v>0</v>
      </c>
      <c r="AK140" s="5" t="s">
        <v>983</v>
      </c>
      <c r="AL140" s="5">
        <v>0</v>
      </c>
      <c r="AM140" s="5">
        <v>0</v>
      </c>
      <c r="AN140" s="5">
        <v>0</v>
      </c>
      <c r="AO140" s="5">
        <v>0</v>
      </c>
      <c r="AP140" s="5" t="s">
        <v>983</v>
      </c>
      <c r="AQ140" s="5">
        <v>0</v>
      </c>
      <c r="AR140" s="5">
        <v>0</v>
      </c>
      <c r="AS140" s="5">
        <v>0</v>
      </c>
      <c r="AT140" s="5">
        <v>0</v>
      </c>
      <c r="AU140" s="5">
        <v>0</v>
      </c>
      <c r="AV140" s="5">
        <v>0</v>
      </c>
      <c r="AW140" s="5">
        <v>0</v>
      </c>
      <c r="AX140" s="5">
        <v>0</v>
      </c>
      <c r="AY140" s="5" t="s">
        <v>983</v>
      </c>
      <c r="AZ140" s="1">
        <v>0</v>
      </c>
      <c r="BA140" s="1">
        <v>0</v>
      </c>
      <c r="BB140" s="1">
        <v>0</v>
      </c>
      <c r="BC140" s="1">
        <v>1</v>
      </c>
      <c r="BD140" s="1">
        <v>1</v>
      </c>
      <c r="BE140" s="1">
        <v>1</v>
      </c>
      <c r="BF140" s="1">
        <v>0</v>
      </c>
      <c r="BG140" s="1">
        <v>0</v>
      </c>
      <c r="BI140" s="1">
        <v>2</v>
      </c>
      <c r="BJ140" s="1">
        <v>0</v>
      </c>
      <c r="BK140" s="1">
        <v>3</v>
      </c>
    </row>
    <row r="141" spans="1:63" ht="12.75" customHeight="1" x14ac:dyDescent="0.15">
      <c r="A141" s="5" t="s">
        <v>238</v>
      </c>
      <c r="B141" s="5" t="s">
        <v>238</v>
      </c>
      <c r="C141" s="5">
        <v>2</v>
      </c>
      <c r="D141" s="5">
        <v>3</v>
      </c>
      <c r="E141" s="5">
        <v>3</v>
      </c>
      <c r="F141" s="5">
        <v>3</v>
      </c>
      <c r="G141" s="5">
        <v>4</v>
      </c>
      <c r="H141" s="5">
        <v>3</v>
      </c>
      <c r="I141" s="5">
        <v>4</v>
      </c>
      <c r="J141" s="5">
        <v>3</v>
      </c>
      <c r="K141" s="5">
        <v>2</v>
      </c>
      <c r="L141" s="5">
        <v>3</v>
      </c>
      <c r="M141" s="5">
        <v>2</v>
      </c>
      <c r="N141" s="5">
        <v>2</v>
      </c>
      <c r="O141" s="5">
        <v>34</v>
      </c>
      <c r="P141" s="5" t="s">
        <v>981</v>
      </c>
      <c r="Q141" s="5">
        <v>2</v>
      </c>
      <c r="R141" s="5">
        <v>1</v>
      </c>
      <c r="S141" s="5">
        <v>0</v>
      </c>
      <c r="T141" s="5">
        <v>3</v>
      </c>
      <c r="U141" s="5" t="s">
        <v>982</v>
      </c>
      <c r="V141" s="5">
        <v>2</v>
      </c>
      <c r="W141" s="5">
        <v>3</v>
      </c>
      <c r="X141" s="5">
        <v>4</v>
      </c>
      <c r="Y141" s="5">
        <v>9</v>
      </c>
      <c r="Z141" s="5" t="s">
        <v>981</v>
      </c>
      <c r="AA141" s="5">
        <v>3</v>
      </c>
      <c r="AB141" s="5">
        <v>4</v>
      </c>
      <c r="AC141" s="5">
        <v>1</v>
      </c>
      <c r="AD141" s="5">
        <v>2</v>
      </c>
      <c r="AE141" s="5">
        <v>10</v>
      </c>
      <c r="AF141" s="5" t="s">
        <v>981</v>
      </c>
      <c r="AG141" s="5">
        <v>2</v>
      </c>
      <c r="AH141" s="5">
        <v>2</v>
      </c>
      <c r="AI141" s="5">
        <v>4</v>
      </c>
      <c r="AJ141" s="5">
        <v>8</v>
      </c>
      <c r="AK141" s="5" t="s">
        <v>981</v>
      </c>
      <c r="AL141" s="5">
        <v>3</v>
      </c>
      <c r="AM141" s="5">
        <v>3</v>
      </c>
      <c r="AN141" s="5">
        <v>2</v>
      </c>
      <c r="AO141" s="5">
        <v>8</v>
      </c>
      <c r="AP141" s="5" t="s">
        <v>981</v>
      </c>
      <c r="AQ141" s="5">
        <v>0</v>
      </c>
      <c r="AR141" s="5">
        <v>1</v>
      </c>
      <c r="AS141" s="5">
        <v>0</v>
      </c>
      <c r="AT141" s="5">
        <v>0</v>
      </c>
      <c r="AU141" s="5">
        <v>0</v>
      </c>
      <c r="AV141" s="5">
        <v>1</v>
      </c>
      <c r="AW141" s="5">
        <v>1</v>
      </c>
      <c r="AX141" s="5">
        <v>3</v>
      </c>
      <c r="AY141" s="5" t="s">
        <v>982</v>
      </c>
      <c r="AZ141" s="1">
        <v>0</v>
      </c>
      <c r="BA141" s="1">
        <v>0</v>
      </c>
      <c r="BB141" s="1">
        <v>0</v>
      </c>
      <c r="BC141" s="1">
        <v>1</v>
      </c>
      <c r="BD141" s="1">
        <v>1</v>
      </c>
      <c r="BE141" s="1">
        <v>1</v>
      </c>
      <c r="BF141" s="1">
        <v>50</v>
      </c>
      <c r="BG141" s="1">
        <v>1</v>
      </c>
      <c r="BH141" s="1">
        <v>16</v>
      </c>
      <c r="BI141" s="1">
        <v>34</v>
      </c>
      <c r="BJ141" s="1">
        <v>7000000</v>
      </c>
      <c r="BK141" s="1">
        <v>3</v>
      </c>
    </row>
    <row r="142" spans="1:63" ht="12.75" customHeight="1" x14ac:dyDescent="0.15">
      <c r="A142" s="5" t="s">
        <v>238</v>
      </c>
      <c r="B142" s="5" t="s">
        <v>238</v>
      </c>
      <c r="C142" s="5">
        <v>4</v>
      </c>
      <c r="D142" s="5">
        <v>4</v>
      </c>
      <c r="E142" s="5">
        <v>4</v>
      </c>
      <c r="F142" s="5">
        <v>4</v>
      </c>
      <c r="G142" s="5">
        <v>1</v>
      </c>
      <c r="H142" s="5">
        <v>1</v>
      </c>
      <c r="I142" s="5">
        <v>1</v>
      </c>
      <c r="J142" s="5">
        <v>4</v>
      </c>
      <c r="K142" s="5">
        <v>4</v>
      </c>
      <c r="L142" s="5">
        <v>4</v>
      </c>
      <c r="M142" s="5">
        <v>4</v>
      </c>
      <c r="N142" s="5">
        <v>4</v>
      </c>
      <c r="O142" s="5">
        <v>39</v>
      </c>
      <c r="P142" s="5" t="s">
        <v>981</v>
      </c>
      <c r="Q142" s="5">
        <v>1</v>
      </c>
      <c r="R142" s="5">
        <v>1</v>
      </c>
      <c r="S142" s="5">
        <v>1</v>
      </c>
      <c r="T142" s="5">
        <v>3</v>
      </c>
      <c r="U142" s="5" t="s">
        <v>982</v>
      </c>
      <c r="V142" s="5">
        <v>1</v>
      </c>
      <c r="W142" s="5">
        <v>1</v>
      </c>
      <c r="X142" s="5">
        <v>1</v>
      </c>
      <c r="Y142" s="5">
        <v>3</v>
      </c>
      <c r="Z142" s="5" t="s">
        <v>982</v>
      </c>
      <c r="AA142" s="5">
        <v>3</v>
      </c>
      <c r="AB142" s="5">
        <v>3</v>
      </c>
      <c r="AC142" s="5">
        <v>3</v>
      </c>
      <c r="AD142" s="5">
        <v>3</v>
      </c>
      <c r="AE142" s="5">
        <v>12</v>
      </c>
      <c r="AF142" s="5" t="s">
        <v>981</v>
      </c>
      <c r="AG142" s="5">
        <v>1</v>
      </c>
      <c r="AH142" s="5">
        <v>1</v>
      </c>
      <c r="AI142" s="5">
        <v>1</v>
      </c>
      <c r="AJ142" s="5">
        <v>3</v>
      </c>
      <c r="AK142" s="5" t="s">
        <v>982</v>
      </c>
      <c r="AL142" s="5">
        <v>1</v>
      </c>
      <c r="AM142" s="5">
        <v>1</v>
      </c>
      <c r="AN142" s="5">
        <v>1</v>
      </c>
      <c r="AO142" s="5">
        <v>3</v>
      </c>
      <c r="AP142" s="5" t="s">
        <v>982</v>
      </c>
      <c r="AQ142" s="5">
        <v>0</v>
      </c>
      <c r="AR142" s="5">
        <v>0</v>
      </c>
      <c r="AS142" s="5">
        <v>0</v>
      </c>
      <c r="AT142" s="5">
        <v>0</v>
      </c>
      <c r="AU142" s="5">
        <v>0</v>
      </c>
      <c r="AV142" s="5">
        <v>0</v>
      </c>
      <c r="AW142" s="5">
        <v>0</v>
      </c>
      <c r="AX142" s="5">
        <v>0</v>
      </c>
      <c r="AY142" s="5" t="s">
        <v>983</v>
      </c>
      <c r="AZ142" s="1">
        <v>1</v>
      </c>
      <c r="BA142" s="1">
        <v>0</v>
      </c>
      <c r="BB142" s="1">
        <v>1</v>
      </c>
      <c r="BC142" s="1">
        <v>1</v>
      </c>
      <c r="BD142" s="1">
        <v>0</v>
      </c>
      <c r="BE142" s="1">
        <v>0</v>
      </c>
      <c r="BF142" s="1">
        <v>50</v>
      </c>
      <c r="BG142" s="1">
        <v>1</v>
      </c>
      <c r="BH142" s="1">
        <v>16</v>
      </c>
      <c r="BI142" s="1">
        <v>34</v>
      </c>
      <c r="BJ142" s="1">
        <v>7000000</v>
      </c>
      <c r="BK142" s="1">
        <v>3</v>
      </c>
    </row>
    <row r="143" spans="1:63" ht="12.75" customHeight="1" x14ac:dyDescent="0.15">
      <c r="A143" s="5" t="s">
        <v>238</v>
      </c>
      <c r="B143" s="5" t="s">
        <v>238</v>
      </c>
      <c r="C143" s="5">
        <v>3</v>
      </c>
      <c r="D143" s="5">
        <v>3</v>
      </c>
      <c r="E143" s="5">
        <v>4</v>
      </c>
      <c r="F143" s="5">
        <v>4</v>
      </c>
      <c r="G143" s="5">
        <v>4</v>
      </c>
      <c r="H143" s="5">
        <v>4</v>
      </c>
      <c r="I143" s="5">
        <v>4</v>
      </c>
      <c r="J143" s="5">
        <v>1</v>
      </c>
      <c r="K143" s="5">
        <v>2</v>
      </c>
      <c r="L143" s="5">
        <v>2</v>
      </c>
      <c r="M143" s="5">
        <v>1</v>
      </c>
      <c r="N143" s="5">
        <v>2</v>
      </c>
      <c r="O143" s="5">
        <v>34</v>
      </c>
      <c r="P143" s="5" t="s">
        <v>981</v>
      </c>
      <c r="Q143" s="5">
        <v>1</v>
      </c>
      <c r="R143" s="5">
        <v>3</v>
      </c>
      <c r="S143" s="5">
        <v>0</v>
      </c>
      <c r="T143" s="5">
        <v>4</v>
      </c>
      <c r="U143" s="5" t="s">
        <v>982</v>
      </c>
      <c r="V143" s="5">
        <v>0</v>
      </c>
      <c r="W143" s="5">
        <v>0</v>
      </c>
      <c r="X143" s="5">
        <v>0</v>
      </c>
      <c r="Y143" s="5">
        <v>0</v>
      </c>
      <c r="Z143" s="5" t="s">
        <v>983</v>
      </c>
      <c r="AA143" s="5">
        <v>4</v>
      </c>
      <c r="AB143" s="5">
        <v>2</v>
      </c>
      <c r="AC143" s="5">
        <v>0</v>
      </c>
      <c r="AD143" s="5">
        <v>0</v>
      </c>
      <c r="AE143" s="5">
        <v>6</v>
      </c>
      <c r="AF143" s="5" t="s">
        <v>981</v>
      </c>
      <c r="AG143" s="5">
        <v>2</v>
      </c>
      <c r="AH143" s="5">
        <v>0</v>
      </c>
      <c r="AI143" s="5">
        <v>2</v>
      </c>
      <c r="AJ143" s="5">
        <v>4</v>
      </c>
      <c r="AK143" s="5" t="s">
        <v>982</v>
      </c>
      <c r="AL143" s="5">
        <v>2</v>
      </c>
      <c r="AM143" s="5">
        <v>2</v>
      </c>
      <c r="AN143" s="5">
        <v>2</v>
      </c>
      <c r="AO143" s="5">
        <v>6</v>
      </c>
      <c r="AP143" s="5" t="s">
        <v>981</v>
      </c>
      <c r="AQ143" s="5">
        <v>0</v>
      </c>
      <c r="AR143" s="5">
        <v>0</v>
      </c>
      <c r="AS143" s="5">
        <v>0</v>
      </c>
      <c r="AT143" s="5">
        <v>0</v>
      </c>
      <c r="AU143" s="5">
        <v>0</v>
      </c>
      <c r="AV143" s="5">
        <v>0</v>
      </c>
      <c r="AW143" s="5">
        <v>0</v>
      </c>
      <c r="AX143" s="5">
        <v>0</v>
      </c>
      <c r="AY143" s="5" t="s">
        <v>983</v>
      </c>
      <c r="AZ143" s="1">
        <v>1</v>
      </c>
      <c r="BA143" s="1">
        <v>0</v>
      </c>
      <c r="BB143" s="1">
        <v>1</v>
      </c>
      <c r="BC143" s="1">
        <v>1</v>
      </c>
      <c r="BD143" s="1">
        <v>1</v>
      </c>
      <c r="BE143" s="1">
        <v>1</v>
      </c>
      <c r="BF143" s="1">
        <v>39</v>
      </c>
      <c r="BG143" s="1">
        <v>0</v>
      </c>
      <c r="BH143" s="1">
        <v>14</v>
      </c>
      <c r="BI143" s="1">
        <v>6</v>
      </c>
      <c r="BJ143" s="1">
        <v>100000</v>
      </c>
      <c r="BK143" s="1">
        <v>1</v>
      </c>
    </row>
    <row r="144" spans="1:63" ht="12.75" customHeight="1" x14ac:dyDescent="0.15">
      <c r="A144" s="5" t="s">
        <v>238</v>
      </c>
      <c r="B144" s="5" t="s">
        <v>238</v>
      </c>
      <c r="C144" s="5">
        <v>1</v>
      </c>
      <c r="D144" s="5">
        <v>2</v>
      </c>
      <c r="E144" s="5">
        <v>2</v>
      </c>
      <c r="F144" s="5">
        <v>1</v>
      </c>
      <c r="G144" s="5">
        <v>1</v>
      </c>
      <c r="H144" s="5">
        <v>1</v>
      </c>
      <c r="I144" s="5">
        <v>1</v>
      </c>
      <c r="J144" s="5">
        <v>1</v>
      </c>
      <c r="K144" s="5">
        <v>1</v>
      </c>
      <c r="L144" s="5">
        <v>2</v>
      </c>
      <c r="M144" s="5">
        <v>2</v>
      </c>
      <c r="N144" s="5">
        <v>2</v>
      </c>
      <c r="O144" s="5">
        <v>17</v>
      </c>
      <c r="P144" s="5" t="s">
        <v>983</v>
      </c>
      <c r="Q144" s="5">
        <v>1</v>
      </c>
      <c r="R144" s="5">
        <v>1</v>
      </c>
      <c r="S144" s="5">
        <v>1</v>
      </c>
      <c r="T144" s="5">
        <v>3</v>
      </c>
      <c r="U144" s="5" t="s">
        <v>982</v>
      </c>
      <c r="V144" s="5">
        <v>1</v>
      </c>
      <c r="W144" s="5">
        <v>2</v>
      </c>
      <c r="X144" s="5">
        <v>3</v>
      </c>
      <c r="Y144" s="5">
        <v>6</v>
      </c>
      <c r="Z144" s="5" t="s">
        <v>981</v>
      </c>
      <c r="AA144" s="5">
        <v>1</v>
      </c>
      <c r="AB144" s="5">
        <v>2</v>
      </c>
      <c r="AC144" s="5">
        <v>0</v>
      </c>
      <c r="AD144" s="5">
        <v>0</v>
      </c>
      <c r="AE144" s="5">
        <v>3</v>
      </c>
      <c r="AF144" s="5" t="s">
        <v>982</v>
      </c>
      <c r="AG144" s="5">
        <v>0</v>
      </c>
      <c r="AH144" s="5">
        <v>0</v>
      </c>
      <c r="AI144" s="5">
        <v>0</v>
      </c>
      <c r="AJ144" s="5">
        <v>0</v>
      </c>
      <c r="AK144" s="5" t="s">
        <v>983</v>
      </c>
      <c r="AL144" s="5">
        <v>0</v>
      </c>
      <c r="AM144" s="5">
        <v>0</v>
      </c>
      <c r="AN144" s="5">
        <v>0</v>
      </c>
      <c r="AO144" s="5">
        <v>0</v>
      </c>
      <c r="AP144" s="5" t="s">
        <v>983</v>
      </c>
      <c r="AQ144" s="5">
        <v>0</v>
      </c>
      <c r="AR144" s="5">
        <v>0</v>
      </c>
      <c r="AS144" s="5">
        <v>0</v>
      </c>
      <c r="AT144" s="5">
        <v>0</v>
      </c>
      <c r="AU144" s="5">
        <v>0</v>
      </c>
      <c r="AV144" s="5">
        <v>0</v>
      </c>
      <c r="AW144" s="5">
        <v>0</v>
      </c>
      <c r="AX144" s="5">
        <v>0</v>
      </c>
      <c r="AY144" s="5" t="s">
        <v>983</v>
      </c>
      <c r="AZ144" s="1">
        <v>1</v>
      </c>
      <c r="BA144" s="1">
        <v>0</v>
      </c>
      <c r="BB144" s="1">
        <v>1</v>
      </c>
      <c r="BC144" s="1">
        <v>0</v>
      </c>
      <c r="BD144" s="1">
        <v>0</v>
      </c>
      <c r="BE144" s="1">
        <v>0</v>
      </c>
      <c r="BF144" s="1">
        <v>34</v>
      </c>
      <c r="BG144" s="1">
        <v>1</v>
      </c>
      <c r="BH144" s="1">
        <v>14</v>
      </c>
      <c r="BI144" s="1">
        <v>2</v>
      </c>
      <c r="BJ144" s="1">
        <v>800000</v>
      </c>
      <c r="BK144" s="1">
        <v>5</v>
      </c>
    </row>
    <row r="145" spans="1:63" ht="12.75" customHeight="1" x14ac:dyDescent="0.15">
      <c r="A145" s="5" t="s">
        <v>337</v>
      </c>
      <c r="B145" s="5" t="s">
        <v>984</v>
      </c>
      <c r="C145" s="5">
        <v>3</v>
      </c>
      <c r="D145" s="5">
        <v>3</v>
      </c>
      <c r="E145" s="5">
        <v>3</v>
      </c>
      <c r="F145" s="5">
        <v>3</v>
      </c>
      <c r="G145" s="5">
        <v>3</v>
      </c>
      <c r="H145" s="5">
        <v>4</v>
      </c>
      <c r="I145" s="5">
        <v>3</v>
      </c>
      <c r="J145" s="5">
        <v>2</v>
      </c>
      <c r="K145" s="5">
        <v>2</v>
      </c>
      <c r="L145" s="5">
        <v>3</v>
      </c>
      <c r="M145" s="5">
        <v>3</v>
      </c>
      <c r="N145" s="5">
        <v>3</v>
      </c>
      <c r="O145" s="5">
        <v>35</v>
      </c>
      <c r="P145" s="5" t="s">
        <v>981</v>
      </c>
      <c r="Q145" s="5">
        <v>2</v>
      </c>
      <c r="R145" s="5">
        <v>1</v>
      </c>
      <c r="S145" s="5">
        <v>1</v>
      </c>
      <c r="T145" s="5">
        <v>4</v>
      </c>
      <c r="U145" s="5" t="s">
        <v>982</v>
      </c>
      <c r="V145" s="5">
        <v>1</v>
      </c>
      <c r="W145" s="5">
        <v>1</v>
      </c>
      <c r="X145" s="5">
        <v>1</v>
      </c>
      <c r="Y145" s="5">
        <v>3</v>
      </c>
      <c r="Z145" s="5" t="s">
        <v>982</v>
      </c>
      <c r="AA145" s="5">
        <v>3</v>
      </c>
      <c r="AB145" s="5">
        <v>3</v>
      </c>
      <c r="AC145" s="5">
        <v>1</v>
      </c>
      <c r="AD145" s="5">
        <v>1</v>
      </c>
      <c r="AE145" s="5">
        <v>8</v>
      </c>
      <c r="AF145" s="5" t="s">
        <v>981</v>
      </c>
      <c r="AG145" s="5">
        <v>3</v>
      </c>
      <c r="AH145" s="5">
        <v>1</v>
      </c>
      <c r="AI145" s="5">
        <v>1</v>
      </c>
      <c r="AJ145" s="5">
        <v>5</v>
      </c>
      <c r="AK145" s="5" t="s">
        <v>982</v>
      </c>
      <c r="AL145" s="5">
        <v>2</v>
      </c>
      <c r="AM145" s="5">
        <v>2</v>
      </c>
      <c r="AN145" s="5">
        <v>3</v>
      </c>
      <c r="AO145" s="5">
        <v>7</v>
      </c>
      <c r="AP145" s="5" t="s">
        <v>981</v>
      </c>
      <c r="AQ145" s="5">
        <v>2</v>
      </c>
      <c r="AR145" s="5">
        <v>1</v>
      </c>
      <c r="AS145" s="5">
        <v>0</v>
      </c>
      <c r="AT145" s="5">
        <v>0</v>
      </c>
      <c r="AU145" s="5">
        <v>0</v>
      </c>
      <c r="AV145" s="5">
        <v>0</v>
      </c>
      <c r="AW145" s="5">
        <v>0</v>
      </c>
      <c r="AX145" s="5">
        <v>3</v>
      </c>
      <c r="AY145" s="5" t="s">
        <v>982</v>
      </c>
      <c r="AZ145" s="1">
        <v>0</v>
      </c>
      <c r="BA145" s="1">
        <v>0</v>
      </c>
      <c r="BB145" s="1">
        <v>0</v>
      </c>
      <c r="BC145" s="1">
        <v>1</v>
      </c>
      <c r="BD145" s="1">
        <v>1</v>
      </c>
      <c r="BE145" s="1">
        <v>1</v>
      </c>
      <c r="BF145" s="1">
        <v>0</v>
      </c>
      <c r="BG145" s="1">
        <v>0</v>
      </c>
      <c r="BI145" s="1">
        <v>3</v>
      </c>
      <c r="BJ145" s="1">
        <v>0</v>
      </c>
      <c r="BK145" s="1">
        <v>3</v>
      </c>
    </row>
    <row r="146" spans="1:63" ht="12.75" customHeight="1" x14ac:dyDescent="0.15">
      <c r="A146" s="5" t="s">
        <v>238</v>
      </c>
      <c r="B146" s="5" t="s">
        <v>238</v>
      </c>
      <c r="C146" s="5">
        <v>4</v>
      </c>
      <c r="D146" s="5">
        <v>2</v>
      </c>
      <c r="E146" s="5">
        <v>3</v>
      </c>
      <c r="F146" s="5">
        <v>3</v>
      </c>
      <c r="G146" s="5">
        <v>3</v>
      </c>
      <c r="H146" s="5">
        <v>3</v>
      </c>
      <c r="I146" s="5">
        <v>3</v>
      </c>
      <c r="J146" s="5">
        <v>2</v>
      </c>
      <c r="K146" s="5">
        <v>2</v>
      </c>
      <c r="L146" s="5">
        <v>2</v>
      </c>
      <c r="M146" s="5">
        <v>2</v>
      </c>
      <c r="N146" s="5">
        <v>2</v>
      </c>
      <c r="O146" s="5">
        <v>31</v>
      </c>
      <c r="P146" s="5" t="s">
        <v>981</v>
      </c>
      <c r="Q146" s="5">
        <v>2</v>
      </c>
      <c r="R146" s="5">
        <v>3</v>
      </c>
      <c r="S146" s="5">
        <v>0</v>
      </c>
      <c r="T146" s="5">
        <v>5</v>
      </c>
      <c r="U146" s="5" t="s">
        <v>981</v>
      </c>
      <c r="V146" s="5">
        <v>2</v>
      </c>
      <c r="W146" s="5">
        <v>1</v>
      </c>
      <c r="X146" s="5">
        <v>3</v>
      </c>
      <c r="Y146" s="5">
        <v>6</v>
      </c>
      <c r="Z146" s="5" t="s">
        <v>981</v>
      </c>
      <c r="AA146" s="5">
        <v>2</v>
      </c>
      <c r="AB146" s="5">
        <v>0</v>
      </c>
      <c r="AC146" s="5">
        <v>0</v>
      </c>
      <c r="AD146" s="5">
        <v>0</v>
      </c>
      <c r="AE146" s="5">
        <v>2</v>
      </c>
      <c r="AF146" s="5" t="s">
        <v>982</v>
      </c>
      <c r="AG146" s="5">
        <v>0</v>
      </c>
      <c r="AH146" s="5">
        <v>0</v>
      </c>
      <c r="AI146" s="5">
        <v>0</v>
      </c>
      <c r="AJ146" s="5">
        <v>0</v>
      </c>
      <c r="AK146" s="5" t="s">
        <v>983</v>
      </c>
      <c r="AL146" s="5">
        <v>4</v>
      </c>
      <c r="AM146" s="5">
        <v>4</v>
      </c>
      <c r="AN146" s="5">
        <v>4</v>
      </c>
      <c r="AO146" s="5">
        <v>12</v>
      </c>
      <c r="AP146" s="5" t="s">
        <v>981</v>
      </c>
      <c r="AQ146" s="5">
        <v>1</v>
      </c>
      <c r="AR146" s="5">
        <v>0</v>
      </c>
      <c r="AS146" s="5">
        <v>0</v>
      </c>
      <c r="AT146" s="5">
        <v>0</v>
      </c>
      <c r="AU146" s="5">
        <v>0</v>
      </c>
      <c r="AV146" s="5">
        <v>0</v>
      </c>
      <c r="AW146" s="5">
        <v>0</v>
      </c>
      <c r="AX146" s="5">
        <v>1</v>
      </c>
      <c r="AY146" s="5" t="s">
        <v>982</v>
      </c>
      <c r="AZ146" s="1">
        <v>0</v>
      </c>
      <c r="BA146" s="1">
        <v>0</v>
      </c>
      <c r="BB146" s="1">
        <v>0</v>
      </c>
      <c r="BC146" s="1">
        <v>1</v>
      </c>
      <c r="BD146" s="1">
        <v>1</v>
      </c>
      <c r="BE146" s="1">
        <v>1</v>
      </c>
      <c r="BF146" s="1">
        <v>0</v>
      </c>
      <c r="BG146" s="1">
        <v>0</v>
      </c>
      <c r="BI146" s="1">
        <v>3</v>
      </c>
      <c r="BJ146" s="1">
        <v>0</v>
      </c>
      <c r="BK146" s="1">
        <v>2</v>
      </c>
    </row>
    <row r="147" spans="1:63" ht="12.75" customHeight="1" x14ac:dyDescent="0.15">
      <c r="A147" s="5" t="s">
        <v>238</v>
      </c>
      <c r="B147" s="5" t="s">
        <v>238</v>
      </c>
      <c r="C147" s="5">
        <v>1</v>
      </c>
      <c r="D147" s="5">
        <v>1</v>
      </c>
      <c r="E147" s="5">
        <v>1</v>
      </c>
      <c r="F147" s="5">
        <v>1</v>
      </c>
      <c r="G147" s="5">
        <v>2</v>
      </c>
      <c r="H147" s="5">
        <v>1</v>
      </c>
      <c r="I147" s="5">
        <v>1</v>
      </c>
      <c r="J147" s="5">
        <v>1</v>
      </c>
      <c r="K147" s="5">
        <v>1</v>
      </c>
      <c r="L147" s="5">
        <v>1</v>
      </c>
      <c r="M147" s="5">
        <v>1</v>
      </c>
      <c r="N147" s="5">
        <v>1</v>
      </c>
      <c r="O147" s="5">
        <v>13</v>
      </c>
      <c r="P147" s="5" t="s">
        <v>983</v>
      </c>
      <c r="Q147" s="5">
        <v>1</v>
      </c>
      <c r="R147" s="5">
        <v>1</v>
      </c>
      <c r="S147" s="5">
        <v>1</v>
      </c>
      <c r="T147" s="5">
        <v>3</v>
      </c>
      <c r="U147" s="5" t="s">
        <v>982</v>
      </c>
      <c r="V147" s="5">
        <v>1</v>
      </c>
      <c r="W147" s="5">
        <v>1</v>
      </c>
      <c r="X147" s="5">
        <v>1</v>
      </c>
      <c r="Y147" s="5">
        <v>3</v>
      </c>
      <c r="Z147" s="5" t="s">
        <v>982</v>
      </c>
      <c r="AA147" s="5">
        <v>0</v>
      </c>
      <c r="AB147" s="5">
        <v>0</v>
      </c>
      <c r="AC147" s="5">
        <v>0</v>
      </c>
      <c r="AD147" s="5">
        <v>0</v>
      </c>
      <c r="AE147" s="5">
        <v>0</v>
      </c>
      <c r="AF147" s="5" t="s">
        <v>983</v>
      </c>
      <c r="AG147" s="5">
        <v>1</v>
      </c>
      <c r="AH147" s="5">
        <v>0</v>
      </c>
      <c r="AI147" s="5">
        <v>0</v>
      </c>
      <c r="AJ147" s="5">
        <v>1</v>
      </c>
      <c r="AK147" s="5" t="s">
        <v>983</v>
      </c>
      <c r="AL147" s="5">
        <v>0</v>
      </c>
      <c r="AM147" s="5">
        <v>0</v>
      </c>
      <c r="AN147" s="5">
        <v>0</v>
      </c>
      <c r="AO147" s="5">
        <v>0</v>
      </c>
      <c r="AP147" s="5" t="s">
        <v>983</v>
      </c>
      <c r="AQ147" s="5">
        <v>0</v>
      </c>
      <c r="AR147" s="5">
        <v>0</v>
      </c>
      <c r="AS147" s="5">
        <v>0</v>
      </c>
      <c r="AT147" s="5">
        <v>0</v>
      </c>
      <c r="AU147" s="5">
        <v>0</v>
      </c>
      <c r="AV147" s="5">
        <v>0</v>
      </c>
      <c r="AW147" s="5">
        <v>0</v>
      </c>
      <c r="AX147" s="5">
        <v>0</v>
      </c>
      <c r="AY147" s="5" t="s">
        <v>983</v>
      </c>
      <c r="AZ147" s="1">
        <v>1</v>
      </c>
      <c r="BA147" s="1">
        <v>0</v>
      </c>
      <c r="BB147" s="1">
        <v>1</v>
      </c>
      <c r="BC147" s="1">
        <v>1</v>
      </c>
      <c r="BD147" s="1">
        <v>1</v>
      </c>
      <c r="BE147" s="1">
        <v>1</v>
      </c>
      <c r="BF147" s="1">
        <v>33</v>
      </c>
      <c r="BG147" s="1">
        <v>1</v>
      </c>
      <c r="BH147" s="1">
        <v>18</v>
      </c>
      <c r="BI147" s="1">
        <v>6</v>
      </c>
      <c r="BJ147" s="1">
        <v>2000000</v>
      </c>
      <c r="BK147" s="1">
        <v>3</v>
      </c>
    </row>
    <row r="148" spans="1:63" ht="12.75" customHeight="1" x14ac:dyDescent="0.15">
      <c r="A148" s="5" t="s">
        <v>238</v>
      </c>
      <c r="B148" s="5" t="s">
        <v>238</v>
      </c>
      <c r="C148" s="5">
        <v>2</v>
      </c>
      <c r="D148" s="5">
        <v>1</v>
      </c>
      <c r="E148" s="5">
        <v>1</v>
      </c>
      <c r="F148" s="5">
        <v>1</v>
      </c>
      <c r="G148" s="5">
        <v>1</v>
      </c>
      <c r="H148" s="5">
        <v>1</v>
      </c>
      <c r="I148" s="5">
        <v>1</v>
      </c>
      <c r="J148" s="5">
        <v>4</v>
      </c>
      <c r="K148" s="5">
        <v>2</v>
      </c>
      <c r="L148" s="5">
        <v>2</v>
      </c>
      <c r="M148" s="5">
        <v>2</v>
      </c>
      <c r="N148" s="5">
        <v>2</v>
      </c>
      <c r="O148" s="5">
        <v>20</v>
      </c>
      <c r="P148" s="5" t="s">
        <v>982</v>
      </c>
      <c r="Q148" s="5">
        <v>1</v>
      </c>
      <c r="R148" s="5">
        <v>1</v>
      </c>
      <c r="S148" s="5">
        <v>0</v>
      </c>
      <c r="T148" s="5">
        <v>2</v>
      </c>
      <c r="U148" s="5" t="s">
        <v>982</v>
      </c>
      <c r="V148" s="5">
        <v>0</v>
      </c>
      <c r="W148" s="5">
        <v>0</v>
      </c>
      <c r="X148" s="5">
        <v>0</v>
      </c>
      <c r="Y148" s="5">
        <v>0</v>
      </c>
      <c r="Z148" s="5" t="s">
        <v>983</v>
      </c>
      <c r="AA148" s="5">
        <v>1</v>
      </c>
      <c r="AB148" s="5">
        <v>1</v>
      </c>
      <c r="AC148" s="5">
        <v>1</v>
      </c>
      <c r="AD148" s="5">
        <v>1</v>
      </c>
      <c r="AE148" s="5">
        <v>4</v>
      </c>
      <c r="AF148" s="5" t="s">
        <v>982</v>
      </c>
      <c r="AG148" s="5">
        <v>0</v>
      </c>
      <c r="AH148" s="5">
        <v>0</v>
      </c>
      <c r="AI148" s="5">
        <v>0</v>
      </c>
      <c r="AJ148" s="5">
        <v>0</v>
      </c>
      <c r="AK148" s="5" t="s">
        <v>983</v>
      </c>
      <c r="AL148" s="5">
        <v>1</v>
      </c>
      <c r="AM148" s="5">
        <v>1</v>
      </c>
      <c r="AN148" s="5">
        <v>0</v>
      </c>
      <c r="AO148" s="5">
        <v>2</v>
      </c>
      <c r="AP148" s="5" t="s">
        <v>983</v>
      </c>
      <c r="AQ148" s="5">
        <v>0</v>
      </c>
      <c r="AR148" s="5">
        <v>0</v>
      </c>
      <c r="AS148" s="5">
        <v>0</v>
      </c>
      <c r="AT148" s="5">
        <v>0</v>
      </c>
      <c r="AU148" s="5">
        <v>0</v>
      </c>
      <c r="AV148" s="5">
        <v>0</v>
      </c>
      <c r="AW148" s="5">
        <v>0</v>
      </c>
      <c r="AX148" s="5">
        <v>0</v>
      </c>
      <c r="AY148" s="5" t="s">
        <v>983</v>
      </c>
      <c r="AZ148" s="1">
        <v>1</v>
      </c>
      <c r="BA148" s="1">
        <v>0</v>
      </c>
      <c r="BB148" s="1">
        <v>1</v>
      </c>
      <c r="BC148" s="1">
        <v>1</v>
      </c>
      <c r="BD148" s="1">
        <v>1</v>
      </c>
      <c r="BE148" s="1">
        <v>1</v>
      </c>
      <c r="BF148" s="1">
        <v>38</v>
      </c>
      <c r="BG148" s="1">
        <v>1</v>
      </c>
      <c r="BH148" s="1">
        <v>14</v>
      </c>
      <c r="BI148" s="1">
        <v>1</v>
      </c>
      <c r="BJ148" s="1">
        <v>0</v>
      </c>
      <c r="BK148" s="1">
        <v>3</v>
      </c>
    </row>
    <row r="149" spans="1:63" ht="12.75" customHeight="1" x14ac:dyDescent="0.15">
      <c r="A149" s="5" t="s">
        <v>238</v>
      </c>
      <c r="B149" s="5" t="s">
        <v>238</v>
      </c>
      <c r="C149" s="5">
        <v>2</v>
      </c>
      <c r="D149" s="5">
        <v>2</v>
      </c>
      <c r="E149" s="5">
        <v>2</v>
      </c>
      <c r="F149" s="5">
        <v>2</v>
      </c>
      <c r="G149" s="5">
        <v>1</v>
      </c>
      <c r="H149" s="5">
        <v>1</v>
      </c>
      <c r="I149" s="5">
        <v>1</v>
      </c>
      <c r="J149" s="5">
        <v>1</v>
      </c>
      <c r="K149" s="5">
        <v>2</v>
      </c>
      <c r="L149" s="5">
        <v>2</v>
      </c>
      <c r="M149" s="5">
        <v>2</v>
      </c>
      <c r="N149" s="5">
        <v>2</v>
      </c>
      <c r="O149" s="5">
        <v>20</v>
      </c>
      <c r="P149" s="5" t="s">
        <v>982</v>
      </c>
      <c r="Q149" s="5">
        <v>3</v>
      </c>
      <c r="R149" s="5">
        <v>1</v>
      </c>
      <c r="S149" s="5">
        <v>0</v>
      </c>
      <c r="T149" s="5">
        <v>4</v>
      </c>
      <c r="U149" s="5" t="s">
        <v>982</v>
      </c>
      <c r="V149" s="5">
        <v>2</v>
      </c>
      <c r="W149" s="5">
        <v>3</v>
      </c>
      <c r="X149" s="5">
        <v>1</v>
      </c>
      <c r="Y149" s="5">
        <v>6</v>
      </c>
      <c r="Z149" s="5" t="s">
        <v>981</v>
      </c>
      <c r="AA149" s="5">
        <v>3</v>
      </c>
      <c r="AB149" s="5">
        <v>3</v>
      </c>
      <c r="AC149" s="5">
        <v>1</v>
      </c>
      <c r="AD149" s="5">
        <v>1</v>
      </c>
      <c r="AE149" s="5">
        <v>8</v>
      </c>
      <c r="AF149" s="5" t="s">
        <v>981</v>
      </c>
      <c r="AG149" s="5">
        <v>3</v>
      </c>
      <c r="AH149" s="5">
        <v>1</v>
      </c>
      <c r="AI149" s="5">
        <v>1</v>
      </c>
      <c r="AJ149" s="5">
        <v>5</v>
      </c>
      <c r="AK149" s="5" t="s">
        <v>982</v>
      </c>
      <c r="AL149" s="5">
        <v>1</v>
      </c>
      <c r="AM149" s="5">
        <v>0</v>
      </c>
      <c r="AN149" s="5">
        <v>0</v>
      </c>
      <c r="AO149" s="5">
        <v>1</v>
      </c>
      <c r="AP149" s="5" t="s">
        <v>983</v>
      </c>
      <c r="AQ149" s="5">
        <v>0</v>
      </c>
      <c r="AR149" s="5">
        <v>0</v>
      </c>
      <c r="AS149" s="5">
        <v>0</v>
      </c>
      <c r="AT149" s="5">
        <v>0</v>
      </c>
      <c r="AU149" s="5">
        <v>0</v>
      </c>
      <c r="AV149" s="5">
        <v>0</v>
      </c>
      <c r="AW149" s="5">
        <v>0</v>
      </c>
      <c r="AX149" s="5">
        <v>0</v>
      </c>
      <c r="AY149" s="5" t="s">
        <v>983</v>
      </c>
      <c r="AZ149" s="1">
        <v>1</v>
      </c>
      <c r="BA149" s="1">
        <v>0</v>
      </c>
      <c r="BB149" s="1">
        <v>1</v>
      </c>
      <c r="BC149" s="1">
        <v>1</v>
      </c>
      <c r="BD149" s="1">
        <v>1</v>
      </c>
      <c r="BE149" s="1">
        <v>1</v>
      </c>
      <c r="BF149" s="1">
        <v>0</v>
      </c>
      <c r="BG149" s="1">
        <v>1</v>
      </c>
      <c r="BI149" s="1">
        <v>11</v>
      </c>
      <c r="BJ149" s="1">
        <v>0</v>
      </c>
      <c r="BK149" s="1">
        <v>3</v>
      </c>
    </row>
    <row r="150" spans="1:63" ht="12.75" customHeight="1" x14ac:dyDescent="0.15">
      <c r="A150" s="5" t="s">
        <v>238</v>
      </c>
      <c r="B150" s="5" t="s">
        <v>238</v>
      </c>
      <c r="C150" s="5">
        <v>1</v>
      </c>
      <c r="D150" s="5">
        <v>1</v>
      </c>
      <c r="E150" s="5">
        <v>1</v>
      </c>
      <c r="F150" s="5">
        <v>1</v>
      </c>
      <c r="G150" s="5">
        <v>1</v>
      </c>
      <c r="H150" s="5">
        <v>1</v>
      </c>
      <c r="I150" s="5">
        <v>1</v>
      </c>
      <c r="J150" s="5">
        <v>1</v>
      </c>
      <c r="K150" s="5">
        <v>1</v>
      </c>
      <c r="L150" s="5">
        <v>1</v>
      </c>
      <c r="M150" s="5">
        <v>1</v>
      </c>
      <c r="N150" s="5">
        <v>1</v>
      </c>
      <c r="O150" s="5">
        <v>12</v>
      </c>
      <c r="P150" s="5" t="s">
        <v>983</v>
      </c>
      <c r="Q150" s="5">
        <v>1</v>
      </c>
      <c r="R150" s="5">
        <v>1</v>
      </c>
      <c r="S150" s="5">
        <v>1</v>
      </c>
      <c r="T150" s="5">
        <v>3</v>
      </c>
      <c r="U150" s="5" t="s">
        <v>982</v>
      </c>
      <c r="V150" s="5">
        <v>1</v>
      </c>
      <c r="W150" s="5">
        <v>1</v>
      </c>
      <c r="X150" s="5">
        <v>1</v>
      </c>
      <c r="Y150" s="5">
        <v>3</v>
      </c>
      <c r="Z150" s="5" t="s">
        <v>982</v>
      </c>
      <c r="AA150" s="5">
        <v>3</v>
      </c>
      <c r="AB150" s="5">
        <v>3</v>
      </c>
      <c r="AC150" s="5">
        <v>3</v>
      </c>
      <c r="AD150" s="5">
        <v>3</v>
      </c>
      <c r="AE150" s="5">
        <v>12</v>
      </c>
      <c r="AF150" s="5" t="s">
        <v>981</v>
      </c>
      <c r="AG150" s="5">
        <v>1</v>
      </c>
      <c r="AH150" s="5">
        <v>1</v>
      </c>
      <c r="AI150" s="5">
        <v>1</v>
      </c>
      <c r="AJ150" s="5">
        <v>3</v>
      </c>
      <c r="AK150" s="5" t="s">
        <v>982</v>
      </c>
      <c r="AL150" s="5">
        <v>1</v>
      </c>
      <c r="AM150" s="5">
        <v>1</v>
      </c>
      <c r="AN150" s="5">
        <v>1</v>
      </c>
      <c r="AO150" s="5">
        <v>3</v>
      </c>
      <c r="AP150" s="5" t="s">
        <v>982</v>
      </c>
      <c r="AQ150" s="5">
        <v>0</v>
      </c>
      <c r="AR150" s="5">
        <v>0</v>
      </c>
      <c r="AS150" s="5">
        <v>0</v>
      </c>
      <c r="AT150" s="5">
        <v>0</v>
      </c>
      <c r="AU150" s="5">
        <v>0</v>
      </c>
      <c r="AV150" s="5">
        <v>0</v>
      </c>
      <c r="AW150" s="5">
        <v>0</v>
      </c>
      <c r="AX150" s="5">
        <v>0</v>
      </c>
      <c r="AY150" s="5" t="s">
        <v>983</v>
      </c>
      <c r="AZ150" s="1">
        <v>1</v>
      </c>
      <c r="BA150" s="1">
        <v>0</v>
      </c>
      <c r="BB150" s="1">
        <v>1</v>
      </c>
      <c r="BC150" s="1">
        <v>1</v>
      </c>
      <c r="BD150" s="1">
        <v>0</v>
      </c>
      <c r="BE150" s="1">
        <v>0</v>
      </c>
      <c r="BF150" s="1">
        <v>34</v>
      </c>
      <c r="BG150" s="1">
        <v>0</v>
      </c>
      <c r="BH150" s="1">
        <v>18</v>
      </c>
      <c r="BI150" s="1">
        <v>34</v>
      </c>
      <c r="BJ150" s="1">
        <v>700000</v>
      </c>
      <c r="BK150" s="1">
        <v>3</v>
      </c>
    </row>
    <row r="151" spans="1:63" ht="12.75" customHeight="1" x14ac:dyDescent="0.15">
      <c r="A151" s="5" t="s">
        <v>238</v>
      </c>
      <c r="B151" s="5" t="s">
        <v>238</v>
      </c>
      <c r="C151" s="5">
        <v>3</v>
      </c>
      <c r="D151" s="5">
        <v>2</v>
      </c>
      <c r="E151" s="5">
        <v>2</v>
      </c>
      <c r="F151" s="5">
        <v>3</v>
      </c>
      <c r="G151" s="5">
        <v>2</v>
      </c>
      <c r="H151" s="5">
        <v>3</v>
      </c>
      <c r="I151" s="5">
        <v>1</v>
      </c>
      <c r="J151" s="5">
        <v>2</v>
      </c>
      <c r="K151" s="5">
        <v>1</v>
      </c>
      <c r="L151" s="5">
        <v>2</v>
      </c>
      <c r="M151" s="5">
        <v>1</v>
      </c>
      <c r="N151" s="5">
        <v>1</v>
      </c>
      <c r="O151" s="5">
        <v>23</v>
      </c>
      <c r="P151" s="5" t="s">
        <v>982</v>
      </c>
      <c r="Q151" s="5">
        <v>1</v>
      </c>
      <c r="R151" s="5">
        <v>3</v>
      </c>
      <c r="S151" s="5">
        <v>2</v>
      </c>
      <c r="T151" s="5">
        <v>6</v>
      </c>
      <c r="U151" s="5" t="s">
        <v>981</v>
      </c>
      <c r="V151" s="5">
        <v>1</v>
      </c>
      <c r="W151" s="5">
        <v>2</v>
      </c>
      <c r="X151" s="5">
        <v>3</v>
      </c>
      <c r="Y151" s="5">
        <v>6</v>
      </c>
      <c r="Z151" s="5" t="s">
        <v>981</v>
      </c>
      <c r="AA151" s="5">
        <v>0</v>
      </c>
      <c r="AB151" s="5">
        <v>0</v>
      </c>
      <c r="AC151" s="5">
        <v>0</v>
      </c>
      <c r="AD151" s="5">
        <v>0</v>
      </c>
      <c r="AE151" s="5">
        <v>0</v>
      </c>
      <c r="AF151" s="5" t="s">
        <v>983</v>
      </c>
      <c r="AG151" s="5">
        <v>4</v>
      </c>
      <c r="AH151" s="5">
        <v>0</v>
      </c>
      <c r="AI151" s="5">
        <v>0</v>
      </c>
      <c r="AJ151" s="5">
        <v>4</v>
      </c>
      <c r="AK151" s="5" t="s">
        <v>982</v>
      </c>
      <c r="AL151" s="5">
        <v>2</v>
      </c>
      <c r="AM151" s="5">
        <v>1</v>
      </c>
      <c r="AN151" s="5">
        <v>1</v>
      </c>
      <c r="AO151" s="5">
        <v>4</v>
      </c>
      <c r="AP151" s="5" t="s">
        <v>982</v>
      </c>
      <c r="AQ151" s="5">
        <v>0</v>
      </c>
      <c r="AR151" s="5">
        <v>0</v>
      </c>
      <c r="AS151" s="5">
        <v>0</v>
      </c>
      <c r="AT151" s="5">
        <v>0</v>
      </c>
      <c r="AU151" s="5">
        <v>0</v>
      </c>
      <c r="AV151" s="5">
        <v>0</v>
      </c>
      <c r="AW151" s="5">
        <v>0</v>
      </c>
      <c r="AX151" s="5">
        <v>0</v>
      </c>
      <c r="AY151" s="5" t="s">
        <v>983</v>
      </c>
      <c r="AZ151" s="1">
        <v>0</v>
      </c>
      <c r="BA151" s="1">
        <v>0</v>
      </c>
      <c r="BB151" s="1">
        <v>0</v>
      </c>
      <c r="BC151" s="1">
        <v>1</v>
      </c>
      <c r="BD151" s="1">
        <v>1</v>
      </c>
      <c r="BE151" s="1">
        <v>1</v>
      </c>
      <c r="BF151" s="1">
        <v>34</v>
      </c>
      <c r="BG151" s="1">
        <v>0</v>
      </c>
      <c r="BH151" s="1">
        <v>18</v>
      </c>
      <c r="BI151" s="1">
        <v>34</v>
      </c>
      <c r="BJ151" s="1">
        <v>700000</v>
      </c>
      <c r="BK151" s="1">
        <v>3</v>
      </c>
    </row>
    <row r="152" spans="1:63" ht="12.75" customHeight="1" x14ac:dyDescent="0.15">
      <c r="A152" s="5" t="s">
        <v>238</v>
      </c>
      <c r="B152" s="5" t="s">
        <v>238</v>
      </c>
      <c r="C152" s="5">
        <v>3</v>
      </c>
      <c r="D152" s="5">
        <v>3</v>
      </c>
      <c r="E152" s="5">
        <v>4</v>
      </c>
      <c r="F152" s="5">
        <v>4</v>
      </c>
      <c r="G152" s="5">
        <v>4</v>
      </c>
      <c r="H152" s="5">
        <v>2</v>
      </c>
      <c r="I152" s="5">
        <v>3</v>
      </c>
      <c r="J152" s="5">
        <v>4</v>
      </c>
      <c r="K152" s="5">
        <v>3</v>
      </c>
      <c r="L152" s="5">
        <v>3</v>
      </c>
      <c r="M152" s="5">
        <v>3</v>
      </c>
      <c r="N152" s="5">
        <v>1</v>
      </c>
      <c r="O152" s="5">
        <v>37</v>
      </c>
      <c r="P152" s="5" t="s">
        <v>981</v>
      </c>
      <c r="Q152" s="5">
        <v>3</v>
      </c>
      <c r="R152" s="5">
        <v>3</v>
      </c>
      <c r="S152" s="5">
        <v>2</v>
      </c>
      <c r="T152" s="5">
        <v>8</v>
      </c>
      <c r="U152" s="5" t="s">
        <v>981</v>
      </c>
      <c r="V152" s="5">
        <v>1</v>
      </c>
      <c r="W152" s="5">
        <v>2</v>
      </c>
      <c r="X152" s="5">
        <v>4</v>
      </c>
      <c r="Y152" s="5">
        <v>7</v>
      </c>
      <c r="Z152" s="5" t="s">
        <v>981</v>
      </c>
      <c r="AA152" s="5">
        <v>1</v>
      </c>
      <c r="AB152" s="5">
        <v>1</v>
      </c>
      <c r="AC152" s="5">
        <v>2</v>
      </c>
      <c r="AD152" s="5">
        <v>1</v>
      </c>
      <c r="AE152" s="5">
        <v>5</v>
      </c>
      <c r="AF152" s="5" t="s">
        <v>981</v>
      </c>
      <c r="AG152" s="5">
        <v>3</v>
      </c>
      <c r="AH152" s="5">
        <v>3</v>
      </c>
      <c r="AI152" s="5">
        <v>3</v>
      </c>
      <c r="AJ152" s="5">
        <v>9</v>
      </c>
      <c r="AK152" s="5" t="s">
        <v>981</v>
      </c>
      <c r="AL152" s="5">
        <v>3</v>
      </c>
      <c r="AM152" s="5">
        <v>3</v>
      </c>
      <c r="AN152" s="5">
        <v>3</v>
      </c>
      <c r="AO152" s="5">
        <v>9</v>
      </c>
      <c r="AP152" s="5" t="s">
        <v>981</v>
      </c>
      <c r="AQ152" s="5">
        <v>1</v>
      </c>
      <c r="AR152" s="5">
        <v>1</v>
      </c>
      <c r="AS152" s="5">
        <v>0</v>
      </c>
      <c r="AT152" s="5">
        <v>0</v>
      </c>
      <c r="AU152" s="5">
        <v>0</v>
      </c>
      <c r="AV152" s="5">
        <v>0</v>
      </c>
      <c r="AW152" s="5">
        <v>0</v>
      </c>
      <c r="AX152" s="5">
        <v>2</v>
      </c>
      <c r="AY152" s="5" t="s">
        <v>982</v>
      </c>
      <c r="AZ152" s="1">
        <v>1</v>
      </c>
      <c r="BA152" s="1">
        <v>0</v>
      </c>
      <c r="BB152" s="1">
        <v>1</v>
      </c>
      <c r="BC152" s="1">
        <v>1</v>
      </c>
      <c r="BD152" s="1">
        <v>1</v>
      </c>
      <c r="BE152" s="1">
        <v>1</v>
      </c>
      <c r="BF152" s="1">
        <v>47</v>
      </c>
      <c r="BG152" s="1">
        <v>1</v>
      </c>
      <c r="BH152" s="1">
        <v>14</v>
      </c>
      <c r="BI152" s="1">
        <v>5</v>
      </c>
      <c r="BJ152" s="1">
        <v>300000</v>
      </c>
      <c r="BK152" s="1">
        <v>2</v>
      </c>
    </row>
    <row r="153" spans="1:63" ht="12.75" customHeight="1" x14ac:dyDescent="0.15">
      <c r="A153" s="5" t="s">
        <v>238</v>
      </c>
      <c r="B153" s="5" t="s">
        <v>238</v>
      </c>
      <c r="C153" s="5">
        <v>2</v>
      </c>
      <c r="D153" s="5">
        <v>3</v>
      </c>
      <c r="E153" s="5">
        <v>3</v>
      </c>
      <c r="F153" s="5">
        <v>3</v>
      </c>
      <c r="G153" s="5">
        <v>3</v>
      </c>
      <c r="H153" s="5">
        <v>3</v>
      </c>
      <c r="I153" s="5">
        <v>3</v>
      </c>
      <c r="J153" s="5">
        <v>2</v>
      </c>
      <c r="K153" s="5">
        <v>2</v>
      </c>
      <c r="L153" s="5">
        <v>2</v>
      </c>
      <c r="M153" s="5">
        <v>2</v>
      </c>
      <c r="N153" s="5">
        <v>2</v>
      </c>
      <c r="O153" s="5">
        <v>30</v>
      </c>
      <c r="P153" s="5" t="s">
        <v>981</v>
      </c>
      <c r="Q153" s="5">
        <v>3</v>
      </c>
      <c r="R153" s="5">
        <v>3</v>
      </c>
      <c r="S153" s="5">
        <v>3</v>
      </c>
      <c r="T153" s="5">
        <v>9</v>
      </c>
      <c r="U153" s="5" t="s">
        <v>981</v>
      </c>
      <c r="V153" s="5">
        <v>3</v>
      </c>
      <c r="W153" s="5">
        <v>3</v>
      </c>
      <c r="X153" s="5">
        <v>3</v>
      </c>
      <c r="Y153" s="5">
        <v>9</v>
      </c>
      <c r="Z153" s="5" t="s">
        <v>981</v>
      </c>
      <c r="AA153" s="5">
        <v>1</v>
      </c>
      <c r="AB153" s="5">
        <v>1</v>
      </c>
      <c r="AC153" s="5">
        <v>1</v>
      </c>
      <c r="AD153" s="5">
        <v>1</v>
      </c>
      <c r="AE153" s="5">
        <v>4</v>
      </c>
      <c r="AF153" s="5" t="s">
        <v>982</v>
      </c>
      <c r="AG153" s="5">
        <v>3</v>
      </c>
      <c r="AH153" s="5">
        <v>3</v>
      </c>
      <c r="AI153" s="5">
        <v>3</v>
      </c>
      <c r="AJ153" s="5">
        <v>9</v>
      </c>
      <c r="AK153" s="5" t="s">
        <v>981</v>
      </c>
      <c r="AL153" s="5">
        <v>3</v>
      </c>
      <c r="AM153" s="5">
        <v>3</v>
      </c>
      <c r="AN153" s="5">
        <v>3</v>
      </c>
      <c r="AO153" s="5">
        <v>9</v>
      </c>
      <c r="AP153" s="5" t="s">
        <v>981</v>
      </c>
      <c r="AQ153" s="5">
        <v>0</v>
      </c>
      <c r="AR153" s="5">
        <v>0</v>
      </c>
      <c r="AS153" s="5">
        <v>0</v>
      </c>
      <c r="AT153" s="5">
        <v>0</v>
      </c>
      <c r="AU153" s="5">
        <v>0</v>
      </c>
      <c r="AV153" s="5">
        <v>0</v>
      </c>
      <c r="AW153" s="5">
        <v>0</v>
      </c>
      <c r="AX153" s="5">
        <v>0</v>
      </c>
      <c r="AY153" s="5" t="s">
        <v>983</v>
      </c>
      <c r="AZ153" s="1">
        <v>0</v>
      </c>
      <c r="BA153" s="1">
        <v>0</v>
      </c>
      <c r="BB153" s="1">
        <v>0</v>
      </c>
      <c r="BC153" s="1">
        <v>1</v>
      </c>
      <c r="BD153" s="1">
        <v>1</v>
      </c>
      <c r="BE153" s="1">
        <v>1</v>
      </c>
      <c r="BF153" s="1">
        <v>44</v>
      </c>
      <c r="BG153" s="1">
        <v>0</v>
      </c>
      <c r="BH153" s="1">
        <v>14</v>
      </c>
      <c r="BI153" s="1">
        <v>34</v>
      </c>
      <c r="BJ153" s="1">
        <v>600000</v>
      </c>
      <c r="BK153" s="1">
        <v>3</v>
      </c>
    </row>
    <row r="154" spans="1:63" ht="12.75" customHeight="1" x14ac:dyDescent="0.15">
      <c r="A154" s="5" t="s">
        <v>238</v>
      </c>
      <c r="B154" s="5" t="s">
        <v>238</v>
      </c>
      <c r="C154" s="5">
        <v>2</v>
      </c>
      <c r="D154" s="5">
        <v>2</v>
      </c>
      <c r="E154" s="5">
        <v>2</v>
      </c>
      <c r="F154" s="5">
        <v>2</v>
      </c>
      <c r="G154" s="5">
        <v>1</v>
      </c>
      <c r="H154" s="5">
        <v>1</v>
      </c>
      <c r="I154" s="5">
        <v>1</v>
      </c>
      <c r="J154" s="5">
        <v>2</v>
      </c>
      <c r="K154" s="5">
        <v>2</v>
      </c>
      <c r="L154" s="5">
        <v>2</v>
      </c>
      <c r="M154" s="5">
        <v>2</v>
      </c>
      <c r="N154" s="5">
        <v>2</v>
      </c>
      <c r="O154" s="5">
        <v>21</v>
      </c>
      <c r="P154" s="5" t="s">
        <v>982</v>
      </c>
      <c r="Q154" s="5">
        <v>2</v>
      </c>
      <c r="R154" s="5">
        <v>2</v>
      </c>
      <c r="S154" s="5">
        <v>1</v>
      </c>
      <c r="T154" s="5">
        <v>5</v>
      </c>
      <c r="U154" s="5" t="s">
        <v>981</v>
      </c>
      <c r="V154" s="5">
        <v>1</v>
      </c>
      <c r="W154" s="5">
        <v>2</v>
      </c>
      <c r="X154" s="5">
        <v>1</v>
      </c>
      <c r="Y154" s="5">
        <v>4</v>
      </c>
      <c r="Z154" s="5" t="s">
        <v>982</v>
      </c>
      <c r="AA154" s="5">
        <v>2</v>
      </c>
      <c r="AB154" s="5">
        <v>2</v>
      </c>
      <c r="AC154" s="5">
        <v>1</v>
      </c>
      <c r="AD154" s="5">
        <v>1</v>
      </c>
      <c r="AE154" s="5">
        <v>6</v>
      </c>
      <c r="AF154" s="5" t="s">
        <v>981</v>
      </c>
      <c r="AG154" s="5">
        <v>2</v>
      </c>
      <c r="AH154" s="5">
        <v>2</v>
      </c>
      <c r="AI154" s="5">
        <v>1</v>
      </c>
      <c r="AJ154" s="5">
        <v>5</v>
      </c>
      <c r="AK154" s="5" t="s">
        <v>982</v>
      </c>
      <c r="AL154" s="5">
        <v>1</v>
      </c>
      <c r="AM154" s="5">
        <v>2</v>
      </c>
      <c r="AN154" s="5">
        <v>1</v>
      </c>
      <c r="AO154" s="5">
        <v>4</v>
      </c>
      <c r="AP154" s="5" t="s">
        <v>982</v>
      </c>
      <c r="AQ154" s="5">
        <v>0</v>
      </c>
      <c r="AR154" s="5">
        <v>0</v>
      </c>
      <c r="AS154" s="5">
        <v>0</v>
      </c>
      <c r="AT154" s="5">
        <v>0</v>
      </c>
      <c r="AU154" s="5">
        <v>0</v>
      </c>
      <c r="AV154" s="5">
        <v>0</v>
      </c>
      <c r="AW154" s="5">
        <v>0</v>
      </c>
      <c r="AX154" s="5">
        <v>0</v>
      </c>
      <c r="AY154" s="5" t="s">
        <v>983</v>
      </c>
      <c r="AZ154" s="1">
        <v>0</v>
      </c>
      <c r="BA154" s="1">
        <v>0</v>
      </c>
      <c r="BB154" s="1">
        <v>0</v>
      </c>
      <c r="BC154" s="1">
        <v>1</v>
      </c>
      <c r="BD154" s="1">
        <v>1</v>
      </c>
      <c r="BE154" s="1">
        <v>1</v>
      </c>
      <c r="BF154" s="1">
        <v>46</v>
      </c>
      <c r="BG154" s="1">
        <v>0</v>
      </c>
      <c r="BH154" s="1">
        <v>14</v>
      </c>
      <c r="BI154" s="1">
        <v>11</v>
      </c>
      <c r="BJ154" s="1">
        <v>1800000</v>
      </c>
      <c r="BK154" s="1">
        <v>4</v>
      </c>
    </row>
    <row r="155" spans="1:63" ht="12.75" customHeight="1" x14ac:dyDescent="0.15">
      <c r="A155" s="5" t="s">
        <v>238</v>
      </c>
      <c r="B155" s="5" t="s">
        <v>238</v>
      </c>
      <c r="C155" s="5">
        <v>2</v>
      </c>
      <c r="D155" s="5">
        <v>3</v>
      </c>
      <c r="E155" s="5">
        <v>3</v>
      </c>
      <c r="F155" s="5">
        <v>2</v>
      </c>
      <c r="G155" s="5">
        <v>2</v>
      </c>
      <c r="H155" s="5">
        <v>2</v>
      </c>
      <c r="I155" s="5">
        <v>1</v>
      </c>
      <c r="J155" s="5">
        <v>2</v>
      </c>
      <c r="K155" s="5">
        <v>3</v>
      </c>
      <c r="L155" s="5">
        <v>3</v>
      </c>
      <c r="M155" s="5">
        <v>2</v>
      </c>
      <c r="N155" s="5">
        <v>3</v>
      </c>
      <c r="O155" s="5">
        <v>28</v>
      </c>
      <c r="P155" s="5" t="s">
        <v>981</v>
      </c>
      <c r="Q155" s="5">
        <v>1</v>
      </c>
      <c r="R155" s="5">
        <v>2</v>
      </c>
      <c r="S155" s="5">
        <v>0</v>
      </c>
      <c r="T155" s="5">
        <v>3</v>
      </c>
      <c r="U155" s="5" t="s">
        <v>982</v>
      </c>
      <c r="V155" s="5">
        <v>1</v>
      </c>
      <c r="W155" s="5">
        <v>2</v>
      </c>
      <c r="X155" s="5">
        <v>1</v>
      </c>
      <c r="Y155" s="5">
        <v>4</v>
      </c>
      <c r="Z155" s="5" t="s">
        <v>982</v>
      </c>
      <c r="AA155" s="5">
        <v>3</v>
      </c>
      <c r="AB155" s="5">
        <v>3</v>
      </c>
      <c r="AC155" s="5">
        <v>1</v>
      </c>
      <c r="AD155" s="5">
        <v>1</v>
      </c>
      <c r="AE155" s="5">
        <v>8</v>
      </c>
      <c r="AF155" s="5" t="s">
        <v>981</v>
      </c>
      <c r="AG155" s="5">
        <v>2</v>
      </c>
      <c r="AH155" s="5">
        <v>1</v>
      </c>
      <c r="AI155" s="5">
        <v>1</v>
      </c>
      <c r="AJ155" s="5">
        <v>4</v>
      </c>
      <c r="AK155" s="5" t="s">
        <v>982</v>
      </c>
      <c r="AL155" s="5">
        <v>1</v>
      </c>
      <c r="AM155" s="5">
        <v>1</v>
      </c>
      <c r="AN155" s="5">
        <v>1</v>
      </c>
      <c r="AO155" s="5">
        <v>3</v>
      </c>
      <c r="AP155" s="5" t="s">
        <v>982</v>
      </c>
      <c r="AQ155" s="5">
        <v>0</v>
      </c>
      <c r="AR155" s="5">
        <v>0</v>
      </c>
      <c r="AS155" s="5">
        <v>1</v>
      </c>
      <c r="AT155" s="5">
        <v>1</v>
      </c>
      <c r="AU155" s="5">
        <v>1</v>
      </c>
      <c r="AV155" s="5">
        <v>0</v>
      </c>
      <c r="AW155" s="5">
        <v>1</v>
      </c>
      <c r="AX155" s="5">
        <v>4</v>
      </c>
      <c r="AY155" s="5" t="s">
        <v>982</v>
      </c>
      <c r="AZ155" s="1">
        <v>1</v>
      </c>
      <c r="BA155" s="1">
        <v>0</v>
      </c>
      <c r="BB155" s="1">
        <v>1</v>
      </c>
      <c r="BC155" s="1">
        <v>1</v>
      </c>
      <c r="BD155" s="1">
        <v>1</v>
      </c>
      <c r="BE155" s="1">
        <v>1</v>
      </c>
      <c r="BF155" s="1">
        <v>42</v>
      </c>
      <c r="BG155" s="1">
        <v>0</v>
      </c>
      <c r="BH155" s="1">
        <v>18</v>
      </c>
      <c r="BI155" s="1">
        <v>1</v>
      </c>
      <c r="BJ155" s="1">
        <v>750000</v>
      </c>
      <c r="BK155" s="1">
        <v>3</v>
      </c>
    </row>
    <row r="156" spans="1:63" ht="12.75" customHeight="1" x14ac:dyDescent="0.15">
      <c r="A156" s="5" t="s">
        <v>330</v>
      </c>
      <c r="B156" s="5" t="s">
        <v>984</v>
      </c>
      <c r="C156" s="5">
        <v>4</v>
      </c>
      <c r="D156" s="5">
        <v>4</v>
      </c>
      <c r="E156" s="5">
        <v>4</v>
      </c>
      <c r="F156" s="5">
        <v>4</v>
      </c>
      <c r="G156" s="5">
        <v>3</v>
      </c>
      <c r="H156" s="5">
        <v>3</v>
      </c>
      <c r="I156" s="5">
        <v>2</v>
      </c>
      <c r="J156" s="5">
        <v>2</v>
      </c>
      <c r="K156" s="5">
        <v>2</v>
      </c>
      <c r="L156" s="5">
        <v>2</v>
      </c>
      <c r="M156" s="5">
        <v>2</v>
      </c>
      <c r="N156" s="5">
        <v>3</v>
      </c>
      <c r="O156" s="5">
        <v>35</v>
      </c>
      <c r="P156" s="5" t="s">
        <v>981</v>
      </c>
      <c r="Q156" s="5">
        <v>0</v>
      </c>
      <c r="R156" s="5">
        <v>2</v>
      </c>
      <c r="S156" s="5">
        <v>0</v>
      </c>
      <c r="T156" s="5">
        <v>2</v>
      </c>
      <c r="U156" s="5" t="s">
        <v>982</v>
      </c>
      <c r="V156" s="5">
        <v>4</v>
      </c>
      <c r="W156" s="5">
        <v>4</v>
      </c>
      <c r="X156" s="5">
        <v>4</v>
      </c>
      <c r="Y156" s="5">
        <v>12</v>
      </c>
      <c r="Z156" s="5" t="s">
        <v>981</v>
      </c>
      <c r="AA156" s="5">
        <v>4</v>
      </c>
      <c r="AB156" s="5">
        <v>4</v>
      </c>
      <c r="AC156" s="5">
        <v>4</v>
      </c>
      <c r="AD156" s="5">
        <v>2</v>
      </c>
      <c r="AE156" s="5">
        <v>14</v>
      </c>
      <c r="AF156" s="5" t="s">
        <v>981</v>
      </c>
      <c r="AG156" s="5">
        <v>1</v>
      </c>
      <c r="AH156" s="5">
        <v>4</v>
      </c>
      <c r="AI156" s="5">
        <v>4</v>
      </c>
      <c r="AJ156" s="5">
        <v>9</v>
      </c>
      <c r="AK156" s="5" t="s">
        <v>981</v>
      </c>
      <c r="AL156" s="5">
        <v>0</v>
      </c>
      <c r="AM156" s="5">
        <v>2</v>
      </c>
      <c r="AN156" s="5">
        <v>2</v>
      </c>
      <c r="AO156" s="5">
        <v>4</v>
      </c>
      <c r="AP156" s="5" t="s">
        <v>982</v>
      </c>
      <c r="AQ156" s="5">
        <v>0</v>
      </c>
      <c r="AR156" s="5">
        <v>0</v>
      </c>
      <c r="AS156" s="5">
        <v>0</v>
      </c>
      <c r="AT156" s="5">
        <v>0</v>
      </c>
      <c r="AU156" s="5">
        <v>0</v>
      </c>
      <c r="AV156" s="5">
        <v>0</v>
      </c>
      <c r="AW156" s="5">
        <v>0</v>
      </c>
      <c r="AX156" s="5">
        <v>0</v>
      </c>
      <c r="AY156" s="5" t="s">
        <v>983</v>
      </c>
      <c r="AZ156" s="1">
        <v>1</v>
      </c>
      <c r="BA156" s="1">
        <v>0</v>
      </c>
      <c r="BB156" s="1">
        <v>0</v>
      </c>
      <c r="BC156" s="1">
        <v>1</v>
      </c>
      <c r="BD156" s="1">
        <v>1</v>
      </c>
      <c r="BE156" s="1">
        <v>1</v>
      </c>
      <c r="BF156" s="1">
        <v>34</v>
      </c>
      <c r="BG156" s="1">
        <v>1</v>
      </c>
      <c r="BH156" s="1">
        <v>14</v>
      </c>
      <c r="BI156" s="1">
        <v>18</v>
      </c>
      <c r="BJ156" s="1">
        <v>47000</v>
      </c>
      <c r="BK156" s="1">
        <v>1</v>
      </c>
    </row>
    <row r="157" spans="1:63" ht="12.75" customHeight="1" x14ac:dyDescent="0.15">
      <c r="A157" s="5" t="s">
        <v>238</v>
      </c>
      <c r="B157" s="5" t="s">
        <v>238</v>
      </c>
      <c r="C157" s="5">
        <v>2</v>
      </c>
      <c r="D157" s="5">
        <v>3</v>
      </c>
      <c r="E157" s="5">
        <v>2</v>
      </c>
      <c r="F157" s="5">
        <v>2</v>
      </c>
      <c r="G157" s="5">
        <v>2</v>
      </c>
      <c r="H157" s="5">
        <v>2</v>
      </c>
      <c r="I157" s="5">
        <v>1</v>
      </c>
      <c r="J157" s="5">
        <v>2</v>
      </c>
      <c r="K157" s="5">
        <v>2</v>
      </c>
      <c r="L157" s="5">
        <v>3</v>
      </c>
      <c r="M157" s="5">
        <v>2</v>
      </c>
      <c r="N157" s="5">
        <v>2</v>
      </c>
      <c r="O157" s="5">
        <v>25</v>
      </c>
      <c r="P157" s="5" t="s">
        <v>981</v>
      </c>
      <c r="Q157" s="5">
        <v>1</v>
      </c>
      <c r="R157" s="5">
        <v>1</v>
      </c>
      <c r="S157" s="5">
        <v>0</v>
      </c>
      <c r="T157" s="5">
        <v>2</v>
      </c>
      <c r="U157" s="5" t="s">
        <v>982</v>
      </c>
      <c r="V157" s="5">
        <v>0</v>
      </c>
      <c r="W157" s="5">
        <v>0</v>
      </c>
      <c r="X157" s="5">
        <v>1</v>
      </c>
      <c r="Y157" s="5">
        <v>1</v>
      </c>
      <c r="Z157" s="5" t="s">
        <v>983</v>
      </c>
      <c r="AA157" s="5">
        <v>4</v>
      </c>
      <c r="AB157" s="5">
        <v>4</v>
      </c>
      <c r="AC157" s="5">
        <v>0</v>
      </c>
      <c r="AD157" s="5">
        <v>0</v>
      </c>
      <c r="AE157" s="5">
        <v>8</v>
      </c>
      <c r="AF157" s="5" t="s">
        <v>981</v>
      </c>
      <c r="AG157" s="5">
        <v>0</v>
      </c>
      <c r="AH157" s="5">
        <v>0</v>
      </c>
      <c r="AI157" s="5">
        <v>0</v>
      </c>
      <c r="AJ157" s="5">
        <v>0</v>
      </c>
      <c r="AK157" s="5" t="s">
        <v>983</v>
      </c>
      <c r="AL157" s="5">
        <v>0</v>
      </c>
      <c r="AM157" s="5">
        <v>0</v>
      </c>
      <c r="AN157" s="5">
        <v>2</v>
      </c>
      <c r="AO157" s="5">
        <v>2</v>
      </c>
      <c r="AP157" s="5" t="s">
        <v>983</v>
      </c>
      <c r="AQ157" s="5">
        <v>0</v>
      </c>
      <c r="AR157" s="5">
        <v>0</v>
      </c>
      <c r="AS157" s="5">
        <v>0</v>
      </c>
      <c r="AT157" s="5">
        <v>0</v>
      </c>
      <c r="AU157" s="5">
        <v>0</v>
      </c>
      <c r="AV157" s="5">
        <v>0</v>
      </c>
      <c r="AW157" s="5">
        <v>0</v>
      </c>
      <c r="AX157" s="5">
        <v>0</v>
      </c>
      <c r="AY157" s="5" t="s">
        <v>983</v>
      </c>
      <c r="AZ157" s="1">
        <v>0</v>
      </c>
      <c r="BA157" s="1">
        <v>0</v>
      </c>
      <c r="BB157" s="1">
        <v>0</v>
      </c>
      <c r="BC157" s="1">
        <v>1</v>
      </c>
      <c r="BD157" s="1">
        <v>1</v>
      </c>
      <c r="BE157" s="1">
        <v>1</v>
      </c>
      <c r="BF157" s="1">
        <v>34</v>
      </c>
      <c r="BG157" s="1">
        <v>1</v>
      </c>
      <c r="BH157" s="1">
        <v>14</v>
      </c>
      <c r="BI157" s="1">
        <v>18</v>
      </c>
      <c r="BJ157" s="1">
        <v>47000</v>
      </c>
      <c r="BK157" s="1">
        <v>1</v>
      </c>
    </row>
    <row r="158" spans="1:63" ht="12.75" customHeight="1" x14ac:dyDescent="0.15">
      <c r="A158" s="5" t="s">
        <v>238</v>
      </c>
      <c r="B158" s="5" t="s">
        <v>238</v>
      </c>
      <c r="C158" s="5">
        <v>2</v>
      </c>
      <c r="D158" s="5">
        <v>3</v>
      </c>
      <c r="E158" s="5">
        <v>3</v>
      </c>
      <c r="F158" s="5">
        <v>3</v>
      </c>
      <c r="G158" s="5">
        <v>3</v>
      </c>
      <c r="H158" s="5">
        <v>3</v>
      </c>
      <c r="I158" s="5">
        <v>2</v>
      </c>
      <c r="J158" s="5">
        <v>2</v>
      </c>
      <c r="K158" s="5">
        <v>1</v>
      </c>
      <c r="L158" s="5">
        <v>1</v>
      </c>
      <c r="M158" s="5">
        <v>1</v>
      </c>
      <c r="N158" s="5">
        <v>2</v>
      </c>
      <c r="O158" s="5">
        <v>26</v>
      </c>
      <c r="P158" s="5" t="s">
        <v>981</v>
      </c>
      <c r="Q158" s="5">
        <v>2</v>
      </c>
      <c r="R158" s="5">
        <v>2</v>
      </c>
      <c r="S158" s="5">
        <v>2</v>
      </c>
      <c r="T158" s="5">
        <v>6</v>
      </c>
      <c r="U158" s="5" t="s">
        <v>981</v>
      </c>
      <c r="V158" s="5">
        <v>2</v>
      </c>
      <c r="W158" s="5">
        <v>2</v>
      </c>
      <c r="X158" s="5">
        <v>2</v>
      </c>
      <c r="Y158" s="5">
        <v>6</v>
      </c>
      <c r="Z158" s="5" t="s">
        <v>981</v>
      </c>
      <c r="AA158" s="5">
        <v>2</v>
      </c>
      <c r="AB158" s="5">
        <v>2</v>
      </c>
      <c r="AC158" s="5">
        <v>2</v>
      </c>
      <c r="AD158" s="5">
        <v>2</v>
      </c>
      <c r="AE158" s="5">
        <v>8</v>
      </c>
      <c r="AF158" s="5" t="s">
        <v>981</v>
      </c>
      <c r="AG158" s="5">
        <v>2</v>
      </c>
      <c r="AH158" s="5">
        <v>2</v>
      </c>
      <c r="AI158" s="5">
        <v>2</v>
      </c>
      <c r="AJ158" s="5">
        <v>6</v>
      </c>
      <c r="AK158" s="5" t="s">
        <v>981</v>
      </c>
      <c r="AL158" s="5">
        <v>2</v>
      </c>
      <c r="AM158" s="5">
        <v>2</v>
      </c>
      <c r="AN158" s="5">
        <v>2</v>
      </c>
      <c r="AO158" s="5">
        <v>6</v>
      </c>
      <c r="AP158" s="5" t="s">
        <v>981</v>
      </c>
      <c r="AQ158" s="5">
        <v>0</v>
      </c>
      <c r="AR158" s="5">
        <v>0</v>
      </c>
      <c r="AS158" s="5">
        <v>0</v>
      </c>
      <c r="AT158" s="5">
        <v>0</v>
      </c>
      <c r="AU158" s="5">
        <v>0</v>
      </c>
      <c r="AV158" s="5">
        <v>0</v>
      </c>
      <c r="AW158" s="5">
        <v>0</v>
      </c>
      <c r="AX158" s="5">
        <v>0</v>
      </c>
      <c r="AY158" s="5" t="s">
        <v>983</v>
      </c>
      <c r="AZ158" s="1">
        <v>1</v>
      </c>
      <c r="BA158" s="1">
        <v>0</v>
      </c>
      <c r="BB158" s="1">
        <v>1</v>
      </c>
      <c r="BC158" s="1">
        <v>1</v>
      </c>
      <c r="BD158" s="1">
        <v>0</v>
      </c>
      <c r="BE158" s="1">
        <v>1</v>
      </c>
      <c r="BF158" s="1">
        <v>52</v>
      </c>
      <c r="BG158" s="1">
        <v>0</v>
      </c>
      <c r="BH158" s="1">
        <v>15</v>
      </c>
      <c r="BI158" s="1">
        <v>24</v>
      </c>
      <c r="BJ158" s="1">
        <v>1100</v>
      </c>
      <c r="BK158" s="1">
        <v>5</v>
      </c>
    </row>
    <row r="159" spans="1:63" ht="12.75" customHeight="1" x14ac:dyDescent="0.15">
      <c r="A159" s="5" t="s">
        <v>238</v>
      </c>
      <c r="B159" s="5" t="s">
        <v>238</v>
      </c>
      <c r="C159" s="5">
        <v>2</v>
      </c>
      <c r="D159" s="5">
        <v>3</v>
      </c>
      <c r="E159" s="5">
        <v>3</v>
      </c>
      <c r="F159" s="5">
        <v>3</v>
      </c>
      <c r="G159" s="5">
        <v>3</v>
      </c>
      <c r="H159" s="5">
        <v>3</v>
      </c>
      <c r="I159" s="5">
        <v>1</v>
      </c>
      <c r="J159" s="5">
        <v>1</v>
      </c>
      <c r="K159" s="5">
        <v>2</v>
      </c>
      <c r="L159" s="5">
        <v>3</v>
      </c>
      <c r="M159" s="5">
        <v>2</v>
      </c>
      <c r="N159" s="5">
        <v>2</v>
      </c>
      <c r="O159" s="5">
        <v>28</v>
      </c>
      <c r="P159" s="5" t="s">
        <v>981</v>
      </c>
      <c r="Q159" s="5">
        <v>3</v>
      </c>
      <c r="R159" s="5">
        <v>3</v>
      </c>
      <c r="S159" s="5">
        <v>3</v>
      </c>
      <c r="T159" s="5">
        <v>9</v>
      </c>
      <c r="U159" s="5" t="s">
        <v>981</v>
      </c>
      <c r="V159" s="5">
        <v>3</v>
      </c>
      <c r="W159" s="5">
        <v>3</v>
      </c>
      <c r="X159" s="5">
        <v>3</v>
      </c>
      <c r="Y159" s="5">
        <v>9</v>
      </c>
      <c r="Z159" s="5" t="s">
        <v>981</v>
      </c>
      <c r="AA159" s="5">
        <v>1</v>
      </c>
      <c r="AB159" s="5">
        <v>1</v>
      </c>
      <c r="AC159" s="5">
        <v>1</v>
      </c>
      <c r="AD159" s="5">
        <v>1</v>
      </c>
      <c r="AE159" s="5">
        <v>4</v>
      </c>
      <c r="AF159" s="5" t="s">
        <v>982</v>
      </c>
      <c r="AG159" s="5">
        <v>3</v>
      </c>
      <c r="AH159" s="5">
        <v>3</v>
      </c>
      <c r="AI159" s="5">
        <v>3</v>
      </c>
      <c r="AJ159" s="5">
        <v>9</v>
      </c>
      <c r="AK159" s="5" t="s">
        <v>981</v>
      </c>
      <c r="AL159" s="5">
        <v>3</v>
      </c>
      <c r="AM159" s="5">
        <v>3</v>
      </c>
      <c r="AN159" s="5">
        <v>3</v>
      </c>
      <c r="AO159" s="5">
        <v>9</v>
      </c>
      <c r="AP159" s="5" t="s">
        <v>981</v>
      </c>
      <c r="AQ159" s="5">
        <v>1</v>
      </c>
      <c r="AR159" s="5">
        <v>1</v>
      </c>
      <c r="AS159" s="5">
        <v>0</v>
      </c>
      <c r="AT159" s="5">
        <v>0</v>
      </c>
      <c r="AU159" s="5">
        <v>0</v>
      </c>
      <c r="AV159" s="5">
        <v>0</v>
      </c>
      <c r="AW159" s="5">
        <v>0</v>
      </c>
      <c r="AX159" s="5">
        <v>2</v>
      </c>
      <c r="AY159" s="5" t="s">
        <v>982</v>
      </c>
      <c r="AZ159" s="1">
        <v>1</v>
      </c>
      <c r="BA159" s="1">
        <v>0</v>
      </c>
      <c r="BB159" s="1">
        <v>1</v>
      </c>
      <c r="BC159" s="1">
        <v>1</v>
      </c>
      <c r="BD159" s="1">
        <v>1</v>
      </c>
      <c r="BE159" s="1">
        <v>1</v>
      </c>
      <c r="BF159" s="1">
        <v>64</v>
      </c>
      <c r="BG159" s="1">
        <v>1</v>
      </c>
      <c r="BH159" s="1">
        <v>15</v>
      </c>
      <c r="BI159" s="1">
        <v>13</v>
      </c>
      <c r="BJ159" s="1">
        <v>500000</v>
      </c>
      <c r="BK159" s="1">
        <v>3</v>
      </c>
    </row>
    <row r="160" spans="1:63" ht="12.75" customHeight="1" x14ac:dyDescent="0.15">
      <c r="A160" s="5" t="s">
        <v>238</v>
      </c>
      <c r="B160" s="5" t="s">
        <v>238</v>
      </c>
      <c r="C160" s="5">
        <v>3</v>
      </c>
      <c r="D160" s="5">
        <v>3</v>
      </c>
      <c r="E160" s="5">
        <v>3</v>
      </c>
      <c r="F160" s="5">
        <v>4</v>
      </c>
      <c r="G160" s="5">
        <v>4</v>
      </c>
      <c r="H160" s="5">
        <v>4</v>
      </c>
      <c r="I160" s="5">
        <v>3</v>
      </c>
      <c r="J160" s="5">
        <v>3</v>
      </c>
      <c r="K160" s="5">
        <v>1</v>
      </c>
      <c r="L160" s="5">
        <v>3</v>
      </c>
      <c r="M160" s="5">
        <v>1</v>
      </c>
      <c r="N160" s="5">
        <v>4</v>
      </c>
      <c r="O160" s="5">
        <v>36</v>
      </c>
      <c r="P160" s="5" t="s">
        <v>981</v>
      </c>
      <c r="Q160" s="5">
        <v>2</v>
      </c>
      <c r="R160" s="5">
        <v>2</v>
      </c>
      <c r="S160" s="5">
        <v>2</v>
      </c>
      <c r="T160" s="5">
        <v>6</v>
      </c>
      <c r="U160" s="5" t="s">
        <v>981</v>
      </c>
      <c r="V160" s="5">
        <v>0</v>
      </c>
      <c r="W160" s="5">
        <v>3</v>
      </c>
      <c r="X160" s="5">
        <v>3</v>
      </c>
      <c r="Y160" s="5">
        <v>6</v>
      </c>
      <c r="Z160" s="5" t="s">
        <v>981</v>
      </c>
      <c r="AA160" s="5">
        <v>0</v>
      </c>
      <c r="AB160" s="5">
        <v>1</v>
      </c>
      <c r="AC160" s="5">
        <v>1</v>
      </c>
      <c r="AD160" s="5">
        <v>0</v>
      </c>
      <c r="AE160" s="5">
        <v>2</v>
      </c>
      <c r="AF160" s="5" t="s">
        <v>982</v>
      </c>
      <c r="AG160" s="5">
        <v>3</v>
      </c>
      <c r="AH160" s="5">
        <v>4</v>
      </c>
      <c r="AI160" s="5">
        <v>3</v>
      </c>
      <c r="AJ160" s="5">
        <v>10</v>
      </c>
      <c r="AK160" s="5" t="s">
        <v>981</v>
      </c>
      <c r="AL160" s="5">
        <v>4</v>
      </c>
      <c r="AM160" s="5">
        <v>3</v>
      </c>
      <c r="AN160" s="5">
        <v>3</v>
      </c>
      <c r="AO160" s="5">
        <v>10</v>
      </c>
      <c r="AP160" s="5" t="s">
        <v>981</v>
      </c>
      <c r="AQ160" s="5">
        <v>0</v>
      </c>
      <c r="AR160" s="5">
        <v>1</v>
      </c>
      <c r="AS160" s="5">
        <v>0</v>
      </c>
      <c r="AT160" s="5">
        <v>0</v>
      </c>
      <c r="AU160" s="5">
        <v>0</v>
      </c>
      <c r="AV160" s="5">
        <v>0</v>
      </c>
      <c r="AW160" s="5">
        <v>0</v>
      </c>
      <c r="AX160" s="5">
        <v>1</v>
      </c>
      <c r="AY160" s="5" t="s">
        <v>982</v>
      </c>
      <c r="AZ160" s="1">
        <v>1</v>
      </c>
      <c r="BA160" s="1">
        <v>0</v>
      </c>
      <c r="BB160" s="1">
        <v>1</v>
      </c>
      <c r="BC160" s="1">
        <v>1</v>
      </c>
      <c r="BD160" s="1">
        <v>1</v>
      </c>
      <c r="BE160" s="1">
        <v>1</v>
      </c>
      <c r="BF160" s="1">
        <v>64</v>
      </c>
      <c r="BG160" s="1">
        <v>1</v>
      </c>
      <c r="BH160" s="1">
        <v>15</v>
      </c>
      <c r="BI160" s="1">
        <v>13</v>
      </c>
      <c r="BJ160" s="1">
        <v>500000</v>
      </c>
      <c r="BK160" s="1">
        <v>3</v>
      </c>
    </row>
    <row r="161" spans="1:63" ht="12.75" customHeight="1" x14ac:dyDescent="0.15">
      <c r="A161" s="5" t="s">
        <v>238</v>
      </c>
      <c r="B161" s="5" t="s">
        <v>238</v>
      </c>
      <c r="C161" s="5">
        <v>3</v>
      </c>
      <c r="D161" s="5">
        <v>2</v>
      </c>
      <c r="E161" s="5">
        <v>3</v>
      </c>
      <c r="F161" s="5">
        <v>3</v>
      </c>
      <c r="G161" s="5">
        <v>3</v>
      </c>
      <c r="H161" s="5">
        <v>3</v>
      </c>
      <c r="I161" s="5">
        <v>4</v>
      </c>
      <c r="J161" s="5">
        <v>3</v>
      </c>
      <c r="K161" s="5">
        <v>2</v>
      </c>
      <c r="L161" s="5">
        <v>2</v>
      </c>
      <c r="M161" s="5">
        <v>2</v>
      </c>
      <c r="N161" s="5">
        <v>2</v>
      </c>
      <c r="O161" s="5">
        <v>32</v>
      </c>
      <c r="P161" s="5" t="s">
        <v>981</v>
      </c>
      <c r="Q161" s="5">
        <v>2</v>
      </c>
      <c r="R161" s="5">
        <v>2</v>
      </c>
      <c r="S161" s="5">
        <v>2</v>
      </c>
      <c r="T161" s="5">
        <v>6</v>
      </c>
      <c r="U161" s="5" t="s">
        <v>981</v>
      </c>
      <c r="V161" s="5">
        <v>1</v>
      </c>
      <c r="W161" s="5">
        <v>3</v>
      </c>
      <c r="X161" s="5">
        <v>1</v>
      </c>
      <c r="Y161" s="5">
        <v>5</v>
      </c>
      <c r="Z161" s="5" t="s">
        <v>982</v>
      </c>
      <c r="AA161" s="5">
        <v>1</v>
      </c>
      <c r="AB161" s="5">
        <v>1</v>
      </c>
      <c r="AC161" s="5">
        <v>0</v>
      </c>
      <c r="AD161" s="5">
        <v>1</v>
      </c>
      <c r="AE161" s="5">
        <v>3</v>
      </c>
      <c r="AF161" s="5" t="s">
        <v>982</v>
      </c>
      <c r="AG161" s="5">
        <v>3</v>
      </c>
      <c r="AH161" s="5">
        <v>2</v>
      </c>
      <c r="AI161" s="5">
        <v>2</v>
      </c>
      <c r="AJ161" s="5">
        <v>7</v>
      </c>
      <c r="AK161" s="5" t="s">
        <v>981</v>
      </c>
      <c r="AL161" s="5">
        <v>3</v>
      </c>
      <c r="AM161" s="5">
        <v>2</v>
      </c>
      <c r="AN161" s="5">
        <v>2</v>
      </c>
      <c r="AO161" s="5">
        <v>7</v>
      </c>
      <c r="AP161" s="5" t="s">
        <v>981</v>
      </c>
      <c r="AQ161" s="5">
        <v>0</v>
      </c>
      <c r="AR161" s="5">
        <v>0</v>
      </c>
      <c r="AS161" s="5">
        <v>0</v>
      </c>
      <c r="AT161" s="5">
        <v>0</v>
      </c>
      <c r="AU161" s="5">
        <v>0</v>
      </c>
      <c r="AV161" s="5">
        <v>0</v>
      </c>
      <c r="AW161" s="5">
        <v>0</v>
      </c>
      <c r="AX161" s="5">
        <v>0</v>
      </c>
      <c r="AY161" s="5" t="s">
        <v>983</v>
      </c>
      <c r="AZ161" s="1">
        <v>1</v>
      </c>
      <c r="BA161" s="1">
        <v>0</v>
      </c>
      <c r="BB161" s="1">
        <v>1</v>
      </c>
      <c r="BC161" s="1">
        <v>1</v>
      </c>
      <c r="BD161" s="1">
        <v>0</v>
      </c>
      <c r="BE161" s="1">
        <v>1</v>
      </c>
      <c r="BF161" s="1">
        <v>31</v>
      </c>
      <c r="BG161" s="1">
        <v>0</v>
      </c>
      <c r="BH161" s="1">
        <v>16</v>
      </c>
      <c r="BI161" s="1">
        <v>5</v>
      </c>
      <c r="BJ161" s="1">
        <v>700000</v>
      </c>
      <c r="BK161" s="1">
        <v>4</v>
      </c>
    </row>
    <row r="162" spans="1:63" ht="12.75" customHeight="1" x14ac:dyDescent="0.15">
      <c r="A162" s="5" t="s">
        <v>238</v>
      </c>
      <c r="B162" s="5" t="s">
        <v>238</v>
      </c>
      <c r="C162" s="5">
        <v>3</v>
      </c>
      <c r="D162" s="5">
        <v>3</v>
      </c>
      <c r="E162" s="5">
        <v>3</v>
      </c>
      <c r="F162" s="5">
        <v>3</v>
      </c>
      <c r="G162" s="5">
        <v>3</v>
      </c>
      <c r="H162" s="5">
        <v>3</v>
      </c>
      <c r="I162" s="5">
        <v>1</v>
      </c>
      <c r="J162" s="5">
        <v>2</v>
      </c>
      <c r="K162" s="5">
        <v>2</v>
      </c>
      <c r="L162" s="5">
        <v>2</v>
      </c>
      <c r="M162" s="5">
        <v>3</v>
      </c>
      <c r="N162" s="5">
        <v>2</v>
      </c>
      <c r="O162" s="5">
        <v>30</v>
      </c>
      <c r="P162" s="5" t="s">
        <v>981</v>
      </c>
      <c r="Q162" s="5">
        <v>1</v>
      </c>
      <c r="R162" s="5">
        <v>1</v>
      </c>
      <c r="S162" s="5">
        <v>1</v>
      </c>
      <c r="T162" s="5">
        <v>3</v>
      </c>
      <c r="U162" s="5" t="s">
        <v>982</v>
      </c>
      <c r="V162" s="5">
        <v>1</v>
      </c>
      <c r="W162" s="5">
        <v>1</v>
      </c>
      <c r="X162" s="5">
        <v>1</v>
      </c>
      <c r="Y162" s="5">
        <v>3</v>
      </c>
      <c r="Z162" s="5" t="s">
        <v>982</v>
      </c>
      <c r="AA162" s="5">
        <v>3</v>
      </c>
      <c r="AB162" s="5">
        <v>3</v>
      </c>
      <c r="AC162" s="5">
        <v>3</v>
      </c>
      <c r="AD162" s="5">
        <v>3</v>
      </c>
      <c r="AE162" s="5">
        <v>12</v>
      </c>
      <c r="AF162" s="5" t="s">
        <v>981</v>
      </c>
      <c r="AG162" s="5">
        <v>1</v>
      </c>
      <c r="AH162" s="5">
        <v>1</v>
      </c>
      <c r="AI162" s="5">
        <v>1</v>
      </c>
      <c r="AJ162" s="5">
        <v>3</v>
      </c>
      <c r="AK162" s="5" t="s">
        <v>982</v>
      </c>
      <c r="AL162" s="5">
        <v>1</v>
      </c>
      <c r="AM162" s="5">
        <v>1</v>
      </c>
      <c r="AN162" s="5">
        <v>1</v>
      </c>
      <c r="AO162" s="5">
        <v>3</v>
      </c>
      <c r="AP162" s="5" t="s">
        <v>982</v>
      </c>
      <c r="AQ162" s="5">
        <v>0</v>
      </c>
      <c r="AR162" s="5">
        <v>0</v>
      </c>
      <c r="AS162" s="5">
        <v>0</v>
      </c>
      <c r="AT162" s="5">
        <v>0</v>
      </c>
      <c r="AU162" s="5">
        <v>0</v>
      </c>
      <c r="AV162" s="5">
        <v>0</v>
      </c>
      <c r="AW162" s="5">
        <v>0</v>
      </c>
      <c r="AX162" s="5">
        <v>0</v>
      </c>
      <c r="AY162" s="5" t="s">
        <v>983</v>
      </c>
      <c r="AZ162" s="1">
        <v>1</v>
      </c>
      <c r="BA162" s="1">
        <v>0</v>
      </c>
      <c r="BB162" s="1">
        <v>0</v>
      </c>
      <c r="BC162" s="1">
        <v>1</v>
      </c>
      <c r="BD162" s="1">
        <v>0</v>
      </c>
      <c r="BE162" s="1">
        <v>0</v>
      </c>
      <c r="BF162" s="1">
        <v>34</v>
      </c>
      <c r="BG162" s="1">
        <v>0</v>
      </c>
      <c r="BH162" s="1">
        <v>16</v>
      </c>
      <c r="BI162" s="1">
        <v>11</v>
      </c>
      <c r="BJ162" s="1">
        <v>0</v>
      </c>
      <c r="BK162" s="1">
        <v>3</v>
      </c>
    </row>
    <row r="163" spans="1:63" ht="12.75" customHeight="1" x14ac:dyDescent="0.15">
      <c r="A163" s="5" t="s">
        <v>238</v>
      </c>
      <c r="B163" s="5" t="s">
        <v>238</v>
      </c>
      <c r="C163" s="5">
        <v>2</v>
      </c>
      <c r="D163" s="5">
        <v>2</v>
      </c>
      <c r="E163" s="5">
        <v>2</v>
      </c>
      <c r="F163" s="5">
        <v>2</v>
      </c>
      <c r="G163" s="5">
        <v>2</v>
      </c>
      <c r="H163" s="5">
        <v>2</v>
      </c>
      <c r="I163" s="5">
        <v>2</v>
      </c>
      <c r="J163" s="5">
        <v>2</v>
      </c>
      <c r="K163" s="5">
        <v>2</v>
      </c>
      <c r="L163" s="5">
        <v>2</v>
      </c>
      <c r="M163" s="5">
        <v>2</v>
      </c>
      <c r="N163" s="5">
        <v>2</v>
      </c>
      <c r="O163" s="5">
        <v>24</v>
      </c>
      <c r="P163" s="5" t="s">
        <v>981</v>
      </c>
      <c r="Q163" s="5">
        <v>1</v>
      </c>
      <c r="R163" s="5">
        <v>2</v>
      </c>
      <c r="S163" s="5">
        <v>1</v>
      </c>
      <c r="T163" s="5">
        <v>4</v>
      </c>
      <c r="U163" s="5" t="s">
        <v>982</v>
      </c>
      <c r="V163" s="5">
        <v>1</v>
      </c>
      <c r="W163" s="5">
        <v>1</v>
      </c>
      <c r="X163" s="5">
        <v>2</v>
      </c>
      <c r="Y163" s="5">
        <v>4</v>
      </c>
      <c r="Z163" s="5" t="s">
        <v>982</v>
      </c>
      <c r="AA163" s="5">
        <v>2</v>
      </c>
      <c r="AB163" s="5">
        <v>2</v>
      </c>
      <c r="AC163" s="5">
        <v>2</v>
      </c>
      <c r="AD163" s="5">
        <v>2</v>
      </c>
      <c r="AE163" s="5">
        <v>8</v>
      </c>
      <c r="AF163" s="5" t="s">
        <v>981</v>
      </c>
      <c r="AG163" s="5">
        <v>2</v>
      </c>
      <c r="AH163" s="5">
        <v>1</v>
      </c>
      <c r="AI163" s="5">
        <v>1</v>
      </c>
      <c r="AJ163" s="5">
        <v>4</v>
      </c>
      <c r="AK163" s="5" t="s">
        <v>982</v>
      </c>
      <c r="AL163" s="5">
        <v>1</v>
      </c>
      <c r="AM163" s="5">
        <v>1</v>
      </c>
      <c r="AN163" s="5">
        <v>1</v>
      </c>
      <c r="AO163" s="5">
        <v>3</v>
      </c>
      <c r="AP163" s="5" t="s">
        <v>982</v>
      </c>
      <c r="AQ163" s="5">
        <v>0</v>
      </c>
      <c r="AR163" s="5">
        <v>0</v>
      </c>
      <c r="AS163" s="5">
        <v>0</v>
      </c>
      <c r="AT163" s="5">
        <v>0</v>
      </c>
      <c r="AU163" s="5">
        <v>0</v>
      </c>
      <c r="AV163" s="5">
        <v>0</v>
      </c>
      <c r="AW163" s="5">
        <v>0</v>
      </c>
      <c r="AX163" s="5">
        <v>0</v>
      </c>
      <c r="AY163" s="5" t="s">
        <v>983</v>
      </c>
      <c r="AZ163" s="1">
        <v>1</v>
      </c>
      <c r="BA163" s="1">
        <v>1</v>
      </c>
      <c r="BB163" s="1">
        <v>1</v>
      </c>
      <c r="BC163" s="1">
        <v>1</v>
      </c>
      <c r="BD163" s="1">
        <v>1</v>
      </c>
      <c r="BE163" s="1">
        <v>1</v>
      </c>
      <c r="BF163" s="1">
        <v>36</v>
      </c>
      <c r="BG163" s="1">
        <v>0</v>
      </c>
      <c r="BH163" s="1">
        <v>16</v>
      </c>
      <c r="BI163" s="1">
        <v>3</v>
      </c>
      <c r="BJ163" s="1">
        <v>900000</v>
      </c>
      <c r="BK163" s="1">
        <v>6</v>
      </c>
    </row>
    <row r="164" spans="1:63" ht="12.75" customHeight="1" x14ac:dyDescent="0.15">
      <c r="A164" s="5" t="s">
        <v>238</v>
      </c>
      <c r="B164" s="5" t="s">
        <v>238</v>
      </c>
      <c r="C164" s="5">
        <v>1</v>
      </c>
      <c r="D164" s="5">
        <v>1</v>
      </c>
      <c r="E164" s="5">
        <v>1</v>
      </c>
      <c r="F164" s="5">
        <v>1</v>
      </c>
      <c r="G164" s="5">
        <v>1</v>
      </c>
      <c r="H164" s="5">
        <v>1</v>
      </c>
      <c r="I164" s="5">
        <v>1</v>
      </c>
      <c r="J164" s="5">
        <v>1</v>
      </c>
      <c r="K164" s="5">
        <v>1</v>
      </c>
      <c r="L164" s="5">
        <v>1</v>
      </c>
      <c r="M164" s="5">
        <v>1</v>
      </c>
      <c r="N164" s="5">
        <v>1</v>
      </c>
      <c r="O164" s="5">
        <v>12</v>
      </c>
      <c r="P164" s="5" t="s">
        <v>983</v>
      </c>
      <c r="Q164" s="5">
        <v>0</v>
      </c>
      <c r="R164" s="5">
        <v>0</v>
      </c>
      <c r="S164" s="5">
        <v>0</v>
      </c>
      <c r="T164" s="5">
        <v>0</v>
      </c>
      <c r="U164" s="5" t="s">
        <v>983</v>
      </c>
      <c r="V164" s="5">
        <v>0</v>
      </c>
      <c r="W164" s="5">
        <v>0</v>
      </c>
      <c r="X164" s="5">
        <v>0</v>
      </c>
      <c r="Y164" s="5">
        <v>0</v>
      </c>
      <c r="Z164" s="5" t="s">
        <v>983</v>
      </c>
      <c r="AA164" s="5">
        <v>0</v>
      </c>
      <c r="AB164" s="5">
        <v>0</v>
      </c>
      <c r="AC164" s="5">
        <v>4</v>
      </c>
      <c r="AD164" s="5">
        <v>0</v>
      </c>
      <c r="AE164" s="5">
        <v>4</v>
      </c>
      <c r="AF164" s="5" t="s">
        <v>982</v>
      </c>
      <c r="AG164" s="5">
        <v>4</v>
      </c>
      <c r="AH164" s="5">
        <v>4</v>
      </c>
      <c r="AI164" s="5">
        <v>4</v>
      </c>
      <c r="AJ164" s="5">
        <v>12</v>
      </c>
      <c r="AK164" s="5" t="s">
        <v>981</v>
      </c>
      <c r="AL164" s="5">
        <v>1</v>
      </c>
      <c r="AM164" s="5">
        <v>1</v>
      </c>
      <c r="AN164" s="5">
        <v>1</v>
      </c>
      <c r="AO164" s="5">
        <v>3</v>
      </c>
      <c r="AP164" s="5" t="s">
        <v>982</v>
      </c>
      <c r="AQ164" s="5">
        <v>0</v>
      </c>
      <c r="AR164" s="5">
        <v>0</v>
      </c>
      <c r="AS164" s="5">
        <v>0</v>
      </c>
      <c r="AT164" s="5">
        <v>0</v>
      </c>
      <c r="AU164" s="5">
        <v>0</v>
      </c>
      <c r="AV164" s="5">
        <v>0</v>
      </c>
      <c r="AW164" s="5">
        <v>0</v>
      </c>
      <c r="AX164" s="5">
        <v>0</v>
      </c>
      <c r="AY164" s="5" t="s">
        <v>983</v>
      </c>
      <c r="AZ164" s="1">
        <v>1</v>
      </c>
      <c r="BA164" s="1">
        <v>0</v>
      </c>
      <c r="BB164" s="1">
        <v>1</v>
      </c>
      <c r="BC164" s="1">
        <v>1</v>
      </c>
      <c r="BD164" s="1">
        <v>0</v>
      </c>
      <c r="BE164" s="1">
        <v>1</v>
      </c>
      <c r="BF164" s="1">
        <v>48</v>
      </c>
      <c r="BG164" s="1">
        <v>0</v>
      </c>
      <c r="BH164" s="1">
        <v>14</v>
      </c>
      <c r="BI164" s="1">
        <v>24</v>
      </c>
      <c r="BJ164" s="1">
        <v>450000</v>
      </c>
      <c r="BK164" s="1">
        <v>4</v>
      </c>
    </row>
    <row r="165" spans="1:63" ht="12.75" customHeight="1" x14ac:dyDescent="0.15">
      <c r="A165" s="5" t="s">
        <v>238</v>
      </c>
      <c r="B165" s="5" t="s">
        <v>238</v>
      </c>
      <c r="C165" s="5">
        <v>2</v>
      </c>
      <c r="D165" s="5">
        <v>2</v>
      </c>
      <c r="E165" s="5">
        <v>2</v>
      </c>
      <c r="F165" s="5">
        <v>4</v>
      </c>
      <c r="G165" s="5">
        <v>4</v>
      </c>
      <c r="H165" s="5">
        <v>4</v>
      </c>
      <c r="I165" s="5">
        <v>1</v>
      </c>
      <c r="J165" s="5">
        <v>1</v>
      </c>
      <c r="K165" s="5">
        <v>3</v>
      </c>
      <c r="L165" s="5">
        <v>1</v>
      </c>
      <c r="M165" s="5">
        <v>4</v>
      </c>
      <c r="N165" s="5">
        <v>1</v>
      </c>
      <c r="O165" s="5">
        <v>29</v>
      </c>
      <c r="P165" s="5" t="s">
        <v>981</v>
      </c>
      <c r="Q165" s="5">
        <v>1</v>
      </c>
      <c r="R165" s="5">
        <v>2</v>
      </c>
      <c r="S165" s="5">
        <v>1</v>
      </c>
      <c r="T165" s="5">
        <v>4</v>
      </c>
      <c r="U165" s="5" t="s">
        <v>982</v>
      </c>
      <c r="V165" s="5">
        <v>0</v>
      </c>
      <c r="W165" s="5">
        <v>0</v>
      </c>
      <c r="X165" s="5">
        <v>0</v>
      </c>
      <c r="Y165" s="5">
        <v>0</v>
      </c>
      <c r="Z165" s="5" t="s">
        <v>983</v>
      </c>
      <c r="AA165" s="5">
        <v>4</v>
      </c>
      <c r="AB165" s="5">
        <v>4</v>
      </c>
      <c r="AC165" s="5">
        <v>4</v>
      </c>
      <c r="AD165" s="5">
        <v>4</v>
      </c>
      <c r="AE165" s="5">
        <v>16</v>
      </c>
      <c r="AF165" s="5" t="s">
        <v>981</v>
      </c>
      <c r="AG165" s="5">
        <v>0</v>
      </c>
      <c r="AH165" s="5">
        <v>0</v>
      </c>
      <c r="AI165" s="5">
        <v>0</v>
      </c>
      <c r="AJ165" s="5">
        <v>0</v>
      </c>
      <c r="AK165" s="5" t="s">
        <v>983</v>
      </c>
      <c r="AL165" s="5">
        <v>0</v>
      </c>
      <c r="AM165" s="5">
        <v>0</v>
      </c>
      <c r="AN165" s="5">
        <v>0</v>
      </c>
      <c r="AO165" s="5">
        <v>0</v>
      </c>
      <c r="AP165" s="5" t="s">
        <v>983</v>
      </c>
      <c r="AQ165" s="5">
        <v>0</v>
      </c>
      <c r="AR165" s="5">
        <v>0</v>
      </c>
      <c r="AS165" s="5">
        <v>0</v>
      </c>
      <c r="AT165" s="5">
        <v>0</v>
      </c>
      <c r="AU165" s="5">
        <v>0</v>
      </c>
      <c r="AV165" s="5">
        <v>0</v>
      </c>
      <c r="AW165" s="5">
        <v>0</v>
      </c>
      <c r="AX165" s="5">
        <v>0</v>
      </c>
      <c r="AY165" s="5" t="s">
        <v>983</v>
      </c>
      <c r="AZ165" s="1">
        <v>0</v>
      </c>
      <c r="BA165" s="1">
        <v>0</v>
      </c>
      <c r="BB165" s="1">
        <v>0</v>
      </c>
      <c r="BC165" s="1">
        <v>1</v>
      </c>
      <c r="BD165" s="1">
        <v>1</v>
      </c>
      <c r="BE165" s="1">
        <v>1</v>
      </c>
      <c r="BF165" s="1">
        <v>45</v>
      </c>
      <c r="BG165" s="1">
        <v>1</v>
      </c>
      <c r="BH165" s="1">
        <v>18</v>
      </c>
      <c r="BI165" s="1">
        <v>21</v>
      </c>
      <c r="BJ165" s="1">
        <v>900000</v>
      </c>
      <c r="BK165" s="1">
        <v>1</v>
      </c>
    </row>
    <row r="166" spans="1:63" ht="12.75" customHeight="1" x14ac:dyDescent="0.15">
      <c r="A166" s="5" t="s">
        <v>238</v>
      </c>
      <c r="B166" s="5" t="s">
        <v>238</v>
      </c>
      <c r="C166" s="5">
        <v>2</v>
      </c>
      <c r="D166" s="5">
        <v>2</v>
      </c>
      <c r="E166" s="5">
        <v>2</v>
      </c>
      <c r="F166" s="5">
        <v>1</v>
      </c>
      <c r="G166" s="5">
        <v>2</v>
      </c>
      <c r="H166" s="5">
        <v>1</v>
      </c>
      <c r="I166" s="5">
        <v>1</v>
      </c>
      <c r="J166" s="5">
        <v>2</v>
      </c>
      <c r="K166" s="5">
        <v>1</v>
      </c>
      <c r="L166" s="5">
        <v>1</v>
      </c>
      <c r="M166" s="5">
        <v>1</v>
      </c>
      <c r="N166" s="5">
        <v>1</v>
      </c>
      <c r="O166" s="5">
        <v>17</v>
      </c>
      <c r="P166" s="5" t="s">
        <v>983</v>
      </c>
      <c r="Q166" s="5">
        <v>2</v>
      </c>
      <c r="R166" s="5">
        <v>1</v>
      </c>
      <c r="S166" s="5">
        <v>0</v>
      </c>
      <c r="T166" s="5">
        <v>3</v>
      </c>
      <c r="U166" s="5" t="s">
        <v>982</v>
      </c>
      <c r="V166" s="5">
        <v>1</v>
      </c>
      <c r="W166" s="5">
        <v>4</v>
      </c>
      <c r="X166" s="5">
        <v>1</v>
      </c>
      <c r="Y166" s="5">
        <v>6</v>
      </c>
      <c r="Z166" s="5" t="s">
        <v>981</v>
      </c>
      <c r="AA166" s="5">
        <v>3</v>
      </c>
      <c r="AB166" s="5">
        <v>1</v>
      </c>
      <c r="AC166" s="5">
        <v>1</v>
      </c>
      <c r="AD166" s="5">
        <v>1</v>
      </c>
      <c r="AE166" s="5">
        <v>6</v>
      </c>
      <c r="AF166" s="5" t="s">
        <v>981</v>
      </c>
      <c r="AG166" s="5">
        <v>0</v>
      </c>
      <c r="AH166" s="5">
        <v>3</v>
      </c>
      <c r="AI166" s="5">
        <v>1</v>
      </c>
      <c r="AJ166" s="5">
        <v>4</v>
      </c>
      <c r="AK166" s="5" t="s">
        <v>982</v>
      </c>
      <c r="AL166" s="5">
        <v>1</v>
      </c>
      <c r="AM166" s="5">
        <v>1</v>
      </c>
      <c r="AN166" s="5">
        <v>3</v>
      </c>
      <c r="AO166" s="5">
        <v>5</v>
      </c>
      <c r="AP166" s="5" t="s">
        <v>982</v>
      </c>
      <c r="AQ166" s="5">
        <v>1</v>
      </c>
      <c r="AR166" s="5">
        <v>0</v>
      </c>
      <c r="AS166" s="5">
        <v>1</v>
      </c>
      <c r="AT166" s="5">
        <v>0</v>
      </c>
      <c r="AU166" s="5">
        <v>0</v>
      </c>
      <c r="AV166" s="5">
        <v>0</v>
      </c>
      <c r="AW166" s="5">
        <v>1</v>
      </c>
      <c r="AX166" s="5">
        <v>3</v>
      </c>
      <c r="AY166" s="5" t="s">
        <v>982</v>
      </c>
      <c r="AZ166" s="1">
        <v>1</v>
      </c>
      <c r="BA166" s="1">
        <v>0</v>
      </c>
      <c r="BB166" s="1">
        <v>1</v>
      </c>
      <c r="BC166" s="1">
        <v>1</v>
      </c>
      <c r="BD166" s="1">
        <v>1</v>
      </c>
      <c r="BE166" s="1">
        <v>1</v>
      </c>
      <c r="BF166" s="1">
        <v>31</v>
      </c>
      <c r="BG166" s="1">
        <v>0</v>
      </c>
      <c r="BH166" s="1">
        <v>18</v>
      </c>
      <c r="BI166" s="1">
        <v>25</v>
      </c>
      <c r="BJ166" s="1">
        <v>700000</v>
      </c>
      <c r="BK166" s="1">
        <v>1</v>
      </c>
    </row>
    <row r="167" spans="1:63" ht="12.75" customHeight="1" x14ac:dyDescent="0.15">
      <c r="A167" s="5" t="s">
        <v>330</v>
      </c>
      <c r="B167" s="5" t="s">
        <v>984</v>
      </c>
      <c r="C167" s="5">
        <v>1</v>
      </c>
      <c r="D167" s="5">
        <v>2</v>
      </c>
      <c r="E167" s="5">
        <v>3</v>
      </c>
      <c r="F167" s="5">
        <v>1</v>
      </c>
      <c r="G167" s="5">
        <v>1</v>
      </c>
      <c r="H167" s="5">
        <v>1</v>
      </c>
      <c r="I167" s="5">
        <v>1</v>
      </c>
      <c r="J167" s="5">
        <v>1</v>
      </c>
      <c r="K167" s="5">
        <v>1</v>
      </c>
      <c r="L167" s="5">
        <v>1</v>
      </c>
      <c r="M167" s="5">
        <v>1</v>
      </c>
      <c r="N167" s="5">
        <v>1</v>
      </c>
      <c r="O167" s="5">
        <v>15</v>
      </c>
      <c r="P167" s="5" t="s">
        <v>983</v>
      </c>
      <c r="Q167" s="5">
        <v>0</v>
      </c>
      <c r="R167" s="5">
        <v>1</v>
      </c>
      <c r="S167" s="5">
        <v>0</v>
      </c>
      <c r="T167" s="5">
        <v>1</v>
      </c>
      <c r="U167" s="5" t="s">
        <v>983</v>
      </c>
      <c r="V167" s="5">
        <v>0</v>
      </c>
      <c r="W167" s="5">
        <v>0</v>
      </c>
      <c r="X167" s="5">
        <v>0</v>
      </c>
      <c r="Y167" s="5">
        <v>0</v>
      </c>
      <c r="Z167" s="5" t="s">
        <v>983</v>
      </c>
      <c r="AA167" s="5">
        <v>0</v>
      </c>
      <c r="AB167" s="5">
        <v>0</v>
      </c>
      <c r="AC167" s="5">
        <v>0</v>
      </c>
      <c r="AD167" s="5">
        <v>0</v>
      </c>
      <c r="AE167" s="5">
        <v>0</v>
      </c>
      <c r="AF167" s="5" t="s">
        <v>983</v>
      </c>
      <c r="AG167" s="5">
        <v>0</v>
      </c>
      <c r="AH167" s="5">
        <v>1</v>
      </c>
      <c r="AI167" s="5">
        <v>1</v>
      </c>
      <c r="AJ167" s="5">
        <v>2</v>
      </c>
      <c r="AK167" s="5" t="s">
        <v>983</v>
      </c>
      <c r="AL167" s="5">
        <v>0</v>
      </c>
      <c r="AM167" s="5">
        <v>0</v>
      </c>
      <c r="AN167" s="5">
        <v>0</v>
      </c>
      <c r="AO167" s="5">
        <v>0</v>
      </c>
      <c r="AP167" s="5" t="s">
        <v>983</v>
      </c>
      <c r="AQ167" s="5">
        <v>0</v>
      </c>
      <c r="AR167" s="5">
        <v>0</v>
      </c>
      <c r="AS167" s="5">
        <v>0</v>
      </c>
      <c r="AT167" s="5">
        <v>0</v>
      </c>
      <c r="AU167" s="5">
        <v>0</v>
      </c>
      <c r="AV167" s="5">
        <v>0</v>
      </c>
      <c r="AW167" s="5">
        <v>0</v>
      </c>
      <c r="AX167" s="5">
        <v>0</v>
      </c>
      <c r="AY167" s="5" t="s">
        <v>983</v>
      </c>
      <c r="AZ167" s="1">
        <v>1</v>
      </c>
      <c r="BA167" s="1">
        <v>0</v>
      </c>
      <c r="BB167" s="1">
        <v>0</v>
      </c>
      <c r="BC167" s="1">
        <v>1</v>
      </c>
      <c r="BD167" s="1">
        <v>1</v>
      </c>
      <c r="BE167" s="1">
        <v>1</v>
      </c>
      <c r="BF167" s="1">
        <v>0</v>
      </c>
      <c r="BG167" s="1">
        <v>1</v>
      </c>
      <c r="BI167" s="1">
        <v>3</v>
      </c>
      <c r="BJ167" s="1">
        <v>0</v>
      </c>
      <c r="BK167" s="1">
        <v>3</v>
      </c>
    </row>
    <row r="168" spans="1:63" ht="12.75" customHeight="1" x14ac:dyDescent="0.15">
      <c r="A168" s="5" t="s">
        <v>238</v>
      </c>
      <c r="B168" s="5" t="s">
        <v>238</v>
      </c>
      <c r="C168" s="5">
        <v>4</v>
      </c>
      <c r="D168" s="5">
        <v>3</v>
      </c>
      <c r="E168" s="5">
        <v>2</v>
      </c>
      <c r="F168" s="5">
        <v>1</v>
      </c>
      <c r="G168" s="5">
        <v>1</v>
      </c>
      <c r="H168" s="5">
        <v>1</v>
      </c>
      <c r="I168" s="5">
        <v>1</v>
      </c>
      <c r="J168" s="5">
        <v>4</v>
      </c>
      <c r="K168" s="5">
        <v>4</v>
      </c>
      <c r="L168" s="5">
        <v>4</v>
      </c>
      <c r="M168" s="5">
        <v>4</v>
      </c>
      <c r="N168" s="5">
        <v>4</v>
      </c>
      <c r="O168" s="5">
        <v>33</v>
      </c>
      <c r="P168" s="5" t="s">
        <v>981</v>
      </c>
      <c r="Q168" s="5">
        <v>4</v>
      </c>
      <c r="R168" s="5">
        <v>3</v>
      </c>
      <c r="S168" s="5">
        <v>1</v>
      </c>
      <c r="T168" s="5">
        <v>8</v>
      </c>
      <c r="U168" s="5" t="s">
        <v>981</v>
      </c>
      <c r="V168" s="5">
        <v>1</v>
      </c>
      <c r="W168" s="5">
        <v>4</v>
      </c>
      <c r="X168" s="5">
        <v>0</v>
      </c>
      <c r="Y168" s="5">
        <v>5</v>
      </c>
      <c r="Z168" s="5" t="s">
        <v>982</v>
      </c>
      <c r="AA168" s="5">
        <v>4</v>
      </c>
      <c r="AB168" s="5">
        <v>4</v>
      </c>
      <c r="AC168" s="5">
        <v>0</v>
      </c>
      <c r="AD168" s="5">
        <v>0</v>
      </c>
      <c r="AE168" s="5">
        <v>8</v>
      </c>
      <c r="AF168" s="5" t="s">
        <v>981</v>
      </c>
      <c r="AG168" s="5">
        <v>0</v>
      </c>
      <c r="AH168" s="5">
        <v>0</v>
      </c>
      <c r="AI168" s="5">
        <v>4</v>
      </c>
      <c r="AJ168" s="5">
        <v>4</v>
      </c>
      <c r="AK168" s="5" t="s">
        <v>982</v>
      </c>
      <c r="AL168" s="5">
        <v>0</v>
      </c>
      <c r="AM168" s="5">
        <v>0</v>
      </c>
      <c r="AN168" s="5">
        <v>0</v>
      </c>
      <c r="AO168" s="5">
        <v>0</v>
      </c>
      <c r="AP168" s="5" t="s">
        <v>983</v>
      </c>
      <c r="AQ168" s="5">
        <v>0</v>
      </c>
      <c r="AR168" s="5">
        <v>0</v>
      </c>
      <c r="AS168" s="5">
        <v>0</v>
      </c>
      <c r="AT168" s="5">
        <v>0</v>
      </c>
      <c r="AU168" s="5">
        <v>0</v>
      </c>
      <c r="AV168" s="5">
        <v>0</v>
      </c>
      <c r="AW168" s="5">
        <v>0</v>
      </c>
      <c r="AX168" s="5">
        <v>0</v>
      </c>
      <c r="AY168" s="5" t="s">
        <v>983</v>
      </c>
      <c r="AZ168" s="1">
        <v>0</v>
      </c>
      <c r="BA168" s="1">
        <v>0</v>
      </c>
      <c r="BB168" s="1">
        <v>1</v>
      </c>
      <c r="BC168" s="1">
        <v>0</v>
      </c>
      <c r="BD168" s="1">
        <v>0</v>
      </c>
      <c r="BE168" s="1">
        <v>0</v>
      </c>
      <c r="BF168" s="1">
        <v>32</v>
      </c>
      <c r="BG168" s="1">
        <v>0</v>
      </c>
      <c r="BH168" s="1">
        <v>14</v>
      </c>
      <c r="BI168" s="1">
        <v>2</v>
      </c>
      <c r="BJ168" s="1">
        <v>450000</v>
      </c>
      <c r="BK168" s="1">
        <v>2</v>
      </c>
    </row>
    <row r="169" spans="1:63" ht="12.75" customHeight="1" x14ac:dyDescent="0.15">
      <c r="A169" s="5" t="s">
        <v>330</v>
      </c>
      <c r="B169" s="5" t="s">
        <v>984</v>
      </c>
      <c r="C169" s="5">
        <v>1</v>
      </c>
      <c r="D169" s="5">
        <v>1</v>
      </c>
      <c r="E169" s="5">
        <v>2</v>
      </c>
      <c r="F169" s="5">
        <v>1</v>
      </c>
      <c r="G169" s="5">
        <v>1</v>
      </c>
      <c r="H169" s="5">
        <v>1</v>
      </c>
      <c r="I169" s="5">
        <v>1</v>
      </c>
      <c r="J169" s="5">
        <v>1</v>
      </c>
      <c r="K169" s="5">
        <v>1</v>
      </c>
      <c r="L169" s="5">
        <v>1</v>
      </c>
      <c r="M169" s="5">
        <v>1</v>
      </c>
      <c r="N169" s="5">
        <v>2</v>
      </c>
      <c r="O169" s="5">
        <v>14</v>
      </c>
      <c r="P169" s="5" t="s">
        <v>983</v>
      </c>
      <c r="Q169" s="5">
        <v>2</v>
      </c>
      <c r="R169" s="5">
        <v>1</v>
      </c>
      <c r="S169" s="5">
        <v>0</v>
      </c>
      <c r="T169" s="5">
        <v>3</v>
      </c>
      <c r="U169" s="5" t="s">
        <v>982</v>
      </c>
      <c r="V169" s="5">
        <v>0</v>
      </c>
      <c r="W169" s="5">
        <v>0</v>
      </c>
      <c r="X169" s="5">
        <v>1</v>
      </c>
      <c r="Y169" s="5">
        <v>1</v>
      </c>
      <c r="Z169" s="5" t="s">
        <v>983</v>
      </c>
      <c r="AA169" s="5">
        <v>3</v>
      </c>
      <c r="AB169" s="5">
        <v>3</v>
      </c>
      <c r="AC169" s="5">
        <v>0</v>
      </c>
      <c r="AD169" s="5">
        <v>2</v>
      </c>
      <c r="AE169" s="5">
        <v>8</v>
      </c>
      <c r="AF169" s="5" t="s">
        <v>981</v>
      </c>
      <c r="AG169" s="5">
        <v>1</v>
      </c>
      <c r="AH169" s="5">
        <v>1</v>
      </c>
      <c r="AI169" s="5">
        <v>2</v>
      </c>
      <c r="AJ169" s="5">
        <v>4</v>
      </c>
      <c r="AK169" s="5" t="s">
        <v>982</v>
      </c>
      <c r="AL169" s="5">
        <v>0</v>
      </c>
      <c r="AM169" s="5">
        <v>0</v>
      </c>
      <c r="AN169" s="5">
        <v>1</v>
      </c>
      <c r="AO169" s="5">
        <v>1</v>
      </c>
      <c r="AP169" s="5" t="s">
        <v>983</v>
      </c>
      <c r="AQ169" s="5">
        <v>0</v>
      </c>
      <c r="AR169" s="5">
        <v>0</v>
      </c>
      <c r="AS169" s="5">
        <v>0</v>
      </c>
      <c r="AT169" s="5">
        <v>0</v>
      </c>
      <c r="AU169" s="5">
        <v>0</v>
      </c>
      <c r="AV169" s="5">
        <v>1</v>
      </c>
      <c r="AW169" s="5">
        <v>1</v>
      </c>
      <c r="AX169" s="5">
        <v>2</v>
      </c>
      <c r="AY169" s="5" t="s">
        <v>982</v>
      </c>
      <c r="AZ169" s="1">
        <v>0</v>
      </c>
      <c r="BA169" s="1">
        <v>0</v>
      </c>
      <c r="BB169" s="1">
        <v>1</v>
      </c>
      <c r="BC169" s="1">
        <v>1</v>
      </c>
      <c r="BD169" s="1">
        <v>1</v>
      </c>
      <c r="BE169" s="1">
        <v>1</v>
      </c>
      <c r="BF169" s="1">
        <v>32</v>
      </c>
      <c r="BG169" s="1">
        <v>0</v>
      </c>
      <c r="BH169" s="1">
        <v>14</v>
      </c>
      <c r="BI169" s="1">
        <v>2</v>
      </c>
      <c r="BJ169" s="1">
        <v>450000</v>
      </c>
      <c r="BK169" s="1">
        <v>2</v>
      </c>
    </row>
    <row r="170" spans="1:63" ht="12.75" customHeight="1" x14ac:dyDescent="0.15">
      <c r="A170" s="5" t="s">
        <v>238</v>
      </c>
      <c r="B170" s="5" t="s">
        <v>238</v>
      </c>
      <c r="C170" s="5">
        <v>2</v>
      </c>
      <c r="D170" s="5">
        <v>1</v>
      </c>
      <c r="E170" s="5">
        <v>1</v>
      </c>
      <c r="F170" s="5">
        <v>1</v>
      </c>
      <c r="G170" s="5">
        <v>1</v>
      </c>
      <c r="H170" s="5">
        <v>1</v>
      </c>
      <c r="I170" s="5">
        <v>2</v>
      </c>
      <c r="J170" s="5">
        <v>2</v>
      </c>
      <c r="K170" s="5">
        <v>1</v>
      </c>
      <c r="L170" s="5">
        <v>1</v>
      </c>
      <c r="M170" s="5">
        <v>1</v>
      </c>
      <c r="N170" s="5">
        <v>1</v>
      </c>
      <c r="O170" s="5">
        <v>15</v>
      </c>
      <c r="P170" s="5" t="s">
        <v>983</v>
      </c>
      <c r="Q170" s="5">
        <v>0</v>
      </c>
      <c r="R170" s="5">
        <v>1</v>
      </c>
      <c r="S170" s="5">
        <v>1</v>
      </c>
      <c r="T170" s="5">
        <v>2</v>
      </c>
      <c r="U170" s="5" t="s">
        <v>982</v>
      </c>
      <c r="V170" s="5">
        <v>1</v>
      </c>
      <c r="W170" s="5">
        <v>0</v>
      </c>
      <c r="X170" s="5">
        <v>1</v>
      </c>
      <c r="Y170" s="5">
        <v>2</v>
      </c>
      <c r="Z170" s="5" t="s">
        <v>982</v>
      </c>
      <c r="AA170" s="5">
        <v>2</v>
      </c>
      <c r="AB170" s="5">
        <v>1</v>
      </c>
      <c r="AC170" s="5">
        <v>0</v>
      </c>
      <c r="AD170" s="5">
        <v>3</v>
      </c>
      <c r="AE170" s="5">
        <v>6</v>
      </c>
      <c r="AF170" s="5" t="s">
        <v>981</v>
      </c>
      <c r="AG170" s="5">
        <v>2</v>
      </c>
      <c r="AH170" s="5">
        <v>0</v>
      </c>
      <c r="AI170" s="5">
        <v>0</v>
      </c>
      <c r="AJ170" s="5">
        <v>2</v>
      </c>
      <c r="AK170" s="5" t="s">
        <v>983</v>
      </c>
      <c r="AL170" s="5">
        <v>0</v>
      </c>
      <c r="AM170" s="5">
        <v>0</v>
      </c>
      <c r="AN170" s="5">
        <v>0</v>
      </c>
      <c r="AO170" s="5">
        <v>0</v>
      </c>
      <c r="AP170" s="5" t="s">
        <v>983</v>
      </c>
      <c r="AQ170" s="5">
        <v>0</v>
      </c>
      <c r="AR170" s="5">
        <v>0</v>
      </c>
      <c r="AS170" s="5">
        <v>0</v>
      </c>
      <c r="AT170" s="5">
        <v>0</v>
      </c>
      <c r="AU170" s="5">
        <v>0</v>
      </c>
      <c r="AV170" s="5">
        <v>0</v>
      </c>
      <c r="AW170" s="5">
        <v>0</v>
      </c>
      <c r="AX170" s="5">
        <v>0</v>
      </c>
      <c r="AY170" s="5" t="s">
        <v>983</v>
      </c>
      <c r="AZ170" s="1">
        <v>1</v>
      </c>
      <c r="BA170" s="1">
        <v>0</v>
      </c>
      <c r="BB170" s="1">
        <v>1</v>
      </c>
      <c r="BC170" s="1">
        <v>1</v>
      </c>
      <c r="BD170" s="1">
        <v>1</v>
      </c>
      <c r="BE170" s="1">
        <v>1</v>
      </c>
      <c r="BF170" s="1">
        <v>0</v>
      </c>
      <c r="BG170" s="1">
        <v>0</v>
      </c>
      <c r="BH170" s="1">
        <v>16</v>
      </c>
      <c r="BI170" s="1">
        <v>11</v>
      </c>
      <c r="BJ170" s="1">
        <v>300000</v>
      </c>
      <c r="BK170" s="1">
        <v>5</v>
      </c>
    </row>
    <row r="171" spans="1:63" ht="12.75" customHeight="1" x14ac:dyDescent="0.15">
      <c r="A171" s="5" t="s">
        <v>238</v>
      </c>
      <c r="B171" s="5" t="s">
        <v>238</v>
      </c>
      <c r="C171" s="5">
        <v>4</v>
      </c>
      <c r="D171" s="5">
        <v>3</v>
      </c>
      <c r="E171" s="5">
        <v>3</v>
      </c>
      <c r="F171" s="5">
        <v>3</v>
      </c>
      <c r="G171" s="5">
        <v>3</v>
      </c>
      <c r="H171" s="5">
        <v>3</v>
      </c>
      <c r="I171" s="5">
        <v>1</v>
      </c>
      <c r="J171" s="5">
        <v>1</v>
      </c>
      <c r="K171" s="5">
        <v>1</v>
      </c>
      <c r="L171" s="5">
        <v>1</v>
      </c>
      <c r="M171" s="5">
        <v>1</v>
      </c>
      <c r="N171" s="5">
        <v>1</v>
      </c>
      <c r="O171" s="5">
        <v>25</v>
      </c>
      <c r="P171" s="5" t="s">
        <v>981</v>
      </c>
      <c r="Q171" s="5">
        <v>4</v>
      </c>
      <c r="R171" s="5">
        <v>4</v>
      </c>
      <c r="S171" s="5">
        <v>4</v>
      </c>
      <c r="T171" s="5">
        <v>12</v>
      </c>
      <c r="U171" s="5" t="s">
        <v>981</v>
      </c>
      <c r="V171" s="5">
        <v>2</v>
      </c>
      <c r="W171" s="5">
        <v>2</v>
      </c>
      <c r="X171" s="5">
        <v>2</v>
      </c>
      <c r="Y171" s="5">
        <v>6</v>
      </c>
      <c r="Z171" s="5" t="s">
        <v>981</v>
      </c>
      <c r="AA171" s="5">
        <v>2</v>
      </c>
      <c r="AB171" s="5">
        <v>2</v>
      </c>
      <c r="AC171" s="5">
        <v>2</v>
      </c>
      <c r="AD171" s="5">
        <v>2</v>
      </c>
      <c r="AE171" s="5">
        <v>8</v>
      </c>
      <c r="AF171" s="5" t="s">
        <v>981</v>
      </c>
      <c r="AG171" s="5">
        <v>2</v>
      </c>
      <c r="AH171" s="5">
        <v>2</v>
      </c>
      <c r="AI171" s="5">
        <v>2</v>
      </c>
      <c r="AJ171" s="5">
        <v>6</v>
      </c>
      <c r="AK171" s="5" t="s">
        <v>981</v>
      </c>
      <c r="AL171" s="5">
        <v>2</v>
      </c>
      <c r="AM171" s="5">
        <v>2</v>
      </c>
      <c r="AN171" s="5">
        <v>2</v>
      </c>
      <c r="AO171" s="5">
        <v>6</v>
      </c>
      <c r="AP171" s="5" t="s">
        <v>981</v>
      </c>
      <c r="AQ171" s="5">
        <v>0</v>
      </c>
      <c r="AR171" s="5">
        <v>0</v>
      </c>
      <c r="AS171" s="5">
        <v>0</v>
      </c>
      <c r="AT171" s="5">
        <v>0</v>
      </c>
      <c r="AU171" s="5">
        <v>0</v>
      </c>
      <c r="AV171" s="5">
        <v>0</v>
      </c>
      <c r="AW171" s="5">
        <v>0</v>
      </c>
      <c r="AX171" s="5">
        <v>0</v>
      </c>
      <c r="AY171" s="5" t="s">
        <v>983</v>
      </c>
      <c r="AZ171" s="1">
        <v>0</v>
      </c>
      <c r="BA171" s="1">
        <v>0</v>
      </c>
      <c r="BB171" s="1">
        <v>0</v>
      </c>
      <c r="BC171" s="1">
        <v>1</v>
      </c>
      <c r="BD171" s="1">
        <v>1</v>
      </c>
      <c r="BE171" s="1">
        <v>1</v>
      </c>
      <c r="BF171" s="1">
        <v>51</v>
      </c>
      <c r="BG171" s="1">
        <v>0</v>
      </c>
      <c r="BH171" s="1">
        <v>14</v>
      </c>
      <c r="BI171" s="1">
        <v>2</v>
      </c>
      <c r="BJ171" s="1">
        <v>310000</v>
      </c>
      <c r="BK171" s="1">
        <v>3</v>
      </c>
    </row>
    <row r="172" spans="1:63" ht="12.75" customHeight="1" x14ac:dyDescent="0.15">
      <c r="A172" s="5" t="s">
        <v>238</v>
      </c>
      <c r="B172" s="5" t="s">
        <v>238</v>
      </c>
      <c r="C172" s="5">
        <v>4</v>
      </c>
      <c r="D172" s="5">
        <v>2</v>
      </c>
      <c r="E172" s="5">
        <v>2</v>
      </c>
      <c r="F172" s="5">
        <v>2</v>
      </c>
      <c r="G172" s="5">
        <v>2</v>
      </c>
      <c r="H172" s="5">
        <v>2</v>
      </c>
      <c r="I172" s="5">
        <v>2</v>
      </c>
      <c r="J172" s="5">
        <v>2</v>
      </c>
      <c r="K172" s="5">
        <v>2</v>
      </c>
      <c r="L172" s="5">
        <v>2</v>
      </c>
      <c r="M172" s="5">
        <v>2</v>
      </c>
      <c r="N172" s="5">
        <v>2</v>
      </c>
      <c r="O172" s="5">
        <v>26</v>
      </c>
      <c r="P172" s="5" t="s">
        <v>981</v>
      </c>
      <c r="Q172" s="5">
        <v>2</v>
      </c>
      <c r="R172" s="5">
        <v>2</v>
      </c>
      <c r="S172" s="5">
        <v>1</v>
      </c>
      <c r="T172" s="5">
        <v>5</v>
      </c>
      <c r="U172" s="5" t="s">
        <v>981</v>
      </c>
      <c r="V172" s="5">
        <v>0</v>
      </c>
      <c r="W172" s="5">
        <v>1</v>
      </c>
      <c r="X172" s="5">
        <v>1</v>
      </c>
      <c r="Y172" s="5">
        <v>2</v>
      </c>
      <c r="Z172" s="5" t="s">
        <v>982</v>
      </c>
      <c r="AA172" s="5">
        <v>2</v>
      </c>
      <c r="AB172" s="5">
        <v>1</v>
      </c>
      <c r="AC172" s="5">
        <v>0</v>
      </c>
      <c r="AD172" s="5">
        <v>0</v>
      </c>
      <c r="AE172" s="5">
        <v>3</v>
      </c>
      <c r="AF172" s="5" t="s">
        <v>982</v>
      </c>
      <c r="AG172" s="5">
        <v>1</v>
      </c>
      <c r="AH172" s="5">
        <v>3</v>
      </c>
      <c r="AI172" s="5">
        <v>2</v>
      </c>
      <c r="AJ172" s="5">
        <v>6</v>
      </c>
      <c r="AK172" s="5" t="s">
        <v>981</v>
      </c>
      <c r="AL172" s="5">
        <v>2</v>
      </c>
      <c r="AM172" s="5">
        <v>1</v>
      </c>
      <c r="AN172" s="5">
        <v>1</v>
      </c>
      <c r="AO172" s="5">
        <v>4</v>
      </c>
      <c r="AP172" s="5" t="s">
        <v>982</v>
      </c>
      <c r="AQ172" s="5">
        <v>0</v>
      </c>
      <c r="AR172" s="5">
        <v>0</v>
      </c>
      <c r="AS172" s="5">
        <v>0</v>
      </c>
      <c r="AT172" s="5">
        <v>0</v>
      </c>
      <c r="AU172" s="5">
        <v>0</v>
      </c>
      <c r="AV172" s="5">
        <v>0</v>
      </c>
      <c r="AW172" s="5">
        <v>0</v>
      </c>
      <c r="AX172" s="5">
        <v>0</v>
      </c>
      <c r="AY172" s="5" t="s">
        <v>983</v>
      </c>
      <c r="AZ172" s="1">
        <v>0</v>
      </c>
      <c r="BA172" s="1">
        <v>0</v>
      </c>
      <c r="BB172" s="1">
        <v>1</v>
      </c>
      <c r="BC172" s="1">
        <v>1</v>
      </c>
      <c r="BD172" s="1">
        <v>1</v>
      </c>
      <c r="BE172" s="1">
        <v>1</v>
      </c>
      <c r="BF172" s="1">
        <v>0</v>
      </c>
      <c r="BG172" s="1">
        <v>0</v>
      </c>
      <c r="BI172" s="1">
        <v>24</v>
      </c>
      <c r="BJ172" s="1">
        <v>0</v>
      </c>
      <c r="BK172" s="1">
        <v>3</v>
      </c>
    </row>
    <row r="173" spans="1:63" ht="12.75" customHeight="1" x14ac:dyDescent="0.15">
      <c r="A173" s="5" t="s">
        <v>238</v>
      </c>
      <c r="B173" s="5" t="s">
        <v>238</v>
      </c>
      <c r="C173" s="5">
        <v>3</v>
      </c>
      <c r="D173" s="5">
        <v>3</v>
      </c>
      <c r="E173" s="5">
        <v>4</v>
      </c>
      <c r="F173" s="5">
        <v>3</v>
      </c>
      <c r="G173" s="5">
        <v>4</v>
      </c>
      <c r="H173" s="5">
        <v>3</v>
      </c>
      <c r="I173" s="5">
        <v>1</v>
      </c>
      <c r="J173" s="5">
        <v>2</v>
      </c>
      <c r="K173" s="5">
        <v>2</v>
      </c>
      <c r="L173" s="5">
        <v>3</v>
      </c>
      <c r="M173" s="5">
        <v>2</v>
      </c>
      <c r="N173" s="5">
        <v>2</v>
      </c>
      <c r="O173" s="5">
        <v>32</v>
      </c>
      <c r="P173" s="5" t="s">
        <v>981</v>
      </c>
      <c r="Q173" s="5">
        <v>4</v>
      </c>
      <c r="R173" s="5">
        <v>3</v>
      </c>
      <c r="S173" s="5">
        <v>2</v>
      </c>
      <c r="T173" s="5">
        <v>9</v>
      </c>
      <c r="U173" s="5" t="s">
        <v>981</v>
      </c>
      <c r="V173" s="5">
        <v>2</v>
      </c>
      <c r="W173" s="5">
        <v>1</v>
      </c>
      <c r="X173" s="5">
        <v>3</v>
      </c>
      <c r="Y173" s="5">
        <v>6</v>
      </c>
      <c r="Z173" s="5" t="s">
        <v>981</v>
      </c>
      <c r="AA173" s="5">
        <v>4</v>
      </c>
      <c r="AB173" s="5">
        <v>4</v>
      </c>
      <c r="AC173" s="5">
        <v>4</v>
      </c>
      <c r="AD173" s="5">
        <v>4</v>
      </c>
      <c r="AE173" s="5">
        <v>16</v>
      </c>
      <c r="AF173" s="5" t="s">
        <v>981</v>
      </c>
      <c r="AG173" s="5">
        <v>0</v>
      </c>
      <c r="AH173" s="5">
        <v>0</v>
      </c>
      <c r="AI173" s="5">
        <v>0</v>
      </c>
      <c r="AJ173" s="5">
        <v>0</v>
      </c>
      <c r="AK173" s="5" t="s">
        <v>983</v>
      </c>
      <c r="AL173" s="5">
        <v>3</v>
      </c>
      <c r="AM173" s="5">
        <v>2</v>
      </c>
      <c r="AN173" s="5">
        <v>2</v>
      </c>
      <c r="AO173" s="5">
        <v>7</v>
      </c>
      <c r="AP173" s="5" t="s">
        <v>981</v>
      </c>
      <c r="AQ173" s="5">
        <v>0</v>
      </c>
      <c r="AR173" s="5">
        <v>0</v>
      </c>
      <c r="AS173" s="5">
        <v>0</v>
      </c>
      <c r="AT173" s="5">
        <v>0</v>
      </c>
      <c r="AU173" s="5">
        <v>0</v>
      </c>
      <c r="AV173" s="5">
        <v>0</v>
      </c>
      <c r="AW173" s="5">
        <v>0</v>
      </c>
      <c r="AX173" s="5">
        <v>0</v>
      </c>
      <c r="AY173" s="5" t="s">
        <v>983</v>
      </c>
      <c r="AZ173" s="1">
        <v>0</v>
      </c>
      <c r="BA173" s="1">
        <v>0</v>
      </c>
      <c r="BB173" s="1">
        <v>0</v>
      </c>
      <c r="BC173" s="1">
        <v>1</v>
      </c>
      <c r="BD173" s="1">
        <v>1</v>
      </c>
      <c r="BE173" s="1">
        <v>1</v>
      </c>
      <c r="BF173" s="1">
        <v>0</v>
      </c>
      <c r="BG173" s="1">
        <v>1</v>
      </c>
      <c r="BI173" s="1">
        <v>30</v>
      </c>
      <c r="BJ173" s="1">
        <v>0</v>
      </c>
      <c r="BK173" s="1">
        <v>3</v>
      </c>
    </row>
    <row r="174" spans="1:63" ht="12.75" customHeight="1" x14ac:dyDescent="0.15">
      <c r="A174" s="5" t="s">
        <v>330</v>
      </c>
      <c r="B174" s="5" t="s">
        <v>984</v>
      </c>
      <c r="C174" s="5">
        <v>2</v>
      </c>
      <c r="D174" s="5">
        <v>2</v>
      </c>
      <c r="E174" s="5">
        <v>2</v>
      </c>
      <c r="F174" s="5">
        <v>2</v>
      </c>
      <c r="G174" s="5">
        <v>1</v>
      </c>
      <c r="H174" s="5">
        <v>1</v>
      </c>
      <c r="I174" s="5">
        <v>1</v>
      </c>
      <c r="J174" s="5">
        <v>1</v>
      </c>
      <c r="K174" s="5">
        <v>1</v>
      </c>
      <c r="L174" s="5">
        <v>2</v>
      </c>
      <c r="M174" s="5">
        <v>1</v>
      </c>
      <c r="N174" s="5">
        <v>1</v>
      </c>
      <c r="O174" s="5">
        <v>17</v>
      </c>
      <c r="P174" s="5" t="s">
        <v>983</v>
      </c>
      <c r="Q174" s="5">
        <v>0</v>
      </c>
      <c r="R174" s="5">
        <v>1</v>
      </c>
      <c r="S174" s="5">
        <v>1</v>
      </c>
      <c r="T174" s="5">
        <v>2</v>
      </c>
      <c r="U174" s="5" t="s">
        <v>982</v>
      </c>
      <c r="V174" s="5">
        <v>2</v>
      </c>
      <c r="W174" s="5">
        <v>0</v>
      </c>
      <c r="X174" s="5">
        <v>1</v>
      </c>
      <c r="Y174" s="5">
        <v>3</v>
      </c>
      <c r="Z174" s="5" t="s">
        <v>982</v>
      </c>
      <c r="AA174" s="5">
        <v>1</v>
      </c>
      <c r="AB174" s="5">
        <v>1</v>
      </c>
      <c r="AC174" s="5">
        <v>1</v>
      </c>
      <c r="AD174" s="5">
        <v>1</v>
      </c>
      <c r="AE174" s="5">
        <v>4</v>
      </c>
      <c r="AF174" s="5" t="s">
        <v>982</v>
      </c>
      <c r="AG174" s="5">
        <v>1</v>
      </c>
      <c r="AH174" s="5">
        <v>1</v>
      </c>
      <c r="AI174" s="5">
        <v>1</v>
      </c>
      <c r="AJ174" s="5">
        <v>3</v>
      </c>
      <c r="AK174" s="5" t="s">
        <v>982</v>
      </c>
      <c r="AL174" s="5">
        <v>2</v>
      </c>
      <c r="AM174" s="5">
        <v>2</v>
      </c>
      <c r="AN174" s="5">
        <v>2</v>
      </c>
      <c r="AO174" s="5">
        <v>6</v>
      </c>
      <c r="AP174" s="5" t="s">
        <v>981</v>
      </c>
      <c r="AQ174" s="5">
        <v>0</v>
      </c>
      <c r="AR174" s="5">
        <v>0</v>
      </c>
      <c r="AS174" s="5">
        <v>0</v>
      </c>
      <c r="AT174" s="5">
        <v>0</v>
      </c>
      <c r="AU174" s="5">
        <v>0</v>
      </c>
      <c r="AV174" s="5">
        <v>0</v>
      </c>
      <c r="AW174" s="5">
        <v>0</v>
      </c>
      <c r="AX174" s="5">
        <v>0</v>
      </c>
      <c r="AY174" s="5" t="s">
        <v>983</v>
      </c>
      <c r="AZ174" s="1">
        <v>1</v>
      </c>
      <c r="BA174" s="1">
        <v>0</v>
      </c>
      <c r="BB174" s="1">
        <v>1</v>
      </c>
      <c r="BC174" s="1">
        <v>1</v>
      </c>
      <c r="BD174" s="1">
        <v>1</v>
      </c>
      <c r="BE174" s="1">
        <v>1</v>
      </c>
      <c r="BF174" s="1">
        <v>59</v>
      </c>
      <c r="BG174" s="1">
        <v>1</v>
      </c>
      <c r="BH174" s="1">
        <v>4</v>
      </c>
      <c r="BI174" s="1">
        <v>11</v>
      </c>
      <c r="BJ174" s="1">
        <v>350000</v>
      </c>
      <c r="BK174" s="1">
        <v>3</v>
      </c>
    </row>
    <row r="175" spans="1:63" ht="12.75" customHeight="1" x14ac:dyDescent="0.15">
      <c r="A175" s="5" t="s">
        <v>330</v>
      </c>
      <c r="B175" s="5" t="s">
        <v>984</v>
      </c>
      <c r="C175" s="5">
        <v>2</v>
      </c>
      <c r="D175" s="5">
        <v>3</v>
      </c>
      <c r="E175" s="5">
        <v>3</v>
      </c>
      <c r="F175" s="5">
        <v>2</v>
      </c>
      <c r="G175" s="5">
        <v>1</v>
      </c>
      <c r="H175" s="5">
        <v>1</v>
      </c>
      <c r="I175" s="5">
        <v>1</v>
      </c>
      <c r="J175" s="5">
        <v>2</v>
      </c>
      <c r="K175" s="5">
        <v>1</v>
      </c>
      <c r="L175" s="5">
        <v>2</v>
      </c>
      <c r="M175" s="5">
        <v>2</v>
      </c>
      <c r="N175" s="5">
        <v>1</v>
      </c>
      <c r="O175" s="5">
        <v>21</v>
      </c>
      <c r="P175" s="5" t="s">
        <v>982</v>
      </c>
      <c r="Q175" s="5">
        <v>2</v>
      </c>
      <c r="R175" s="5">
        <v>2</v>
      </c>
      <c r="S175" s="5">
        <v>0</v>
      </c>
      <c r="T175" s="5">
        <v>4</v>
      </c>
      <c r="U175" s="5" t="s">
        <v>982</v>
      </c>
      <c r="V175" s="5">
        <v>0</v>
      </c>
      <c r="W175" s="5">
        <v>3</v>
      </c>
      <c r="X175" s="5">
        <v>2</v>
      </c>
      <c r="Y175" s="5">
        <v>5</v>
      </c>
      <c r="Z175" s="5" t="s">
        <v>982</v>
      </c>
      <c r="AA175" s="5">
        <v>2</v>
      </c>
      <c r="AB175" s="5">
        <v>1</v>
      </c>
      <c r="AC175" s="5">
        <v>0</v>
      </c>
      <c r="AD175" s="5">
        <v>0</v>
      </c>
      <c r="AE175" s="5">
        <v>3</v>
      </c>
      <c r="AF175" s="5" t="s">
        <v>982</v>
      </c>
      <c r="AG175" s="5">
        <v>0</v>
      </c>
      <c r="AH175" s="5">
        <v>0</v>
      </c>
      <c r="AI175" s="5">
        <v>0</v>
      </c>
      <c r="AJ175" s="5">
        <v>0</v>
      </c>
      <c r="AK175" s="5" t="s">
        <v>983</v>
      </c>
      <c r="AL175" s="5">
        <v>2</v>
      </c>
      <c r="AM175" s="5">
        <v>2</v>
      </c>
      <c r="AN175" s="5">
        <v>2</v>
      </c>
      <c r="AO175" s="5">
        <v>6</v>
      </c>
      <c r="AP175" s="5" t="s">
        <v>981</v>
      </c>
      <c r="AQ175" s="5">
        <v>0</v>
      </c>
      <c r="AR175" s="5">
        <v>0</v>
      </c>
      <c r="AS175" s="5">
        <v>0</v>
      </c>
      <c r="AT175" s="5">
        <v>0</v>
      </c>
      <c r="AU175" s="5">
        <v>0</v>
      </c>
      <c r="AV175" s="5">
        <v>0</v>
      </c>
      <c r="AW175" s="5">
        <v>0</v>
      </c>
      <c r="AX175" s="5">
        <v>0</v>
      </c>
      <c r="AY175" s="5" t="s">
        <v>983</v>
      </c>
      <c r="AZ175" s="1">
        <v>1</v>
      </c>
      <c r="BA175" s="1">
        <v>0</v>
      </c>
      <c r="BB175" s="1">
        <v>1</v>
      </c>
      <c r="BC175" s="1">
        <v>1</v>
      </c>
      <c r="BD175" s="1">
        <v>1</v>
      </c>
      <c r="BE175" s="1">
        <v>1</v>
      </c>
      <c r="BF175" s="1">
        <v>29</v>
      </c>
      <c r="BG175" s="1">
        <v>0</v>
      </c>
      <c r="BH175" s="1">
        <v>4</v>
      </c>
      <c r="BI175" s="1">
        <v>2</v>
      </c>
      <c r="BJ175" s="1">
        <v>50000</v>
      </c>
      <c r="BK175" s="1">
        <v>3</v>
      </c>
    </row>
    <row r="176" spans="1:63" ht="12.75" customHeight="1" x14ac:dyDescent="0.15">
      <c r="A176" s="5" t="s">
        <v>238</v>
      </c>
      <c r="B176" s="5" t="s">
        <v>238</v>
      </c>
      <c r="C176" s="5">
        <v>2</v>
      </c>
      <c r="D176" s="5">
        <v>1</v>
      </c>
      <c r="E176" s="5">
        <v>2</v>
      </c>
      <c r="F176" s="5">
        <v>1</v>
      </c>
      <c r="G176" s="5">
        <v>1</v>
      </c>
      <c r="H176" s="5">
        <v>1</v>
      </c>
      <c r="I176" s="5">
        <v>1</v>
      </c>
      <c r="J176" s="5">
        <v>1</v>
      </c>
      <c r="K176" s="5">
        <v>2</v>
      </c>
      <c r="L176" s="5">
        <v>2</v>
      </c>
      <c r="M176" s="5">
        <v>1</v>
      </c>
      <c r="N176" s="5">
        <v>1</v>
      </c>
      <c r="O176" s="5">
        <v>16</v>
      </c>
      <c r="P176" s="5" t="s">
        <v>983</v>
      </c>
      <c r="Q176" s="5">
        <v>1</v>
      </c>
      <c r="R176" s="5">
        <v>0</v>
      </c>
      <c r="S176" s="5">
        <v>0</v>
      </c>
      <c r="T176" s="5">
        <v>1</v>
      </c>
      <c r="U176" s="5" t="s">
        <v>983</v>
      </c>
      <c r="V176" s="5">
        <v>0</v>
      </c>
      <c r="W176" s="5">
        <v>1</v>
      </c>
      <c r="X176" s="5">
        <v>0</v>
      </c>
      <c r="Y176" s="5">
        <v>1</v>
      </c>
      <c r="Z176" s="5" t="s">
        <v>983</v>
      </c>
      <c r="AA176" s="5">
        <v>3</v>
      </c>
      <c r="AB176" s="5">
        <v>4</v>
      </c>
      <c r="AC176" s="5">
        <v>0</v>
      </c>
      <c r="AD176" s="5">
        <v>0</v>
      </c>
      <c r="AE176" s="5">
        <v>7</v>
      </c>
      <c r="AF176" s="5" t="s">
        <v>981</v>
      </c>
      <c r="AG176" s="5">
        <v>0</v>
      </c>
      <c r="AH176" s="5">
        <v>0</v>
      </c>
      <c r="AI176" s="5">
        <v>0</v>
      </c>
      <c r="AJ176" s="5">
        <v>0</v>
      </c>
      <c r="AK176" s="5" t="s">
        <v>983</v>
      </c>
      <c r="AL176" s="5">
        <v>0</v>
      </c>
      <c r="AM176" s="5">
        <v>0</v>
      </c>
      <c r="AN176" s="5">
        <v>0</v>
      </c>
      <c r="AO176" s="5">
        <v>0</v>
      </c>
      <c r="AP176" s="5" t="s">
        <v>983</v>
      </c>
      <c r="AQ176" s="5">
        <v>0</v>
      </c>
      <c r="AR176" s="5">
        <v>0</v>
      </c>
      <c r="AS176" s="5">
        <v>0</v>
      </c>
      <c r="AT176" s="5">
        <v>0</v>
      </c>
      <c r="AU176" s="5">
        <v>0</v>
      </c>
      <c r="AV176" s="5">
        <v>0</v>
      </c>
      <c r="AW176" s="5">
        <v>0</v>
      </c>
      <c r="AX176" s="5">
        <v>0</v>
      </c>
      <c r="AY176" s="5" t="s">
        <v>983</v>
      </c>
      <c r="AZ176" s="1">
        <v>0</v>
      </c>
      <c r="BA176" s="1">
        <v>0</v>
      </c>
      <c r="BB176" s="1">
        <v>0</v>
      </c>
      <c r="BC176" s="1">
        <v>1</v>
      </c>
      <c r="BD176" s="1">
        <v>1</v>
      </c>
      <c r="BE176" s="1">
        <v>1</v>
      </c>
      <c r="BF176" s="1">
        <v>39</v>
      </c>
      <c r="BG176" s="1">
        <v>0</v>
      </c>
      <c r="BH176" s="1">
        <v>18</v>
      </c>
      <c r="BI176" s="1">
        <v>24</v>
      </c>
      <c r="BJ176" s="1">
        <v>1600</v>
      </c>
      <c r="BK176" s="1">
        <v>4</v>
      </c>
    </row>
    <row r="177" spans="1:63" ht="12.75" customHeight="1" x14ac:dyDescent="0.15">
      <c r="A177" s="5" t="s">
        <v>238</v>
      </c>
      <c r="B177" s="5" t="s">
        <v>238</v>
      </c>
      <c r="C177" s="5">
        <v>3</v>
      </c>
      <c r="D177" s="5">
        <v>4</v>
      </c>
      <c r="E177" s="5">
        <v>4</v>
      </c>
      <c r="F177" s="5">
        <v>4</v>
      </c>
      <c r="G177" s="5">
        <v>4</v>
      </c>
      <c r="H177" s="5">
        <v>4</v>
      </c>
      <c r="I177" s="5">
        <v>1</v>
      </c>
      <c r="J177" s="5">
        <v>2</v>
      </c>
      <c r="K177" s="5">
        <v>3</v>
      </c>
      <c r="L177" s="5">
        <v>3</v>
      </c>
      <c r="M177" s="5">
        <v>1</v>
      </c>
      <c r="N177" s="5">
        <v>2</v>
      </c>
      <c r="O177" s="5">
        <v>35</v>
      </c>
      <c r="P177" s="5" t="s">
        <v>981</v>
      </c>
      <c r="Q177" s="5">
        <v>1</v>
      </c>
      <c r="R177" s="5">
        <v>4</v>
      </c>
      <c r="S177" s="5">
        <v>1</v>
      </c>
      <c r="T177" s="5">
        <v>6</v>
      </c>
      <c r="U177" s="5" t="s">
        <v>981</v>
      </c>
      <c r="V177" s="5">
        <v>2</v>
      </c>
      <c r="W177" s="5">
        <v>1</v>
      </c>
      <c r="X177" s="5">
        <v>2</v>
      </c>
      <c r="Y177" s="5">
        <v>5</v>
      </c>
      <c r="Z177" s="5" t="s">
        <v>982</v>
      </c>
      <c r="AA177" s="5">
        <v>1</v>
      </c>
      <c r="AB177" s="5">
        <v>1</v>
      </c>
      <c r="AC177" s="5">
        <v>0</v>
      </c>
      <c r="AD177" s="5">
        <v>0</v>
      </c>
      <c r="AE177" s="5">
        <v>2</v>
      </c>
      <c r="AF177" s="5" t="s">
        <v>982</v>
      </c>
      <c r="AG177" s="5">
        <v>2</v>
      </c>
      <c r="AH177" s="5">
        <v>4</v>
      </c>
      <c r="AI177" s="5">
        <v>4</v>
      </c>
      <c r="AJ177" s="5">
        <v>10</v>
      </c>
      <c r="AK177" s="5" t="s">
        <v>981</v>
      </c>
      <c r="AL177" s="5">
        <v>2</v>
      </c>
      <c r="AM177" s="5">
        <v>2</v>
      </c>
      <c r="AN177" s="5">
        <v>2</v>
      </c>
      <c r="AO177" s="5">
        <v>6</v>
      </c>
      <c r="AP177" s="5" t="s">
        <v>981</v>
      </c>
      <c r="AQ177" s="5">
        <v>0</v>
      </c>
      <c r="AR177" s="5">
        <v>1</v>
      </c>
      <c r="AS177" s="5">
        <v>0</v>
      </c>
      <c r="AT177" s="5">
        <v>0</v>
      </c>
      <c r="AU177" s="5">
        <v>0</v>
      </c>
      <c r="AV177" s="5">
        <v>0</v>
      </c>
      <c r="AW177" s="5">
        <v>1</v>
      </c>
      <c r="AX177" s="5">
        <v>2</v>
      </c>
      <c r="AY177" s="5" t="s">
        <v>982</v>
      </c>
      <c r="AZ177" s="1">
        <v>1</v>
      </c>
      <c r="BA177" s="1">
        <v>0</v>
      </c>
      <c r="BB177" s="1">
        <v>0</v>
      </c>
      <c r="BC177" s="1">
        <v>1</v>
      </c>
      <c r="BD177" s="1">
        <v>1</v>
      </c>
      <c r="BE177" s="1">
        <v>1</v>
      </c>
      <c r="BF177" s="1">
        <v>53</v>
      </c>
      <c r="BG177" s="1">
        <v>1</v>
      </c>
      <c r="BH177" s="1">
        <v>14</v>
      </c>
      <c r="BI177" s="1">
        <v>3</v>
      </c>
      <c r="BJ177" s="1">
        <v>1100000</v>
      </c>
      <c r="BK177" s="1">
        <v>2</v>
      </c>
    </row>
    <row r="178" spans="1:63" ht="12.75" customHeight="1" x14ac:dyDescent="0.15">
      <c r="A178" s="5" t="s">
        <v>238</v>
      </c>
      <c r="B178" s="5" t="s">
        <v>238</v>
      </c>
      <c r="C178" s="5">
        <v>1</v>
      </c>
      <c r="D178" s="5">
        <v>2</v>
      </c>
      <c r="E178" s="5">
        <v>2</v>
      </c>
      <c r="F178" s="5">
        <v>2</v>
      </c>
      <c r="G178" s="5">
        <v>1</v>
      </c>
      <c r="H178" s="5">
        <v>1</v>
      </c>
      <c r="I178" s="5">
        <v>1</v>
      </c>
      <c r="J178" s="5">
        <v>1</v>
      </c>
      <c r="K178" s="5">
        <v>1</v>
      </c>
      <c r="L178" s="5">
        <v>1</v>
      </c>
      <c r="M178" s="5">
        <v>1</v>
      </c>
      <c r="N178" s="5">
        <v>1</v>
      </c>
      <c r="O178" s="5">
        <v>15</v>
      </c>
      <c r="P178" s="5" t="s">
        <v>983</v>
      </c>
      <c r="Q178" s="5">
        <v>1</v>
      </c>
      <c r="R178" s="5">
        <v>1</v>
      </c>
      <c r="S178" s="5">
        <v>1</v>
      </c>
      <c r="T178" s="5">
        <v>3</v>
      </c>
      <c r="U178" s="5" t="s">
        <v>982</v>
      </c>
      <c r="V178" s="5">
        <v>0</v>
      </c>
      <c r="W178" s="5">
        <v>0</v>
      </c>
      <c r="X178" s="5">
        <v>1</v>
      </c>
      <c r="Y178" s="5">
        <v>1</v>
      </c>
      <c r="Z178" s="5" t="s">
        <v>983</v>
      </c>
      <c r="AA178" s="5">
        <v>4</v>
      </c>
      <c r="AB178" s="5">
        <v>4</v>
      </c>
      <c r="AC178" s="5">
        <v>3</v>
      </c>
      <c r="AD178" s="5">
        <v>4</v>
      </c>
      <c r="AE178" s="5">
        <v>15</v>
      </c>
      <c r="AF178" s="5" t="s">
        <v>981</v>
      </c>
      <c r="AG178" s="5">
        <v>0</v>
      </c>
      <c r="AH178" s="5">
        <v>0</v>
      </c>
      <c r="AI178" s="5">
        <v>0</v>
      </c>
      <c r="AJ178" s="5">
        <v>0</v>
      </c>
      <c r="AK178" s="5" t="s">
        <v>983</v>
      </c>
      <c r="AL178" s="5">
        <v>0</v>
      </c>
      <c r="AM178" s="5">
        <v>0</v>
      </c>
      <c r="AN178" s="5">
        <v>0</v>
      </c>
      <c r="AO178" s="5">
        <v>0</v>
      </c>
      <c r="AP178" s="5" t="s">
        <v>983</v>
      </c>
      <c r="AQ178" s="5">
        <v>0</v>
      </c>
      <c r="AR178" s="5">
        <v>0</v>
      </c>
      <c r="AS178" s="5">
        <v>0</v>
      </c>
      <c r="AT178" s="5">
        <v>0</v>
      </c>
      <c r="AU178" s="5">
        <v>0</v>
      </c>
      <c r="AV178" s="5">
        <v>0</v>
      </c>
      <c r="AW178" s="5">
        <v>0</v>
      </c>
      <c r="AX178" s="5">
        <v>0</v>
      </c>
      <c r="AY178" s="5" t="s">
        <v>983</v>
      </c>
      <c r="AZ178" s="1">
        <v>1</v>
      </c>
      <c r="BA178" s="1">
        <v>0</v>
      </c>
      <c r="BB178" s="1">
        <v>0</v>
      </c>
      <c r="BC178" s="1">
        <v>1</v>
      </c>
      <c r="BD178" s="1">
        <v>1</v>
      </c>
      <c r="BE178" s="1">
        <v>1</v>
      </c>
      <c r="BF178" s="1">
        <v>42</v>
      </c>
      <c r="BG178" s="1">
        <v>1</v>
      </c>
      <c r="BH178" s="1">
        <v>15</v>
      </c>
      <c r="BI178" s="1">
        <v>29</v>
      </c>
      <c r="BJ178" s="1">
        <v>1000000</v>
      </c>
      <c r="BK178" s="1">
        <v>1</v>
      </c>
    </row>
    <row r="179" spans="1:63" ht="12.75" customHeight="1" x14ac:dyDescent="0.15">
      <c r="A179" s="5" t="s">
        <v>238</v>
      </c>
      <c r="B179" s="5" t="s">
        <v>238</v>
      </c>
      <c r="C179" s="5">
        <v>1</v>
      </c>
      <c r="D179" s="5">
        <v>2</v>
      </c>
      <c r="E179" s="5">
        <v>1</v>
      </c>
      <c r="F179" s="5">
        <v>1</v>
      </c>
      <c r="G179" s="5">
        <v>1</v>
      </c>
      <c r="H179" s="5">
        <v>1</v>
      </c>
      <c r="I179" s="5">
        <v>1</v>
      </c>
      <c r="J179" s="5">
        <v>1</v>
      </c>
      <c r="K179" s="5">
        <v>1</v>
      </c>
      <c r="L179" s="5">
        <v>1</v>
      </c>
      <c r="M179" s="5">
        <v>1</v>
      </c>
      <c r="N179" s="5">
        <v>1</v>
      </c>
      <c r="O179" s="5">
        <v>13</v>
      </c>
      <c r="P179" s="5" t="s">
        <v>983</v>
      </c>
      <c r="Q179" s="5">
        <v>1</v>
      </c>
      <c r="R179" s="5">
        <v>0</v>
      </c>
      <c r="S179" s="5">
        <v>0</v>
      </c>
      <c r="T179" s="5">
        <v>1</v>
      </c>
      <c r="U179" s="5" t="s">
        <v>983</v>
      </c>
      <c r="V179" s="5">
        <v>0</v>
      </c>
      <c r="W179" s="5">
        <v>1</v>
      </c>
      <c r="X179" s="5">
        <v>0</v>
      </c>
      <c r="Y179" s="5">
        <v>1</v>
      </c>
      <c r="Z179" s="5" t="s">
        <v>983</v>
      </c>
      <c r="AA179" s="5">
        <v>4</v>
      </c>
      <c r="AB179" s="5">
        <v>3</v>
      </c>
      <c r="AC179" s="5">
        <v>0</v>
      </c>
      <c r="AD179" s="5">
        <v>0</v>
      </c>
      <c r="AE179" s="5">
        <v>7</v>
      </c>
      <c r="AF179" s="5" t="s">
        <v>981</v>
      </c>
      <c r="AG179" s="5">
        <v>1</v>
      </c>
      <c r="AH179" s="5">
        <v>0</v>
      </c>
      <c r="AI179" s="5">
        <v>0</v>
      </c>
      <c r="AJ179" s="5">
        <v>1</v>
      </c>
      <c r="AK179" s="5" t="s">
        <v>983</v>
      </c>
      <c r="AL179" s="5">
        <v>1</v>
      </c>
      <c r="AM179" s="5">
        <v>0</v>
      </c>
      <c r="AN179" s="5">
        <v>0</v>
      </c>
      <c r="AO179" s="5">
        <v>1</v>
      </c>
      <c r="AP179" s="5" t="s">
        <v>983</v>
      </c>
      <c r="AQ179" s="5">
        <v>0</v>
      </c>
      <c r="AR179" s="5">
        <v>0</v>
      </c>
      <c r="AS179" s="5">
        <v>0</v>
      </c>
      <c r="AT179" s="5">
        <v>0</v>
      </c>
      <c r="AU179" s="5">
        <v>0</v>
      </c>
      <c r="AV179" s="5">
        <v>0</v>
      </c>
      <c r="AW179" s="5">
        <v>0</v>
      </c>
      <c r="AX179" s="5">
        <v>0</v>
      </c>
      <c r="AY179" s="5" t="s">
        <v>983</v>
      </c>
      <c r="AZ179" s="1">
        <v>1</v>
      </c>
      <c r="BA179" s="1">
        <v>0</v>
      </c>
      <c r="BB179" s="1">
        <v>0</v>
      </c>
      <c r="BC179" s="1">
        <v>0</v>
      </c>
      <c r="BD179" s="1">
        <v>0</v>
      </c>
      <c r="BE179" s="1">
        <v>0</v>
      </c>
      <c r="BF179" s="1">
        <v>42</v>
      </c>
      <c r="BG179" s="1">
        <v>1</v>
      </c>
      <c r="BH179" s="1">
        <v>16</v>
      </c>
      <c r="BI179" s="1">
        <v>3</v>
      </c>
      <c r="BJ179" s="1">
        <v>12000000</v>
      </c>
      <c r="BK179" s="1">
        <v>2</v>
      </c>
    </row>
    <row r="180" spans="1:63" ht="12.75" customHeight="1" x14ac:dyDescent="0.15">
      <c r="A180" s="5" t="s">
        <v>238</v>
      </c>
      <c r="B180" s="5" t="s">
        <v>238</v>
      </c>
      <c r="C180" s="5">
        <v>2</v>
      </c>
      <c r="D180" s="5">
        <v>2</v>
      </c>
      <c r="E180" s="5">
        <v>1</v>
      </c>
      <c r="F180" s="5">
        <v>2</v>
      </c>
      <c r="G180" s="5">
        <v>1</v>
      </c>
      <c r="H180" s="5">
        <v>1</v>
      </c>
      <c r="I180" s="5">
        <v>1</v>
      </c>
      <c r="J180" s="5">
        <v>2</v>
      </c>
      <c r="K180" s="5">
        <v>2</v>
      </c>
      <c r="L180" s="5">
        <v>2</v>
      </c>
      <c r="M180" s="5">
        <v>2</v>
      </c>
      <c r="N180" s="5">
        <v>2</v>
      </c>
      <c r="O180" s="5">
        <v>20</v>
      </c>
      <c r="P180" s="5" t="s">
        <v>982</v>
      </c>
      <c r="Q180" s="5">
        <v>2</v>
      </c>
      <c r="R180" s="5">
        <v>1</v>
      </c>
      <c r="S180" s="5">
        <v>2</v>
      </c>
      <c r="T180" s="5">
        <v>5</v>
      </c>
      <c r="U180" s="5" t="s">
        <v>981</v>
      </c>
      <c r="V180" s="5">
        <v>1</v>
      </c>
      <c r="W180" s="5">
        <v>0</v>
      </c>
      <c r="X180" s="5">
        <v>1</v>
      </c>
      <c r="Y180" s="5">
        <v>2</v>
      </c>
      <c r="Z180" s="5" t="s">
        <v>982</v>
      </c>
      <c r="AA180" s="5">
        <v>2</v>
      </c>
      <c r="AB180" s="5">
        <v>2</v>
      </c>
      <c r="AC180" s="5">
        <v>3</v>
      </c>
      <c r="AD180" s="5">
        <v>2</v>
      </c>
      <c r="AE180" s="5">
        <v>9</v>
      </c>
      <c r="AF180" s="5" t="s">
        <v>981</v>
      </c>
      <c r="AG180" s="5">
        <v>2</v>
      </c>
      <c r="AH180" s="5">
        <v>2</v>
      </c>
      <c r="AI180" s="5">
        <v>4</v>
      </c>
      <c r="AJ180" s="5">
        <v>8</v>
      </c>
      <c r="AK180" s="5" t="s">
        <v>981</v>
      </c>
      <c r="AL180" s="5">
        <v>4</v>
      </c>
      <c r="AM180" s="5">
        <v>4</v>
      </c>
      <c r="AN180" s="5">
        <v>4</v>
      </c>
      <c r="AO180" s="5">
        <v>12</v>
      </c>
      <c r="AP180" s="5" t="s">
        <v>981</v>
      </c>
      <c r="AQ180" s="5">
        <v>0</v>
      </c>
      <c r="AR180" s="5">
        <v>0</v>
      </c>
      <c r="AS180" s="5">
        <v>0</v>
      </c>
      <c r="AT180" s="5">
        <v>0</v>
      </c>
      <c r="AU180" s="5">
        <v>1</v>
      </c>
      <c r="AV180" s="5">
        <v>0</v>
      </c>
      <c r="AW180" s="5">
        <v>0</v>
      </c>
      <c r="AX180" s="5">
        <v>1</v>
      </c>
      <c r="AY180" s="5" t="s">
        <v>982</v>
      </c>
      <c r="AZ180" s="1">
        <v>1</v>
      </c>
      <c r="BA180" s="1">
        <v>0</v>
      </c>
      <c r="BB180" s="1">
        <v>1</v>
      </c>
      <c r="BC180" s="1">
        <v>1</v>
      </c>
      <c r="BD180" s="1">
        <v>1</v>
      </c>
      <c r="BE180" s="1">
        <v>1</v>
      </c>
      <c r="BF180" s="1">
        <v>42</v>
      </c>
      <c r="BG180" s="1">
        <v>1</v>
      </c>
      <c r="BH180" s="1">
        <v>16</v>
      </c>
      <c r="BI180" s="1">
        <v>3</v>
      </c>
      <c r="BJ180" s="1">
        <v>12000000</v>
      </c>
      <c r="BK180" s="1">
        <v>2</v>
      </c>
    </row>
    <row r="181" spans="1:63" ht="12.75" customHeight="1" x14ac:dyDescent="0.15">
      <c r="A181" s="5" t="s">
        <v>238</v>
      </c>
      <c r="B181" s="5" t="s">
        <v>238</v>
      </c>
      <c r="C181" s="5">
        <v>1</v>
      </c>
      <c r="D181" s="5">
        <v>1</v>
      </c>
      <c r="E181" s="5">
        <v>2</v>
      </c>
      <c r="F181" s="5">
        <v>1</v>
      </c>
      <c r="G181" s="5">
        <v>1</v>
      </c>
      <c r="H181" s="5">
        <v>1</v>
      </c>
      <c r="I181" s="5">
        <v>1</v>
      </c>
      <c r="J181" s="5">
        <v>1</v>
      </c>
      <c r="K181" s="5">
        <v>1</v>
      </c>
      <c r="L181" s="5">
        <v>1</v>
      </c>
      <c r="M181" s="5">
        <v>1</v>
      </c>
      <c r="N181" s="5">
        <v>1</v>
      </c>
      <c r="O181" s="5">
        <v>13</v>
      </c>
      <c r="P181" s="5" t="s">
        <v>983</v>
      </c>
      <c r="Q181" s="5">
        <v>0</v>
      </c>
      <c r="R181" s="5">
        <v>0</v>
      </c>
      <c r="S181" s="5">
        <v>0</v>
      </c>
      <c r="T181" s="5">
        <v>0</v>
      </c>
      <c r="U181" s="5" t="s">
        <v>983</v>
      </c>
      <c r="V181" s="5">
        <v>1</v>
      </c>
      <c r="W181" s="5">
        <v>1</v>
      </c>
      <c r="X181" s="5">
        <v>1</v>
      </c>
      <c r="Y181" s="5">
        <v>3</v>
      </c>
      <c r="Z181" s="5" t="s">
        <v>982</v>
      </c>
      <c r="AA181" s="5">
        <v>3</v>
      </c>
      <c r="AB181" s="5">
        <v>2</v>
      </c>
      <c r="AC181" s="5">
        <v>0</v>
      </c>
      <c r="AD181" s="5">
        <v>0</v>
      </c>
      <c r="AE181" s="5">
        <v>5</v>
      </c>
      <c r="AF181" s="5" t="s">
        <v>981</v>
      </c>
      <c r="AG181" s="5">
        <v>0</v>
      </c>
      <c r="AH181" s="5">
        <v>0</v>
      </c>
      <c r="AI181" s="5">
        <v>0</v>
      </c>
      <c r="AJ181" s="5">
        <v>0</v>
      </c>
      <c r="AK181" s="5" t="s">
        <v>983</v>
      </c>
      <c r="AL181" s="5">
        <v>0</v>
      </c>
      <c r="AM181" s="5">
        <v>0</v>
      </c>
      <c r="AN181" s="5">
        <v>0</v>
      </c>
      <c r="AO181" s="5">
        <v>0</v>
      </c>
      <c r="AP181" s="5" t="s">
        <v>983</v>
      </c>
      <c r="AQ181" s="5">
        <v>0</v>
      </c>
      <c r="AR181" s="5">
        <v>0</v>
      </c>
      <c r="AS181" s="5">
        <v>0</v>
      </c>
      <c r="AT181" s="5">
        <v>0</v>
      </c>
      <c r="AU181" s="5">
        <v>0</v>
      </c>
      <c r="AV181" s="5">
        <v>0</v>
      </c>
      <c r="AW181" s="5">
        <v>0</v>
      </c>
      <c r="AX181" s="5">
        <v>0</v>
      </c>
      <c r="AY181" s="5" t="s">
        <v>983</v>
      </c>
      <c r="AZ181" s="1">
        <v>1</v>
      </c>
      <c r="BA181" s="1">
        <v>0</v>
      </c>
      <c r="BB181" s="1">
        <v>1</v>
      </c>
      <c r="BC181" s="1">
        <v>1</v>
      </c>
      <c r="BD181" s="1">
        <v>1</v>
      </c>
      <c r="BE181" s="1">
        <v>1</v>
      </c>
      <c r="BF181" s="1">
        <v>36</v>
      </c>
      <c r="BG181" s="1">
        <v>0</v>
      </c>
      <c r="BH181" s="1">
        <v>14</v>
      </c>
      <c r="BI181" s="1">
        <v>34</v>
      </c>
      <c r="BJ181" s="1">
        <v>500000</v>
      </c>
      <c r="BK181" s="1">
        <v>4</v>
      </c>
    </row>
    <row r="182" spans="1:63" ht="12.75" customHeight="1" x14ac:dyDescent="0.15">
      <c r="A182" s="5" t="s">
        <v>238</v>
      </c>
      <c r="B182" s="5" t="s">
        <v>238</v>
      </c>
      <c r="C182" s="5">
        <v>2</v>
      </c>
      <c r="D182" s="5">
        <v>1</v>
      </c>
      <c r="E182" s="5">
        <v>1</v>
      </c>
      <c r="F182" s="5">
        <v>2</v>
      </c>
      <c r="G182" s="5">
        <v>1</v>
      </c>
      <c r="H182" s="5">
        <v>2</v>
      </c>
      <c r="I182" s="5">
        <v>1</v>
      </c>
      <c r="J182" s="5">
        <v>4</v>
      </c>
      <c r="K182" s="5">
        <v>2</v>
      </c>
      <c r="L182" s="5">
        <v>1</v>
      </c>
      <c r="M182" s="5">
        <v>1</v>
      </c>
      <c r="N182" s="5">
        <v>1</v>
      </c>
      <c r="O182" s="5">
        <v>19</v>
      </c>
      <c r="P182" s="5" t="s">
        <v>982</v>
      </c>
      <c r="Q182" s="5">
        <v>0</v>
      </c>
      <c r="R182" s="5">
        <v>0</v>
      </c>
      <c r="S182" s="5">
        <v>0</v>
      </c>
      <c r="T182" s="5">
        <v>0</v>
      </c>
      <c r="U182" s="5" t="s">
        <v>983</v>
      </c>
      <c r="V182" s="5">
        <v>0</v>
      </c>
      <c r="W182" s="5">
        <v>0</v>
      </c>
      <c r="X182" s="5">
        <v>1</v>
      </c>
      <c r="Y182" s="5">
        <v>1</v>
      </c>
      <c r="Z182" s="5" t="s">
        <v>983</v>
      </c>
      <c r="AA182" s="5">
        <v>3</v>
      </c>
      <c r="AB182" s="5">
        <v>3</v>
      </c>
      <c r="AC182" s="5">
        <v>4</v>
      </c>
      <c r="AD182" s="5">
        <v>4</v>
      </c>
      <c r="AE182" s="5">
        <v>14</v>
      </c>
      <c r="AF182" s="5" t="s">
        <v>981</v>
      </c>
      <c r="AG182" s="5">
        <v>1</v>
      </c>
      <c r="AH182" s="5">
        <v>2</v>
      </c>
      <c r="AI182" s="5">
        <v>1</v>
      </c>
      <c r="AJ182" s="5">
        <v>4</v>
      </c>
      <c r="AK182" s="5" t="s">
        <v>982</v>
      </c>
      <c r="AL182" s="5">
        <v>0</v>
      </c>
      <c r="AM182" s="5">
        <v>0</v>
      </c>
      <c r="AN182" s="5">
        <v>0</v>
      </c>
      <c r="AO182" s="5">
        <v>0</v>
      </c>
      <c r="AP182" s="5" t="s">
        <v>983</v>
      </c>
      <c r="AQ182" s="5">
        <v>0</v>
      </c>
      <c r="AR182" s="5">
        <v>0</v>
      </c>
      <c r="AS182" s="5">
        <v>4</v>
      </c>
      <c r="AT182" s="5">
        <v>0</v>
      </c>
      <c r="AU182" s="5">
        <v>0</v>
      </c>
      <c r="AV182" s="5">
        <v>0</v>
      </c>
      <c r="AW182" s="5">
        <v>0</v>
      </c>
      <c r="AX182" s="5">
        <v>4</v>
      </c>
      <c r="AY182" s="5" t="s">
        <v>982</v>
      </c>
      <c r="AZ182" s="1">
        <v>1</v>
      </c>
      <c r="BA182" s="1">
        <v>0</v>
      </c>
      <c r="BB182" s="1">
        <v>0</v>
      </c>
      <c r="BC182" s="1">
        <v>1</v>
      </c>
      <c r="BD182" s="1">
        <v>1</v>
      </c>
      <c r="BE182" s="1">
        <v>1</v>
      </c>
      <c r="BF182" s="1">
        <v>36</v>
      </c>
      <c r="BG182" s="1">
        <v>0</v>
      </c>
      <c r="BH182" s="1">
        <v>14</v>
      </c>
      <c r="BI182" s="1">
        <v>34</v>
      </c>
      <c r="BJ182" s="1">
        <v>500000</v>
      </c>
      <c r="BK182" s="1">
        <v>4</v>
      </c>
    </row>
    <row r="183" spans="1:63" ht="12.75" customHeight="1" x14ac:dyDescent="0.15">
      <c r="A183" s="5" t="s">
        <v>238</v>
      </c>
      <c r="B183" s="5" t="s">
        <v>238</v>
      </c>
      <c r="C183" s="5">
        <v>1</v>
      </c>
      <c r="D183" s="5">
        <v>1</v>
      </c>
      <c r="E183" s="5">
        <v>2</v>
      </c>
      <c r="F183" s="5">
        <v>2</v>
      </c>
      <c r="G183" s="5">
        <v>3</v>
      </c>
      <c r="H183" s="5">
        <v>1</v>
      </c>
      <c r="I183" s="5">
        <v>1</v>
      </c>
      <c r="J183" s="5">
        <v>1</v>
      </c>
      <c r="K183" s="5">
        <v>1</v>
      </c>
      <c r="L183" s="5">
        <v>2</v>
      </c>
      <c r="M183" s="5">
        <v>2</v>
      </c>
      <c r="N183" s="5">
        <v>2</v>
      </c>
      <c r="O183" s="5">
        <v>19</v>
      </c>
      <c r="P183" s="5" t="s">
        <v>982</v>
      </c>
      <c r="Q183" s="5">
        <v>3</v>
      </c>
      <c r="R183" s="5">
        <v>3</v>
      </c>
      <c r="S183" s="5">
        <v>2</v>
      </c>
      <c r="T183" s="5">
        <v>8</v>
      </c>
      <c r="U183" s="5" t="s">
        <v>981</v>
      </c>
      <c r="V183" s="5">
        <v>2</v>
      </c>
      <c r="W183" s="5">
        <v>2</v>
      </c>
      <c r="X183" s="5">
        <v>2</v>
      </c>
      <c r="Y183" s="5">
        <v>6</v>
      </c>
      <c r="Z183" s="5" t="s">
        <v>981</v>
      </c>
      <c r="AA183" s="5">
        <v>0</v>
      </c>
      <c r="AB183" s="5">
        <v>1</v>
      </c>
      <c r="AC183" s="5">
        <v>1</v>
      </c>
      <c r="AD183" s="5">
        <v>1</v>
      </c>
      <c r="AE183" s="5">
        <v>3</v>
      </c>
      <c r="AF183" s="5" t="s">
        <v>982</v>
      </c>
      <c r="AG183" s="5">
        <v>3</v>
      </c>
      <c r="AH183" s="5">
        <v>0</v>
      </c>
      <c r="AI183" s="5">
        <v>0</v>
      </c>
      <c r="AJ183" s="5">
        <v>3</v>
      </c>
      <c r="AK183" s="5" t="s">
        <v>982</v>
      </c>
      <c r="AL183" s="5">
        <v>0</v>
      </c>
      <c r="AM183" s="5">
        <v>0</v>
      </c>
      <c r="AN183" s="5">
        <v>0</v>
      </c>
      <c r="AO183" s="5">
        <v>0</v>
      </c>
      <c r="AP183" s="5" t="s">
        <v>983</v>
      </c>
      <c r="AQ183" s="5">
        <v>0</v>
      </c>
      <c r="AR183" s="5">
        <v>0</v>
      </c>
      <c r="AS183" s="5">
        <v>0</v>
      </c>
      <c r="AT183" s="5">
        <v>0</v>
      </c>
      <c r="AU183" s="5">
        <v>0</v>
      </c>
      <c r="AV183" s="5">
        <v>0</v>
      </c>
      <c r="AW183" s="5">
        <v>0</v>
      </c>
      <c r="AX183" s="5">
        <v>0</v>
      </c>
      <c r="AY183" s="5" t="s">
        <v>983</v>
      </c>
      <c r="AZ183" s="1">
        <v>1</v>
      </c>
      <c r="BA183" s="1">
        <v>0</v>
      </c>
      <c r="BB183" s="1">
        <v>1</v>
      </c>
      <c r="BC183" s="1">
        <v>1</v>
      </c>
      <c r="BD183" s="1">
        <v>1</v>
      </c>
      <c r="BE183" s="1">
        <v>1</v>
      </c>
      <c r="BF183" s="1">
        <v>22</v>
      </c>
      <c r="BG183" s="1">
        <v>0</v>
      </c>
      <c r="BH183" s="1">
        <v>17</v>
      </c>
      <c r="BI183" s="1">
        <v>6</v>
      </c>
      <c r="BJ183" s="1">
        <v>200000</v>
      </c>
      <c r="BK183" s="1">
        <v>2</v>
      </c>
    </row>
    <row r="184" spans="1:63" ht="12.75" customHeight="1" x14ac:dyDescent="0.15">
      <c r="A184" s="5" t="s">
        <v>238</v>
      </c>
      <c r="B184" s="5" t="s">
        <v>238</v>
      </c>
      <c r="C184" s="5">
        <v>1</v>
      </c>
      <c r="D184" s="5">
        <v>2</v>
      </c>
      <c r="E184" s="5">
        <v>2</v>
      </c>
      <c r="F184" s="5">
        <v>2</v>
      </c>
      <c r="G184" s="5">
        <v>2</v>
      </c>
      <c r="H184" s="5">
        <v>1</v>
      </c>
      <c r="I184" s="5">
        <v>1</v>
      </c>
      <c r="J184" s="5">
        <v>1</v>
      </c>
      <c r="K184" s="5">
        <v>1</v>
      </c>
      <c r="L184" s="5">
        <v>1</v>
      </c>
      <c r="M184" s="5">
        <v>1</v>
      </c>
      <c r="N184" s="5">
        <v>1</v>
      </c>
      <c r="O184" s="5">
        <v>16</v>
      </c>
      <c r="P184" s="5" t="s">
        <v>983</v>
      </c>
      <c r="Q184" s="5">
        <v>1</v>
      </c>
      <c r="R184" s="5">
        <v>1</v>
      </c>
      <c r="S184" s="5">
        <v>1</v>
      </c>
      <c r="T184" s="5">
        <v>3</v>
      </c>
      <c r="U184" s="5" t="s">
        <v>982</v>
      </c>
      <c r="V184" s="5">
        <v>0</v>
      </c>
      <c r="W184" s="5">
        <v>1</v>
      </c>
      <c r="X184" s="5">
        <v>2</v>
      </c>
      <c r="Y184" s="5">
        <v>3</v>
      </c>
      <c r="Z184" s="5" t="s">
        <v>982</v>
      </c>
      <c r="AA184" s="5">
        <v>0</v>
      </c>
      <c r="AB184" s="5">
        <v>0</v>
      </c>
      <c r="AC184" s="5">
        <v>0</v>
      </c>
      <c r="AD184" s="5">
        <v>0</v>
      </c>
      <c r="AE184" s="5">
        <v>0</v>
      </c>
      <c r="AF184" s="5" t="s">
        <v>983</v>
      </c>
      <c r="AG184" s="5">
        <v>0</v>
      </c>
      <c r="AH184" s="5">
        <v>0</v>
      </c>
      <c r="AI184" s="5">
        <v>0</v>
      </c>
      <c r="AJ184" s="5">
        <v>0</v>
      </c>
      <c r="AK184" s="5" t="s">
        <v>983</v>
      </c>
      <c r="AL184" s="5">
        <v>0</v>
      </c>
      <c r="AM184" s="5">
        <v>0</v>
      </c>
      <c r="AN184" s="5">
        <v>0</v>
      </c>
      <c r="AO184" s="5">
        <v>0</v>
      </c>
      <c r="AP184" s="5" t="s">
        <v>983</v>
      </c>
      <c r="AQ184" s="5">
        <v>0</v>
      </c>
      <c r="AR184" s="5">
        <v>0</v>
      </c>
      <c r="AS184" s="5">
        <v>0</v>
      </c>
      <c r="AT184" s="5">
        <v>0</v>
      </c>
      <c r="AU184" s="5">
        <v>0</v>
      </c>
      <c r="AV184" s="5">
        <v>0</v>
      </c>
      <c r="AW184" s="5">
        <v>0</v>
      </c>
      <c r="AX184" s="5">
        <v>0</v>
      </c>
      <c r="AY184" s="5" t="s">
        <v>983</v>
      </c>
      <c r="AZ184" s="1">
        <v>1</v>
      </c>
      <c r="BA184" s="1">
        <v>0</v>
      </c>
      <c r="BB184" s="1">
        <v>1</v>
      </c>
      <c r="BC184" s="1">
        <v>1</v>
      </c>
      <c r="BD184" s="1">
        <v>0</v>
      </c>
      <c r="BE184" s="1">
        <v>1</v>
      </c>
      <c r="BF184" s="1">
        <v>68</v>
      </c>
      <c r="BG184" s="1">
        <v>0</v>
      </c>
      <c r="BH184" s="1">
        <v>9</v>
      </c>
      <c r="BI184" s="1">
        <v>5</v>
      </c>
      <c r="BJ184" s="1">
        <v>460000</v>
      </c>
      <c r="BK184" s="1">
        <v>1</v>
      </c>
    </row>
    <row r="185" spans="1:63" ht="12.75" customHeight="1" x14ac:dyDescent="0.15">
      <c r="A185" s="5" t="s">
        <v>238</v>
      </c>
      <c r="B185" s="5" t="s">
        <v>238</v>
      </c>
      <c r="C185" s="5">
        <v>2</v>
      </c>
      <c r="D185" s="5">
        <v>1</v>
      </c>
      <c r="E185" s="5">
        <v>1</v>
      </c>
      <c r="F185" s="5">
        <v>1</v>
      </c>
      <c r="G185" s="5">
        <v>1</v>
      </c>
      <c r="H185" s="5">
        <v>1</v>
      </c>
      <c r="I185" s="5">
        <v>1</v>
      </c>
      <c r="J185" s="5">
        <v>1</v>
      </c>
      <c r="K185" s="5">
        <v>1</v>
      </c>
      <c r="L185" s="5">
        <v>2</v>
      </c>
      <c r="M185" s="5">
        <v>1</v>
      </c>
      <c r="N185" s="5">
        <v>1</v>
      </c>
      <c r="O185" s="5">
        <v>14</v>
      </c>
      <c r="P185" s="5" t="s">
        <v>983</v>
      </c>
      <c r="Q185" s="5">
        <v>0</v>
      </c>
      <c r="R185" s="5">
        <v>1</v>
      </c>
      <c r="S185" s="5">
        <v>0</v>
      </c>
      <c r="T185" s="5">
        <v>1</v>
      </c>
      <c r="U185" s="5" t="s">
        <v>983</v>
      </c>
      <c r="V185" s="5">
        <v>2</v>
      </c>
      <c r="W185" s="5">
        <v>3</v>
      </c>
      <c r="X185" s="5">
        <v>2</v>
      </c>
      <c r="Y185" s="5">
        <v>7</v>
      </c>
      <c r="Z185" s="5" t="s">
        <v>981</v>
      </c>
      <c r="AA185" s="5">
        <v>0</v>
      </c>
      <c r="AB185" s="5">
        <v>0</v>
      </c>
      <c r="AC185" s="5">
        <v>0</v>
      </c>
      <c r="AD185" s="5">
        <v>0</v>
      </c>
      <c r="AE185" s="5">
        <v>0</v>
      </c>
      <c r="AF185" s="5" t="s">
        <v>983</v>
      </c>
      <c r="AG185" s="5">
        <v>2</v>
      </c>
      <c r="AH185" s="5">
        <v>4</v>
      </c>
      <c r="AI185" s="5">
        <v>4</v>
      </c>
      <c r="AJ185" s="5">
        <v>10</v>
      </c>
      <c r="AK185" s="5" t="s">
        <v>981</v>
      </c>
      <c r="AL185" s="5">
        <v>1</v>
      </c>
      <c r="AM185" s="5">
        <v>0</v>
      </c>
      <c r="AN185" s="5">
        <v>0</v>
      </c>
      <c r="AO185" s="5">
        <v>1</v>
      </c>
      <c r="AP185" s="5" t="s">
        <v>983</v>
      </c>
      <c r="AQ185" s="5">
        <v>1</v>
      </c>
      <c r="AR185" s="5">
        <v>0</v>
      </c>
      <c r="AS185" s="5">
        <v>0</v>
      </c>
      <c r="AT185" s="5">
        <v>0</v>
      </c>
      <c r="AU185" s="5">
        <v>0</v>
      </c>
      <c r="AV185" s="5">
        <v>0</v>
      </c>
      <c r="AW185" s="5">
        <v>0</v>
      </c>
      <c r="AX185" s="5">
        <v>1</v>
      </c>
      <c r="AY185" s="5" t="s">
        <v>982</v>
      </c>
      <c r="AZ185" s="1">
        <v>0</v>
      </c>
      <c r="BA185" s="1">
        <v>0</v>
      </c>
      <c r="BB185" s="1">
        <v>0</v>
      </c>
      <c r="BC185" s="1">
        <v>1</v>
      </c>
      <c r="BD185" s="1">
        <v>1</v>
      </c>
      <c r="BE185" s="1">
        <v>1</v>
      </c>
      <c r="BF185" s="1">
        <v>33</v>
      </c>
      <c r="BG185" s="1">
        <v>0</v>
      </c>
      <c r="BH185" s="1">
        <v>14</v>
      </c>
      <c r="BI185" s="1">
        <v>1</v>
      </c>
      <c r="BJ185" s="1">
        <v>80000</v>
      </c>
      <c r="BK185" s="1">
        <v>4</v>
      </c>
    </row>
    <row r="186" spans="1:63" ht="12.75" customHeight="1" x14ac:dyDescent="0.15">
      <c r="A186" s="5" t="s">
        <v>238</v>
      </c>
      <c r="B186" s="5" t="s">
        <v>238</v>
      </c>
      <c r="C186" s="5">
        <v>3</v>
      </c>
      <c r="D186" s="5">
        <v>3</v>
      </c>
      <c r="E186" s="5">
        <v>3</v>
      </c>
      <c r="F186" s="5">
        <v>3</v>
      </c>
      <c r="G186" s="5">
        <v>4</v>
      </c>
      <c r="H186" s="5">
        <v>4</v>
      </c>
      <c r="I186" s="5">
        <v>4</v>
      </c>
      <c r="J186" s="5">
        <v>2</v>
      </c>
      <c r="K186" s="5">
        <v>3</v>
      </c>
      <c r="L186" s="5">
        <v>2</v>
      </c>
      <c r="M186" s="5">
        <v>2</v>
      </c>
      <c r="N186" s="5">
        <v>4</v>
      </c>
      <c r="O186" s="5">
        <v>37</v>
      </c>
      <c r="P186" s="5" t="s">
        <v>981</v>
      </c>
      <c r="Q186" s="5">
        <v>3</v>
      </c>
      <c r="R186" s="5">
        <v>3</v>
      </c>
      <c r="S186" s="5">
        <v>0</v>
      </c>
      <c r="T186" s="5">
        <v>6</v>
      </c>
      <c r="U186" s="5" t="s">
        <v>981</v>
      </c>
      <c r="V186" s="5">
        <v>1</v>
      </c>
      <c r="W186" s="5">
        <v>1</v>
      </c>
      <c r="X186" s="5">
        <v>4</v>
      </c>
      <c r="Y186" s="5">
        <v>6</v>
      </c>
      <c r="Z186" s="5" t="s">
        <v>981</v>
      </c>
      <c r="AA186" s="5">
        <v>4</v>
      </c>
      <c r="AB186" s="5">
        <v>4</v>
      </c>
      <c r="AC186" s="5">
        <v>4</v>
      </c>
      <c r="AD186" s="5">
        <v>4</v>
      </c>
      <c r="AE186" s="5">
        <v>16</v>
      </c>
      <c r="AF186" s="5" t="s">
        <v>981</v>
      </c>
      <c r="AG186" s="5">
        <v>0</v>
      </c>
      <c r="AH186" s="5">
        <v>1</v>
      </c>
      <c r="AI186" s="5">
        <v>1</v>
      </c>
      <c r="AJ186" s="5">
        <v>2</v>
      </c>
      <c r="AK186" s="5" t="s">
        <v>983</v>
      </c>
      <c r="AL186" s="5">
        <v>1</v>
      </c>
      <c r="AM186" s="5">
        <v>1</v>
      </c>
      <c r="AN186" s="5">
        <v>1</v>
      </c>
      <c r="AO186" s="5">
        <v>3</v>
      </c>
      <c r="AP186" s="5" t="s">
        <v>982</v>
      </c>
      <c r="AQ186" s="5">
        <v>0</v>
      </c>
      <c r="AR186" s="5">
        <v>0</v>
      </c>
      <c r="AS186" s="5">
        <v>0</v>
      </c>
      <c r="AT186" s="5">
        <v>0</v>
      </c>
      <c r="AU186" s="5">
        <v>0</v>
      </c>
      <c r="AV186" s="5">
        <v>0</v>
      </c>
      <c r="AW186" s="5">
        <v>0</v>
      </c>
      <c r="AX186" s="5">
        <v>0</v>
      </c>
      <c r="AY186" s="5" t="s">
        <v>983</v>
      </c>
      <c r="AZ186" s="1">
        <v>0</v>
      </c>
      <c r="BA186" s="1">
        <v>0</v>
      </c>
      <c r="BB186" s="1">
        <v>0</v>
      </c>
      <c r="BC186" s="1">
        <v>1</v>
      </c>
      <c r="BD186" s="1">
        <v>1</v>
      </c>
      <c r="BE186" s="1">
        <v>1</v>
      </c>
      <c r="BF186" s="1">
        <v>47</v>
      </c>
      <c r="BG186" s="1">
        <v>0</v>
      </c>
      <c r="BH186" s="1">
        <v>14</v>
      </c>
      <c r="BI186" s="1">
        <v>24</v>
      </c>
      <c r="BJ186" s="1">
        <v>700000</v>
      </c>
      <c r="BK186" s="1">
        <v>6</v>
      </c>
    </row>
    <row r="187" spans="1:63" ht="12.75" customHeight="1" x14ac:dyDescent="0.15">
      <c r="A187" s="5" t="s">
        <v>238</v>
      </c>
      <c r="B187" s="5" t="s">
        <v>238</v>
      </c>
      <c r="C187" s="5">
        <v>2</v>
      </c>
      <c r="D187" s="5">
        <v>4</v>
      </c>
      <c r="E187" s="5">
        <v>4</v>
      </c>
      <c r="F187" s="5">
        <v>4</v>
      </c>
      <c r="G187" s="5">
        <v>3</v>
      </c>
      <c r="H187" s="5">
        <v>2</v>
      </c>
      <c r="I187" s="5">
        <v>1</v>
      </c>
      <c r="J187" s="5">
        <v>2</v>
      </c>
      <c r="K187" s="5">
        <v>2</v>
      </c>
      <c r="L187" s="5">
        <v>3</v>
      </c>
      <c r="M187" s="5">
        <v>3</v>
      </c>
      <c r="N187" s="5">
        <v>2</v>
      </c>
      <c r="O187" s="5">
        <v>32</v>
      </c>
      <c r="P187" s="5" t="s">
        <v>981</v>
      </c>
      <c r="Q187" s="5">
        <v>3</v>
      </c>
      <c r="R187" s="5">
        <v>3</v>
      </c>
      <c r="S187" s="5">
        <v>3</v>
      </c>
      <c r="T187" s="5">
        <v>9</v>
      </c>
      <c r="U187" s="5" t="s">
        <v>981</v>
      </c>
      <c r="V187" s="5">
        <v>3</v>
      </c>
      <c r="W187" s="5">
        <v>3</v>
      </c>
      <c r="X187" s="5">
        <v>3</v>
      </c>
      <c r="Y187" s="5">
        <v>9</v>
      </c>
      <c r="Z187" s="5" t="s">
        <v>981</v>
      </c>
      <c r="AA187" s="5">
        <v>1</v>
      </c>
      <c r="AB187" s="5">
        <v>4</v>
      </c>
      <c r="AC187" s="5">
        <v>2</v>
      </c>
      <c r="AD187" s="5">
        <v>2</v>
      </c>
      <c r="AE187" s="5">
        <v>9</v>
      </c>
      <c r="AF187" s="5" t="s">
        <v>981</v>
      </c>
      <c r="AG187" s="5">
        <v>3</v>
      </c>
      <c r="AH187" s="5">
        <v>3</v>
      </c>
      <c r="AI187" s="5">
        <v>3</v>
      </c>
      <c r="AJ187" s="5">
        <v>9</v>
      </c>
      <c r="AK187" s="5" t="s">
        <v>981</v>
      </c>
      <c r="AL187" s="5">
        <v>3</v>
      </c>
      <c r="AM187" s="5">
        <v>3</v>
      </c>
      <c r="AN187" s="5">
        <v>3</v>
      </c>
      <c r="AO187" s="5">
        <v>9</v>
      </c>
      <c r="AP187" s="5" t="s">
        <v>981</v>
      </c>
      <c r="AQ187" s="5">
        <v>1</v>
      </c>
      <c r="AR187" s="5">
        <v>0</v>
      </c>
      <c r="AS187" s="5">
        <v>0</v>
      </c>
      <c r="AT187" s="5">
        <v>0</v>
      </c>
      <c r="AU187" s="5">
        <v>0</v>
      </c>
      <c r="AV187" s="5">
        <v>0</v>
      </c>
      <c r="AW187" s="5">
        <v>1</v>
      </c>
      <c r="AX187" s="5">
        <v>2</v>
      </c>
      <c r="AY187" s="5" t="s">
        <v>982</v>
      </c>
      <c r="AZ187" s="1">
        <v>0</v>
      </c>
      <c r="BA187" s="1">
        <v>0</v>
      </c>
      <c r="BB187" s="1">
        <v>0</v>
      </c>
      <c r="BC187" s="1">
        <v>1</v>
      </c>
      <c r="BD187" s="1">
        <v>1</v>
      </c>
      <c r="BE187" s="1">
        <v>1</v>
      </c>
      <c r="BF187" s="1">
        <v>47</v>
      </c>
      <c r="BG187" s="1">
        <v>0</v>
      </c>
      <c r="BH187" s="1">
        <v>14</v>
      </c>
      <c r="BI187" s="1">
        <v>24</v>
      </c>
      <c r="BJ187" s="1">
        <v>700000</v>
      </c>
      <c r="BK187" s="1">
        <v>6</v>
      </c>
    </row>
    <row r="188" spans="1:63" ht="12.75" customHeight="1" x14ac:dyDescent="0.15">
      <c r="A188" s="5" t="s">
        <v>238</v>
      </c>
      <c r="B188" s="5" t="s">
        <v>238</v>
      </c>
      <c r="C188" s="5">
        <v>2</v>
      </c>
      <c r="D188" s="5">
        <v>3</v>
      </c>
      <c r="E188" s="5">
        <v>2</v>
      </c>
      <c r="F188" s="5">
        <v>1</v>
      </c>
      <c r="G188" s="5">
        <v>2</v>
      </c>
      <c r="H188" s="5">
        <v>2</v>
      </c>
      <c r="I188" s="5">
        <v>1</v>
      </c>
      <c r="J188" s="5">
        <v>2</v>
      </c>
      <c r="K188" s="5">
        <v>2</v>
      </c>
      <c r="L188" s="5">
        <v>2</v>
      </c>
      <c r="M188" s="5">
        <v>2</v>
      </c>
      <c r="N188" s="5">
        <v>2</v>
      </c>
      <c r="O188" s="5">
        <v>23</v>
      </c>
      <c r="P188" s="5" t="s">
        <v>982</v>
      </c>
      <c r="Q188" s="5">
        <v>1</v>
      </c>
      <c r="R188" s="5">
        <v>2</v>
      </c>
      <c r="S188" s="5">
        <v>0</v>
      </c>
      <c r="T188" s="5">
        <v>3</v>
      </c>
      <c r="U188" s="5" t="s">
        <v>982</v>
      </c>
      <c r="V188" s="5">
        <v>1</v>
      </c>
      <c r="W188" s="5">
        <v>2</v>
      </c>
      <c r="X188" s="5">
        <v>1</v>
      </c>
      <c r="Y188" s="5">
        <v>4</v>
      </c>
      <c r="Z188" s="5" t="s">
        <v>982</v>
      </c>
      <c r="AA188" s="5">
        <v>2</v>
      </c>
      <c r="AB188" s="5">
        <v>1</v>
      </c>
      <c r="AC188" s="5">
        <v>1</v>
      </c>
      <c r="AD188" s="5">
        <v>1</v>
      </c>
      <c r="AE188" s="5">
        <v>5</v>
      </c>
      <c r="AF188" s="5" t="s">
        <v>981</v>
      </c>
      <c r="AG188" s="5">
        <v>1</v>
      </c>
      <c r="AH188" s="5">
        <v>1</v>
      </c>
      <c r="AI188" s="5">
        <v>1</v>
      </c>
      <c r="AJ188" s="5">
        <v>3</v>
      </c>
      <c r="AK188" s="5" t="s">
        <v>982</v>
      </c>
      <c r="AL188" s="5">
        <v>1</v>
      </c>
      <c r="AM188" s="5">
        <v>1</v>
      </c>
      <c r="AN188" s="5">
        <v>1</v>
      </c>
      <c r="AO188" s="5">
        <v>3</v>
      </c>
      <c r="AP188" s="5" t="s">
        <v>982</v>
      </c>
      <c r="AQ188" s="5">
        <v>0</v>
      </c>
      <c r="AR188" s="5">
        <v>0</v>
      </c>
      <c r="AS188" s="5">
        <v>0</v>
      </c>
      <c r="AT188" s="5">
        <v>0</v>
      </c>
      <c r="AU188" s="5">
        <v>0</v>
      </c>
      <c r="AV188" s="5">
        <v>0</v>
      </c>
      <c r="AW188" s="5">
        <v>0</v>
      </c>
      <c r="AX188" s="5">
        <v>0</v>
      </c>
      <c r="AY188" s="5" t="s">
        <v>983</v>
      </c>
      <c r="AZ188" s="1">
        <v>0</v>
      </c>
      <c r="BA188" s="1">
        <v>0</v>
      </c>
      <c r="BB188" s="1">
        <v>0</v>
      </c>
      <c r="BC188" s="1">
        <v>1</v>
      </c>
      <c r="BD188" s="1">
        <v>1</v>
      </c>
      <c r="BE188" s="1">
        <v>1</v>
      </c>
      <c r="BF188" s="1">
        <v>38</v>
      </c>
      <c r="BG188" s="1">
        <v>1</v>
      </c>
      <c r="BH188" s="1">
        <v>14</v>
      </c>
      <c r="BI188" s="1">
        <v>9</v>
      </c>
      <c r="BJ188" s="1">
        <v>0</v>
      </c>
      <c r="BK188" s="1">
        <v>3</v>
      </c>
    </row>
    <row r="189" spans="1:63" ht="12.75" customHeight="1" x14ac:dyDescent="0.15">
      <c r="A189" s="5" t="s">
        <v>238</v>
      </c>
      <c r="B189" s="5" t="s">
        <v>238</v>
      </c>
      <c r="C189" s="5">
        <v>3</v>
      </c>
      <c r="D189" s="5">
        <v>3</v>
      </c>
      <c r="E189" s="5">
        <v>3</v>
      </c>
      <c r="F189" s="5">
        <v>3</v>
      </c>
      <c r="G189" s="5">
        <v>3</v>
      </c>
      <c r="H189" s="5">
        <v>3</v>
      </c>
      <c r="I189" s="5">
        <v>2</v>
      </c>
      <c r="J189" s="5">
        <v>2</v>
      </c>
      <c r="K189" s="5">
        <v>3</v>
      </c>
      <c r="L189" s="5">
        <v>2</v>
      </c>
      <c r="M189" s="5">
        <v>3</v>
      </c>
      <c r="N189" s="5">
        <v>2</v>
      </c>
      <c r="O189" s="5">
        <v>32</v>
      </c>
      <c r="P189" s="5" t="s">
        <v>981</v>
      </c>
      <c r="Q189" s="5">
        <v>1</v>
      </c>
      <c r="R189" s="5">
        <v>2</v>
      </c>
      <c r="S189" s="5">
        <v>2</v>
      </c>
      <c r="T189" s="5">
        <v>5</v>
      </c>
      <c r="U189" s="5" t="s">
        <v>981</v>
      </c>
      <c r="V189" s="5">
        <v>2</v>
      </c>
      <c r="W189" s="5">
        <v>1</v>
      </c>
      <c r="X189" s="5">
        <v>3</v>
      </c>
      <c r="Y189" s="5">
        <v>6</v>
      </c>
      <c r="Z189" s="5" t="s">
        <v>981</v>
      </c>
      <c r="AA189" s="5">
        <v>3</v>
      </c>
      <c r="AB189" s="5">
        <v>1</v>
      </c>
      <c r="AC189" s="5">
        <v>0</v>
      </c>
      <c r="AD189" s="5">
        <v>0</v>
      </c>
      <c r="AE189" s="5">
        <v>4</v>
      </c>
      <c r="AF189" s="5" t="s">
        <v>982</v>
      </c>
      <c r="AG189" s="5">
        <v>2</v>
      </c>
      <c r="AH189" s="5">
        <v>2</v>
      </c>
      <c r="AI189" s="5">
        <v>1</v>
      </c>
      <c r="AJ189" s="5">
        <v>5</v>
      </c>
      <c r="AK189" s="5" t="s">
        <v>982</v>
      </c>
      <c r="AL189" s="5">
        <v>1</v>
      </c>
      <c r="AM189" s="5">
        <v>1</v>
      </c>
      <c r="AN189" s="5">
        <v>1</v>
      </c>
      <c r="AO189" s="5">
        <v>3</v>
      </c>
      <c r="AP189" s="5" t="s">
        <v>982</v>
      </c>
      <c r="AQ189" s="5">
        <v>0</v>
      </c>
      <c r="AR189" s="5">
        <v>1</v>
      </c>
      <c r="AS189" s="5">
        <v>0</v>
      </c>
      <c r="AT189" s="5">
        <v>0</v>
      </c>
      <c r="AU189" s="5">
        <v>0</v>
      </c>
      <c r="AV189" s="5">
        <v>1</v>
      </c>
      <c r="AW189" s="5">
        <v>1</v>
      </c>
      <c r="AX189" s="5">
        <v>3</v>
      </c>
      <c r="AY189" s="5" t="s">
        <v>982</v>
      </c>
      <c r="AZ189" s="1">
        <v>1</v>
      </c>
      <c r="BA189" s="1">
        <v>1</v>
      </c>
      <c r="BB189" s="1">
        <v>1</v>
      </c>
      <c r="BC189" s="1">
        <v>1</v>
      </c>
      <c r="BD189" s="1">
        <v>1</v>
      </c>
      <c r="BE189" s="1">
        <v>1</v>
      </c>
      <c r="BF189" s="1">
        <v>46</v>
      </c>
      <c r="BG189" s="1">
        <v>0</v>
      </c>
      <c r="BH189" s="1">
        <v>2</v>
      </c>
      <c r="BI189" s="1">
        <v>13</v>
      </c>
      <c r="BJ189" s="1">
        <v>1700000</v>
      </c>
      <c r="BK189" s="1">
        <v>5</v>
      </c>
    </row>
    <row r="190" spans="1:63" ht="12.75" customHeight="1" x14ac:dyDescent="0.15">
      <c r="A190" s="5" t="s">
        <v>337</v>
      </c>
      <c r="B190" s="5" t="s">
        <v>984</v>
      </c>
      <c r="C190" s="5">
        <v>1</v>
      </c>
      <c r="D190" s="5">
        <v>3</v>
      </c>
      <c r="E190" s="5">
        <v>3</v>
      </c>
      <c r="F190" s="5">
        <v>3</v>
      </c>
      <c r="G190" s="5">
        <v>1</v>
      </c>
      <c r="H190" s="5">
        <v>1</v>
      </c>
      <c r="I190" s="5">
        <v>1</v>
      </c>
      <c r="J190" s="5">
        <v>1</v>
      </c>
      <c r="K190" s="5">
        <v>1</v>
      </c>
      <c r="L190" s="5">
        <v>1</v>
      </c>
      <c r="M190" s="5">
        <v>1</v>
      </c>
      <c r="N190" s="5">
        <v>1</v>
      </c>
      <c r="O190" s="5">
        <v>18</v>
      </c>
      <c r="P190" s="5" t="s">
        <v>983</v>
      </c>
      <c r="Q190" s="5">
        <v>3</v>
      </c>
      <c r="R190" s="5">
        <v>2</v>
      </c>
      <c r="S190" s="5">
        <v>1</v>
      </c>
      <c r="T190" s="5">
        <v>6</v>
      </c>
      <c r="U190" s="5" t="s">
        <v>981</v>
      </c>
      <c r="V190" s="5">
        <v>1</v>
      </c>
      <c r="W190" s="5">
        <v>1</v>
      </c>
      <c r="X190" s="5">
        <v>2</v>
      </c>
      <c r="Y190" s="5">
        <v>4</v>
      </c>
      <c r="Z190" s="5" t="s">
        <v>982</v>
      </c>
      <c r="AA190" s="5">
        <v>1</v>
      </c>
      <c r="AB190" s="5">
        <v>1</v>
      </c>
      <c r="AC190" s="5">
        <v>1</v>
      </c>
      <c r="AD190" s="5">
        <v>1</v>
      </c>
      <c r="AE190" s="5">
        <v>4</v>
      </c>
      <c r="AF190" s="5" t="s">
        <v>982</v>
      </c>
      <c r="AG190" s="5">
        <v>3</v>
      </c>
      <c r="AH190" s="5">
        <v>3</v>
      </c>
      <c r="AI190" s="5">
        <v>3</v>
      </c>
      <c r="AJ190" s="5">
        <v>9</v>
      </c>
      <c r="AK190" s="5" t="s">
        <v>981</v>
      </c>
      <c r="AL190" s="5">
        <v>3</v>
      </c>
      <c r="AM190" s="5">
        <v>3</v>
      </c>
      <c r="AN190" s="5">
        <v>3</v>
      </c>
      <c r="AO190" s="5">
        <v>9</v>
      </c>
      <c r="AP190" s="5" t="s">
        <v>981</v>
      </c>
      <c r="AQ190" s="5">
        <v>0</v>
      </c>
      <c r="AR190" s="5">
        <v>0</v>
      </c>
      <c r="AS190" s="5">
        <v>0</v>
      </c>
      <c r="AT190" s="5">
        <v>0</v>
      </c>
      <c r="AU190" s="5">
        <v>0</v>
      </c>
      <c r="AV190" s="5">
        <v>0</v>
      </c>
      <c r="AW190" s="5">
        <v>0</v>
      </c>
      <c r="AX190" s="5">
        <v>0</v>
      </c>
      <c r="AY190" s="5" t="s">
        <v>983</v>
      </c>
      <c r="AZ190" s="1">
        <v>1</v>
      </c>
      <c r="BA190" s="1">
        <v>0</v>
      </c>
      <c r="BB190" s="1">
        <v>1</v>
      </c>
      <c r="BC190" s="1">
        <v>1</v>
      </c>
      <c r="BD190" s="1">
        <v>1</v>
      </c>
      <c r="BE190" s="1">
        <v>1</v>
      </c>
      <c r="BF190" s="1">
        <v>29</v>
      </c>
      <c r="BG190" s="1">
        <v>0</v>
      </c>
      <c r="BH190" s="1">
        <v>15</v>
      </c>
      <c r="BI190" s="1">
        <v>2</v>
      </c>
      <c r="BJ190" s="1">
        <v>250000</v>
      </c>
      <c r="BK190" s="1">
        <v>2</v>
      </c>
    </row>
    <row r="191" spans="1:63" ht="12.75" customHeight="1" x14ac:dyDescent="0.15">
      <c r="A191" s="5" t="s">
        <v>238</v>
      </c>
      <c r="B191" s="5" t="s">
        <v>238</v>
      </c>
      <c r="C191" s="5">
        <v>3</v>
      </c>
      <c r="D191" s="5">
        <v>3</v>
      </c>
      <c r="E191" s="5">
        <v>3</v>
      </c>
      <c r="F191" s="5">
        <v>3</v>
      </c>
      <c r="G191" s="5">
        <v>3</v>
      </c>
      <c r="H191" s="5">
        <v>2</v>
      </c>
      <c r="I191" s="5">
        <v>1</v>
      </c>
      <c r="J191" s="5">
        <v>2</v>
      </c>
      <c r="K191" s="5">
        <v>1</v>
      </c>
      <c r="L191" s="5">
        <v>3</v>
      </c>
      <c r="M191" s="5">
        <v>3</v>
      </c>
      <c r="N191" s="5">
        <v>2</v>
      </c>
      <c r="O191" s="5">
        <v>29</v>
      </c>
      <c r="P191" s="5" t="s">
        <v>981</v>
      </c>
      <c r="Q191" s="5">
        <v>4</v>
      </c>
      <c r="R191" s="5">
        <v>3</v>
      </c>
      <c r="S191" s="5">
        <v>0</v>
      </c>
      <c r="T191" s="5">
        <v>7</v>
      </c>
      <c r="U191" s="5" t="s">
        <v>981</v>
      </c>
      <c r="V191" s="5">
        <v>0</v>
      </c>
      <c r="W191" s="5">
        <v>0</v>
      </c>
      <c r="X191" s="5">
        <v>1</v>
      </c>
      <c r="Y191" s="5">
        <v>1</v>
      </c>
      <c r="Z191" s="5" t="s">
        <v>983</v>
      </c>
      <c r="AA191" s="5">
        <v>1</v>
      </c>
      <c r="AB191" s="5">
        <v>1</v>
      </c>
      <c r="AC191" s="5">
        <v>1</v>
      </c>
      <c r="AD191" s="5">
        <v>1</v>
      </c>
      <c r="AE191" s="5">
        <v>4</v>
      </c>
      <c r="AF191" s="5" t="s">
        <v>982</v>
      </c>
      <c r="AG191" s="5">
        <v>3</v>
      </c>
      <c r="AH191" s="5">
        <v>3</v>
      </c>
      <c r="AI191" s="5">
        <v>0</v>
      </c>
      <c r="AJ191" s="5">
        <v>6</v>
      </c>
      <c r="AK191" s="5" t="s">
        <v>981</v>
      </c>
      <c r="AL191" s="5">
        <v>4</v>
      </c>
      <c r="AM191" s="5">
        <v>4</v>
      </c>
      <c r="AN191" s="5">
        <v>4</v>
      </c>
      <c r="AO191" s="5">
        <v>12</v>
      </c>
      <c r="AP191" s="5" t="s">
        <v>981</v>
      </c>
      <c r="AQ191" s="5">
        <v>0</v>
      </c>
      <c r="AR191" s="5">
        <v>0</v>
      </c>
      <c r="AS191" s="5">
        <v>0</v>
      </c>
      <c r="AT191" s="5">
        <v>0</v>
      </c>
      <c r="AU191" s="5">
        <v>0</v>
      </c>
      <c r="AV191" s="5">
        <v>0</v>
      </c>
      <c r="AW191" s="5">
        <v>0</v>
      </c>
      <c r="AX191" s="5">
        <v>0</v>
      </c>
      <c r="AY191" s="5" t="s">
        <v>983</v>
      </c>
      <c r="AZ191" s="1">
        <v>0</v>
      </c>
      <c r="BA191" s="1">
        <v>0</v>
      </c>
      <c r="BB191" s="1">
        <v>0</v>
      </c>
      <c r="BC191" s="1">
        <v>1</v>
      </c>
      <c r="BD191" s="1">
        <v>1</v>
      </c>
      <c r="BE191" s="1">
        <v>1</v>
      </c>
      <c r="BF191" s="1">
        <v>34</v>
      </c>
      <c r="BG191" s="1">
        <v>0</v>
      </c>
      <c r="BH191" s="1">
        <v>16</v>
      </c>
      <c r="BI191" s="1">
        <v>4</v>
      </c>
      <c r="BJ191" s="1">
        <v>0</v>
      </c>
      <c r="BK191" s="1">
        <v>2</v>
      </c>
    </row>
    <row r="192" spans="1:63" ht="12.75" customHeight="1" x14ac:dyDescent="0.15">
      <c r="A192" s="5" t="s">
        <v>238</v>
      </c>
      <c r="B192" s="5" t="s">
        <v>238</v>
      </c>
      <c r="C192" s="5">
        <v>1</v>
      </c>
      <c r="D192" s="5">
        <v>3</v>
      </c>
      <c r="E192" s="5">
        <v>3</v>
      </c>
      <c r="F192" s="5">
        <v>1</v>
      </c>
      <c r="G192" s="5">
        <v>1</v>
      </c>
      <c r="H192" s="5">
        <v>1</v>
      </c>
      <c r="I192" s="5">
        <v>1</v>
      </c>
      <c r="J192" s="5">
        <v>1</v>
      </c>
      <c r="K192" s="5">
        <v>1</v>
      </c>
      <c r="L192" s="5">
        <v>3</v>
      </c>
      <c r="M192" s="5">
        <v>1</v>
      </c>
      <c r="N192" s="5">
        <v>1</v>
      </c>
      <c r="O192" s="5">
        <v>18</v>
      </c>
      <c r="P192" s="5" t="s">
        <v>983</v>
      </c>
      <c r="Q192" s="5">
        <v>2</v>
      </c>
      <c r="R192" s="5">
        <v>2</v>
      </c>
      <c r="S192" s="5">
        <v>2</v>
      </c>
      <c r="T192" s="5">
        <v>6</v>
      </c>
      <c r="U192" s="5" t="s">
        <v>981</v>
      </c>
      <c r="V192" s="5">
        <v>2</v>
      </c>
      <c r="W192" s="5">
        <v>3</v>
      </c>
      <c r="X192" s="5">
        <v>2</v>
      </c>
      <c r="Y192" s="5">
        <v>7</v>
      </c>
      <c r="Z192" s="5" t="s">
        <v>981</v>
      </c>
      <c r="AA192" s="5">
        <v>1</v>
      </c>
      <c r="AB192" s="5">
        <v>1</v>
      </c>
      <c r="AC192" s="5">
        <v>2</v>
      </c>
      <c r="AD192" s="5">
        <v>2</v>
      </c>
      <c r="AE192" s="5">
        <v>6</v>
      </c>
      <c r="AF192" s="5" t="s">
        <v>981</v>
      </c>
      <c r="AG192" s="5">
        <v>3</v>
      </c>
      <c r="AH192" s="5">
        <v>3</v>
      </c>
      <c r="AI192" s="5">
        <v>3</v>
      </c>
      <c r="AJ192" s="5">
        <v>9</v>
      </c>
      <c r="AK192" s="5" t="s">
        <v>981</v>
      </c>
      <c r="AL192" s="5">
        <v>3</v>
      </c>
      <c r="AM192" s="5">
        <v>3</v>
      </c>
      <c r="AN192" s="5">
        <v>3</v>
      </c>
      <c r="AO192" s="5">
        <v>9</v>
      </c>
      <c r="AP192" s="5" t="s">
        <v>981</v>
      </c>
      <c r="AQ192" s="5">
        <v>1</v>
      </c>
      <c r="AR192" s="5">
        <v>0</v>
      </c>
      <c r="AS192" s="5">
        <v>0</v>
      </c>
      <c r="AT192" s="5">
        <v>0</v>
      </c>
      <c r="AU192" s="5">
        <v>0</v>
      </c>
      <c r="AV192" s="5">
        <v>0</v>
      </c>
      <c r="AW192" s="5">
        <v>0</v>
      </c>
      <c r="AX192" s="5">
        <v>1</v>
      </c>
      <c r="AY192" s="5" t="s">
        <v>982</v>
      </c>
      <c r="AZ192" s="1">
        <v>1</v>
      </c>
      <c r="BA192" s="1">
        <v>0</v>
      </c>
      <c r="BB192" s="1">
        <v>0</v>
      </c>
      <c r="BC192" s="1">
        <v>1</v>
      </c>
      <c r="BD192" s="1">
        <v>0</v>
      </c>
      <c r="BE192" s="1">
        <v>1</v>
      </c>
      <c r="BF192" s="1">
        <v>26</v>
      </c>
      <c r="BG192" s="1">
        <v>0</v>
      </c>
      <c r="BH192" s="1">
        <v>14</v>
      </c>
      <c r="BI192" s="1">
        <v>14</v>
      </c>
      <c r="BJ192" s="1">
        <v>300000</v>
      </c>
      <c r="BK192" s="1">
        <v>6</v>
      </c>
    </row>
    <row r="193" spans="1:63" ht="12.75" customHeight="1" x14ac:dyDescent="0.15">
      <c r="A193" s="5" t="s">
        <v>238</v>
      </c>
      <c r="B193" s="5" t="s">
        <v>238</v>
      </c>
      <c r="C193" s="5">
        <v>2</v>
      </c>
      <c r="D193" s="5">
        <v>1</v>
      </c>
      <c r="E193" s="5">
        <v>1</v>
      </c>
      <c r="F193" s="5">
        <v>1</v>
      </c>
      <c r="G193" s="5">
        <v>1</v>
      </c>
      <c r="H193" s="5">
        <v>1</v>
      </c>
      <c r="I193" s="5">
        <v>1</v>
      </c>
      <c r="J193" s="5">
        <v>2</v>
      </c>
      <c r="K193" s="5">
        <v>2</v>
      </c>
      <c r="L193" s="5">
        <v>2</v>
      </c>
      <c r="M193" s="5">
        <v>2</v>
      </c>
      <c r="N193" s="5">
        <v>2</v>
      </c>
      <c r="O193" s="5">
        <v>18</v>
      </c>
      <c r="P193" s="5" t="s">
        <v>983</v>
      </c>
      <c r="Q193" s="5">
        <v>0</v>
      </c>
      <c r="R193" s="5">
        <v>0</v>
      </c>
      <c r="S193" s="5">
        <v>0</v>
      </c>
      <c r="T193" s="5">
        <v>0</v>
      </c>
      <c r="U193" s="5" t="s">
        <v>983</v>
      </c>
      <c r="V193" s="5">
        <v>0</v>
      </c>
      <c r="W193" s="5">
        <v>0</v>
      </c>
      <c r="X193" s="5">
        <v>0</v>
      </c>
      <c r="Y193" s="5">
        <v>0</v>
      </c>
      <c r="Z193" s="5" t="s">
        <v>983</v>
      </c>
      <c r="AA193" s="5">
        <v>4</v>
      </c>
      <c r="AB193" s="5">
        <v>4</v>
      </c>
      <c r="AC193" s="5">
        <v>4</v>
      </c>
      <c r="AD193" s="5">
        <v>4</v>
      </c>
      <c r="AE193" s="5">
        <v>16</v>
      </c>
      <c r="AF193" s="5" t="s">
        <v>981</v>
      </c>
      <c r="AG193" s="5">
        <v>0</v>
      </c>
      <c r="AH193" s="5">
        <v>0</v>
      </c>
      <c r="AI193" s="5">
        <v>0</v>
      </c>
      <c r="AJ193" s="5">
        <v>0</v>
      </c>
      <c r="AK193" s="5" t="s">
        <v>983</v>
      </c>
      <c r="AL193" s="5">
        <v>0</v>
      </c>
      <c r="AM193" s="5">
        <v>0</v>
      </c>
      <c r="AN193" s="5">
        <v>0</v>
      </c>
      <c r="AO193" s="5">
        <v>0</v>
      </c>
      <c r="AP193" s="5" t="s">
        <v>983</v>
      </c>
      <c r="AQ193" s="5">
        <v>0</v>
      </c>
      <c r="AR193" s="5">
        <v>0</v>
      </c>
      <c r="AS193" s="5">
        <v>0</v>
      </c>
      <c r="AT193" s="5">
        <v>0</v>
      </c>
      <c r="AU193" s="5">
        <v>0</v>
      </c>
      <c r="AV193" s="5">
        <v>0</v>
      </c>
      <c r="AW193" s="5">
        <v>0</v>
      </c>
      <c r="AX193" s="5">
        <v>0</v>
      </c>
      <c r="AY193" s="5" t="s">
        <v>983</v>
      </c>
      <c r="AZ193" s="1">
        <v>0</v>
      </c>
      <c r="BA193" s="1">
        <v>0</v>
      </c>
      <c r="BB193" s="1">
        <v>0</v>
      </c>
      <c r="BC193" s="1">
        <v>1</v>
      </c>
      <c r="BD193" s="1">
        <v>0</v>
      </c>
      <c r="BE193" s="1">
        <v>1</v>
      </c>
      <c r="BF193" s="1">
        <v>56</v>
      </c>
      <c r="BG193" s="1">
        <v>0</v>
      </c>
      <c r="BH193" s="1">
        <v>14</v>
      </c>
      <c r="BI193" s="1">
        <v>13</v>
      </c>
      <c r="BJ193" s="1">
        <v>500000</v>
      </c>
      <c r="BK193" s="1">
        <v>3</v>
      </c>
    </row>
    <row r="194" spans="1:63" ht="12.75" customHeight="1" x14ac:dyDescent="0.15">
      <c r="A194" s="5" t="s">
        <v>337</v>
      </c>
      <c r="B194" s="5" t="s">
        <v>984</v>
      </c>
      <c r="C194" s="5">
        <v>1</v>
      </c>
      <c r="D194" s="5">
        <v>3</v>
      </c>
      <c r="E194" s="5">
        <v>2</v>
      </c>
      <c r="F194" s="5">
        <v>1</v>
      </c>
      <c r="G194" s="5">
        <v>1</v>
      </c>
      <c r="H194" s="5">
        <v>1</v>
      </c>
      <c r="I194" s="5">
        <v>1</v>
      </c>
      <c r="J194" s="5">
        <v>1</v>
      </c>
      <c r="K194" s="5">
        <v>1</v>
      </c>
      <c r="L194" s="5">
        <v>1</v>
      </c>
      <c r="M194" s="5">
        <v>1</v>
      </c>
      <c r="N194" s="5">
        <v>1</v>
      </c>
      <c r="O194" s="5">
        <v>15</v>
      </c>
      <c r="P194" s="5" t="s">
        <v>983</v>
      </c>
      <c r="Q194" s="5">
        <v>2</v>
      </c>
      <c r="R194" s="5">
        <v>1</v>
      </c>
      <c r="S194" s="5">
        <v>0</v>
      </c>
      <c r="T194" s="5">
        <v>3</v>
      </c>
      <c r="U194" s="5" t="s">
        <v>982</v>
      </c>
      <c r="V194" s="5">
        <v>0</v>
      </c>
      <c r="W194" s="5">
        <v>4</v>
      </c>
      <c r="X194" s="5">
        <v>1</v>
      </c>
      <c r="Y194" s="5">
        <v>5</v>
      </c>
      <c r="Z194" s="5" t="s">
        <v>982</v>
      </c>
      <c r="AA194" s="5">
        <v>1</v>
      </c>
      <c r="AB194" s="5">
        <v>2</v>
      </c>
      <c r="AC194" s="5">
        <v>0</v>
      </c>
      <c r="AD194" s="5">
        <v>0</v>
      </c>
      <c r="AE194" s="5">
        <v>3</v>
      </c>
      <c r="AF194" s="5" t="s">
        <v>982</v>
      </c>
      <c r="AG194" s="5">
        <v>0</v>
      </c>
      <c r="AH194" s="5">
        <v>1</v>
      </c>
      <c r="AI194" s="5">
        <v>0</v>
      </c>
      <c r="AJ194" s="5">
        <v>1</v>
      </c>
      <c r="AK194" s="5" t="s">
        <v>983</v>
      </c>
      <c r="AL194" s="5">
        <v>0</v>
      </c>
      <c r="AM194" s="5">
        <v>0</v>
      </c>
      <c r="AN194" s="5">
        <v>0</v>
      </c>
      <c r="AO194" s="5">
        <v>0</v>
      </c>
      <c r="AP194" s="5" t="s">
        <v>983</v>
      </c>
      <c r="AQ194" s="5">
        <v>0</v>
      </c>
      <c r="AR194" s="5">
        <v>0</v>
      </c>
      <c r="AS194" s="5">
        <v>1</v>
      </c>
      <c r="AT194" s="5">
        <v>0</v>
      </c>
      <c r="AU194" s="5">
        <v>0</v>
      </c>
      <c r="AV194" s="5">
        <v>0</v>
      </c>
      <c r="AW194" s="5">
        <v>0</v>
      </c>
      <c r="AX194" s="5">
        <v>1</v>
      </c>
      <c r="AY194" s="5" t="s">
        <v>982</v>
      </c>
      <c r="AZ194" s="1">
        <v>0</v>
      </c>
      <c r="BA194" s="1">
        <v>0</v>
      </c>
      <c r="BB194" s="1">
        <v>1</v>
      </c>
      <c r="BC194" s="1">
        <v>1</v>
      </c>
      <c r="BD194" s="1">
        <v>0</v>
      </c>
      <c r="BE194" s="1">
        <v>1</v>
      </c>
      <c r="BF194" s="1">
        <v>28</v>
      </c>
      <c r="BG194" s="1">
        <v>1</v>
      </c>
      <c r="BH194" s="1">
        <v>17</v>
      </c>
      <c r="BI194" s="1">
        <v>2</v>
      </c>
      <c r="BJ194" s="1">
        <v>0</v>
      </c>
      <c r="BK194" s="1">
        <v>2</v>
      </c>
    </row>
    <row r="195" spans="1:63" ht="12.75" customHeight="1" x14ac:dyDescent="0.15">
      <c r="A195" s="5" t="s">
        <v>337</v>
      </c>
      <c r="B195" s="5" t="s">
        <v>984</v>
      </c>
      <c r="C195" s="5">
        <v>2</v>
      </c>
      <c r="D195" s="5">
        <v>2</v>
      </c>
      <c r="E195" s="5">
        <v>2</v>
      </c>
      <c r="F195" s="5">
        <v>1</v>
      </c>
      <c r="G195" s="5">
        <v>2</v>
      </c>
      <c r="H195" s="5">
        <v>1</v>
      </c>
      <c r="I195" s="5">
        <v>2</v>
      </c>
      <c r="J195" s="5">
        <v>3</v>
      </c>
      <c r="K195" s="5">
        <v>2</v>
      </c>
      <c r="L195" s="5">
        <v>2</v>
      </c>
      <c r="M195" s="5">
        <v>2</v>
      </c>
      <c r="N195" s="5">
        <v>2</v>
      </c>
      <c r="O195" s="5">
        <v>23</v>
      </c>
      <c r="P195" s="5" t="s">
        <v>982</v>
      </c>
      <c r="Q195" s="5">
        <v>0</v>
      </c>
      <c r="R195" s="5">
        <v>0</v>
      </c>
      <c r="S195" s="5">
        <v>0</v>
      </c>
      <c r="T195" s="5">
        <v>0</v>
      </c>
      <c r="U195" s="5" t="s">
        <v>983</v>
      </c>
      <c r="V195" s="5">
        <v>0</v>
      </c>
      <c r="W195" s="5">
        <v>1</v>
      </c>
      <c r="X195" s="5">
        <v>1</v>
      </c>
      <c r="Y195" s="5">
        <v>2</v>
      </c>
      <c r="Z195" s="5" t="s">
        <v>982</v>
      </c>
      <c r="AA195" s="5">
        <v>0</v>
      </c>
      <c r="AB195" s="5">
        <v>0</v>
      </c>
      <c r="AC195" s="5">
        <v>0</v>
      </c>
      <c r="AD195" s="5">
        <v>0</v>
      </c>
      <c r="AE195" s="5">
        <v>0</v>
      </c>
      <c r="AF195" s="5" t="s">
        <v>983</v>
      </c>
      <c r="AG195" s="5">
        <v>0</v>
      </c>
      <c r="AH195" s="5">
        <v>0</v>
      </c>
      <c r="AI195" s="5">
        <v>0</v>
      </c>
      <c r="AJ195" s="5">
        <v>0</v>
      </c>
      <c r="AK195" s="5" t="s">
        <v>983</v>
      </c>
      <c r="AL195" s="5">
        <v>0</v>
      </c>
      <c r="AM195" s="5">
        <v>0</v>
      </c>
      <c r="AN195" s="5">
        <v>0</v>
      </c>
      <c r="AO195" s="5">
        <v>0</v>
      </c>
      <c r="AP195" s="5" t="s">
        <v>983</v>
      </c>
      <c r="AQ195" s="5">
        <v>0</v>
      </c>
      <c r="AR195" s="5">
        <v>0</v>
      </c>
      <c r="AS195" s="5">
        <v>0</v>
      </c>
      <c r="AT195" s="5">
        <v>0</v>
      </c>
      <c r="AU195" s="5">
        <v>0</v>
      </c>
      <c r="AV195" s="5">
        <v>0</v>
      </c>
      <c r="AW195" s="5">
        <v>0</v>
      </c>
      <c r="AX195" s="5">
        <v>0</v>
      </c>
      <c r="AY195" s="5" t="s">
        <v>983</v>
      </c>
      <c r="AZ195" s="1">
        <v>1</v>
      </c>
      <c r="BA195" s="1">
        <v>0</v>
      </c>
      <c r="BB195" s="1">
        <v>0</v>
      </c>
      <c r="BC195" s="1">
        <v>1</v>
      </c>
      <c r="BD195" s="1">
        <v>0</v>
      </c>
      <c r="BE195" s="1">
        <v>1</v>
      </c>
      <c r="BF195" s="1">
        <v>39</v>
      </c>
      <c r="BG195" s="1">
        <v>1</v>
      </c>
      <c r="BH195" s="1">
        <v>14</v>
      </c>
      <c r="BI195" s="1">
        <v>34</v>
      </c>
      <c r="BJ195" s="1">
        <v>450000</v>
      </c>
      <c r="BK195" s="1">
        <v>2</v>
      </c>
    </row>
    <row r="196" spans="1:63" ht="12.75" customHeight="1" x14ac:dyDescent="0.15">
      <c r="A196" s="5" t="s">
        <v>238</v>
      </c>
      <c r="B196" s="5" t="s">
        <v>238</v>
      </c>
      <c r="C196" s="5">
        <v>2</v>
      </c>
      <c r="D196" s="5">
        <v>2</v>
      </c>
      <c r="E196" s="5">
        <v>2</v>
      </c>
      <c r="F196" s="5">
        <v>1</v>
      </c>
      <c r="G196" s="5">
        <v>1</v>
      </c>
      <c r="H196" s="5">
        <v>2</v>
      </c>
      <c r="I196" s="5">
        <v>1</v>
      </c>
      <c r="J196" s="5">
        <v>1</v>
      </c>
      <c r="K196" s="5">
        <v>1</v>
      </c>
      <c r="L196" s="5">
        <v>1</v>
      </c>
      <c r="M196" s="5">
        <v>1</v>
      </c>
      <c r="N196" s="5">
        <v>1</v>
      </c>
      <c r="O196" s="5">
        <v>16</v>
      </c>
      <c r="P196" s="5" t="s">
        <v>983</v>
      </c>
      <c r="Q196" s="5">
        <v>0</v>
      </c>
      <c r="R196" s="5">
        <v>0</v>
      </c>
      <c r="S196" s="5">
        <v>0</v>
      </c>
      <c r="T196" s="5">
        <v>0</v>
      </c>
      <c r="U196" s="5" t="s">
        <v>983</v>
      </c>
      <c r="V196" s="5">
        <v>0</v>
      </c>
      <c r="W196" s="5">
        <v>0</v>
      </c>
      <c r="X196" s="5">
        <v>0</v>
      </c>
      <c r="Y196" s="5">
        <v>0</v>
      </c>
      <c r="Z196" s="5" t="s">
        <v>983</v>
      </c>
      <c r="AA196" s="5">
        <v>4</v>
      </c>
      <c r="AB196" s="5">
        <v>4</v>
      </c>
      <c r="AC196" s="5">
        <v>4</v>
      </c>
      <c r="AD196" s="5">
        <v>4</v>
      </c>
      <c r="AE196" s="5">
        <v>16</v>
      </c>
      <c r="AF196" s="5" t="s">
        <v>981</v>
      </c>
      <c r="AG196" s="5">
        <v>0</v>
      </c>
      <c r="AH196" s="5">
        <v>0</v>
      </c>
      <c r="AI196" s="5">
        <v>0</v>
      </c>
      <c r="AJ196" s="5">
        <v>0</v>
      </c>
      <c r="AK196" s="5" t="s">
        <v>983</v>
      </c>
      <c r="AL196" s="5">
        <v>0</v>
      </c>
      <c r="AM196" s="5">
        <v>0</v>
      </c>
      <c r="AN196" s="5">
        <v>0</v>
      </c>
      <c r="AO196" s="5">
        <v>0</v>
      </c>
      <c r="AP196" s="5" t="s">
        <v>983</v>
      </c>
      <c r="AQ196" s="5">
        <v>0</v>
      </c>
      <c r="AR196" s="5">
        <v>0</v>
      </c>
      <c r="AS196" s="5">
        <v>0</v>
      </c>
      <c r="AT196" s="5">
        <v>0</v>
      </c>
      <c r="AU196" s="5">
        <v>0</v>
      </c>
      <c r="AV196" s="5">
        <v>0</v>
      </c>
      <c r="AW196" s="5">
        <v>0</v>
      </c>
      <c r="AX196" s="5">
        <v>0</v>
      </c>
      <c r="AY196" s="5" t="s">
        <v>983</v>
      </c>
      <c r="AZ196" s="1">
        <v>1</v>
      </c>
      <c r="BA196" s="1">
        <v>0</v>
      </c>
      <c r="BB196" s="1">
        <v>1</v>
      </c>
      <c r="BC196" s="1">
        <v>1</v>
      </c>
      <c r="BD196" s="1">
        <v>1</v>
      </c>
      <c r="BE196" s="1">
        <v>1</v>
      </c>
      <c r="BF196" s="1">
        <v>35</v>
      </c>
      <c r="BG196" s="1">
        <v>0</v>
      </c>
      <c r="BH196" s="1">
        <v>15</v>
      </c>
      <c r="BI196" s="1">
        <v>1</v>
      </c>
      <c r="BJ196" s="1">
        <v>460000</v>
      </c>
      <c r="BK196" s="1">
        <v>4</v>
      </c>
    </row>
    <row r="197" spans="1:63" ht="12.75" customHeight="1" x14ac:dyDescent="0.15">
      <c r="A197" s="5" t="s">
        <v>238</v>
      </c>
      <c r="B197" s="5" t="s">
        <v>238</v>
      </c>
      <c r="C197" s="5">
        <v>1</v>
      </c>
      <c r="D197" s="5">
        <v>1</v>
      </c>
      <c r="E197" s="5">
        <v>1</v>
      </c>
      <c r="F197" s="5">
        <v>1</v>
      </c>
      <c r="G197" s="5">
        <v>1</v>
      </c>
      <c r="H197" s="5">
        <v>1</v>
      </c>
      <c r="I197" s="5">
        <v>1</v>
      </c>
      <c r="J197" s="5">
        <v>1</v>
      </c>
      <c r="K197" s="5">
        <v>1</v>
      </c>
      <c r="L197" s="5">
        <v>1</v>
      </c>
      <c r="M197" s="5">
        <v>1</v>
      </c>
      <c r="N197" s="5">
        <v>1</v>
      </c>
      <c r="O197" s="5">
        <v>12</v>
      </c>
      <c r="P197" s="5" t="s">
        <v>983</v>
      </c>
      <c r="Q197" s="5">
        <v>4</v>
      </c>
      <c r="R197" s="5">
        <v>1</v>
      </c>
      <c r="S197" s="5">
        <v>0</v>
      </c>
      <c r="T197" s="5">
        <v>5</v>
      </c>
      <c r="U197" s="5" t="s">
        <v>981</v>
      </c>
      <c r="V197" s="5">
        <v>0</v>
      </c>
      <c r="W197" s="5">
        <v>0</v>
      </c>
      <c r="X197" s="5">
        <v>0</v>
      </c>
      <c r="Y197" s="5">
        <v>0</v>
      </c>
      <c r="Z197" s="5" t="s">
        <v>983</v>
      </c>
      <c r="AA197" s="5">
        <v>2</v>
      </c>
      <c r="AB197" s="5">
        <v>3</v>
      </c>
      <c r="AC197" s="5">
        <v>4</v>
      </c>
      <c r="AD197" s="5">
        <v>2</v>
      </c>
      <c r="AE197" s="5">
        <v>11</v>
      </c>
      <c r="AF197" s="5" t="s">
        <v>981</v>
      </c>
      <c r="AG197" s="5">
        <v>1</v>
      </c>
      <c r="AH197" s="5">
        <v>1</v>
      </c>
      <c r="AI197" s="5">
        <v>0</v>
      </c>
      <c r="AJ197" s="5">
        <v>2</v>
      </c>
      <c r="AK197" s="5" t="s">
        <v>983</v>
      </c>
      <c r="AL197" s="5">
        <v>0</v>
      </c>
      <c r="AM197" s="5">
        <v>0</v>
      </c>
      <c r="AN197" s="5">
        <v>0</v>
      </c>
      <c r="AO197" s="5">
        <v>0</v>
      </c>
      <c r="AP197" s="5" t="s">
        <v>983</v>
      </c>
      <c r="AQ197" s="5">
        <v>0</v>
      </c>
      <c r="AR197" s="5">
        <v>0</v>
      </c>
      <c r="AS197" s="5">
        <v>0</v>
      </c>
      <c r="AT197" s="5">
        <v>0</v>
      </c>
      <c r="AU197" s="5">
        <v>0</v>
      </c>
      <c r="AV197" s="5">
        <v>0</v>
      </c>
      <c r="AW197" s="5">
        <v>0</v>
      </c>
      <c r="AX197" s="5">
        <v>0</v>
      </c>
      <c r="AY197" s="5" t="s">
        <v>983</v>
      </c>
      <c r="AZ197" s="1">
        <v>1</v>
      </c>
      <c r="BA197" s="1">
        <v>0</v>
      </c>
      <c r="BB197" s="1">
        <v>1</v>
      </c>
      <c r="BC197" s="1">
        <v>1</v>
      </c>
      <c r="BD197" s="1">
        <v>1</v>
      </c>
      <c r="BE197" s="1">
        <v>1</v>
      </c>
      <c r="BF197" s="1">
        <v>39</v>
      </c>
      <c r="BG197" s="1">
        <v>1</v>
      </c>
      <c r="BH197" s="1">
        <v>14</v>
      </c>
      <c r="BI197" s="1">
        <v>34</v>
      </c>
      <c r="BJ197" s="1">
        <v>700000</v>
      </c>
      <c r="BK197" s="1">
        <v>3</v>
      </c>
    </row>
    <row r="198" spans="1:63" ht="12.75" customHeight="1" x14ac:dyDescent="0.15">
      <c r="A198" s="5" t="s">
        <v>238</v>
      </c>
      <c r="B198" s="5" t="s">
        <v>238</v>
      </c>
      <c r="C198" s="5">
        <v>2</v>
      </c>
      <c r="D198" s="5">
        <v>2</v>
      </c>
      <c r="E198" s="5">
        <v>2</v>
      </c>
      <c r="F198" s="5">
        <v>1</v>
      </c>
      <c r="G198" s="5">
        <v>1</v>
      </c>
      <c r="H198" s="5">
        <v>1</v>
      </c>
      <c r="I198" s="5">
        <v>1</v>
      </c>
      <c r="J198" s="5">
        <v>1</v>
      </c>
      <c r="K198" s="5">
        <v>1</v>
      </c>
      <c r="L198" s="5">
        <v>2</v>
      </c>
      <c r="M198" s="5">
        <v>2</v>
      </c>
      <c r="N198" s="5">
        <v>2</v>
      </c>
      <c r="O198" s="5">
        <v>18</v>
      </c>
      <c r="P198" s="5" t="s">
        <v>983</v>
      </c>
      <c r="Q198" s="5">
        <v>2</v>
      </c>
      <c r="R198" s="5">
        <v>2</v>
      </c>
      <c r="S198" s="5">
        <v>0</v>
      </c>
      <c r="T198" s="5">
        <v>4</v>
      </c>
      <c r="U198" s="5" t="s">
        <v>982</v>
      </c>
      <c r="V198" s="5">
        <v>0</v>
      </c>
      <c r="W198" s="5">
        <v>0</v>
      </c>
      <c r="X198" s="5">
        <v>0</v>
      </c>
      <c r="Y198" s="5">
        <v>0</v>
      </c>
      <c r="Z198" s="5" t="s">
        <v>983</v>
      </c>
      <c r="AA198" s="5">
        <v>2</v>
      </c>
      <c r="AB198" s="5">
        <v>0</v>
      </c>
      <c r="AC198" s="5">
        <v>0</v>
      </c>
      <c r="AD198" s="5">
        <v>0</v>
      </c>
      <c r="AE198" s="5">
        <v>2</v>
      </c>
      <c r="AF198" s="5" t="s">
        <v>982</v>
      </c>
      <c r="AG198" s="5">
        <v>0</v>
      </c>
      <c r="AH198" s="5">
        <v>0</v>
      </c>
      <c r="AI198" s="5">
        <v>0</v>
      </c>
      <c r="AJ198" s="5">
        <v>0</v>
      </c>
      <c r="AK198" s="5" t="s">
        <v>983</v>
      </c>
      <c r="AL198" s="5">
        <v>0</v>
      </c>
      <c r="AM198" s="5">
        <v>0</v>
      </c>
      <c r="AN198" s="5">
        <v>0</v>
      </c>
      <c r="AO198" s="5">
        <v>0</v>
      </c>
      <c r="AP198" s="5" t="s">
        <v>983</v>
      </c>
      <c r="AQ198" s="5">
        <v>0</v>
      </c>
      <c r="AR198" s="5">
        <v>0</v>
      </c>
      <c r="AS198" s="5">
        <v>0</v>
      </c>
      <c r="AT198" s="5">
        <v>0</v>
      </c>
      <c r="AU198" s="5">
        <v>0</v>
      </c>
      <c r="AV198" s="5">
        <v>0</v>
      </c>
      <c r="AW198" s="5">
        <v>0</v>
      </c>
      <c r="AX198" s="5">
        <v>0</v>
      </c>
      <c r="AY198" s="5" t="s">
        <v>983</v>
      </c>
      <c r="AZ198" s="1">
        <v>1</v>
      </c>
      <c r="BA198" s="1">
        <v>0</v>
      </c>
      <c r="BB198" s="1">
        <v>1</v>
      </c>
      <c r="BC198" s="1">
        <v>1</v>
      </c>
      <c r="BD198" s="1">
        <v>1</v>
      </c>
      <c r="BE198" s="1">
        <v>1</v>
      </c>
      <c r="BF198" s="1">
        <v>0</v>
      </c>
      <c r="BG198" s="1">
        <v>1</v>
      </c>
      <c r="BH198" s="1">
        <v>0</v>
      </c>
      <c r="BI198" s="1">
        <v>14</v>
      </c>
      <c r="BJ198" s="1">
        <v>0</v>
      </c>
      <c r="BK198" s="1">
        <v>1</v>
      </c>
    </row>
    <row r="199" spans="1:63" ht="12.75" customHeight="1" x14ac:dyDescent="0.15">
      <c r="A199" s="5" t="s">
        <v>238</v>
      </c>
      <c r="B199" s="5" t="s">
        <v>238</v>
      </c>
      <c r="C199" s="5">
        <v>1</v>
      </c>
      <c r="D199" s="5">
        <v>2</v>
      </c>
      <c r="E199" s="5">
        <v>2</v>
      </c>
      <c r="F199" s="5">
        <v>1</v>
      </c>
      <c r="G199" s="5">
        <v>1</v>
      </c>
      <c r="H199" s="5">
        <v>1</v>
      </c>
      <c r="I199" s="5">
        <v>1</v>
      </c>
      <c r="J199" s="5">
        <v>3</v>
      </c>
      <c r="K199" s="5">
        <v>3</v>
      </c>
      <c r="L199" s="5">
        <v>3</v>
      </c>
      <c r="M199" s="5">
        <v>2</v>
      </c>
      <c r="N199" s="5">
        <v>2</v>
      </c>
      <c r="O199" s="5">
        <v>22</v>
      </c>
      <c r="P199" s="5" t="s">
        <v>982</v>
      </c>
      <c r="Q199" s="5">
        <v>0</v>
      </c>
      <c r="R199" s="5">
        <v>1</v>
      </c>
      <c r="S199" s="5">
        <v>1</v>
      </c>
      <c r="T199" s="5">
        <v>2</v>
      </c>
      <c r="U199" s="5" t="s">
        <v>982</v>
      </c>
      <c r="V199" s="5">
        <v>0</v>
      </c>
      <c r="W199" s="5">
        <v>1</v>
      </c>
      <c r="X199" s="5">
        <v>0</v>
      </c>
      <c r="Y199" s="5">
        <v>1</v>
      </c>
      <c r="Z199" s="5" t="s">
        <v>983</v>
      </c>
      <c r="AA199" s="5">
        <v>2</v>
      </c>
      <c r="AB199" s="5">
        <v>2</v>
      </c>
      <c r="AC199" s="5">
        <v>2</v>
      </c>
      <c r="AD199" s="5">
        <v>2</v>
      </c>
      <c r="AE199" s="5">
        <v>8</v>
      </c>
      <c r="AF199" s="5" t="s">
        <v>981</v>
      </c>
      <c r="AG199" s="5">
        <v>1</v>
      </c>
      <c r="AH199" s="5">
        <v>0</v>
      </c>
      <c r="AI199" s="5">
        <v>0</v>
      </c>
      <c r="AJ199" s="5">
        <v>1</v>
      </c>
      <c r="AK199" s="5" t="s">
        <v>983</v>
      </c>
      <c r="AL199" s="5">
        <v>1</v>
      </c>
      <c r="AM199" s="5">
        <v>1</v>
      </c>
      <c r="AN199" s="5">
        <v>1</v>
      </c>
      <c r="AO199" s="5">
        <v>3</v>
      </c>
      <c r="AP199" s="5" t="s">
        <v>982</v>
      </c>
      <c r="AQ199" s="5">
        <v>0</v>
      </c>
      <c r="AR199" s="5">
        <v>0</v>
      </c>
      <c r="AS199" s="5">
        <v>0</v>
      </c>
      <c r="AT199" s="5">
        <v>0</v>
      </c>
      <c r="AU199" s="5">
        <v>0</v>
      </c>
      <c r="AV199" s="5">
        <v>0</v>
      </c>
      <c r="AW199" s="5">
        <v>0</v>
      </c>
      <c r="AX199" s="5">
        <v>0</v>
      </c>
      <c r="AY199" s="5" t="s">
        <v>983</v>
      </c>
      <c r="AZ199" s="1">
        <v>0</v>
      </c>
      <c r="BA199" s="1">
        <v>0</v>
      </c>
      <c r="BB199" s="1">
        <v>0</v>
      </c>
      <c r="BC199" s="1">
        <v>1</v>
      </c>
      <c r="BD199" s="1">
        <v>1</v>
      </c>
      <c r="BE199" s="1">
        <v>1</v>
      </c>
      <c r="BF199" s="1">
        <v>53</v>
      </c>
      <c r="BG199" s="1">
        <v>0</v>
      </c>
      <c r="BH199" s="1">
        <v>17</v>
      </c>
      <c r="BI199" s="1">
        <v>6</v>
      </c>
      <c r="BJ199" s="1">
        <v>0</v>
      </c>
      <c r="BK199" s="1">
        <v>2</v>
      </c>
    </row>
    <row r="200" spans="1:63" ht="12.75" customHeight="1" x14ac:dyDescent="0.15">
      <c r="A200" s="5" t="s">
        <v>238</v>
      </c>
      <c r="B200" s="5" t="s">
        <v>238</v>
      </c>
      <c r="C200" s="5">
        <v>2</v>
      </c>
      <c r="D200" s="5">
        <v>1</v>
      </c>
      <c r="E200" s="5">
        <v>1</v>
      </c>
      <c r="F200" s="5">
        <v>1</v>
      </c>
      <c r="G200" s="5">
        <v>1</v>
      </c>
      <c r="H200" s="5">
        <v>1</v>
      </c>
      <c r="I200" s="5">
        <v>1</v>
      </c>
      <c r="J200" s="5">
        <v>1</v>
      </c>
      <c r="K200" s="5">
        <v>1</v>
      </c>
      <c r="L200" s="5">
        <v>1</v>
      </c>
      <c r="M200" s="5">
        <v>1</v>
      </c>
      <c r="N200" s="5">
        <v>1</v>
      </c>
      <c r="O200" s="5">
        <v>13</v>
      </c>
      <c r="P200" s="5" t="s">
        <v>983</v>
      </c>
      <c r="Q200" s="5">
        <v>1</v>
      </c>
      <c r="R200" s="5">
        <v>1</v>
      </c>
      <c r="S200" s="5">
        <v>1</v>
      </c>
      <c r="T200" s="5">
        <v>3</v>
      </c>
      <c r="U200" s="5" t="s">
        <v>982</v>
      </c>
      <c r="V200" s="5">
        <v>1</v>
      </c>
      <c r="W200" s="5">
        <v>2</v>
      </c>
      <c r="X200" s="5">
        <v>1</v>
      </c>
      <c r="Y200" s="5">
        <v>4</v>
      </c>
      <c r="Z200" s="5" t="s">
        <v>982</v>
      </c>
      <c r="AA200" s="5">
        <v>0</v>
      </c>
      <c r="AB200" s="5">
        <v>0</v>
      </c>
      <c r="AC200" s="5">
        <v>0</v>
      </c>
      <c r="AD200" s="5">
        <v>0</v>
      </c>
      <c r="AE200" s="5">
        <v>0</v>
      </c>
      <c r="AF200" s="5" t="s">
        <v>983</v>
      </c>
      <c r="AG200" s="5">
        <v>1</v>
      </c>
      <c r="AH200" s="5">
        <v>1</v>
      </c>
      <c r="AI200" s="5">
        <v>1</v>
      </c>
      <c r="AJ200" s="5">
        <v>3</v>
      </c>
      <c r="AK200" s="5" t="s">
        <v>982</v>
      </c>
      <c r="AL200" s="5">
        <v>1</v>
      </c>
      <c r="AM200" s="5">
        <v>1</v>
      </c>
      <c r="AN200" s="5">
        <v>1</v>
      </c>
      <c r="AO200" s="5">
        <v>3</v>
      </c>
      <c r="AP200" s="5" t="s">
        <v>982</v>
      </c>
      <c r="AQ200" s="5">
        <v>1</v>
      </c>
      <c r="AR200" s="5">
        <v>0</v>
      </c>
      <c r="AS200" s="5">
        <v>0</v>
      </c>
      <c r="AT200" s="5">
        <v>0</v>
      </c>
      <c r="AU200" s="5">
        <v>0</v>
      </c>
      <c r="AV200" s="5">
        <v>0</v>
      </c>
      <c r="AW200" s="5">
        <v>0</v>
      </c>
      <c r="AX200" s="5">
        <v>1</v>
      </c>
      <c r="AY200" s="5" t="s">
        <v>982</v>
      </c>
      <c r="AZ200" s="1">
        <v>0</v>
      </c>
      <c r="BA200" s="1">
        <v>0</v>
      </c>
      <c r="BB200" s="1">
        <v>0</v>
      </c>
      <c r="BC200" s="1">
        <v>1</v>
      </c>
      <c r="BD200" s="1">
        <v>1</v>
      </c>
      <c r="BE200" s="1">
        <v>1</v>
      </c>
      <c r="BF200" s="1">
        <v>53</v>
      </c>
      <c r="BG200" s="1">
        <v>0</v>
      </c>
      <c r="BH200" s="1">
        <v>17</v>
      </c>
      <c r="BI200" s="1">
        <v>6</v>
      </c>
      <c r="BJ200" s="1">
        <v>0</v>
      </c>
      <c r="BK200" s="1">
        <v>2</v>
      </c>
    </row>
    <row r="201" spans="1:63" ht="12.75" customHeight="1" x14ac:dyDescent="0.15">
      <c r="A201" s="5" t="s">
        <v>238</v>
      </c>
      <c r="B201" s="5" t="s">
        <v>238</v>
      </c>
      <c r="C201" s="5">
        <v>2</v>
      </c>
      <c r="D201" s="5">
        <v>1</v>
      </c>
      <c r="E201" s="5">
        <v>1</v>
      </c>
      <c r="F201" s="5">
        <v>1</v>
      </c>
      <c r="G201" s="5">
        <v>1</v>
      </c>
      <c r="H201" s="5">
        <v>1</v>
      </c>
      <c r="I201" s="5">
        <v>1</v>
      </c>
      <c r="J201" s="5">
        <v>2</v>
      </c>
      <c r="K201" s="5">
        <v>2</v>
      </c>
      <c r="L201" s="5">
        <v>2</v>
      </c>
      <c r="M201" s="5">
        <v>2</v>
      </c>
      <c r="N201" s="5">
        <v>1</v>
      </c>
      <c r="O201" s="5">
        <v>17</v>
      </c>
      <c r="P201" s="5" t="s">
        <v>983</v>
      </c>
      <c r="Q201" s="5">
        <v>1</v>
      </c>
      <c r="R201" s="5">
        <v>1</v>
      </c>
      <c r="S201" s="5">
        <v>0</v>
      </c>
      <c r="T201" s="5">
        <v>2</v>
      </c>
      <c r="U201" s="5" t="s">
        <v>982</v>
      </c>
      <c r="V201" s="5">
        <v>0</v>
      </c>
      <c r="W201" s="5">
        <v>1</v>
      </c>
      <c r="X201" s="5">
        <v>1</v>
      </c>
      <c r="Y201" s="5">
        <v>2</v>
      </c>
      <c r="Z201" s="5" t="s">
        <v>982</v>
      </c>
      <c r="AA201" s="5">
        <v>1</v>
      </c>
      <c r="AB201" s="5">
        <v>2</v>
      </c>
      <c r="AC201" s="5">
        <v>0</v>
      </c>
      <c r="AD201" s="5">
        <v>0</v>
      </c>
      <c r="AE201" s="5">
        <v>3</v>
      </c>
      <c r="AF201" s="5" t="s">
        <v>982</v>
      </c>
      <c r="AG201" s="5">
        <v>0</v>
      </c>
      <c r="AH201" s="5">
        <v>0</v>
      </c>
      <c r="AI201" s="5">
        <v>0</v>
      </c>
      <c r="AJ201" s="5">
        <v>0</v>
      </c>
      <c r="AK201" s="5" t="s">
        <v>983</v>
      </c>
      <c r="AL201" s="5">
        <v>1</v>
      </c>
      <c r="AM201" s="5">
        <v>1</v>
      </c>
      <c r="AN201" s="5">
        <v>0</v>
      </c>
      <c r="AO201" s="5">
        <v>2</v>
      </c>
      <c r="AP201" s="5" t="s">
        <v>983</v>
      </c>
      <c r="AQ201" s="5">
        <v>0</v>
      </c>
      <c r="AR201" s="5">
        <v>0</v>
      </c>
      <c r="AS201" s="5">
        <v>0</v>
      </c>
      <c r="AT201" s="5">
        <v>0</v>
      </c>
      <c r="AU201" s="5">
        <v>0</v>
      </c>
      <c r="AV201" s="5">
        <v>0</v>
      </c>
      <c r="AW201" s="5">
        <v>0</v>
      </c>
      <c r="AX201" s="5">
        <v>0</v>
      </c>
      <c r="AY201" s="5" t="s">
        <v>983</v>
      </c>
      <c r="AZ201" s="1">
        <v>1</v>
      </c>
      <c r="BA201" s="1">
        <v>0</v>
      </c>
      <c r="BB201" s="1">
        <v>1</v>
      </c>
      <c r="BC201" s="1">
        <v>1</v>
      </c>
      <c r="BD201" s="1">
        <v>1</v>
      </c>
      <c r="BE201" s="1">
        <v>1</v>
      </c>
      <c r="BF201" s="1">
        <v>51</v>
      </c>
      <c r="BG201" s="1">
        <v>1</v>
      </c>
      <c r="BH201" s="1">
        <v>16</v>
      </c>
      <c r="BI201" s="1">
        <v>6</v>
      </c>
      <c r="BJ201" s="1">
        <v>200000</v>
      </c>
      <c r="BK201" s="1">
        <v>4</v>
      </c>
    </row>
    <row r="202" spans="1:63" ht="12.75" customHeight="1" x14ac:dyDescent="0.15">
      <c r="A202" s="5" t="s">
        <v>330</v>
      </c>
      <c r="B202" s="5" t="s">
        <v>984</v>
      </c>
      <c r="C202" s="5">
        <v>3</v>
      </c>
      <c r="D202" s="5">
        <v>3</v>
      </c>
      <c r="E202" s="5">
        <v>3</v>
      </c>
      <c r="F202" s="5">
        <v>3</v>
      </c>
      <c r="G202" s="5">
        <v>3</v>
      </c>
      <c r="H202" s="5">
        <v>2</v>
      </c>
      <c r="I202" s="5">
        <v>3</v>
      </c>
      <c r="J202" s="5">
        <v>1</v>
      </c>
      <c r="K202" s="5">
        <v>2</v>
      </c>
      <c r="L202" s="5">
        <v>2</v>
      </c>
      <c r="M202" s="5">
        <v>2</v>
      </c>
      <c r="N202" s="5">
        <v>2</v>
      </c>
      <c r="O202" s="5">
        <v>29</v>
      </c>
      <c r="P202" s="5" t="s">
        <v>981</v>
      </c>
      <c r="Q202" s="5">
        <v>3</v>
      </c>
      <c r="R202" s="5">
        <v>2</v>
      </c>
      <c r="S202" s="5">
        <v>1</v>
      </c>
      <c r="T202" s="5">
        <v>6</v>
      </c>
      <c r="U202" s="5" t="s">
        <v>981</v>
      </c>
      <c r="V202" s="5">
        <v>2</v>
      </c>
      <c r="W202" s="5">
        <v>2</v>
      </c>
      <c r="X202" s="5">
        <v>2</v>
      </c>
      <c r="Y202" s="5">
        <v>6</v>
      </c>
      <c r="Z202" s="5" t="s">
        <v>981</v>
      </c>
      <c r="AA202" s="5">
        <v>2</v>
      </c>
      <c r="AB202" s="5">
        <v>1</v>
      </c>
      <c r="AC202" s="5">
        <v>1</v>
      </c>
      <c r="AD202" s="5">
        <v>2</v>
      </c>
      <c r="AE202" s="5">
        <v>6</v>
      </c>
      <c r="AF202" s="5" t="s">
        <v>981</v>
      </c>
      <c r="AG202" s="5">
        <v>1</v>
      </c>
      <c r="AH202" s="5">
        <v>4</v>
      </c>
      <c r="AI202" s="5">
        <v>4</v>
      </c>
      <c r="AJ202" s="5">
        <v>9</v>
      </c>
      <c r="AK202" s="5" t="s">
        <v>981</v>
      </c>
      <c r="AL202" s="5">
        <v>3</v>
      </c>
      <c r="AM202" s="5">
        <v>3</v>
      </c>
      <c r="AN202" s="5">
        <v>3</v>
      </c>
      <c r="AO202" s="5">
        <v>9</v>
      </c>
      <c r="AP202" s="5" t="s">
        <v>981</v>
      </c>
      <c r="AQ202" s="5">
        <v>1</v>
      </c>
      <c r="AR202" s="5">
        <v>0</v>
      </c>
      <c r="AS202" s="5">
        <v>0</v>
      </c>
      <c r="AT202" s="5">
        <v>0</v>
      </c>
      <c r="AU202" s="5">
        <v>0</v>
      </c>
      <c r="AV202" s="5">
        <v>0</v>
      </c>
      <c r="AW202" s="5">
        <v>1</v>
      </c>
      <c r="AX202" s="5">
        <v>2</v>
      </c>
      <c r="AY202" s="5" t="s">
        <v>982</v>
      </c>
      <c r="AZ202" s="1">
        <v>0</v>
      </c>
      <c r="BA202" s="1">
        <v>0</v>
      </c>
      <c r="BB202" s="1">
        <v>0</v>
      </c>
      <c r="BC202" s="1">
        <v>1</v>
      </c>
      <c r="BD202" s="1">
        <v>1</v>
      </c>
      <c r="BE202" s="1">
        <v>1</v>
      </c>
      <c r="BF202" s="1">
        <v>54</v>
      </c>
      <c r="BG202" s="1">
        <v>0</v>
      </c>
      <c r="BH202" s="1">
        <v>5</v>
      </c>
      <c r="BI202" s="1">
        <v>11</v>
      </c>
      <c r="BJ202" s="1">
        <v>1500000</v>
      </c>
      <c r="BK202" s="1">
        <v>2</v>
      </c>
    </row>
    <row r="203" spans="1:63" ht="12.75" customHeight="1" x14ac:dyDescent="0.15">
      <c r="A203" s="5" t="s">
        <v>330</v>
      </c>
      <c r="B203" s="5" t="s">
        <v>984</v>
      </c>
      <c r="C203" s="5">
        <v>3</v>
      </c>
      <c r="D203" s="5">
        <v>2</v>
      </c>
      <c r="E203" s="5">
        <v>2</v>
      </c>
      <c r="F203" s="5">
        <v>2</v>
      </c>
      <c r="G203" s="5">
        <v>2</v>
      </c>
      <c r="H203" s="5">
        <v>1</v>
      </c>
      <c r="I203" s="5">
        <v>1</v>
      </c>
      <c r="J203" s="5">
        <v>1</v>
      </c>
      <c r="K203" s="5">
        <v>2</v>
      </c>
      <c r="L203" s="5">
        <v>3</v>
      </c>
      <c r="M203" s="5">
        <v>2</v>
      </c>
      <c r="N203" s="5">
        <v>2</v>
      </c>
      <c r="O203" s="5">
        <v>23</v>
      </c>
      <c r="P203" s="5" t="s">
        <v>982</v>
      </c>
      <c r="Q203" s="5">
        <v>2</v>
      </c>
      <c r="R203" s="5">
        <v>2</v>
      </c>
      <c r="S203" s="5">
        <v>1</v>
      </c>
      <c r="T203" s="5">
        <v>5</v>
      </c>
      <c r="U203" s="5" t="s">
        <v>981</v>
      </c>
      <c r="V203" s="5">
        <v>2</v>
      </c>
      <c r="W203" s="5">
        <v>4</v>
      </c>
      <c r="X203" s="5">
        <v>3</v>
      </c>
      <c r="Y203" s="5">
        <v>9</v>
      </c>
      <c r="Z203" s="5" t="s">
        <v>981</v>
      </c>
      <c r="AA203" s="5">
        <v>2</v>
      </c>
      <c r="AB203" s="5">
        <v>2</v>
      </c>
      <c r="AC203" s="5">
        <v>3</v>
      </c>
      <c r="AD203" s="5">
        <v>3</v>
      </c>
      <c r="AE203" s="5">
        <v>10</v>
      </c>
      <c r="AF203" s="5" t="s">
        <v>981</v>
      </c>
      <c r="AG203" s="5">
        <v>2</v>
      </c>
      <c r="AH203" s="5">
        <v>0</v>
      </c>
      <c r="AI203" s="5">
        <v>0</v>
      </c>
      <c r="AJ203" s="5">
        <v>2</v>
      </c>
      <c r="AK203" s="5" t="s">
        <v>983</v>
      </c>
      <c r="AL203" s="5">
        <v>1</v>
      </c>
      <c r="AM203" s="5">
        <v>1</v>
      </c>
      <c r="AN203" s="5">
        <v>1</v>
      </c>
      <c r="AO203" s="5">
        <v>3</v>
      </c>
      <c r="AP203" s="5" t="s">
        <v>982</v>
      </c>
      <c r="AQ203" s="5">
        <v>1</v>
      </c>
      <c r="AR203" s="5">
        <v>0</v>
      </c>
      <c r="AS203" s="5">
        <v>0</v>
      </c>
      <c r="AT203" s="5">
        <v>0</v>
      </c>
      <c r="AU203" s="5">
        <v>0</v>
      </c>
      <c r="AV203" s="5">
        <v>0</v>
      </c>
      <c r="AW203" s="5">
        <v>1</v>
      </c>
      <c r="AX203" s="5">
        <v>2</v>
      </c>
      <c r="AY203" s="5" t="s">
        <v>982</v>
      </c>
      <c r="AZ203" s="1">
        <v>0</v>
      </c>
      <c r="BA203" s="1">
        <v>0</v>
      </c>
      <c r="BB203" s="1">
        <v>0</v>
      </c>
      <c r="BC203" s="1">
        <v>1</v>
      </c>
      <c r="BD203" s="1">
        <v>1</v>
      </c>
      <c r="BE203" s="1">
        <v>1</v>
      </c>
      <c r="BF203" s="1">
        <v>37</v>
      </c>
      <c r="BG203" s="1">
        <v>0</v>
      </c>
      <c r="BH203" s="1">
        <v>4</v>
      </c>
      <c r="BI203" s="1">
        <v>17</v>
      </c>
      <c r="BJ203" s="1">
        <v>500000</v>
      </c>
      <c r="BK203" s="1">
        <v>5</v>
      </c>
    </row>
    <row r="204" spans="1:63" ht="12.75" customHeight="1" x14ac:dyDescent="0.15">
      <c r="A204" s="5" t="s">
        <v>238</v>
      </c>
      <c r="B204" s="5" t="s">
        <v>238</v>
      </c>
      <c r="C204" s="5">
        <v>4</v>
      </c>
      <c r="D204" s="5">
        <v>3</v>
      </c>
      <c r="E204" s="5">
        <v>3</v>
      </c>
      <c r="F204" s="5">
        <v>3</v>
      </c>
      <c r="G204" s="5">
        <v>2</v>
      </c>
      <c r="H204" s="5">
        <v>2</v>
      </c>
      <c r="I204" s="5">
        <v>2</v>
      </c>
      <c r="J204" s="5">
        <v>4</v>
      </c>
      <c r="K204" s="5">
        <v>4</v>
      </c>
      <c r="L204" s="5">
        <v>3</v>
      </c>
      <c r="M204" s="5">
        <v>3</v>
      </c>
      <c r="N204" s="5">
        <v>4</v>
      </c>
      <c r="O204" s="5">
        <v>37</v>
      </c>
      <c r="P204" s="5" t="s">
        <v>981</v>
      </c>
      <c r="Q204" s="5">
        <v>1</v>
      </c>
      <c r="R204" s="5">
        <v>1</v>
      </c>
      <c r="S204" s="5">
        <v>1</v>
      </c>
      <c r="T204" s="5">
        <v>3</v>
      </c>
      <c r="U204" s="5" t="s">
        <v>982</v>
      </c>
      <c r="V204" s="5">
        <v>1</v>
      </c>
      <c r="W204" s="5">
        <v>1</v>
      </c>
      <c r="X204" s="5">
        <v>1</v>
      </c>
      <c r="Y204" s="5">
        <v>3</v>
      </c>
      <c r="Z204" s="5" t="s">
        <v>982</v>
      </c>
      <c r="AA204" s="5">
        <v>3</v>
      </c>
      <c r="AB204" s="5">
        <v>3</v>
      </c>
      <c r="AC204" s="5">
        <v>3</v>
      </c>
      <c r="AD204" s="5">
        <v>3</v>
      </c>
      <c r="AE204" s="5">
        <v>12</v>
      </c>
      <c r="AF204" s="5" t="s">
        <v>981</v>
      </c>
      <c r="AG204" s="5">
        <v>1</v>
      </c>
      <c r="AH204" s="5">
        <v>1</v>
      </c>
      <c r="AI204" s="5">
        <v>1</v>
      </c>
      <c r="AJ204" s="5">
        <v>3</v>
      </c>
      <c r="AK204" s="5" t="s">
        <v>982</v>
      </c>
      <c r="AL204" s="5">
        <v>1</v>
      </c>
      <c r="AM204" s="5">
        <v>1</v>
      </c>
      <c r="AN204" s="5">
        <v>1</v>
      </c>
      <c r="AO204" s="5">
        <v>3</v>
      </c>
      <c r="AP204" s="5" t="s">
        <v>982</v>
      </c>
      <c r="AQ204" s="5">
        <v>0</v>
      </c>
      <c r="AR204" s="5">
        <v>0</v>
      </c>
      <c r="AS204" s="5">
        <v>0</v>
      </c>
      <c r="AT204" s="5">
        <v>0</v>
      </c>
      <c r="AU204" s="5">
        <v>0</v>
      </c>
      <c r="AV204" s="5">
        <v>0</v>
      </c>
      <c r="AW204" s="5">
        <v>0</v>
      </c>
      <c r="AX204" s="5">
        <v>0</v>
      </c>
      <c r="AY204" s="5" t="s">
        <v>983</v>
      </c>
      <c r="AZ204" s="1">
        <v>1</v>
      </c>
      <c r="BA204" s="1">
        <v>0</v>
      </c>
      <c r="BB204" s="1">
        <v>0</v>
      </c>
      <c r="BC204" s="1">
        <v>1</v>
      </c>
      <c r="BD204" s="1">
        <v>1</v>
      </c>
      <c r="BE204" s="1">
        <v>1</v>
      </c>
      <c r="BF204" s="1">
        <v>49</v>
      </c>
      <c r="BG204" s="1">
        <v>0</v>
      </c>
      <c r="BH204" s="1">
        <v>4</v>
      </c>
      <c r="BI204" s="1">
        <v>24</v>
      </c>
      <c r="BJ204" s="1">
        <v>0</v>
      </c>
      <c r="BK204" s="1">
        <v>4</v>
      </c>
    </row>
    <row r="205" spans="1:63" ht="12.75" customHeight="1" x14ac:dyDescent="0.15">
      <c r="A205" s="5" t="s">
        <v>330</v>
      </c>
      <c r="B205" s="5" t="s">
        <v>984</v>
      </c>
      <c r="C205" s="5">
        <v>3</v>
      </c>
      <c r="D205" s="5">
        <v>4</v>
      </c>
      <c r="E205" s="5">
        <v>2</v>
      </c>
      <c r="F205" s="5">
        <v>2</v>
      </c>
      <c r="G205" s="5">
        <v>1</v>
      </c>
      <c r="H205" s="5">
        <v>1</v>
      </c>
      <c r="I205" s="5">
        <v>1</v>
      </c>
      <c r="J205" s="5">
        <v>2</v>
      </c>
      <c r="K205" s="5">
        <v>2</v>
      </c>
      <c r="L205" s="5">
        <v>3</v>
      </c>
      <c r="M205" s="5">
        <v>2</v>
      </c>
      <c r="N205" s="5">
        <v>2</v>
      </c>
      <c r="O205" s="5">
        <v>25</v>
      </c>
      <c r="P205" s="5" t="s">
        <v>981</v>
      </c>
      <c r="Q205" s="5">
        <v>2</v>
      </c>
      <c r="R205" s="5">
        <v>1</v>
      </c>
      <c r="S205" s="5">
        <v>1</v>
      </c>
      <c r="T205" s="5">
        <v>4</v>
      </c>
      <c r="U205" s="5" t="s">
        <v>982</v>
      </c>
      <c r="V205" s="5">
        <v>2</v>
      </c>
      <c r="W205" s="5">
        <v>1</v>
      </c>
      <c r="X205" s="5">
        <v>1</v>
      </c>
      <c r="Y205" s="5">
        <v>4</v>
      </c>
      <c r="Z205" s="5" t="s">
        <v>982</v>
      </c>
      <c r="AA205" s="5">
        <v>2</v>
      </c>
      <c r="AB205" s="5">
        <v>1</v>
      </c>
      <c r="AC205" s="5">
        <v>1</v>
      </c>
      <c r="AD205" s="5">
        <v>0</v>
      </c>
      <c r="AE205" s="5">
        <v>4</v>
      </c>
      <c r="AF205" s="5" t="s">
        <v>982</v>
      </c>
      <c r="AG205" s="5">
        <v>1</v>
      </c>
      <c r="AH205" s="5">
        <v>0</v>
      </c>
      <c r="AI205" s="5">
        <v>0</v>
      </c>
      <c r="AJ205" s="5">
        <v>1</v>
      </c>
      <c r="AK205" s="5" t="s">
        <v>983</v>
      </c>
      <c r="AL205" s="5">
        <v>2</v>
      </c>
      <c r="AM205" s="5">
        <v>2</v>
      </c>
      <c r="AN205" s="5">
        <v>1</v>
      </c>
      <c r="AO205" s="5">
        <v>5</v>
      </c>
      <c r="AP205" s="5" t="s">
        <v>982</v>
      </c>
      <c r="AQ205" s="5">
        <v>0</v>
      </c>
      <c r="AR205" s="5">
        <v>0</v>
      </c>
      <c r="AS205" s="5">
        <v>0</v>
      </c>
      <c r="AT205" s="5">
        <v>0</v>
      </c>
      <c r="AU205" s="5">
        <v>0</v>
      </c>
      <c r="AV205" s="5">
        <v>0</v>
      </c>
      <c r="AW205" s="5">
        <v>0</v>
      </c>
      <c r="AX205" s="5">
        <v>0</v>
      </c>
      <c r="AY205" s="5" t="s">
        <v>983</v>
      </c>
      <c r="AZ205" s="1">
        <v>0</v>
      </c>
      <c r="BA205" s="1">
        <v>0</v>
      </c>
      <c r="BB205" s="1">
        <v>0</v>
      </c>
      <c r="BC205" s="1">
        <v>1</v>
      </c>
      <c r="BD205" s="1">
        <v>0</v>
      </c>
      <c r="BE205" s="1">
        <v>1</v>
      </c>
      <c r="BF205" s="1">
        <v>32</v>
      </c>
      <c r="BG205" s="1">
        <v>0</v>
      </c>
      <c r="BH205" s="1">
        <v>14</v>
      </c>
      <c r="BI205" s="1">
        <v>22</v>
      </c>
      <c r="BJ205" s="1">
        <v>400000</v>
      </c>
      <c r="BK205" s="1">
        <v>3</v>
      </c>
    </row>
    <row r="206" spans="1:63" ht="12.75" customHeight="1" x14ac:dyDescent="0.15">
      <c r="A206" s="5" t="s">
        <v>238</v>
      </c>
      <c r="B206" s="5" t="s">
        <v>238</v>
      </c>
      <c r="C206" s="5">
        <v>2</v>
      </c>
      <c r="D206" s="5">
        <v>2</v>
      </c>
      <c r="E206" s="5">
        <v>2</v>
      </c>
      <c r="F206" s="5">
        <v>2</v>
      </c>
      <c r="G206" s="5">
        <v>3</v>
      </c>
      <c r="H206" s="5">
        <v>2</v>
      </c>
      <c r="I206" s="5">
        <v>2</v>
      </c>
      <c r="J206" s="5">
        <v>1</v>
      </c>
      <c r="K206" s="5">
        <v>2</v>
      </c>
      <c r="L206" s="5">
        <v>2</v>
      </c>
      <c r="M206" s="5">
        <v>2</v>
      </c>
      <c r="N206" s="5">
        <v>3</v>
      </c>
      <c r="O206" s="5">
        <v>25</v>
      </c>
      <c r="P206" s="5" t="s">
        <v>981</v>
      </c>
      <c r="Q206" s="5">
        <v>3</v>
      </c>
      <c r="R206" s="5">
        <v>2</v>
      </c>
      <c r="S206" s="5">
        <v>1</v>
      </c>
      <c r="T206" s="5">
        <v>6</v>
      </c>
      <c r="U206" s="5" t="s">
        <v>981</v>
      </c>
      <c r="V206" s="5">
        <v>1</v>
      </c>
      <c r="W206" s="5">
        <v>2</v>
      </c>
      <c r="X206" s="5">
        <v>3</v>
      </c>
      <c r="Y206" s="5">
        <v>6</v>
      </c>
      <c r="Z206" s="5" t="s">
        <v>981</v>
      </c>
      <c r="AA206" s="5">
        <v>4</v>
      </c>
      <c r="AB206" s="5">
        <v>4</v>
      </c>
      <c r="AC206" s="5">
        <v>0</v>
      </c>
      <c r="AD206" s="5">
        <v>1</v>
      </c>
      <c r="AE206" s="5">
        <v>9</v>
      </c>
      <c r="AF206" s="5" t="s">
        <v>981</v>
      </c>
      <c r="AG206" s="5">
        <v>2</v>
      </c>
      <c r="AH206" s="5">
        <v>0</v>
      </c>
      <c r="AI206" s="5">
        <v>0</v>
      </c>
      <c r="AJ206" s="5">
        <v>2</v>
      </c>
      <c r="AK206" s="5" t="s">
        <v>983</v>
      </c>
      <c r="AL206" s="5">
        <v>3</v>
      </c>
      <c r="AM206" s="5">
        <v>1</v>
      </c>
      <c r="AN206" s="5">
        <v>1</v>
      </c>
      <c r="AO206" s="5">
        <v>5</v>
      </c>
      <c r="AP206" s="5" t="s">
        <v>982</v>
      </c>
      <c r="AQ206" s="5">
        <v>1</v>
      </c>
      <c r="AR206" s="5">
        <v>0</v>
      </c>
      <c r="AS206" s="5">
        <v>0</v>
      </c>
      <c r="AT206" s="5">
        <v>0</v>
      </c>
      <c r="AU206" s="5">
        <v>0</v>
      </c>
      <c r="AV206" s="5">
        <v>1</v>
      </c>
      <c r="AW206" s="5">
        <v>1</v>
      </c>
      <c r="AX206" s="5">
        <v>3</v>
      </c>
      <c r="AY206" s="5" t="s">
        <v>982</v>
      </c>
      <c r="AZ206" s="1">
        <v>1</v>
      </c>
      <c r="BA206" s="1">
        <v>0</v>
      </c>
      <c r="BB206" s="1">
        <v>1</v>
      </c>
      <c r="BC206" s="1">
        <v>1</v>
      </c>
      <c r="BD206" s="1">
        <v>0</v>
      </c>
      <c r="BE206" s="1">
        <v>1</v>
      </c>
      <c r="BF206" s="1">
        <v>45</v>
      </c>
      <c r="BG206" s="1">
        <v>1</v>
      </c>
      <c r="BH206" s="1">
        <v>1</v>
      </c>
      <c r="BI206" s="1">
        <v>18</v>
      </c>
      <c r="BJ206" s="1">
        <v>200000</v>
      </c>
      <c r="BK206" s="1">
        <v>2</v>
      </c>
    </row>
    <row r="207" spans="1:63" ht="12.75" customHeight="1" x14ac:dyDescent="0.15">
      <c r="A207" s="5" t="s">
        <v>238</v>
      </c>
      <c r="B207" s="5" t="s">
        <v>238</v>
      </c>
      <c r="C207" s="5">
        <v>2</v>
      </c>
      <c r="D207" s="5">
        <v>2</v>
      </c>
      <c r="E207" s="5">
        <v>3</v>
      </c>
      <c r="F207" s="5">
        <v>2</v>
      </c>
      <c r="G207" s="5">
        <v>2</v>
      </c>
      <c r="H207" s="5">
        <v>1</v>
      </c>
      <c r="I207" s="5">
        <v>1</v>
      </c>
      <c r="J207" s="5">
        <v>1</v>
      </c>
      <c r="K207" s="5">
        <v>1</v>
      </c>
      <c r="L207" s="5">
        <v>1</v>
      </c>
      <c r="M207" s="5">
        <v>2</v>
      </c>
      <c r="N207" s="5">
        <v>2</v>
      </c>
      <c r="O207" s="5">
        <v>20</v>
      </c>
      <c r="P207" s="5" t="s">
        <v>982</v>
      </c>
      <c r="Q207" s="5">
        <v>1</v>
      </c>
      <c r="R207" s="5">
        <v>1</v>
      </c>
      <c r="S207" s="5">
        <v>0</v>
      </c>
      <c r="T207" s="5">
        <v>2</v>
      </c>
      <c r="U207" s="5" t="s">
        <v>982</v>
      </c>
      <c r="V207" s="5">
        <v>0</v>
      </c>
      <c r="W207" s="5">
        <v>1</v>
      </c>
      <c r="X207" s="5">
        <v>2</v>
      </c>
      <c r="Y207" s="5">
        <v>3</v>
      </c>
      <c r="Z207" s="5" t="s">
        <v>982</v>
      </c>
      <c r="AA207" s="5">
        <v>2</v>
      </c>
      <c r="AB207" s="5">
        <v>1</v>
      </c>
      <c r="AC207" s="5">
        <v>0</v>
      </c>
      <c r="AD207" s="5">
        <v>0</v>
      </c>
      <c r="AE207" s="5">
        <v>3</v>
      </c>
      <c r="AF207" s="5" t="s">
        <v>982</v>
      </c>
      <c r="AG207" s="5">
        <v>1</v>
      </c>
      <c r="AH207" s="5">
        <v>0</v>
      </c>
      <c r="AI207" s="5">
        <v>1</v>
      </c>
      <c r="AJ207" s="5">
        <v>2</v>
      </c>
      <c r="AK207" s="5" t="s">
        <v>983</v>
      </c>
      <c r="AL207" s="5">
        <v>1</v>
      </c>
      <c r="AM207" s="5">
        <v>0</v>
      </c>
      <c r="AN207" s="5">
        <v>0</v>
      </c>
      <c r="AO207" s="5">
        <v>1</v>
      </c>
      <c r="AP207" s="5" t="s">
        <v>983</v>
      </c>
      <c r="AQ207" s="5">
        <v>0</v>
      </c>
      <c r="AR207" s="5">
        <v>0</v>
      </c>
      <c r="AS207" s="5">
        <v>0</v>
      </c>
      <c r="AT207" s="5">
        <v>0</v>
      </c>
      <c r="AU207" s="5">
        <v>0</v>
      </c>
      <c r="AV207" s="5">
        <v>0</v>
      </c>
      <c r="AW207" s="5">
        <v>0</v>
      </c>
      <c r="AX207" s="5">
        <v>0</v>
      </c>
      <c r="AY207" s="5" t="s">
        <v>983</v>
      </c>
      <c r="AZ207" s="1">
        <v>1</v>
      </c>
      <c r="BA207" s="1">
        <v>0</v>
      </c>
      <c r="BB207" s="1">
        <v>1</v>
      </c>
      <c r="BC207" s="1">
        <v>1</v>
      </c>
      <c r="BD207" s="1">
        <v>1</v>
      </c>
      <c r="BE207" s="1">
        <v>1</v>
      </c>
      <c r="BF207" s="1">
        <v>44</v>
      </c>
      <c r="BG207" s="1">
        <v>1</v>
      </c>
      <c r="BH207" s="1">
        <v>15</v>
      </c>
      <c r="BI207" s="1">
        <v>9</v>
      </c>
      <c r="BJ207" s="1">
        <v>900000</v>
      </c>
      <c r="BK207" s="1">
        <v>3</v>
      </c>
    </row>
    <row r="208" spans="1:63" ht="12.75" customHeight="1" x14ac:dyDescent="0.15">
      <c r="A208" s="5" t="s">
        <v>238</v>
      </c>
      <c r="B208" s="5" t="s">
        <v>238</v>
      </c>
      <c r="C208" s="5">
        <v>1</v>
      </c>
      <c r="D208" s="5">
        <v>1</v>
      </c>
      <c r="E208" s="5">
        <v>1</v>
      </c>
      <c r="F208" s="5">
        <v>2</v>
      </c>
      <c r="G208" s="5">
        <v>1</v>
      </c>
      <c r="H208" s="5">
        <v>1</v>
      </c>
      <c r="I208" s="5">
        <v>1</v>
      </c>
      <c r="J208" s="5">
        <v>1</v>
      </c>
      <c r="K208" s="5">
        <v>1</v>
      </c>
      <c r="L208" s="5">
        <v>2</v>
      </c>
      <c r="M208" s="5">
        <v>1</v>
      </c>
      <c r="N208" s="5">
        <v>2</v>
      </c>
      <c r="O208" s="5">
        <v>15</v>
      </c>
      <c r="P208" s="5" t="s">
        <v>983</v>
      </c>
      <c r="Q208" s="5">
        <v>2</v>
      </c>
      <c r="R208" s="5">
        <v>2</v>
      </c>
      <c r="S208" s="5">
        <v>2</v>
      </c>
      <c r="T208" s="5">
        <v>6</v>
      </c>
      <c r="U208" s="5" t="s">
        <v>981</v>
      </c>
      <c r="V208" s="5">
        <v>1</v>
      </c>
      <c r="W208" s="5">
        <v>0</v>
      </c>
      <c r="X208" s="5">
        <v>1</v>
      </c>
      <c r="Y208" s="5">
        <v>2</v>
      </c>
      <c r="Z208" s="5" t="s">
        <v>982</v>
      </c>
      <c r="AA208" s="5">
        <v>3</v>
      </c>
      <c r="AB208" s="5">
        <v>3</v>
      </c>
      <c r="AC208" s="5">
        <v>2</v>
      </c>
      <c r="AD208" s="5">
        <v>3</v>
      </c>
      <c r="AE208" s="5">
        <v>11</v>
      </c>
      <c r="AF208" s="5" t="s">
        <v>981</v>
      </c>
      <c r="AG208" s="5">
        <v>0</v>
      </c>
      <c r="AH208" s="5">
        <v>2</v>
      </c>
      <c r="AI208" s="5">
        <v>1</v>
      </c>
      <c r="AJ208" s="5">
        <v>3</v>
      </c>
      <c r="AK208" s="5" t="s">
        <v>982</v>
      </c>
      <c r="AL208" s="5">
        <v>2</v>
      </c>
      <c r="AM208" s="5">
        <v>1</v>
      </c>
      <c r="AN208" s="5">
        <v>1</v>
      </c>
      <c r="AO208" s="5">
        <v>4</v>
      </c>
      <c r="AP208" s="5" t="s">
        <v>982</v>
      </c>
      <c r="AQ208" s="5">
        <v>3</v>
      </c>
      <c r="AR208" s="5">
        <v>2</v>
      </c>
      <c r="AS208" s="5">
        <v>4</v>
      </c>
      <c r="AT208" s="5">
        <v>3</v>
      </c>
      <c r="AU208" s="5">
        <v>4</v>
      </c>
      <c r="AV208" s="5">
        <v>2</v>
      </c>
      <c r="AW208" s="5">
        <v>3</v>
      </c>
      <c r="AX208" s="5">
        <v>21</v>
      </c>
      <c r="AY208" s="5" t="s">
        <v>981</v>
      </c>
      <c r="AZ208" s="1">
        <v>1</v>
      </c>
      <c r="BA208" s="1">
        <v>0</v>
      </c>
      <c r="BB208" s="1">
        <v>0</v>
      </c>
      <c r="BC208" s="1">
        <v>1</v>
      </c>
      <c r="BD208" s="1">
        <v>0</v>
      </c>
      <c r="BE208" s="1">
        <v>0</v>
      </c>
      <c r="BF208" s="1">
        <v>53</v>
      </c>
      <c r="BG208" s="1">
        <v>0</v>
      </c>
      <c r="BH208" s="1">
        <v>0</v>
      </c>
      <c r="BI208" s="1">
        <v>24</v>
      </c>
      <c r="BJ208" s="1">
        <v>300000</v>
      </c>
      <c r="BK208" s="1">
        <v>2</v>
      </c>
    </row>
    <row r="209" spans="1:63" ht="12.75" customHeight="1" x14ac:dyDescent="0.15">
      <c r="A209" s="5" t="s">
        <v>238</v>
      </c>
      <c r="B209" s="5" t="s">
        <v>238</v>
      </c>
      <c r="C209" s="5">
        <v>2</v>
      </c>
      <c r="D209" s="5">
        <v>2</v>
      </c>
      <c r="E209" s="5">
        <v>2</v>
      </c>
      <c r="F209" s="5">
        <v>2</v>
      </c>
      <c r="G209" s="5">
        <v>2</v>
      </c>
      <c r="H209" s="5">
        <v>1</v>
      </c>
      <c r="I209" s="5">
        <v>1</v>
      </c>
      <c r="J209" s="5">
        <v>1</v>
      </c>
      <c r="K209" s="5">
        <v>1</v>
      </c>
      <c r="L209" s="5">
        <v>1</v>
      </c>
      <c r="M209" s="5">
        <v>2</v>
      </c>
      <c r="N209" s="5">
        <v>1</v>
      </c>
      <c r="O209" s="5">
        <v>18</v>
      </c>
      <c r="P209" s="5" t="s">
        <v>983</v>
      </c>
      <c r="Q209" s="5">
        <v>0</v>
      </c>
      <c r="R209" s="5">
        <v>1</v>
      </c>
      <c r="S209" s="5">
        <v>2</v>
      </c>
      <c r="T209" s="5">
        <v>3</v>
      </c>
      <c r="U209" s="5" t="s">
        <v>982</v>
      </c>
      <c r="V209" s="5">
        <v>0</v>
      </c>
      <c r="W209" s="5">
        <v>0</v>
      </c>
      <c r="X209" s="5">
        <v>1</v>
      </c>
      <c r="Y209" s="5">
        <v>1</v>
      </c>
      <c r="Z209" s="5" t="s">
        <v>983</v>
      </c>
      <c r="AA209" s="5">
        <v>1</v>
      </c>
      <c r="AB209" s="5">
        <v>1</v>
      </c>
      <c r="AC209" s="5">
        <v>0</v>
      </c>
      <c r="AD209" s="5">
        <v>3</v>
      </c>
      <c r="AE209" s="5">
        <v>5</v>
      </c>
      <c r="AF209" s="5" t="s">
        <v>981</v>
      </c>
      <c r="AG209" s="5">
        <v>0</v>
      </c>
      <c r="AH209" s="5">
        <v>0</v>
      </c>
      <c r="AI209" s="5">
        <v>0</v>
      </c>
      <c r="AJ209" s="5">
        <v>0</v>
      </c>
      <c r="AK209" s="5" t="s">
        <v>983</v>
      </c>
      <c r="AL209" s="5">
        <v>0</v>
      </c>
      <c r="AM209" s="5">
        <v>1</v>
      </c>
      <c r="AN209" s="5">
        <v>1</v>
      </c>
      <c r="AO209" s="5">
        <v>2</v>
      </c>
      <c r="AP209" s="5" t="s">
        <v>983</v>
      </c>
      <c r="AQ209" s="5">
        <v>0</v>
      </c>
      <c r="AR209" s="5">
        <v>0</v>
      </c>
      <c r="AS209" s="5">
        <v>0</v>
      </c>
      <c r="AT209" s="5">
        <v>0</v>
      </c>
      <c r="AU209" s="5">
        <v>0</v>
      </c>
      <c r="AV209" s="5">
        <v>0</v>
      </c>
      <c r="AW209" s="5">
        <v>0</v>
      </c>
      <c r="AX209" s="5">
        <v>0</v>
      </c>
      <c r="AY209" s="5" t="s">
        <v>983</v>
      </c>
      <c r="AZ209" s="1">
        <v>0</v>
      </c>
      <c r="BA209" s="1">
        <v>0</v>
      </c>
      <c r="BB209" s="1">
        <v>1</v>
      </c>
      <c r="BC209" s="1">
        <v>1</v>
      </c>
      <c r="BD209" s="1">
        <v>1</v>
      </c>
      <c r="BE209" s="1">
        <v>1</v>
      </c>
      <c r="BF209" s="1">
        <v>0</v>
      </c>
      <c r="BG209" s="1">
        <v>0</v>
      </c>
      <c r="BI209" s="1">
        <v>31</v>
      </c>
      <c r="BJ209" s="1">
        <v>0</v>
      </c>
      <c r="BK209" s="1">
        <v>8</v>
      </c>
    </row>
    <row r="210" spans="1:63" ht="12.75" customHeight="1" x14ac:dyDescent="0.15">
      <c r="A210" s="5" t="s">
        <v>238</v>
      </c>
      <c r="B210" s="5" t="s">
        <v>238</v>
      </c>
      <c r="C210" s="5">
        <v>2</v>
      </c>
      <c r="D210" s="5">
        <v>2</v>
      </c>
      <c r="E210" s="5">
        <v>3</v>
      </c>
      <c r="F210" s="5">
        <v>2</v>
      </c>
      <c r="G210" s="5">
        <v>2</v>
      </c>
      <c r="H210" s="5">
        <v>3</v>
      </c>
      <c r="I210" s="5">
        <v>1</v>
      </c>
      <c r="J210" s="5">
        <v>2</v>
      </c>
      <c r="K210" s="5">
        <v>1</v>
      </c>
      <c r="L210" s="5">
        <v>2</v>
      </c>
      <c r="M210" s="5">
        <v>2</v>
      </c>
      <c r="N210" s="5">
        <v>2</v>
      </c>
      <c r="O210" s="5">
        <v>24</v>
      </c>
      <c r="P210" s="5" t="s">
        <v>981</v>
      </c>
      <c r="Q210" s="5">
        <v>2</v>
      </c>
      <c r="R210" s="5">
        <v>2</v>
      </c>
      <c r="S210" s="5">
        <v>1</v>
      </c>
      <c r="T210" s="5">
        <v>5</v>
      </c>
      <c r="U210" s="5" t="s">
        <v>981</v>
      </c>
      <c r="V210" s="5">
        <v>1</v>
      </c>
      <c r="W210" s="5">
        <v>0</v>
      </c>
      <c r="X210" s="5">
        <v>1</v>
      </c>
      <c r="Y210" s="5">
        <v>2</v>
      </c>
      <c r="Z210" s="5" t="s">
        <v>982</v>
      </c>
      <c r="AA210" s="5">
        <v>4</v>
      </c>
      <c r="AB210" s="5">
        <v>4</v>
      </c>
      <c r="AC210" s="5">
        <v>4</v>
      </c>
      <c r="AD210" s="5">
        <v>4</v>
      </c>
      <c r="AE210" s="5">
        <v>16</v>
      </c>
      <c r="AF210" s="5" t="s">
        <v>981</v>
      </c>
      <c r="AG210" s="5">
        <v>0</v>
      </c>
      <c r="AH210" s="5">
        <v>0</v>
      </c>
      <c r="AI210" s="5">
        <v>0</v>
      </c>
      <c r="AJ210" s="5">
        <v>0</v>
      </c>
      <c r="AK210" s="5" t="s">
        <v>983</v>
      </c>
      <c r="AL210" s="5">
        <v>0</v>
      </c>
      <c r="AM210" s="5">
        <v>2</v>
      </c>
      <c r="AN210" s="5">
        <v>1</v>
      </c>
      <c r="AO210" s="5">
        <v>3</v>
      </c>
      <c r="AP210" s="5" t="s">
        <v>982</v>
      </c>
      <c r="AQ210" s="5">
        <v>0</v>
      </c>
      <c r="AR210" s="5">
        <v>0</v>
      </c>
      <c r="AS210" s="5">
        <v>0</v>
      </c>
      <c r="AT210" s="5">
        <v>0</v>
      </c>
      <c r="AU210" s="5">
        <v>0</v>
      </c>
      <c r="AV210" s="5">
        <v>0</v>
      </c>
      <c r="AW210" s="5">
        <v>0</v>
      </c>
      <c r="AX210" s="5">
        <v>0</v>
      </c>
      <c r="AY210" s="5" t="s">
        <v>983</v>
      </c>
      <c r="AZ210" s="1">
        <v>0</v>
      </c>
      <c r="BA210" s="1">
        <v>0</v>
      </c>
      <c r="BB210" s="1">
        <v>0</v>
      </c>
      <c r="BC210" s="1">
        <v>1</v>
      </c>
      <c r="BD210" s="1">
        <v>1</v>
      </c>
      <c r="BE210" s="1">
        <v>1</v>
      </c>
      <c r="BF210" s="1">
        <v>30</v>
      </c>
      <c r="BG210" s="1">
        <v>0</v>
      </c>
      <c r="BH210" s="1">
        <v>16</v>
      </c>
      <c r="BI210" s="1">
        <v>1</v>
      </c>
      <c r="BJ210" s="1">
        <v>600000</v>
      </c>
      <c r="BK210" s="1">
        <v>1</v>
      </c>
    </row>
    <row r="211" spans="1:63" ht="12.75" customHeight="1" x14ac:dyDescent="0.15">
      <c r="A211" s="5" t="s">
        <v>238</v>
      </c>
      <c r="B211" s="5" t="s">
        <v>238</v>
      </c>
      <c r="C211" s="5">
        <v>1</v>
      </c>
      <c r="D211" s="5">
        <v>1</v>
      </c>
      <c r="E211" s="5">
        <v>1</v>
      </c>
      <c r="F211" s="5">
        <v>1</v>
      </c>
      <c r="G211" s="5">
        <v>1</v>
      </c>
      <c r="H211" s="5">
        <v>1</v>
      </c>
      <c r="I211" s="5">
        <v>1</v>
      </c>
      <c r="J211" s="5">
        <v>1</v>
      </c>
      <c r="K211" s="5">
        <v>1</v>
      </c>
      <c r="L211" s="5">
        <v>1</v>
      </c>
      <c r="M211" s="5">
        <v>1</v>
      </c>
      <c r="N211" s="5">
        <v>1</v>
      </c>
      <c r="O211" s="5">
        <v>12</v>
      </c>
      <c r="P211" s="5" t="s">
        <v>983</v>
      </c>
      <c r="Q211" s="5">
        <v>0</v>
      </c>
      <c r="R211" s="5">
        <v>0</v>
      </c>
      <c r="S211" s="5">
        <v>0</v>
      </c>
      <c r="T211" s="5">
        <v>0</v>
      </c>
      <c r="U211" s="5" t="s">
        <v>983</v>
      </c>
      <c r="V211" s="5">
        <v>0</v>
      </c>
      <c r="W211" s="5">
        <v>0</v>
      </c>
      <c r="X211" s="5">
        <v>0</v>
      </c>
      <c r="Y211" s="5">
        <v>0</v>
      </c>
      <c r="Z211" s="5" t="s">
        <v>983</v>
      </c>
      <c r="AA211" s="5">
        <v>0</v>
      </c>
      <c r="AB211" s="5">
        <v>0</v>
      </c>
      <c r="AC211" s="5">
        <v>0</v>
      </c>
      <c r="AD211" s="5">
        <v>0</v>
      </c>
      <c r="AE211" s="5">
        <v>0</v>
      </c>
      <c r="AF211" s="5" t="s">
        <v>983</v>
      </c>
      <c r="AG211" s="5">
        <v>0</v>
      </c>
      <c r="AH211" s="5">
        <v>0</v>
      </c>
      <c r="AI211" s="5">
        <v>0</v>
      </c>
      <c r="AJ211" s="5">
        <v>0</v>
      </c>
      <c r="AK211" s="5" t="s">
        <v>983</v>
      </c>
      <c r="AL211" s="5">
        <v>0</v>
      </c>
      <c r="AM211" s="5">
        <v>0</v>
      </c>
      <c r="AN211" s="5">
        <v>0</v>
      </c>
      <c r="AO211" s="5">
        <v>0</v>
      </c>
      <c r="AP211" s="5" t="s">
        <v>983</v>
      </c>
      <c r="AQ211" s="5">
        <v>0</v>
      </c>
      <c r="AR211" s="5">
        <v>0</v>
      </c>
      <c r="AS211" s="5">
        <v>0</v>
      </c>
      <c r="AT211" s="5">
        <v>0</v>
      </c>
      <c r="AU211" s="5">
        <v>0</v>
      </c>
      <c r="AV211" s="5">
        <v>0</v>
      </c>
      <c r="AW211" s="5">
        <v>0</v>
      </c>
      <c r="AX211" s="5">
        <v>0</v>
      </c>
      <c r="AY211" s="5" t="s">
        <v>983</v>
      </c>
      <c r="AZ211" s="1">
        <v>0</v>
      </c>
      <c r="BA211" s="1">
        <v>0</v>
      </c>
      <c r="BB211" s="1">
        <v>1</v>
      </c>
      <c r="BC211" s="1">
        <v>1</v>
      </c>
      <c r="BD211" s="1">
        <v>1</v>
      </c>
      <c r="BE211" s="1">
        <v>1</v>
      </c>
      <c r="BF211" s="1">
        <v>45</v>
      </c>
      <c r="BG211" s="1">
        <v>0</v>
      </c>
      <c r="BH211" s="1">
        <v>18</v>
      </c>
      <c r="BI211" s="1">
        <v>6</v>
      </c>
      <c r="BJ211" s="1">
        <v>1700000</v>
      </c>
      <c r="BK211" s="1">
        <v>4</v>
      </c>
    </row>
    <row r="212" spans="1:63" ht="12.75" customHeight="1" x14ac:dyDescent="0.15">
      <c r="A212" s="5" t="s">
        <v>238</v>
      </c>
      <c r="B212" s="5" t="s">
        <v>238</v>
      </c>
      <c r="C212" s="5">
        <v>3</v>
      </c>
      <c r="D212" s="5">
        <v>3</v>
      </c>
      <c r="E212" s="5">
        <v>2</v>
      </c>
      <c r="F212" s="5">
        <v>2</v>
      </c>
      <c r="G212" s="5">
        <v>1</v>
      </c>
      <c r="H212" s="5">
        <v>1</v>
      </c>
      <c r="I212" s="5">
        <v>1</v>
      </c>
      <c r="J212" s="5">
        <v>1</v>
      </c>
      <c r="K212" s="5">
        <v>3</v>
      </c>
      <c r="L212" s="5">
        <v>2</v>
      </c>
      <c r="M212" s="5">
        <v>1</v>
      </c>
      <c r="N212" s="5">
        <v>1</v>
      </c>
      <c r="O212" s="5">
        <v>21</v>
      </c>
      <c r="P212" s="5" t="s">
        <v>982</v>
      </c>
      <c r="Q212" s="5">
        <v>3</v>
      </c>
      <c r="R212" s="5">
        <v>2</v>
      </c>
      <c r="S212" s="5">
        <v>2</v>
      </c>
      <c r="T212" s="5">
        <v>7</v>
      </c>
      <c r="U212" s="5" t="s">
        <v>981</v>
      </c>
      <c r="V212" s="5">
        <v>2</v>
      </c>
      <c r="W212" s="5">
        <v>2</v>
      </c>
      <c r="X212" s="5">
        <v>3</v>
      </c>
      <c r="Y212" s="5">
        <v>7</v>
      </c>
      <c r="Z212" s="5" t="s">
        <v>981</v>
      </c>
      <c r="AA212" s="5">
        <v>3</v>
      </c>
      <c r="AB212" s="5">
        <v>0</v>
      </c>
      <c r="AC212" s="5">
        <v>0</v>
      </c>
      <c r="AD212" s="5">
        <v>0</v>
      </c>
      <c r="AE212" s="5">
        <v>3</v>
      </c>
      <c r="AF212" s="5" t="s">
        <v>982</v>
      </c>
      <c r="AG212" s="5">
        <v>4</v>
      </c>
      <c r="AH212" s="5">
        <v>4</v>
      </c>
      <c r="AI212" s="5">
        <v>2</v>
      </c>
      <c r="AJ212" s="5">
        <v>10</v>
      </c>
      <c r="AK212" s="5" t="s">
        <v>981</v>
      </c>
      <c r="AL212" s="5">
        <v>2</v>
      </c>
      <c r="AM212" s="5">
        <v>2</v>
      </c>
      <c r="AN212" s="5">
        <v>2</v>
      </c>
      <c r="AO212" s="5">
        <v>6</v>
      </c>
      <c r="AP212" s="5" t="s">
        <v>981</v>
      </c>
      <c r="AQ212" s="5">
        <v>0</v>
      </c>
      <c r="AR212" s="5">
        <v>0</v>
      </c>
      <c r="AS212" s="5">
        <v>0</v>
      </c>
      <c r="AT212" s="5">
        <v>0</v>
      </c>
      <c r="AU212" s="5">
        <v>0</v>
      </c>
      <c r="AV212" s="5">
        <v>0</v>
      </c>
      <c r="AW212" s="5">
        <v>0</v>
      </c>
      <c r="AX212" s="5">
        <v>0</v>
      </c>
      <c r="AY212" s="5" t="s">
        <v>983</v>
      </c>
      <c r="AZ212" s="1">
        <v>0</v>
      </c>
      <c r="BA212" s="1">
        <v>0</v>
      </c>
      <c r="BB212" s="1">
        <v>1</v>
      </c>
      <c r="BC212" s="1">
        <v>1</v>
      </c>
      <c r="BD212" s="1">
        <v>1</v>
      </c>
      <c r="BE212" s="1">
        <v>1</v>
      </c>
      <c r="BF212" s="1">
        <v>38</v>
      </c>
      <c r="BG212" s="1">
        <v>0</v>
      </c>
      <c r="BH212" s="1">
        <v>14</v>
      </c>
      <c r="BI212" s="1">
        <v>24</v>
      </c>
      <c r="BJ212" s="1">
        <v>480000</v>
      </c>
      <c r="BK212" s="1">
        <v>4</v>
      </c>
    </row>
    <row r="213" spans="1:63" ht="12.75" customHeight="1" x14ac:dyDescent="0.15">
      <c r="A213" s="5" t="s">
        <v>238</v>
      </c>
      <c r="B213" s="5" t="s">
        <v>238</v>
      </c>
      <c r="C213" s="5">
        <v>1</v>
      </c>
      <c r="D213" s="5">
        <v>2</v>
      </c>
      <c r="E213" s="5">
        <v>2</v>
      </c>
      <c r="F213" s="5">
        <v>1</v>
      </c>
      <c r="G213" s="5">
        <v>2</v>
      </c>
      <c r="H213" s="5">
        <v>2</v>
      </c>
      <c r="I213" s="5">
        <v>1</v>
      </c>
      <c r="J213" s="5">
        <v>1</v>
      </c>
      <c r="K213" s="5">
        <v>1</v>
      </c>
      <c r="L213" s="5">
        <v>1</v>
      </c>
      <c r="M213" s="5">
        <v>1</v>
      </c>
      <c r="N213" s="5">
        <v>1</v>
      </c>
      <c r="O213" s="5">
        <v>16</v>
      </c>
      <c r="P213" s="5" t="s">
        <v>983</v>
      </c>
      <c r="Q213" s="5">
        <v>1</v>
      </c>
      <c r="R213" s="5">
        <v>1</v>
      </c>
      <c r="S213" s="5">
        <v>0</v>
      </c>
      <c r="T213" s="5">
        <v>2</v>
      </c>
      <c r="U213" s="5" t="s">
        <v>982</v>
      </c>
      <c r="V213" s="5">
        <v>1</v>
      </c>
      <c r="W213" s="5">
        <v>2</v>
      </c>
      <c r="X213" s="5">
        <v>0</v>
      </c>
      <c r="Y213" s="5">
        <v>3</v>
      </c>
      <c r="Z213" s="5" t="s">
        <v>982</v>
      </c>
      <c r="AA213" s="5">
        <v>4</v>
      </c>
      <c r="AB213" s="5">
        <v>4</v>
      </c>
      <c r="AC213" s="5">
        <v>4</v>
      </c>
      <c r="AD213" s="5">
        <v>0</v>
      </c>
      <c r="AE213" s="5">
        <v>12</v>
      </c>
      <c r="AF213" s="5" t="s">
        <v>981</v>
      </c>
      <c r="AG213" s="5">
        <v>0</v>
      </c>
      <c r="AH213" s="5">
        <v>0</v>
      </c>
      <c r="AI213" s="5">
        <v>4</v>
      </c>
      <c r="AJ213" s="5">
        <v>4</v>
      </c>
      <c r="AK213" s="5" t="s">
        <v>982</v>
      </c>
      <c r="AL213" s="5">
        <v>0</v>
      </c>
      <c r="AM213" s="5">
        <v>0</v>
      </c>
      <c r="AN213" s="5">
        <v>0</v>
      </c>
      <c r="AO213" s="5">
        <v>0</v>
      </c>
      <c r="AP213" s="5" t="s">
        <v>983</v>
      </c>
      <c r="AQ213" s="5">
        <v>4</v>
      </c>
      <c r="AR213" s="5">
        <v>4</v>
      </c>
      <c r="AS213" s="5">
        <v>4</v>
      </c>
      <c r="AT213" s="5">
        <v>4</v>
      </c>
      <c r="AU213" s="5">
        <v>4</v>
      </c>
      <c r="AV213" s="5">
        <v>4</v>
      </c>
      <c r="AW213" s="5">
        <v>4</v>
      </c>
      <c r="AX213" s="5">
        <v>28</v>
      </c>
      <c r="AY213" s="5" t="s">
        <v>981</v>
      </c>
      <c r="AZ213" s="1">
        <v>1</v>
      </c>
      <c r="BA213" s="1">
        <v>0</v>
      </c>
      <c r="BB213" s="1">
        <v>0</v>
      </c>
      <c r="BC213" s="1">
        <v>1</v>
      </c>
      <c r="BD213" s="1">
        <v>1</v>
      </c>
      <c r="BE213" s="1">
        <v>1</v>
      </c>
      <c r="BF213" s="1">
        <v>38</v>
      </c>
      <c r="BG213" s="1">
        <v>0</v>
      </c>
      <c r="BH213" s="1">
        <v>14</v>
      </c>
      <c r="BI213" s="1">
        <v>24</v>
      </c>
      <c r="BJ213" s="1">
        <v>480000</v>
      </c>
      <c r="BK213" s="1">
        <v>4</v>
      </c>
    </row>
    <row r="214" spans="1:63" ht="12.75" customHeight="1" x14ac:dyDescent="0.15">
      <c r="A214" s="5" t="s">
        <v>238</v>
      </c>
      <c r="B214" s="5" t="s">
        <v>238</v>
      </c>
      <c r="C214" s="5">
        <v>2</v>
      </c>
      <c r="D214" s="5">
        <v>1</v>
      </c>
      <c r="E214" s="5">
        <v>1</v>
      </c>
      <c r="F214" s="5">
        <v>1</v>
      </c>
      <c r="G214" s="5">
        <v>1</v>
      </c>
      <c r="H214" s="5">
        <v>1</v>
      </c>
      <c r="I214" s="5">
        <v>1</v>
      </c>
      <c r="J214" s="5">
        <v>4</v>
      </c>
      <c r="K214" s="5">
        <v>2</v>
      </c>
      <c r="L214" s="5">
        <v>2</v>
      </c>
      <c r="M214" s="5">
        <v>2</v>
      </c>
      <c r="N214" s="5">
        <v>2</v>
      </c>
      <c r="O214" s="5">
        <v>20</v>
      </c>
      <c r="P214" s="5" t="s">
        <v>982</v>
      </c>
      <c r="Q214" s="5">
        <v>0</v>
      </c>
      <c r="R214" s="5">
        <v>0</v>
      </c>
      <c r="S214" s="5">
        <v>0</v>
      </c>
      <c r="T214" s="5">
        <v>0</v>
      </c>
      <c r="U214" s="5" t="s">
        <v>983</v>
      </c>
      <c r="V214" s="5">
        <v>1</v>
      </c>
      <c r="W214" s="5">
        <v>1</v>
      </c>
      <c r="X214" s="5">
        <v>1</v>
      </c>
      <c r="Y214" s="5">
        <v>3</v>
      </c>
      <c r="Z214" s="5" t="s">
        <v>982</v>
      </c>
      <c r="AA214" s="5">
        <v>2</v>
      </c>
      <c r="AB214" s="5">
        <v>1</v>
      </c>
      <c r="AC214" s="5">
        <v>1</v>
      </c>
      <c r="AD214" s="5">
        <v>1</v>
      </c>
      <c r="AE214" s="5">
        <v>5</v>
      </c>
      <c r="AF214" s="5" t="s">
        <v>981</v>
      </c>
      <c r="AG214" s="5">
        <v>0</v>
      </c>
      <c r="AH214" s="5">
        <v>1</v>
      </c>
      <c r="AI214" s="5">
        <v>0</v>
      </c>
      <c r="AJ214" s="5">
        <v>1</v>
      </c>
      <c r="AK214" s="5" t="s">
        <v>983</v>
      </c>
      <c r="AL214" s="5">
        <v>0</v>
      </c>
      <c r="AM214" s="5">
        <v>0</v>
      </c>
      <c r="AN214" s="5">
        <v>0</v>
      </c>
      <c r="AO214" s="5">
        <v>0</v>
      </c>
      <c r="AP214" s="5" t="s">
        <v>983</v>
      </c>
      <c r="AQ214" s="5">
        <v>0</v>
      </c>
      <c r="AR214" s="5">
        <v>0</v>
      </c>
      <c r="AS214" s="5">
        <v>0</v>
      </c>
      <c r="AT214" s="5">
        <v>0</v>
      </c>
      <c r="AU214" s="5">
        <v>0</v>
      </c>
      <c r="AV214" s="5">
        <v>0</v>
      </c>
      <c r="AW214" s="5">
        <v>0</v>
      </c>
      <c r="AX214" s="5">
        <v>0</v>
      </c>
      <c r="AY214" s="5" t="s">
        <v>983</v>
      </c>
      <c r="AZ214" s="1">
        <v>1</v>
      </c>
      <c r="BA214" s="1">
        <v>0</v>
      </c>
      <c r="BB214" s="1">
        <v>1</v>
      </c>
      <c r="BC214" s="1">
        <v>1</v>
      </c>
      <c r="BD214" s="1">
        <v>1</v>
      </c>
      <c r="BE214" s="1">
        <v>1</v>
      </c>
      <c r="BF214" s="1">
        <v>0</v>
      </c>
      <c r="BG214" s="1">
        <v>1</v>
      </c>
      <c r="BH214" s="1">
        <v>14</v>
      </c>
      <c r="BI214" s="1">
        <v>24</v>
      </c>
      <c r="BJ214" s="1">
        <v>0</v>
      </c>
      <c r="BK214" s="1">
        <v>4</v>
      </c>
    </row>
    <row r="215" spans="1:63" ht="12.75" customHeight="1" x14ac:dyDescent="0.15">
      <c r="A215" s="5" t="s">
        <v>330</v>
      </c>
      <c r="B215" s="5" t="s">
        <v>984</v>
      </c>
      <c r="C215" s="5">
        <v>1</v>
      </c>
      <c r="D215" s="5">
        <v>2</v>
      </c>
      <c r="E215" s="5">
        <v>2</v>
      </c>
      <c r="F215" s="5">
        <v>1</v>
      </c>
      <c r="G215" s="5">
        <v>1</v>
      </c>
      <c r="H215" s="5">
        <v>1</v>
      </c>
      <c r="I215" s="5">
        <v>1</v>
      </c>
      <c r="J215" s="5">
        <v>2</v>
      </c>
      <c r="K215" s="5">
        <v>1</v>
      </c>
      <c r="L215" s="5">
        <v>1</v>
      </c>
      <c r="M215" s="5">
        <v>1</v>
      </c>
      <c r="N215" s="5">
        <v>1</v>
      </c>
      <c r="O215" s="5">
        <v>15</v>
      </c>
      <c r="P215" s="5" t="s">
        <v>983</v>
      </c>
      <c r="Q215" s="5">
        <v>4</v>
      </c>
      <c r="R215" s="5">
        <v>4</v>
      </c>
      <c r="S215" s="5">
        <v>1</v>
      </c>
      <c r="T215" s="5">
        <v>9</v>
      </c>
      <c r="U215" s="5" t="s">
        <v>981</v>
      </c>
      <c r="V215" s="5">
        <v>1</v>
      </c>
      <c r="W215" s="5">
        <v>1</v>
      </c>
      <c r="X215" s="5">
        <v>1</v>
      </c>
      <c r="Y215" s="5">
        <v>3</v>
      </c>
      <c r="Z215" s="5" t="s">
        <v>982</v>
      </c>
      <c r="AA215" s="5">
        <v>3</v>
      </c>
      <c r="AB215" s="5">
        <v>0</v>
      </c>
      <c r="AC215" s="5">
        <v>0</v>
      </c>
      <c r="AD215" s="5">
        <v>0</v>
      </c>
      <c r="AE215" s="5">
        <v>3</v>
      </c>
      <c r="AF215" s="5" t="s">
        <v>982</v>
      </c>
      <c r="AG215" s="5">
        <v>4</v>
      </c>
      <c r="AH215" s="5">
        <v>4</v>
      </c>
      <c r="AI215" s="5">
        <v>4</v>
      </c>
      <c r="AJ215" s="5">
        <v>12</v>
      </c>
      <c r="AK215" s="5" t="s">
        <v>981</v>
      </c>
      <c r="AL215" s="5">
        <v>4</v>
      </c>
      <c r="AM215" s="5">
        <v>4</v>
      </c>
      <c r="AN215" s="5">
        <v>4</v>
      </c>
      <c r="AO215" s="5">
        <v>12</v>
      </c>
      <c r="AP215" s="5" t="s">
        <v>981</v>
      </c>
      <c r="AQ215" s="5">
        <v>0</v>
      </c>
      <c r="AR215" s="5">
        <v>0</v>
      </c>
      <c r="AS215" s="5">
        <v>0</v>
      </c>
      <c r="AT215" s="5">
        <v>0</v>
      </c>
      <c r="AU215" s="5">
        <v>0</v>
      </c>
      <c r="AV215" s="5">
        <v>0</v>
      </c>
      <c r="AW215" s="5">
        <v>0</v>
      </c>
      <c r="AX215" s="5">
        <v>0</v>
      </c>
      <c r="AY215" s="5" t="s">
        <v>983</v>
      </c>
      <c r="AZ215" s="1">
        <v>0</v>
      </c>
      <c r="BA215" s="1">
        <v>1</v>
      </c>
      <c r="BB215" s="1">
        <v>0</v>
      </c>
      <c r="BC215" s="1">
        <v>1</v>
      </c>
      <c r="BD215" s="1">
        <v>0</v>
      </c>
      <c r="BE215" s="1">
        <v>1</v>
      </c>
      <c r="BF215" s="1">
        <v>31</v>
      </c>
      <c r="BG215" s="1">
        <v>1</v>
      </c>
      <c r="BH215" s="1">
        <v>14</v>
      </c>
      <c r="BI215" s="1">
        <v>15</v>
      </c>
      <c r="BJ215" s="1">
        <v>100000</v>
      </c>
      <c r="BK215" s="1">
        <v>4</v>
      </c>
    </row>
    <row r="216" spans="1:63" ht="12.75" customHeight="1" x14ac:dyDescent="0.15">
      <c r="A216" s="5" t="s">
        <v>238</v>
      </c>
      <c r="B216" s="5" t="s">
        <v>238</v>
      </c>
      <c r="C216" s="5">
        <v>2</v>
      </c>
      <c r="D216" s="5">
        <v>3</v>
      </c>
      <c r="E216" s="5">
        <v>3</v>
      </c>
      <c r="F216" s="5">
        <v>2</v>
      </c>
      <c r="G216" s="5">
        <v>2</v>
      </c>
      <c r="H216" s="5">
        <v>2</v>
      </c>
      <c r="I216" s="5">
        <v>1</v>
      </c>
      <c r="J216" s="5">
        <v>1</v>
      </c>
      <c r="K216" s="5">
        <v>1</v>
      </c>
      <c r="L216" s="5">
        <v>2</v>
      </c>
      <c r="M216" s="5">
        <v>2</v>
      </c>
      <c r="N216" s="5">
        <v>1</v>
      </c>
      <c r="O216" s="5">
        <v>22</v>
      </c>
      <c r="P216" s="5" t="s">
        <v>982</v>
      </c>
      <c r="Q216" s="5">
        <v>3</v>
      </c>
      <c r="R216" s="5">
        <v>4</v>
      </c>
      <c r="S216" s="5">
        <v>0</v>
      </c>
      <c r="T216" s="5">
        <v>7</v>
      </c>
      <c r="U216" s="5" t="s">
        <v>981</v>
      </c>
      <c r="V216" s="5">
        <v>1</v>
      </c>
      <c r="W216" s="5">
        <v>2</v>
      </c>
      <c r="X216" s="5">
        <v>1</v>
      </c>
      <c r="Y216" s="5">
        <v>4</v>
      </c>
      <c r="Z216" s="5" t="s">
        <v>982</v>
      </c>
      <c r="AA216" s="5">
        <v>2</v>
      </c>
      <c r="AB216" s="5">
        <v>2</v>
      </c>
      <c r="AC216" s="5">
        <v>0</v>
      </c>
      <c r="AD216" s="5">
        <v>0</v>
      </c>
      <c r="AE216" s="5">
        <v>4</v>
      </c>
      <c r="AF216" s="5" t="s">
        <v>982</v>
      </c>
      <c r="AG216" s="5">
        <v>2</v>
      </c>
      <c r="AH216" s="5">
        <v>0</v>
      </c>
      <c r="AI216" s="5">
        <v>0</v>
      </c>
      <c r="AJ216" s="5">
        <v>2</v>
      </c>
      <c r="AK216" s="5" t="s">
        <v>983</v>
      </c>
      <c r="AL216" s="5">
        <v>0</v>
      </c>
      <c r="AM216" s="5">
        <v>0</v>
      </c>
      <c r="AN216" s="5">
        <v>1</v>
      </c>
      <c r="AO216" s="5">
        <v>1</v>
      </c>
      <c r="AP216" s="5" t="s">
        <v>983</v>
      </c>
      <c r="AQ216" s="5">
        <v>0</v>
      </c>
      <c r="AR216" s="5">
        <v>0</v>
      </c>
      <c r="AS216" s="5">
        <v>0</v>
      </c>
      <c r="AT216" s="5">
        <v>0</v>
      </c>
      <c r="AU216" s="5">
        <v>0</v>
      </c>
      <c r="AV216" s="5">
        <v>0</v>
      </c>
      <c r="AW216" s="5">
        <v>0</v>
      </c>
      <c r="AX216" s="5">
        <v>0</v>
      </c>
      <c r="AY216" s="5" t="s">
        <v>983</v>
      </c>
      <c r="AZ216" s="1">
        <v>1</v>
      </c>
      <c r="BA216" s="1">
        <v>0</v>
      </c>
      <c r="BB216" s="1">
        <v>1</v>
      </c>
      <c r="BC216" s="1">
        <v>1</v>
      </c>
      <c r="BD216" s="1">
        <v>1</v>
      </c>
      <c r="BE216" s="1">
        <v>1</v>
      </c>
      <c r="BF216" s="1">
        <v>35</v>
      </c>
      <c r="BG216" s="1">
        <v>0</v>
      </c>
      <c r="BH216" s="1">
        <v>18</v>
      </c>
      <c r="BI216" s="1">
        <v>2</v>
      </c>
      <c r="BJ216" s="1">
        <v>0</v>
      </c>
      <c r="BK216" s="1">
        <v>3</v>
      </c>
    </row>
    <row r="217" spans="1:63" ht="12.75" customHeight="1" x14ac:dyDescent="0.15">
      <c r="A217" s="5" t="s">
        <v>238</v>
      </c>
      <c r="B217" s="5" t="s">
        <v>238</v>
      </c>
      <c r="C217" s="5">
        <v>3</v>
      </c>
      <c r="D217" s="5">
        <v>3</v>
      </c>
      <c r="E217" s="5">
        <v>3</v>
      </c>
      <c r="F217" s="5">
        <v>2</v>
      </c>
      <c r="G217" s="5">
        <v>2</v>
      </c>
      <c r="H217" s="5">
        <v>3</v>
      </c>
      <c r="I217" s="5">
        <v>1</v>
      </c>
      <c r="J217" s="5">
        <v>2</v>
      </c>
      <c r="K217" s="5">
        <v>2</v>
      </c>
      <c r="L217" s="5">
        <v>3</v>
      </c>
      <c r="M217" s="5">
        <v>2</v>
      </c>
      <c r="N217" s="5">
        <v>2</v>
      </c>
      <c r="O217" s="5">
        <v>28</v>
      </c>
      <c r="P217" s="5" t="s">
        <v>981</v>
      </c>
      <c r="Q217" s="5">
        <v>3</v>
      </c>
      <c r="R217" s="5">
        <v>2</v>
      </c>
      <c r="S217" s="5">
        <v>2</v>
      </c>
      <c r="T217" s="5">
        <v>7</v>
      </c>
      <c r="U217" s="5" t="s">
        <v>981</v>
      </c>
      <c r="V217" s="5">
        <v>1</v>
      </c>
      <c r="W217" s="5">
        <v>0</v>
      </c>
      <c r="X217" s="5">
        <v>0</v>
      </c>
      <c r="Y217" s="5">
        <v>1</v>
      </c>
      <c r="Z217" s="5" t="s">
        <v>983</v>
      </c>
      <c r="AA217" s="5">
        <v>4</v>
      </c>
      <c r="AB217" s="5">
        <v>0</v>
      </c>
      <c r="AC217" s="5">
        <v>0</v>
      </c>
      <c r="AD217" s="5">
        <v>0</v>
      </c>
      <c r="AE217" s="5">
        <v>4</v>
      </c>
      <c r="AF217" s="5" t="s">
        <v>982</v>
      </c>
      <c r="AG217" s="5">
        <v>3</v>
      </c>
      <c r="AH217" s="5">
        <v>3</v>
      </c>
      <c r="AI217" s="5">
        <v>3</v>
      </c>
      <c r="AJ217" s="5">
        <v>9</v>
      </c>
      <c r="AK217" s="5" t="s">
        <v>981</v>
      </c>
      <c r="AL217" s="5">
        <v>3</v>
      </c>
      <c r="AM217" s="5">
        <v>3</v>
      </c>
      <c r="AN217" s="5">
        <v>3</v>
      </c>
      <c r="AO217" s="5">
        <v>9</v>
      </c>
      <c r="AP217" s="5" t="s">
        <v>981</v>
      </c>
      <c r="AQ217" s="5">
        <v>0</v>
      </c>
      <c r="AR217" s="5">
        <v>0</v>
      </c>
      <c r="AS217" s="5">
        <v>0</v>
      </c>
      <c r="AT217" s="5">
        <v>0</v>
      </c>
      <c r="AU217" s="5">
        <v>0</v>
      </c>
      <c r="AV217" s="5">
        <v>0</v>
      </c>
      <c r="AW217" s="5">
        <v>0</v>
      </c>
      <c r="AX217" s="5">
        <v>0</v>
      </c>
      <c r="AY217" s="5" t="s">
        <v>983</v>
      </c>
      <c r="AZ217" s="1">
        <v>1</v>
      </c>
      <c r="BA217" s="1">
        <v>0</v>
      </c>
      <c r="BB217" s="1">
        <v>1</v>
      </c>
      <c r="BC217" s="1">
        <v>1</v>
      </c>
      <c r="BD217" s="1">
        <v>1</v>
      </c>
      <c r="BE217" s="1">
        <v>1</v>
      </c>
      <c r="BF217" s="1">
        <v>39</v>
      </c>
      <c r="BG217" s="1">
        <v>1</v>
      </c>
      <c r="BH217" s="1">
        <v>17</v>
      </c>
      <c r="BI217" s="1">
        <v>34</v>
      </c>
      <c r="BJ217" s="1">
        <v>50000</v>
      </c>
      <c r="BK217" s="1">
        <v>6</v>
      </c>
    </row>
    <row r="218" spans="1:63" ht="12.75" customHeight="1" x14ac:dyDescent="0.15">
      <c r="A218" s="5" t="s">
        <v>238</v>
      </c>
      <c r="B218" s="5" t="s">
        <v>238</v>
      </c>
      <c r="C218" s="5">
        <v>3</v>
      </c>
      <c r="D218" s="5">
        <v>3</v>
      </c>
      <c r="E218" s="5">
        <v>3</v>
      </c>
      <c r="F218" s="5">
        <v>3</v>
      </c>
      <c r="G218" s="5">
        <v>2</v>
      </c>
      <c r="H218" s="5">
        <v>2</v>
      </c>
      <c r="I218" s="5">
        <v>1</v>
      </c>
      <c r="J218" s="5">
        <v>4</v>
      </c>
      <c r="K218" s="5">
        <v>2</v>
      </c>
      <c r="L218" s="5">
        <v>2</v>
      </c>
      <c r="M218" s="5">
        <v>2</v>
      </c>
      <c r="N218" s="5">
        <v>1</v>
      </c>
      <c r="O218" s="5">
        <v>28</v>
      </c>
      <c r="P218" s="5" t="s">
        <v>981</v>
      </c>
      <c r="Q218" s="5">
        <v>3</v>
      </c>
      <c r="R218" s="5">
        <v>4</v>
      </c>
      <c r="S218" s="5">
        <v>2</v>
      </c>
      <c r="T218" s="5">
        <v>9</v>
      </c>
      <c r="U218" s="5" t="s">
        <v>981</v>
      </c>
      <c r="V218" s="5">
        <v>1</v>
      </c>
      <c r="W218" s="5">
        <v>1</v>
      </c>
      <c r="X218" s="5">
        <v>4</v>
      </c>
      <c r="Y218" s="5">
        <v>6</v>
      </c>
      <c r="Z218" s="5" t="s">
        <v>981</v>
      </c>
      <c r="AA218" s="5">
        <v>4</v>
      </c>
      <c r="AB218" s="5">
        <v>4</v>
      </c>
      <c r="AC218" s="5">
        <v>4</v>
      </c>
      <c r="AD218" s="5">
        <v>4</v>
      </c>
      <c r="AE218" s="5">
        <v>16</v>
      </c>
      <c r="AF218" s="5" t="s">
        <v>981</v>
      </c>
      <c r="AG218" s="5">
        <v>0</v>
      </c>
      <c r="AH218" s="5">
        <v>0</v>
      </c>
      <c r="AI218" s="5">
        <v>0</v>
      </c>
      <c r="AJ218" s="5">
        <v>0</v>
      </c>
      <c r="AK218" s="5" t="s">
        <v>983</v>
      </c>
      <c r="AL218" s="5">
        <v>3</v>
      </c>
      <c r="AM218" s="5">
        <v>3</v>
      </c>
      <c r="AN218" s="5">
        <v>3</v>
      </c>
      <c r="AO218" s="5">
        <v>9</v>
      </c>
      <c r="AP218" s="5" t="s">
        <v>981</v>
      </c>
      <c r="AQ218" s="5">
        <v>0</v>
      </c>
      <c r="AR218" s="5">
        <v>0</v>
      </c>
      <c r="AS218" s="5">
        <v>0</v>
      </c>
      <c r="AT218" s="5">
        <v>1</v>
      </c>
      <c r="AU218" s="5">
        <v>0</v>
      </c>
      <c r="AV218" s="5">
        <v>0</v>
      </c>
      <c r="AW218" s="5">
        <v>0</v>
      </c>
      <c r="AX218" s="5">
        <v>1</v>
      </c>
      <c r="AY218" s="5" t="s">
        <v>982</v>
      </c>
      <c r="AZ218" s="1">
        <v>1</v>
      </c>
      <c r="BA218" s="1">
        <v>0</v>
      </c>
      <c r="BB218" s="1">
        <v>1</v>
      </c>
      <c r="BC218" s="1">
        <v>1</v>
      </c>
      <c r="BD218" s="1">
        <v>1</v>
      </c>
      <c r="BE218" s="1">
        <v>1</v>
      </c>
      <c r="BF218" s="1">
        <v>41</v>
      </c>
      <c r="BG218" s="1">
        <v>0</v>
      </c>
      <c r="BH218" s="1">
        <v>12</v>
      </c>
      <c r="BI218" s="1">
        <v>24</v>
      </c>
      <c r="BJ218" s="1">
        <v>0</v>
      </c>
      <c r="BK218" s="1">
        <v>4</v>
      </c>
    </row>
    <row r="219" spans="1:63" ht="12.75" customHeight="1" x14ac:dyDescent="0.15">
      <c r="A219" s="5" t="s">
        <v>330</v>
      </c>
      <c r="B219" s="5" t="s">
        <v>984</v>
      </c>
      <c r="C219" s="5">
        <v>2</v>
      </c>
      <c r="D219" s="5">
        <v>2</v>
      </c>
      <c r="E219" s="5">
        <v>1</v>
      </c>
      <c r="F219" s="5">
        <v>2</v>
      </c>
      <c r="G219" s="5">
        <v>3</v>
      </c>
      <c r="H219" s="5">
        <v>1</v>
      </c>
      <c r="I219" s="5">
        <v>1</v>
      </c>
      <c r="J219" s="5">
        <v>1</v>
      </c>
      <c r="K219" s="5">
        <v>1</v>
      </c>
      <c r="L219" s="5">
        <v>3</v>
      </c>
      <c r="M219" s="5">
        <v>3</v>
      </c>
      <c r="N219" s="5">
        <v>3</v>
      </c>
      <c r="O219" s="5">
        <v>23</v>
      </c>
      <c r="P219" s="5" t="s">
        <v>982</v>
      </c>
      <c r="Q219" s="5">
        <v>3</v>
      </c>
      <c r="R219" s="5">
        <v>2</v>
      </c>
      <c r="S219" s="5">
        <v>1</v>
      </c>
      <c r="T219" s="5">
        <v>6</v>
      </c>
      <c r="U219" s="5" t="s">
        <v>981</v>
      </c>
      <c r="V219" s="5">
        <v>2</v>
      </c>
      <c r="W219" s="5">
        <v>4</v>
      </c>
      <c r="X219" s="5">
        <v>2</v>
      </c>
      <c r="Y219" s="5">
        <v>8</v>
      </c>
      <c r="Z219" s="5" t="s">
        <v>981</v>
      </c>
      <c r="AA219" s="5">
        <v>3</v>
      </c>
      <c r="AB219" s="5">
        <v>3</v>
      </c>
      <c r="AC219" s="5">
        <v>2</v>
      </c>
      <c r="AD219" s="5">
        <v>2</v>
      </c>
      <c r="AE219" s="5">
        <v>10</v>
      </c>
      <c r="AF219" s="5" t="s">
        <v>981</v>
      </c>
      <c r="AG219" s="5">
        <v>1</v>
      </c>
      <c r="AH219" s="5">
        <v>1</v>
      </c>
      <c r="AI219" s="5">
        <v>2</v>
      </c>
      <c r="AJ219" s="5">
        <v>4</v>
      </c>
      <c r="AK219" s="5" t="s">
        <v>982</v>
      </c>
      <c r="AL219" s="5">
        <v>2</v>
      </c>
      <c r="AM219" s="5">
        <v>2</v>
      </c>
      <c r="AN219" s="5">
        <v>1</v>
      </c>
      <c r="AO219" s="5">
        <v>5</v>
      </c>
      <c r="AP219" s="5" t="s">
        <v>982</v>
      </c>
      <c r="AQ219" s="5">
        <v>0</v>
      </c>
      <c r="AR219" s="5">
        <v>0</v>
      </c>
      <c r="AS219" s="5">
        <v>0</v>
      </c>
      <c r="AT219" s="5">
        <v>0</v>
      </c>
      <c r="AU219" s="5">
        <v>0</v>
      </c>
      <c r="AV219" s="5">
        <v>1</v>
      </c>
      <c r="AW219" s="5">
        <v>1</v>
      </c>
      <c r="AX219" s="5">
        <v>2</v>
      </c>
      <c r="AY219" s="5" t="s">
        <v>982</v>
      </c>
      <c r="AZ219" s="1">
        <v>0</v>
      </c>
      <c r="BA219" s="1">
        <v>1</v>
      </c>
      <c r="BB219" s="1">
        <v>0</v>
      </c>
      <c r="BC219" s="1">
        <v>1</v>
      </c>
      <c r="BD219" s="1">
        <v>1</v>
      </c>
      <c r="BE219" s="1">
        <v>1</v>
      </c>
      <c r="BF219" s="1">
        <v>62</v>
      </c>
      <c r="BG219" s="1">
        <v>0</v>
      </c>
      <c r="BH219" s="1">
        <v>16</v>
      </c>
      <c r="BI219" s="1">
        <v>8</v>
      </c>
      <c r="BJ219" s="1">
        <v>600000</v>
      </c>
      <c r="BK219" s="1">
        <v>2</v>
      </c>
    </row>
    <row r="220" spans="1:63" ht="12.75" customHeight="1" x14ac:dyDescent="0.15">
      <c r="A220" s="5" t="s">
        <v>238</v>
      </c>
      <c r="B220" s="5" t="s">
        <v>238</v>
      </c>
      <c r="C220" s="5">
        <v>1</v>
      </c>
      <c r="D220" s="5">
        <v>1</v>
      </c>
      <c r="E220" s="5">
        <v>1</v>
      </c>
      <c r="F220" s="5">
        <v>1</v>
      </c>
      <c r="G220" s="5">
        <v>1</v>
      </c>
      <c r="H220" s="5">
        <v>1</v>
      </c>
      <c r="I220" s="5">
        <v>1</v>
      </c>
      <c r="J220" s="5">
        <v>1</v>
      </c>
      <c r="K220" s="5">
        <v>1</v>
      </c>
      <c r="L220" s="5">
        <v>1</v>
      </c>
      <c r="M220" s="5">
        <v>1</v>
      </c>
      <c r="N220" s="5">
        <v>1</v>
      </c>
      <c r="O220" s="5">
        <v>12</v>
      </c>
      <c r="P220" s="5" t="s">
        <v>983</v>
      </c>
      <c r="Q220" s="5">
        <v>1</v>
      </c>
      <c r="R220" s="5">
        <v>0</v>
      </c>
      <c r="S220" s="5">
        <v>0</v>
      </c>
      <c r="T220" s="5">
        <v>1</v>
      </c>
      <c r="U220" s="5" t="s">
        <v>983</v>
      </c>
      <c r="V220" s="5">
        <v>0</v>
      </c>
      <c r="W220" s="5">
        <v>1</v>
      </c>
      <c r="X220" s="5">
        <v>0</v>
      </c>
      <c r="Y220" s="5">
        <v>1</v>
      </c>
      <c r="Z220" s="5" t="s">
        <v>983</v>
      </c>
      <c r="AA220" s="5">
        <v>3</v>
      </c>
      <c r="AB220" s="5">
        <v>0</v>
      </c>
      <c r="AC220" s="5">
        <v>0</v>
      </c>
      <c r="AD220" s="5">
        <v>0</v>
      </c>
      <c r="AE220" s="5">
        <v>3</v>
      </c>
      <c r="AF220" s="5" t="s">
        <v>982</v>
      </c>
      <c r="AG220" s="5">
        <v>0</v>
      </c>
      <c r="AH220" s="5">
        <v>0</v>
      </c>
      <c r="AI220" s="5">
        <v>1</v>
      </c>
      <c r="AJ220" s="5">
        <v>1</v>
      </c>
      <c r="AK220" s="5" t="s">
        <v>983</v>
      </c>
      <c r="AL220" s="5">
        <v>0</v>
      </c>
      <c r="AM220" s="5">
        <v>0</v>
      </c>
      <c r="AN220" s="5">
        <v>0</v>
      </c>
      <c r="AO220" s="5">
        <v>0</v>
      </c>
      <c r="AP220" s="5" t="s">
        <v>983</v>
      </c>
      <c r="AQ220" s="5">
        <v>0</v>
      </c>
      <c r="AR220" s="5">
        <v>0</v>
      </c>
      <c r="AS220" s="5">
        <v>0</v>
      </c>
      <c r="AT220" s="5">
        <v>0</v>
      </c>
      <c r="AU220" s="5">
        <v>0</v>
      </c>
      <c r="AV220" s="5">
        <v>0</v>
      </c>
      <c r="AW220" s="5">
        <v>0</v>
      </c>
      <c r="AX220" s="5">
        <v>0</v>
      </c>
      <c r="AY220" s="5" t="s">
        <v>983</v>
      </c>
      <c r="AZ220" s="1">
        <v>0</v>
      </c>
      <c r="BA220" s="1">
        <v>0</v>
      </c>
      <c r="BB220" s="1">
        <v>0</v>
      </c>
      <c r="BC220" s="1">
        <v>1</v>
      </c>
      <c r="BD220" s="1">
        <v>0</v>
      </c>
      <c r="BE220" s="1">
        <v>1</v>
      </c>
      <c r="BF220" s="1">
        <v>52</v>
      </c>
      <c r="BG220" s="1">
        <v>1</v>
      </c>
      <c r="BH220" s="1">
        <v>14</v>
      </c>
      <c r="BI220" s="1">
        <v>15</v>
      </c>
      <c r="BJ220" s="1">
        <v>2300000</v>
      </c>
      <c r="BK220" s="1">
        <v>3</v>
      </c>
    </row>
    <row r="221" spans="1:63" ht="12.75" customHeight="1" x14ac:dyDescent="0.15">
      <c r="A221" s="5" t="s">
        <v>330</v>
      </c>
      <c r="B221" s="5" t="s">
        <v>984</v>
      </c>
      <c r="C221" s="5">
        <v>1</v>
      </c>
      <c r="D221" s="5">
        <v>2</v>
      </c>
      <c r="E221" s="5">
        <v>2</v>
      </c>
      <c r="F221" s="5">
        <v>1</v>
      </c>
      <c r="G221" s="5">
        <v>1</v>
      </c>
      <c r="H221" s="5">
        <v>2</v>
      </c>
      <c r="I221" s="5">
        <v>1</v>
      </c>
      <c r="J221" s="5">
        <v>4</v>
      </c>
      <c r="K221" s="5">
        <v>4</v>
      </c>
      <c r="L221" s="5">
        <v>2</v>
      </c>
      <c r="M221" s="5">
        <v>1</v>
      </c>
      <c r="N221" s="5">
        <v>1</v>
      </c>
      <c r="O221" s="5">
        <v>22</v>
      </c>
      <c r="P221" s="5" t="s">
        <v>982</v>
      </c>
      <c r="Q221" s="5">
        <v>2</v>
      </c>
      <c r="R221" s="5">
        <v>2</v>
      </c>
      <c r="S221" s="5">
        <v>1</v>
      </c>
      <c r="T221" s="5">
        <v>5</v>
      </c>
      <c r="U221" s="5" t="s">
        <v>981</v>
      </c>
      <c r="V221" s="5">
        <v>1</v>
      </c>
      <c r="W221" s="5">
        <v>1</v>
      </c>
      <c r="X221" s="5">
        <v>0</v>
      </c>
      <c r="Y221" s="5">
        <v>2</v>
      </c>
      <c r="Z221" s="5" t="s">
        <v>982</v>
      </c>
      <c r="AA221" s="5">
        <v>4</v>
      </c>
      <c r="AB221" s="5">
        <v>4</v>
      </c>
      <c r="AC221" s="5">
        <v>0</v>
      </c>
      <c r="AD221" s="5">
        <v>0</v>
      </c>
      <c r="AE221" s="5">
        <v>8</v>
      </c>
      <c r="AF221" s="5" t="s">
        <v>981</v>
      </c>
      <c r="AG221" s="5">
        <v>0</v>
      </c>
      <c r="AH221" s="5">
        <v>0</v>
      </c>
      <c r="AI221" s="5">
        <v>0</v>
      </c>
      <c r="AJ221" s="5">
        <v>0</v>
      </c>
      <c r="AK221" s="5" t="s">
        <v>983</v>
      </c>
      <c r="AL221" s="5">
        <v>0</v>
      </c>
      <c r="AM221" s="5">
        <v>2</v>
      </c>
      <c r="AN221" s="5">
        <v>2</v>
      </c>
      <c r="AO221" s="5">
        <v>4</v>
      </c>
      <c r="AP221" s="5" t="s">
        <v>982</v>
      </c>
      <c r="AQ221" s="5">
        <v>0</v>
      </c>
      <c r="AR221" s="5">
        <v>0</v>
      </c>
      <c r="AS221" s="5">
        <v>0</v>
      </c>
      <c r="AT221" s="5">
        <v>0</v>
      </c>
      <c r="AU221" s="5">
        <v>0</v>
      </c>
      <c r="AV221" s="5">
        <v>0</v>
      </c>
      <c r="AW221" s="5">
        <v>0</v>
      </c>
      <c r="AX221" s="5">
        <v>0</v>
      </c>
      <c r="AY221" s="5" t="s">
        <v>983</v>
      </c>
      <c r="AZ221" s="1">
        <v>0</v>
      </c>
      <c r="BA221" s="1">
        <v>0</v>
      </c>
      <c r="BB221" s="1">
        <v>0</v>
      </c>
      <c r="BC221" s="1">
        <v>1</v>
      </c>
      <c r="BD221" s="1">
        <v>1</v>
      </c>
      <c r="BE221" s="1">
        <v>1</v>
      </c>
      <c r="BF221" s="1">
        <v>47</v>
      </c>
      <c r="BG221" s="1">
        <v>1</v>
      </c>
      <c r="BH221" s="1">
        <v>6</v>
      </c>
      <c r="BI221" s="1">
        <v>29</v>
      </c>
      <c r="BJ221" s="1">
        <v>200000</v>
      </c>
      <c r="BK221" s="1">
        <v>2</v>
      </c>
    </row>
    <row r="222" spans="1:63" ht="12.75" customHeight="1" x14ac:dyDescent="0.15">
      <c r="A222" s="5" t="s">
        <v>238</v>
      </c>
      <c r="B222" s="5" t="s">
        <v>238</v>
      </c>
      <c r="C222" s="5">
        <v>3</v>
      </c>
      <c r="D222" s="5">
        <v>3</v>
      </c>
      <c r="E222" s="5">
        <v>3</v>
      </c>
      <c r="F222" s="5">
        <v>3</v>
      </c>
      <c r="G222" s="5">
        <v>3</v>
      </c>
      <c r="H222" s="5">
        <v>3</v>
      </c>
      <c r="I222" s="5">
        <v>1</v>
      </c>
      <c r="J222" s="5">
        <v>1</v>
      </c>
      <c r="K222" s="5">
        <v>2</v>
      </c>
      <c r="L222" s="5">
        <v>2</v>
      </c>
      <c r="M222" s="5">
        <v>2</v>
      </c>
      <c r="N222" s="5">
        <v>3</v>
      </c>
      <c r="O222" s="5">
        <v>29</v>
      </c>
      <c r="P222" s="5" t="s">
        <v>981</v>
      </c>
      <c r="Q222" s="5">
        <v>2</v>
      </c>
      <c r="R222" s="5">
        <v>2</v>
      </c>
      <c r="S222" s="5">
        <v>2</v>
      </c>
      <c r="T222" s="5">
        <v>6</v>
      </c>
      <c r="U222" s="5" t="s">
        <v>981</v>
      </c>
      <c r="V222" s="5">
        <v>2</v>
      </c>
      <c r="W222" s="5">
        <v>2</v>
      </c>
      <c r="X222" s="5">
        <v>3</v>
      </c>
      <c r="Y222" s="5">
        <v>7</v>
      </c>
      <c r="Z222" s="5" t="s">
        <v>981</v>
      </c>
      <c r="AA222" s="5">
        <v>2</v>
      </c>
      <c r="AB222" s="5">
        <v>2</v>
      </c>
      <c r="AC222" s="5">
        <v>2</v>
      </c>
      <c r="AD222" s="5">
        <v>3</v>
      </c>
      <c r="AE222" s="5">
        <v>9</v>
      </c>
      <c r="AF222" s="5" t="s">
        <v>981</v>
      </c>
      <c r="AG222" s="5">
        <v>1</v>
      </c>
      <c r="AH222" s="5">
        <v>2</v>
      </c>
      <c r="AI222" s="5">
        <v>2</v>
      </c>
      <c r="AJ222" s="5">
        <v>5</v>
      </c>
      <c r="AK222" s="5" t="s">
        <v>982</v>
      </c>
      <c r="AL222" s="5">
        <v>2</v>
      </c>
      <c r="AM222" s="5">
        <v>2</v>
      </c>
      <c r="AN222" s="5">
        <v>2</v>
      </c>
      <c r="AO222" s="5">
        <v>6</v>
      </c>
      <c r="AP222" s="5" t="s">
        <v>981</v>
      </c>
      <c r="AQ222" s="5">
        <v>0</v>
      </c>
      <c r="AR222" s="5">
        <v>1</v>
      </c>
      <c r="AS222" s="5">
        <v>0</v>
      </c>
      <c r="AT222" s="5">
        <v>0</v>
      </c>
      <c r="AU222" s="5">
        <v>0</v>
      </c>
      <c r="AV222" s="5">
        <v>0</v>
      </c>
      <c r="AW222" s="5">
        <v>0</v>
      </c>
      <c r="AX222" s="5">
        <v>1</v>
      </c>
      <c r="AY222" s="5" t="s">
        <v>982</v>
      </c>
      <c r="AZ222" s="1">
        <v>0</v>
      </c>
      <c r="BA222" s="1">
        <v>0</v>
      </c>
      <c r="BB222" s="1">
        <v>1</v>
      </c>
      <c r="BC222" s="1">
        <v>1</v>
      </c>
      <c r="BD222" s="1">
        <v>0</v>
      </c>
      <c r="BE222" s="1">
        <v>1</v>
      </c>
      <c r="BF222" s="1">
        <v>68</v>
      </c>
      <c r="BG222" s="1">
        <v>0</v>
      </c>
      <c r="BH222" s="1">
        <v>3</v>
      </c>
      <c r="BI222" s="1">
        <v>2</v>
      </c>
      <c r="BJ222" s="1">
        <v>500000</v>
      </c>
      <c r="BK222" s="1">
        <v>1</v>
      </c>
    </row>
    <row r="223" spans="1:63" ht="12.75" customHeight="1" x14ac:dyDescent="0.15">
      <c r="A223" s="5" t="s">
        <v>337</v>
      </c>
      <c r="B223" s="5" t="s">
        <v>984</v>
      </c>
      <c r="C223" s="5">
        <v>3</v>
      </c>
      <c r="D223" s="5">
        <v>2</v>
      </c>
      <c r="E223" s="5">
        <v>1</v>
      </c>
      <c r="F223" s="5">
        <v>2</v>
      </c>
      <c r="G223" s="5">
        <v>4</v>
      </c>
      <c r="H223" s="5">
        <v>3</v>
      </c>
      <c r="I223" s="5">
        <v>3</v>
      </c>
      <c r="J223" s="5">
        <v>2</v>
      </c>
      <c r="K223" s="5">
        <v>1</v>
      </c>
      <c r="L223" s="5">
        <v>1</v>
      </c>
      <c r="M223" s="5">
        <v>2</v>
      </c>
      <c r="N223" s="5">
        <v>2</v>
      </c>
      <c r="O223" s="5">
        <v>26</v>
      </c>
      <c r="P223" s="5" t="s">
        <v>981</v>
      </c>
      <c r="Q223" s="5">
        <v>3</v>
      </c>
      <c r="R223" s="5">
        <v>2</v>
      </c>
      <c r="S223" s="5">
        <v>0</v>
      </c>
      <c r="T223" s="5">
        <v>5</v>
      </c>
      <c r="U223" s="5" t="s">
        <v>981</v>
      </c>
      <c r="V223" s="5">
        <v>0</v>
      </c>
      <c r="W223" s="5">
        <v>0</v>
      </c>
      <c r="X223" s="5">
        <v>0</v>
      </c>
      <c r="Y223" s="5">
        <v>0</v>
      </c>
      <c r="Z223" s="5" t="s">
        <v>983</v>
      </c>
      <c r="AA223" s="5">
        <v>4</v>
      </c>
      <c r="AB223" s="5">
        <v>4</v>
      </c>
      <c r="AC223" s="5">
        <v>4</v>
      </c>
      <c r="AD223" s="5">
        <v>4</v>
      </c>
      <c r="AE223" s="5">
        <v>16</v>
      </c>
      <c r="AF223" s="5" t="s">
        <v>981</v>
      </c>
      <c r="AG223" s="5">
        <v>0</v>
      </c>
      <c r="AH223" s="5">
        <v>0</v>
      </c>
      <c r="AI223" s="5">
        <v>0</v>
      </c>
      <c r="AJ223" s="5">
        <v>0</v>
      </c>
      <c r="AK223" s="5" t="s">
        <v>983</v>
      </c>
      <c r="AL223" s="5">
        <v>0</v>
      </c>
      <c r="AM223" s="5">
        <v>0</v>
      </c>
      <c r="AN223" s="5">
        <v>0</v>
      </c>
      <c r="AO223" s="5">
        <v>0</v>
      </c>
      <c r="AP223" s="5" t="s">
        <v>983</v>
      </c>
      <c r="AQ223" s="5">
        <v>0</v>
      </c>
      <c r="AR223" s="5">
        <v>0</v>
      </c>
      <c r="AS223" s="5">
        <v>1</v>
      </c>
      <c r="AT223" s="5">
        <v>1</v>
      </c>
      <c r="AU223" s="5">
        <v>1</v>
      </c>
      <c r="AV223" s="5">
        <v>0</v>
      </c>
      <c r="AW223" s="5">
        <v>0</v>
      </c>
      <c r="AX223" s="5">
        <v>3</v>
      </c>
      <c r="AY223" s="5" t="s">
        <v>982</v>
      </c>
      <c r="AZ223" s="1">
        <v>1</v>
      </c>
      <c r="BA223" s="1">
        <v>0</v>
      </c>
      <c r="BB223" s="1">
        <v>1</v>
      </c>
      <c r="BC223" s="1">
        <v>1</v>
      </c>
      <c r="BD223" s="1">
        <v>1</v>
      </c>
      <c r="BE223" s="1">
        <v>1</v>
      </c>
      <c r="BF223" s="1">
        <v>0</v>
      </c>
      <c r="BG223" s="1">
        <v>0</v>
      </c>
      <c r="BH223" s="1">
        <v>0</v>
      </c>
      <c r="BI223" s="1">
        <v>1</v>
      </c>
      <c r="BJ223" s="1">
        <v>0</v>
      </c>
      <c r="BK223" s="1">
        <v>1</v>
      </c>
    </row>
    <row r="224" spans="1:63" ht="12.75" customHeight="1" x14ac:dyDescent="0.15">
      <c r="A224" s="5" t="s">
        <v>238</v>
      </c>
      <c r="B224" s="5" t="s">
        <v>238</v>
      </c>
      <c r="C224" s="5">
        <v>2</v>
      </c>
      <c r="D224" s="5">
        <v>2</v>
      </c>
      <c r="E224" s="5">
        <v>2</v>
      </c>
      <c r="F224" s="5">
        <v>3</v>
      </c>
      <c r="G224" s="5">
        <v>2</v>
      </c>
      <c r="H224" s="5">
        <v>2</v>
      </c>
      <c r="I224" s="5">
        <v>1</v>
      </c>
      <c r="J224" s="5">
        <v>2</v>
      </c>
      <c r="K224" s="5">
        <v>2</v>
      </c>
      <c r="L224" s="5">
        <v>3</v>
      </c>
      <c r="M224" s="5">
        <v>2</v>
      </c>
      <c r="N224" s="5">
        <v>3</v>
      </c>
      <c r="O224" s="5">
        <v>26</v>
      </c>
      <c r="P224" s="5" t="s">
        <v>981</v>
      </c>
      <c r="Q224" s="5">
        <v>1</v>
      </c>
      <c r="R224" s="5">
        <v>2</v>
      </c>
      <c r="S224" s="5">
        <v>1</v>
      </c>
      <c r="T224" s="5">
        <v>4</v>
      </c>
      <c r="U224" s="5" t="s">
        <v>982</v>
      </c>
      <c r="V224" s="5">
        <v>1</v>
      </c>
      <c r="W224" s="5">
        <v>2</v>
      </c>
      <c r="X224" s="5">
        <v>2</v>
      </c>
      <c r="Y224" s="5">
        <v>5</v>
      </c>
      <c r="Z224" s="5" t="s">
        <v>982</v>
      </c>
      <c r="AA224" s="5">
        <v>3</v>
      </c>
      <c r="AB224" s="5">
        <v>3</v>
      </c>
      <c r="AC224" s="5">
        <v>3</v>
      </c>
      <c r="AD224" s="5">
        <v>3</v>
      </c>
      <c r="AE224" s="5">
        <v>12</v>
      </c>
      <c r="AF224" s="5" t="s">
        <v>981</v>
      </c>
      <c r="AG224" s="5">
        <v>1</v>
      </c>
      <c r="AH224" s="5">
        <v>1</v>
      </c>
      <c r="AI224" s="5">
        <v>1</v>
      </c>
      <c r="AJ224" s="5">
        <v>3</v>
      </c>
      <c r="AK224" s="5" t="s">
        <v>982</v>
      </c>
      <c r="AL224" s="5">
        <v>2</v>
      </c>
      <c r="AM224" s="5">
        <v>2</v>
      </c>
      <c r="AN224" s="5">
        <v>2</v>
      </c>
      <c r="AO224" s="5">
        <v>6</v>
      </c>
      <c r="AP224" s="5" t="s">
        <v>981</v>
      </c>
      <c r="AQ224" s="5">
        <v>0</v>
      </c>
      <c r="AR224" s="5">
        <v>0</v>
      </c>
      <c r="AS224" s="5">
        <v>0</v>
      </c>
      <c r="AT224" s="5">
        <v>0</v>
      </c>
      <c r="AU224" s="5">
        <v>0</v>
      </c>
      <c r="AV224" s="5">
        <v>0</v>
      </c>
      <c r="AW224" s="5">
        <v>0</v>
      </c>
      <c r="AX224" s="5">
        <v>0</v>
      </c>
      <c r="AY224" s="5" t="s">
        <v>983</v>
      </c>
      <c r="AZ224" s="1">
        <v>1</v>
      </c>
      <c r="BA224" s="1">
        <v>0</v>
      </c>
      <c r="BB224" s="1">
        <v>1</v>
      </c>
      <c r="BC224" s="1">
        <v>1</v>
      </c>
      <c r="BD224" s="1">
        <v>1</v>
      </c>
      <c r="BE224" s="1">
        <v>1</v>
      </c>
      <c r="BF224" s="1">
        <v>67</v>
      </c>
      <c r="BG224" s="1">
        <v>0</v>
      </c>
      <c r="BH224" s="1">
        <v>14</v>
      </c>
      <c r="BI224" s="1">
        <v>28</v>
      </c>
      <c r="BJ224" s="1">
        <v>0</v>
      </c>
      <c r="BK224" s="1">
        <v>3</v>
      </c>
    </row>
    <row r="225" spans="1:63" ht="12.75" customHeight="1" x14ac:dyDescent="0.15">
      <c r="A225" s="5" t="s">
        <v>238</v>
      </c>
      <c r="B225" s="5" t="s">
        <v>238</v>
      </c>
      <c r="C225" s="5">
        <v>4</v>
      </c>
      <c r="D225" s="5">
        <v>3</v>
      </c>
      <c r="E225" s="5">
        <v>3</v>
      </c>
      <c r="F225" s="5">
        <v>3</v>
      </c>
      <c r="G225" s="5">
        <v>4</v>
      </c>
      <c r="H225" s="5">
        <v>3</v>
      </c>
      <c r="I225" s="5">
        <v>3</v>
      </c>
      <c r="J225" s="5">
        <v>2</v>
      </c>
      <c r="K225" s="5">
        <v>2</v>
      </c>
      <c r="L225" s="5">
        <v>2</v>
      </c>
      <c r="M225" s="5">
        <v>1</v>
      </c>
      <c r="N225" s="5">
        <v>1</v>
      </c>
      <c r="O225" s="5">
        <v>31</v>
      </c>
      <c r="P225" s="5" t="s">
        <v>981</v>
      </c>
      <c r="Q225" s="5">
        <v>1</v>
      </c>
      <c r="R225" s="5">
        <v>3</v>
      </c>
      <c r="S225" s="5">
        <v>1</v>
      </c>
      <c r="T225" s="5">
        <v>5</v>
      </c>
      <c r="U225" s="5" t="s">
        <v>981</v>
      </c>
      <c r="V225" s="5">
        <v>2</v>
      </c>
      <c r="W225" s="5">
        <v>2</v>
      </c>
      <c r="X225" s="5">
        <v>4</v>
      </c>
      <c r="Y225" s="5">
        <v>8</v>
      </c>
      <c r="Z225" s="5" t="s">
        <v>981</v>
      </c>
      <c r="AA225" s="5">
        <v>4</v>
      </c>
      <c r="AB225" s="5">
        <v>4</v>
      </c>
      <c r="AC225" s="5">
        <v>2</v>
      </c>
      <c r="AD225" s="5">
        <v>4</v>
      </c>
      <c r="AE225" s="5">
        <v>14</v>
      </c>
      <c r="AF225" s="5" t="s">
        <v>981</v>
      </c>
      <c r="AG225" s="5">
        <v>0</v>
      </c>
      <c r="AH225" s="5">
        <v>0</v>
      </c>
      <c r="AI225" s="5">
        <v>0</v>
      </c>
      <c r="AJ225" s="5">
        <v>0</v>
      </c>
      <c r="AK225" s="5" t="s">
        <v>983</v>
      </c>
      <c r="AL225" s="5">
        <v>4</v>
      </c>
      <c r="AM225" s="5">
        <v>3</v>
      </c>
      <c r="AN225" s="5">
        <v>3</v>
      </c>
      <c r="AO225" s="5">
        <v>10</v>
      </c>
      <c r="AP225" s="5" t="s">
        <v>981</v>
      </c>
      <c r="AQ225" s="5">
        <v>0</v>
      </c>
      <c r="AR225" s="5">
        <v>0</v>
      </c>
      <c r="AS225" s="5">
        <v>1</v>
      </c>
      <c r="AT225" s="5">
        <v>1</v>
      </c>
      <c r="AU225" s="5">
        <v>0</v>
      </c>
      <c r="AV225" s="5">
        <v>0</v>
      </c>
      <c r="AW225" s="5">
        <v>0</v>
      </c>
      <c r="AX225" s="5">
        <v>2</v>
      </c>
      <c r="AY225" s="5" t="s">
        <v>982</v>
      </c>
      <c r="AZ225" s="1">
        <v>0</v>
      </c>
      <c r="BA225" s="1">
        <v>0</v>
      </c>
      <c r="BB225" s="1">
        <v>0</v>
      </c>
      <c r="BC225" s="1">
        <v>1</v>
      </c>
      <c r="BD225" s="1">
        <v>1</v>
      </c>
      <c r="BE225" s="1">
        <v>1</v>
      </c>
      <c r="BF225" s="1">
        <v>67</v>
      </c>
      <c r="BG225" s="1">
        <v>0</v>
      </c>
      <c r="BH225" s="1">
        <v>14</v>
      </c>
      <c r="BI225" s="1">
        <v>28</v>
      </c>
      <c r="BJ225" s="1">
        <v>0</v>
      </c>
      <c r="BK225" s="1">
        <v>3</v>
      </c>
    </row>
    <row r="226" spans="1:63" ht="12.75" customHeight="1" x14ac:dyDescent="0.15">
      <c r="A226" s="5" t="s">
        <v>238</v>
      </c>
      <c r="B226" s="5" t="s">
        <v>238</v>
      </c>
      <c r="C226" s="5">
        <v>2</v>
      </c>
      <c r="D226" s="5">
        <v>2</v>
      </c>
      <c r="E226" s="5">
        <v>2</v>
      </c>
      <c r="F226" s="5">
        <v>2</v>
      </c>
      <c r="G226" s="5">
        <v>2</v>
      </c>
      <c r="H226" s="5">
        <v>2</v>
      </c>
      <c r="I226" s="5">
        <v>2</v>
      </c>
      <c r="J226" s="5">
        <v>2</v>
      </c>
      <c r="K226" s="5">
        <v>2</v>
      </c>
      <c r="L226" s="5">
        <v>2</v>
      </c>
      <c r="M226" s="5">
        <v>2</v>
      </c>
      <c r="N226" s="5">
        <v>2</v>
      </c>
      <c r="O226" s="5">
        <v>24</v>
      </c>
      <c r="P226" s="5" t="s">
        <v>981</v>
      </c>
      <c r="Q226" s="5">
        <v>3</v>
      </c>
      <c r="R226" s="5">
        <v>3</v>
      </c>
      <c r="S226" s="5">
        <v>3</v>
      </c>
      <c r="T226" s="5">
        <v>9</v>
      </c>
      <c r="U226" s="5" t="s">
        <v>981</v>
      </c>
      <c r="V226" s="5">
        <v>3</v>
      </c>
      <c r="W226" s="5">
        <v>3</v>
      </c>
      <c r="X226" s="5">
        <v>3</v>
      </c>
      <c r="Y226" s="5">
        <v>9</v>
      </c>
      <c r="Z226" s="5" t="s">
        <v>981</v>
      </c>
      <c r="AA226" s="5">
        <v>1</v>
      </c>
      <c r="AB226" s="5">
        <v>1</v>
      </c>
      <c r="AC226" s="5">
        <v>1</v>
      </c>
      <c r="AD226" s="5">
        <v>1</v>
      </c>
      <c r="AE226" s="5">
        <v>4</v>
      </c>
      <c r="AF226" s="5" t="s">
        <v>982</v>
      </c>
      <c r="AG226" s="5">
        <v>3</v>
      </c>
      <c r="AH226" s="5">
        <v>3</v>
      </c>
      <c r="AI226" s="5">
        <v>3</v>
      </c>
      <c r="AJ226" s="5">
        <v>9</v>
      </c>
      <c r="AK226" s="5" t="s">
        <v>981</v>
      </c>
      <c r="AL226" s="5">
        <v>3</v>
      </c>
      <c r="AM226" s="5">
        <v>3</v>
      </c>
      <c r="AN226" s="5">
        <v>3</v>
      </c>
      <c r="AO226" s="5">
        <v>9</v>
      </c>
      <c r="AP226" s="5" t="s">
        <v>981</v>
      </c>
      <c r="AQ226" s="5">
        <v>0</v>
      </c>
      <c r="AR226" s="5">
        <v>0</v>
      </c>
      <c r="AS226" s="5">
        <v>0</v>
      </c>
      <c r="AT226" s="5">
        <v>0</v>
      </c>
      <c r="AU226" s="5">
        <v>0</v>
      </c>
      <c r="AV226" s="5">
        <v>0</v>
      </c>
      <c r="AW226" s="5">
        <v>0</v>
      </c>
      <c r="AX226" s="5">
        <v>0</v>
      </c>
      <c r="AY226" s="5" t="s">
        <v>983</v>
      </c>
      <c r="AZ226" s="1">
        <v>1</v>
      </c>
      <c r="BA226" s="1">
        <v>0</v>
      </c>
      <c r="BB226" s="1">
        <v>1</v>
      </c>
      <c r="BC226" s="1">
        <v>1</v>
      </c>
      <c r="BD226" s="1">
        <v>0</v>
      </c>
      <c r="BE226" s="1">
        <v>1</v>
      </c>
      <c r="BF226" s="1">
        <v>0</v>
      </c>
      <c r="BG226" s="1">
        <v>0</v>
      </c>
      <c r="BI226" s="1">
        <v>6</v>
      </c>
      <c r="BJ226" s="1">
        <v>0</v>
      </c>
      <c r="BK226" s="1">
        <v>1</v>
      </c>
    </row>
    <row r="227" spans="1:63" ht="12.75" customHeight="1" x14ac:dyDescent="0.15">
      <c r="A227" s="5" t="s">
        <v>238</v>
      </c>
      <c r="B227" s="5" t="s">
        <v>238</v>
      </c>
      <c r="C227" s="5">
        <v>2</v>
      </c>
      <c r="D227" s="5">
        <v>2</v>
      </c>
      <c r="E227" s="5">
        <v>2</v>
      </c>
      <c r="F227" s="5">
        <v>2</v>
      </c>
      <c r="G227" s="5">
        <v>2</v>
      </c>
      <c r="H227" s="5">
        <v>1</v>
      </c>
      <c r="I227" s="5">
        <v>1</v>
      </c>
      <c r="J227" s="5">
        <v>2</v>
      </c>
      <c r="K227" s="5">
        <v>1</v>
      </c>
      <c r="L227" s="5">
        <v>3</v>
      </c>
      <c r="M227" s="5">
        <v>1</v>
      </c>
      <c r="N227" s="5">
        <v>1</v>
      </c>
      <c r="O227" s="5">
        <v>20</v>
      </c>
      <c r="P227" s="5" t="s">
        <v>982</v>
      </c>
      <c r="Q227" s="5">
        <v>2</v>
      </c>
      <c r="R227" s="5">
        <v>2</v>
      </c>
      <c r="S227" s="5">
        <v>2</v>
      </c>
      <c r="T227" s="5">
        <v>6</v>
      </c>
      <c r="U227" s="5" t="s">
        <v>981</v>
      </c>
      <c r="V227" s="5">
        <v>2</v>
      </c>
      <c r="W227" s="5">
        <v>2</v>
      </c>
      <c r="X227" s="5">
        <v>2</v>
      </c>
      <c r="Y227" s="5">
        <v>6</v>
      </c>
      <c r="Z227" s="5" t="s">
        <v>981</v>
      </c>
      <c r="AA227" s="5">
        <v>2</v>
      </c>
      <c r="AB227" s="5">
        <v>2</v>
      </c>
      <c r="AC227" s="5">
        <v>1</v>
      </c>
      <c r="AD227" s="5">
        <v>1</v>
      </c>
      <c r="AE227" s="5">
        <v>6</v>
      </c>
      <c r="AF227" s="5" t="s">
        <v>981</v>
      </c>
      <c r="AG227" s="5">
        <v>3</v>
      </c>
      <c r="AH227" s="5">
        <v>3</v>
      </c>
      <c r="AI227" s="5">
        <v>3</v>
      </c>
      <c r="AJ227" s="5">
        <v>9</v>
      </c>
      <c r="AK227" s="5" t="s">
        <v>981</v>
      </c>
      <c r="AL227" s="5">
        <v>3</v>
      </c>
      <c r="AM227" s="5">
        <v>3</v>
      </c>
      <c r="AN227" s="5">
        <v>2</v>
      </c>
      <c r="AO227" s="5">
        <v>8</v>
      </c>
      <c r="AP227" s="5" t="s">
        <v>981</v>
      </c>
      <c r="AQ227" s="5">
        <v>0</v>
      </c>
      <c r="AR227" s="5">
        <v>0</v>
      </c>
      <c r="AS227" s="5">
        <v>0</v>
      </c>
      <c r="AT227" s="5">
        <v>0</v>
      </c>
      <c r="AU227" s="5">
        <v>0</v>
      </c>
      <c r="AV227" s="5">
        <v>0</v>
      </c>
      <c r="AW227" s="5">
        <v>0</v>
      </c>
      <c r="AX227" s="5">
        <v>0</v>
      </c>
      <c r="AY227" s="5" t="s">
        <v>983</v>
      </c>
      <c r="AZ227" s="1">
        <v>1</v>
      </c>
      <c r="BA227" s="1">
        <v>0</v>
      </c>
      <c r="BB227" s="1">
        <v>1</v>
      </c>
      <c r="BC227" s="1">
        <v>1</v>
      </c>
      <c r="BD227" s="1">
        <v>0</v>
      </c>
      <c r="BE227" s="1">
        <v>1</v>
      </c>
      <c r="BF227" s="1">
        <v>26</v>
      </c>
      <c r="BG227" s="1">
        <v>0</v>
      </c>
      <c r="BH227" s="1">
        <v>14</v>
      </c>
      <c r="BI227" s="1">
        <v>2</v>
      </c>
      <c r="BJ227" s="1">
        <v>600000</v>
      </c>
      <c r="BK227" s="1">
        <v>2</v>
      </c>
    </row>
    <row r="228" spans="1:63" ht="12.75" customHeight="1" x14ac:dyDescent="0.15">
      <c r="A228" s="5" t="s">
        <v>238</v>
      </c>
      <c r="B228" s="5" t="s">
        <v>238</v>
      </c>
      <c r="C228" s="5">
        <v>2</v>
      </c>
      <c r="D228" s="5">
        <v>2</v>
      </c>
      <c r="E228" s="5">
        <v>2</v>
      </c>
      <c r="F228" s="5">
        <v>2</v>
      </c>
      <c r="G228" s="5">
        <v>2</v>
      </c>
      <c r="H228" s="5">
        <v>1</v>
      </c>
      <c r="I228" s="5">
        <v>1</v>
      </c>
      <c r="J228" s="5">
        <v>2</v>
      </c>
      <c r="K228" s="5">
        <v>2</v>
      </c>
      <c r="L228" s="5">
        <v>2</v>
      </c>
      <c r="M228" s="5">
        <v>2</v>
      </c>
      <c r="N228" s="5">
        <v>2</v>
      </c>
      <c r="O228" s="5">
        <v>22</v>
      </c>
      <c r="P228" s="5" t="s">
        <v>982</v>
      </c>
      <c r="Q228" s="5">
        <v>0</v>
      </c>
      <c r="R228" s="5">
        <v>0</v>
      </c>
      <c r="S228" s="5">
        <v>0</v>
      </c>
      <c r="T228" s="5">
        <v>0</v>
      </c>
      <c r="U228" s="5" t="s">
        <v>983</v>
      </c>
      <c r="V228" s="5">
        <v>0</v>
      </c>
      <c r="W228" s="5">
        <v>0</v>
      </c>
      <c r="X228" s="5">
        <v>0</v>
      </c>
      <c r="Y228" s="5">
        <v>0</v>
      </c>
      <c r="Z228" s="5" t="s">
        <v>983</v>
      </c>
      <c r="AA228" s="5">
        <v>4</v>
      </c>
      <c r="AB228" s="5">
        <v>4</v>
      </c>
      <c r="AC228" s="5">
        <v>4</v>
      </c>
      <c r="AD228" s="5">
        <v>4</v>
      </c>
      <c r="AE228" s="5">
        <v>16</v>
      </c>
      <c r="AF228" s="5" t="s">
        <v>981</v>
      </c>
      <c r="AG228" s="5">
        <v>0</v>
      </c>
      <c r="AH228" s="5">
        <v>0</v>
      </c>
      <c r="AI228" s="5">
        <v>0</v>
      </c>
      <c r="AJ228" s="5">
        <v>0</v>
      </c>
      <c r="AK228" s="5" t="s">
        <v>983</v>
      </c>
      <c r="AL228" s="5">
        <v>0</v>
      </c>
      <c r="AM228" s="5">
        <v>0</v>
      </c>
      <c r="AN228" s="5">
        <v>0</v>
      </c>
      <c r="AO228" s="5">
        <v>0</v>
      </c>
      <c r="AP228" s="5" t="s">
        <v>983</v>
      </c>
      <c r="AQ228" s="5">
        <v>0</v>
      </c>
      <c r="AR228" s="5">
        <v>0</v>
      </c>
      <c r="AS228" s="5">
        <v>0</v>
      </c>
      <c r="AT228" s="5">
        <v>0</v>
      </c>
      <c r="AU228" s="5">
        <v>0</v>
      </c>
      <c r="AV228" s="5">
        <v>0</v>
      </c>
      <c r="AW228" s="5">
        <v>0</v>
      </c>
      <c r="AX228" s="5">
        <v>0</v>
      </c>
      <c r="AY228" s="5" t="s">
        <v>983</v>
      </c>
      <c r="AZ228" s="1">
        <v>0</v>
      </c>
      <c r="BA228" s="1">
        <v>0</v>
      </c>
      <c r="BB228" s="1">
        <v>1</v>
      </c>
      <c r="BC228" s="1">
        <v>1</v>
      </c>
      <c r="BD228" s="1">
        <v>0</v>
      </c>
      <c r="BE228" s="1">
        <v>1</v>
      </c>
      <c r="BF228" s="1">
        <v>41</v>
      </c>
      <c r="BG228" s="1">
        <v>0</v>
      </c>
      <c r="BH228" s="1">
        <v>17</v>
      </c>
      <c r="BI228" s="1">
        <v>14</v>
      </c>
      <c r="BJ228" s="1">
        <v>850000</v>
      </c>
      <c r="BK228" s="1">
        <v>2</v>
      </c>
    </row>
    <row r="229" spans="1:63" ht="12.75" customHeight="1" x14ac:dyDescent="0.15">
      <c r="A229" s="5" t="s">
        <v>337</v>
      </c>
      <c r="B229" s="5" t="s">
        <v>984</v>
      </c>
      <c r="C229" s="5">
        <v>2</v>
      </c>
      <c r="D229" s="5">
        <v>1</v>
      </c>
      <c r="E229" s="5">
        <v>1</v>
      </c>
      <c r="F229" s="5">
        <v>1</v>
      </c>
      <c r="G229" s="5">
        <v>1</v>
      </c>
      <c r="H229" s="5">
        <v>1</v>
      </c>
      <c r="I229" s="5">
        <v>1</v>
      </c>
      <c r="J229" s="5">
        <v>1</v>
      </c>
      <c r="K229" s="5">
        <v>1</v>
      </c>
      <c r="L229" s="5">
        <v>1</v>
      </c>
      <c r="M229" s="5">
        <v>1</v>
      </c>
      <c r="N229" s="5">
        <v>1</v>
      </c>
      <c r="O229" s="5">
        <v>13</v>
      </c>
      <c r="P229" s="5" t="s">
        <v>983</v>
      </c>
      <c r="Q229" s="5">
        <v>2</v>
      </c>
      <c r="R229" s="5">
        <v>2</v>
      </c>
      <c r="S229" s="5">
        <v>0</v>
      </c>
      <c r="T229" s="5">
        <v>4</v>
      </c>
      <c r="U229" s="5" t="s">
        <v>982</v>
      </c>
      <c r="V229" s="5">
        <v>4</v>
      </c>
      <c r="W229" s="5">
        <v>4</v>
      </c>
      <c r="X229" s="5">
        <v>3</v>
      </c>
      <c r="Y229" s="5">
        <v>11</v>
      </c>
      <c r="Z229" s="5" t="s">
        <v>981</v>
      </c>
      <c r="AA229" s="5">
        <v>2</v>
      </c>
      <c r="AB229" s="5">
        <v>2</v>
      </c>
      <c r="AC229" s="5">
        <v>0</v>
      </c>
      <c r="AD229" s="5">
        <v>0</v>
      </c>
      <c r="AE229" s="5">
        <v>4</v>
      </c>
      <c r="AF229" s="5" t="s">
        <v>982</v>
      </c>
      <c r="AG229" s="5">
        <v>2</v>
      </c>
      <c r="AH229" s="5">
        <v>2</v>
      </c>
      <c r="AI229" s="5">
        <v>2</v>
      </c>
      <c r="AJ229" s="5">
        <v>6</v>
      </c>
      <c r="AK229" s="5" t="s">
        <v>981</v>
      </c>
      <c r="AL229" s="5">
        <v>2</v>
      </c>
      <c r="AM229" s="5">
        <v>2</v>
      </c>
      <c r="AN229" s="5">
        <v>2</v>
      </c>
      <c r="AO229" s="5">
        <v>6</v>
      </c>
      <c r="AP229" s="5" t="s">
        <v>981</v>
      </c>
      <c r="AQ229" s="5">
        <v>0</v>
      </c>
      <c r="AR229" s="5">
        <v>0</v>
      </c>
      <c r="AS229" s="5">
        <v>0</v>
      </c>
      <c r="AT229" s="5">
        <v>0</v>
      </c>
      <c r="AU229" s="5">
        <v>0</v>
      </c>
      <c r="AV229" s="5">
        <v>0</v>
      </c>
      <c r="AW229" s="5">
        <v>0</v>
      </c>
      <c r="AX229" s="5">
        <v>0</v>
      </c>
      <c r="AY229" s="5" t="s">
        <v>983</v>
      </c>
      <c r="AZ229" s="1">
        <v>1</v>
      </c>
      <c r="BA229" s="1">
        <v>0</v>
      </c>
      <c r="BB229" s="1">
        <v>1</v>
      </c>
      <c r="BC229" s="1">
        <v>1</v>
      </c>
      <c r="BD229" s="1">
        <v>1</v>
      </c>
      <c r="BE229" s="1">
        <v>1</v>
      </c>
      <c r="BF229" s="1">
        <v>49</v>
      </c>
      <c r="BG229" s="1">
        <v>0</v>
      </c>
      <c r="BH229" s="1">
        <v>16</v>
      </c>
      <c r="BI229" s="1">
        <v>24</v>
      </c>
      <c r="BJ229" s="1">
        <v>0</v>
      </c>
      <c r="BK229" s="1">
        <v>3</v>
      </c>
    </row>
    <row r="230" spans="1:63" ht="12.75" customHeight="1" x14ac:dyDescent="0.15">
      <c r="A230" s="5" t="s">
        <v>238</v>
      </c>
      <c r="B230" s="5" t="s">
        <v>238</v>
      </c>
      <c r="C230" s="5">
        <v>2</v>
      </c>
      <c r="D230" s="5">
        <v>2</v>
      </c>
      <c r="E230" s="5">
        <v>3</v>
      </c>
      <c r="F230" s="5">
        <v>1</v>
      </c>
      <c r="G230" s="5">
        <v>1</v>
      </c>
      <c r="H230" s="5">
        <v>1</v>
      </c>
      <c r="I230" s="5">
        <v>1</v>
      </c>
      <c r="J230" s="5">
        <v>1</v>
      </c>
      <c r="K230" s="5">
        <v>1</v>
      </c>
      <c r="L230" s="5">
        <v>2</v>
      </c>
      <c r="M230" s="5">
        <v>1</v>
      </c>
      <c r="N230" s="5">
        <v>1</v>
      </c>
      <c r="O230" s="5">
        <v>17</v>
      </c>
      <c r="P230" s="5" t="s">
        <v>983</v>
      </c>
      <c r="Q230" s="5">
        <v>0</v>
      </c>
      <c r="R230" s="5">
        <v>1</v>
      </c>
      <c r="S230" s="5">
        <v>0</v>
      </c>
      <c r="T230" s="5">
        <v>1</v>
      </c>
      <c r="U230" s="5" t="s">
        <v>983</v>
      </c>
      <c r="V230" s="5">
        <v>0</v>
      </c>
      <c r="W230" s="5">
        <v>0</v>
      </c>
      <c r="X230" s="5">
        <v>2</v>
      </c>
      <c r="Y230" s="5">
        <v>2</v>
      </c>
      <c r="Z230" s="5" t="s">
        <v>982</v>
      </c>
      <c r="AA230" s="5">
        <v>0</v>
      </c>
      <c r="AB230" s="5">
        <v>0</v>
      </c>
      <c r="AC230" s="5">
        <v>0</v>
      </c>
      <c r="AD230" s="5">
        <v>0</v>
      </c>
      <c r="AE230" s="5">
        <v>0</v>
      </c>
      <c r="AF230" s="5" t="s">
        <v>983</v>
      </c>
      <c r="AG230" s="5">
        <v>1</v>
      </c>
      <c r="AH230" s="5">
        <v>0</v>
      </c>
      <c r="AI230" s="5">
        <v>0</v>
      </c>
      <c r="AJ230" s="5">
        <v>1</v>
      </c>
      <c r="AK230" s="5" t="s">
        <v>983</v>
      </c>
      <c r="AL230" s="5">
        <v>1</v>
      </c>
      <c r="AM230" s="5">
        <v>2</v>
      </c>
      <c r="AN230" s="5">
        <v>0</v>
      </c>
      <c r="AO230" s="5">
        <v>3</v>
      </c>
      <c r="AP230" s="5" t="s">
        <v>982</v>
      </c>
      <c r="AQ230" s="5">
        <v>0</v>
      </c>
      <c r="AR230" s="5">
        <v>0</v>
      </c>
      <c r="AS230" s="5">
        <v>0</v>
      </c>
      <c r="AT230" s="5">
        <v>0</v>
      </c>
      <c r="AU230" s="5">
        <v>0</v>
      </c>
      <c r="AV230" s="5">
        <v>0</v>
      </c>
      <c r="AW230" s="5">
        <v>0</v>
      </c>
      <c r="AX230" s="5">
        <v>0</v>
      </c>
      <c r="AY230" s="5" t="s">
        <v>983</v>
      </c>
      <c r="AZ230" s="1">
        <v>0</v>
      </c>
      <c r="BA230" s="1">
        <v>0</v>
      </c>
      <c r="BB230" s="1">
        <v>0</v>
      </c>
      <c r="BC230" s="1">
        <v>1</v>
      </c>
      <c r="BD230" s="1">
        <v>1</v>
      </c>
      <c r="BE230" s="1">
        <v>1</v>
      </c>
      <c r="BF230" s="1">
        <v>48</v>
      </c>
      <c r="BG230" s="1">
        <v>0</v>
      </c>
      <c r="BH230" s="1">
        <v>14</v>
      </c>
      <c r="BI230" s="1">
        <v>9</v>
      </c>
      <c r="BJ230" s="1">
        <v>1400000</v>
      </c>
      <c r="BK230" s="1">
        <v>1</v>
      </c>
    </row>
    <row r="231" spans="1:63" ht="12.75" customHeight="1" x14ac:dyDescent="0.15">
      <c r="A231" s="5" t="s">
        <v>238</v>
      </c>
      <c r="B231" s="5" t="s">
        <v>238</v>
      </c>
      <c r="C231" s="5">
        <v>1</v>
      </c>
      <c r="D231" s="5">
        <v>1</v>
      </c>
      <c r="E231" s="5">
        <v>1</v>
      </c>
      <c r="F231" s="5">
        <v>1</v>
      </c>
      <c r="G231" s="5">
        <v>1</v>
      </c>
      <c r="H231" s="5">
        <v>1</v>
      </c>
      <c r="I231" s="5">
        <v>1</v>
      </c>
      <c r="J231" s="5">
        <v>1</v>
      </c>
      <c r="K231" s="5">
        <v>2</v>
      </c>
      <c r="L231" s="5">
        <v>2</v>
      </c>
      <c r="M231" s="5">
        <v>2</v>
      </c>
      <c r="N231" s="5">
        <v>2</v>
      </c>
      <c r="O231" s="5">
        <v>16</v>
      </c>
      <c r="P231" s="5" t="s">
        <v>983</v>
      </c>
      <c r="Q231" s="5">
        <v>3</v>
      </c>
      <c r="R231" s="5">
        <v>3</v>
      </c>
      <c r="S231" s="5">
        <v>3</v>
      </c>
      <c r="T231" s="5">
        <v>9</v>
      </c>
      <c r="U231" s="5" t="s">
        <v>981</v>
      </c>
      <c r="V231" s="5">
        <v>3</v>
      </c>
      <c r="W231" s="5">
        <v>3</v>
      </c>
      <c r="X231" s="5">
        <v>3</v>
      </c>
      <c r="Y231" s="5">
        <v>9</v>
      </c>
      <c r="Z231" s="5" t="s">
        <v>981</v>
      </c>
      <c r="AA231" s="5">
        <v>1</v>
      </c>
      <c r="AB231" s="5">
        <v>1</v>
      </c>
      <c r="AC231" s="5">
        <v>1</v>
      </c>
      <c r="AD231" s="5">
        <v>1</v>
      </c>
      <c r="AE231" s="5">
        <v>4</v>
      </c>
      <c r="AF231" s="5" t="s">
        <v>982</v>
      </c>
      <c r="AG231" s="5">
        <v>3</v>
      </c>
      <c r="AH231" s="5">
        <v>3</v>
      </c>
      <c r="AI231" s="5">
        <v>3</v>
      </c>
      <c r="AJ231" s="5">
        <v>9</v>
      </c>
      <c r="AK231" s="5" t="s">
        <v>981</v>
      </c>
      <c r="AL231" s="5">
        <v>3</v>
      </c>
      <c r="AM231" s="5">
        <v>3</v>
      </c>
      <c r="AN231" s="5">
        <v>3</v>
      </c>
      <c r="AO231" s="5">
        <v>9</v>
      </c>
      <c r="AP231" s="5" t="s">
        <v>981</v>
      </c>
      <c r="AQ231" s="5">
        <v>0</v>
      </c>
      <c r="AR231" s="5">
        <v>0</v>
      </c>
      <c r="AS231" s="5">
        <v>0</v>
      </c>
      <c r="AT231" s="5">
        <v>0</v>
      </c>
      <c r="AU231" s="5">
        <v>0</v>
      </c>
      <c r="AV231" s="5">
        <v>0</v>
      </c>
      <c r="AW231" s="5">
        <v>0</v>
      </c>
      <c r="AX231" s="5">
        <v>0</v>
      </c>
      <c r="AY231" s="5" t="s">
        <v>983</v>
      </c>
      <c r="AZ231" s="1">
        <v>1</v>
      </c>
      <c r="BA231" s="1">
        <v>0</v>
      </c>
      <c r="BB231" s="1">
        <v>1</v>
      </c>
      <c r="BC231" s="1">
        <v>1</v>
      </c>
      <c r="BD231" s="1">
        <v>1</v>
      </c>
      <c r="BE231" s="1">
        <v>1</v>
      </c>
      <c r="BF231" s="1">
        <v>45</v>
      </c>
      <c r="BG231" s="1">
        <v>0</v>
      </c>
      <c r="BH231" s="1">
        <v>14</v>
      </c>
      <c r="BI231" s="1">
        <v>6</v>
      </c>
      <c r="BJ231" s="1">
        <v>300000</v>
      </c>
      <c r="BK231" s="1">
        <v>5</v>
      </c>
    </row>
    <row r="232" spans="1:63" ht="12.75" customHeight="1" x14ac:dyDescent="0.15">
      <c r="A232" s="5" t="s">
        <v>330</v>
      </c>
      <c r="B232" s="5" t="s">
        <v>984</v>
      </c>
      <c r="C232" s="5">
        <v>3</v>
      </c>
      <c r="D232" s="5">
        <v>2</v>
      </c>
      <c r="E232" s="5">
        <v>2</v>
      </c>
      <c r="F232" s="5">
        <v>2</v>
      </c>
      <c r="G232" s="5">
        <v>2</v>
      </c>
      <c r="H232" s="5">
        <v>1</v>
      </c>
      <c r="I232" s="5">
        <v>1</v>
      </c>
      <c r="J232" s="5">
        <v>2</v>
      </c>
      <c r="K232" s="5">
        <v>2</v>
      </c>
      <c r="L232" s="5">
        <v>2</v>
      </c>
      <c r="M232" s="5">
        <v>2</v>
      </c>
      <c r="N232" s="5">
        <v>2</v>
      </c>
      <c r="O232" s="5">
        <v>23</v>
      </c>
      <c r="P232" s="5" t="s">
        <v>982</v>
      </c>
      <c r="Q232" s="5">
        <v>2</v>
      </c>
      <c r="R232" s="5">
        <v>1</v>
      </c>
      <c r="S232" s="5">
        <v>1</v>
      </c>
      <c r="T232" s="5">
        <v>4</v>
      </c>
      <c r="U232" s="5" t="s">
        <v>982</v>
      </c>
      <c r="V232" s="5">
        <v>0</v>
      </c>
      <c r="W232" s="5">
        <v>1</v>
      </c>
      <c r="X232" s="5">
        <v>1</v>
      </c>
      <c r="Y232" s="5">
        <v>2</v>
      </c>
      <c r="Z232" s="5" t="s">
        <v>982</v>
      </c>
      <c r="AA232" s="5">
        <v>2</v>
      </c>
      <c r="AB232" s="5">
        <v>1</v>
      </c>
      <c r="AC232" s="5">
        <v>2</v>
      </c>
      <c r="AD232" s="5">
        <v>3</v>
      </c>
      <c r="AE232" s="5">
        <v>8</v>
      </c>
      <c r="AF232" s="5" t="s">
        <v>981</v>
      </c>
      <c r="AG232" s="5">
        <v>1</v>
      </c>
      <c r="AH232" s="5">
        <v>1</v>
      </c>
      <c r="AI232" s="5">
        <v>0</v>
      </c>
      <c r="AJ232" s="5">
        <v>2</v>
      </c>
      <c r="AK232" s="5" t="s">
        <v>983</v>
      </c>
      <c r="AL232" s="5">
        <v>1</v>
      </c>
      <c r="AM232" s="5">
        <v>1</v>
      </c>
      <c r="AN232" s="5">
        <v>1</v>
      </c>
      <c r="AO232" s="5">
        <v>3</v>
      </c>
      <c r="AP232" s="5" t="s">
        <v>982</v>
      </c>
      <c r="AQ232" s="5">
        <v>1</v>
      </c>
      <c r="AR232" s="5">
        <v>0</v>
      </c>
      <c r="AS232" s="5">
        <v>1</v>
      </c>
      <c r="AT232" s="5">
        <v>0</v>
      </c>
      <c r="AU232" s="5">
        <v>0</v>
      </c>
      <c r="AV232" s="5">
        <v>0</v>
      </c>
      <c r="AW232" s="5">
        <v>1</v>
      </c>
      <c r="AX232" s="5">
        <v>3</v>
      </c>
      <c r="AY232" s="5" t="s">
        <v>982</v>
      </c>
      <c r="AZ232" s="1">
        <v>0</v>
      </c>
      <c r="BA232" s="1">
        <v>0</v>
      </c>
      <c r="BB232" s="1">
        <v>0</v>
      </c>
      <c r="BC232" s="1">
        <v>1</v>
      </c>
      <c r="BD232" s="1">
        <v>0</v>
      </c>
      <c r="BE232" s="1">
        <v>1</v>
      </c>
      <c r="BF232" s="1">
        <v>49</v>
      </c>
      <c r="BG232" s="1">
        <v>0</v>
      </c>
      <c r="BH232" s="1">
        <v>3</v>
      </c>
      <c r="BI232" s="1">
        <v>3</v>
      </c>
      <c r="BJ232" s="1">
        <v>400000</v>
      </c>
      <c r="BK232" s="1">
        <v>5</v>
      </c>
    </row>
    <row r="233" spans="1:63" ht="12.75" customHeight="1" x14ac:dyDescent="0.15">
      <c r="A233" s="5" t="s">
        <v>238</v>
      </c>
      <c r="B233" s="5" t="s">
        <v>238</v>
      </c>
      <c r="C233" s="5">
        <v>2</v>
      </c>
      <c r="D233" s="5">
        <v>1</v>
      </c>
      <c r="E233" s="5">
        <v>2</v>
      </c>
      <c r="F233" s="5">
        <v>1</v>
      </c>
      <c r="G233" s="5">
        <v>1</v>
      </c>
      <c r="H233" s="5">
        <v>1</v>
      </c>
      <c r="I233" s="5">
        <v>1</v>
      </c>
      <c r="J233" s="5">
        <v>1</v>
      </c>
      <c r="K233" s="5">
        <v>1</v>
      </c>
      <c r="L233" s="5">
        <v>1</v>
      </c>
      <c r="M233" s="5">
        <v>1</v>
      </c>
      <c r="N233" s="5">
        <v>1</v>
      </c>
      <c r="O233" s="5">
        <v>14</v>
      </c>
      <c r="P233" s="5" t="s">
        <v>983</v>
      </c>
      <c r="Q233" s="5">
        <v>2</v>
      </c>
      <c r="R233" s="5">
        <v>2</v>
      </c>
      <c r="S233" s="5">
        <v>2</v>
      </c>
      <c r="T233" s="5">
        <v>6</v>
      </c>
      <c r="U233" s="5" t="s">
        <v>981</v>
      </c>
      <c r="V233" s="5">
        <v>2</v>
      </c>
      <c r="W233" s="5">
        <v>2</v>
      </c>
      <c r="X233" s="5">
        <v>2</v>
      </c>
      <c r="Y233" s="5">
        <v>6</v>
      </c>
      <c r="Z233" s="5" t="s">
        <v>981</v>
      </c>
      <c r="AA233" s="5">
        <v>1</v>
      </c>
      <c r="AB233" s="5">
        <v>2</v>
      </c>
      <c r="AC233" s="5">
        <v>2</v>
      </c>
      <c r="AD233" s="5">
        <v>0</v>
      </c>
      <c r="AE233" s="5">
        <v>5</v>
      </c>
      <c r="AF233" s="5" t="s">
        <v>981</v>
      </c>
      <c r="AG233" s="5">
        <v>2</v>
      </c>
      <c r="AH233" s="5">
        <v>2</v>
      </c>
      <c r="AI233" s="5">
        <v>2</v>
      </c>
      <c r="AJ233" s="5">
        <v>6</v>
      </c>
      <c r="AK233" s="5" t="s">
        <v>981</v>
      </c>
      <c r="AL233" s="5">
        <v>0</v>
      </c>
      <c r="AM233" s="5">
        <v>2</v>
      </c>
      <c r="AN233" s="5">
        <v>2</v>
      </c>
      <c r="AO233" s="5">
        <v>4</v>
      </c>
      <c r="AP233" s="5" t="s">
        <v>982</v>
      </c>
      <c r="AQ233" s="5">
        <v>0</v>
      </c>
      <c r="AR233" s="5">
        <v>0</v>
      </c>
      <c r="AS233" s="5">
        <v>0</v>
      </c>
      <c r="AT233" s="5">
        <v>0</v>
      </c>
      <c r="AU233" s="5">
        <v>0</v>
      </c>
      <c r="AV233" s="5">
        <v>0</v>
      </c>
      <c r="AW233" s="5">
        <v>0</v>
      </c>
      <c r="AX233" s="5">
        <v>0</v>
      </c>
      <c r="AY233" s="5" t="s">
        <v>983</v>
      </c>
      <c r="AZ233" s="1">
        <v>0</v>
      </c>
      <c r="BA233" s="1">
        <v>0</v>
      </c>
      <c r="BB233" s="1">
        <v>1</v>
      </c>
      <c r="BC233" s="1">
        <v>1</v>
      </c>
      <c r="BD233" s="1">
        <v>1</v>
      </c>
      <c r="BE233" s="1">
        <v>1</v>
      </c>
      <c r="BF233" s="1">
        <v>49</v>
      </c>
      <c r="BG233" s="1">
        <v>0</v>
      </c>
      <c r="BH233" s="1">
        <v>3</v>
      </c>
      <c r="BI233" s="1">
        <v>3</v>
      </c>
      <c r="BJ233" s="1">
        <v>400000</v>
      </c>
      <c r="BK233" s="1">
        <v>5</v>
      </c>
    </row>
    <row r="234" spans="1:63" ht="12.75" customHeight="1" x14ac:dyDescent="0.15">
      <c r="A234" s="5" t="s">
        <v>330</v>
      </c>
      <c r="B234" s="5" t="s">
        <v>984</v>
      </c>
      <c r="C234" s="5">
        <v>2</v>
      </c>
      <c r="D234" s="5">
        <v>1</v>
      </c>
      <c r="E234" s="5">
        <v>2</v>
      </c>
      <c r="F234" s="5">
        <v>2</v>
      </c>
      <c r="G234" s="5">
        <v>2</v>
      </c>
      <c r="H234" s="5">
        <v>2</v>
      </c>
      <c r="I234" s="5">
        <v>2</v>
      </c>
      <c r="J234" s="5">
        <v>2</v>
      </c>
      <c r="K234" s="5">
        <v>2</v>
      </c>
      <c r="L234" s="5">
        <v>2</v>
      </c>
      <c r="M234" s="5">
        <v>2</v>
      </c>
      <c r="N234" s="5">
        <v>2</v>
      </c>
      <c r="O234" s="5">
        <v>23</v>
      </c>
      <c r="P234" s="5" t="s">
        <v>982</v>
      </c>
      <c r="Q234" s="5">
        <v>0</v>
      </c>
      <c r="R234" s="5">
        <v>0</v>
      </c>
      <c r="S234" s="5">
        <v>0</v>
      </c>
      <c r="T234" s="5">
        <v>0</v>
      </c>
      <c r="U234" s="5" t="s">
        <v>983</v>
      </c>
      <c r="V234" s="5">
        <v>1</v>
      </c>
      <c r="W234" s="5">
        <v>0</v>
      </c>
      <c r="X234" s="5">
        <v>2</v>
      </c>
      <c r="Y234" s="5">
        <v>3</v>
      </c>
      <c r="Z234" s="5" t="s">
        <v>982</v>
      </c>
      <c r="AA234" s="5">
        <v>2</v>
      </c>
      <c r="AB234" s="5">
        <v>4</v>
      </c>
      <c r="AC234" s="5">
        <v>1</v>
      </c>
      <c r="AD234" s="5">
        <v>2</v>
      </c>
      <c r="AE234" s="5">
        <v>9</v>
      </c>
      <c r="AF234" s="5" t="s">
        <v>981</v>
      </c>
      <c r="AG234" s="5">
        <v>0</v>
      </c>
      <c r="AH234" s="5">
        <v>0</v>
      </c>
      <c r="AI234" s="5">
        <v>0</v>
      </c>
      <c r="AJ234" s="5">
        <v>0</v>
      </c>
      <c r="AK234" s="5" t="s">
        <v>983</v>
      </c>
      <c r="AL234" s="5">
        <v>0</v>
      </c>
      <c r="AM234" s="5">
        <v>0</v>
      </c>
      <c r="AN234" s="5">
        <v>0</v>
      </c>
      <c r="AO234" s="5">
        <v>0</v>
      </c>
      <c r="AP234" s="5" t="s">
        <v>983</v>
      </c>
      <c r="AQ234" s="5">
        <v>0</v>
      </c>
      <c r="AR234" s="5">
        <v>0</v>
      </c>
      <c r="AS234" s="5">
        <v>0</v>
      </c>
      <c r="AT234" s="5">
        <v>0</v>
      </c>
      <c r="AU234" s="5">
        <v>0</v>
      </c>
      <c r="AV234" s="5">
        <v>0</v>
      </c>
      <c r="AW234" s="5">
        <v>0</v>
      </c>
      <c r="AX234" s="5">
        <v>0</v>
      </c>
      <c r="AY234" s="5" t="s">
        <v>983</v>
      </c>
      <c r="AZ234" s="1">
        <v>0</v>
      </c>
      <c r="BA234" s="1">
        <v>1</v>
      </c>
      <c r="BB234" s="1">
        <v>0</v>
      </c>
      <c r="BC234" s="1">
        <v>1</v>
      </c>
      <c r="BD234" s="1">
        <v>0</v>
      </c>
      <c r="BE234" s="1">
        <v>1</v>
      </c>
      <c r="BF234" s="1">
        <v>43</v>
      </c>
      <c r="BG234" s="1">
        <v>0</v>
      </c>
      <c r="BH234" s="1">
        <v>13</v>
      </c>
      <c r="BI234" s="1">
        <v>2</v>
      </c>
      <c r="BJ234" s="1">
        <v>200000</v>
      </c>
      <c r="BK234" s="1">
        <v>3</v>
      </c>
    </row>
    <row r="235" spans="1:63" ht="12.75" customHeight="1" x14ac:dyDescent="0.15">
      <c r="A235" s="5" t="s">
        <v>238</v>
      </c>
      <c r="B235" s="5" t="s">
        <v>238</v>
      </c>
      <c r="C235" s="5">
        <v>1</v>
      </c>
      <c r="D235" s="5">
        <v>1</v>
      </c>
      <c r="E235" s="5">
        <v>1</v>
      </c>
      <c r="F235" s="5">
        <v>1</v>
      </c>
      <c r="G235" s="5">
        <v>1</v>
      </c>
      <c r="H235" s="5">
        <v>1</v>
      </c>
      <c r="I235" s="5">
        <v>1</v>
      </c>
      <c r="J235" s="5">
        <v>2</v>
      </c>
      <c r="K235" s="5">
        <v>2</v>
      </c>
      <c r="L235" s="5">
        <v>2</v>
      </c>
      <c r="M235" s="5">
        <v>2</v>
      </c>
      <c r="N235" s="5">
        <v>1</v>
      </c>
      <c r="O235" s="5">
        <v>16</v>
      </c>
      <c r="P235" s="5" t="s">
        <v>983</v>
      </c>
      <c r="Q235" s="5">
        <v>0</v>
      </c>
      <c r="R235" s="5">
        <v>0</v>
      </c>
      <c r="S235" s="5">
        <v>0</v>
      </c>
      <c r="T235" s="5">
        <v>0</v>
      </c>
      <c r="U235" s="5" t="s">
        <v>983</v>
      </c>
      <c r="V235" s="5">
        <v>0</v>
      </c>
      <c r="W235" s="5">
        <v>0</v>
      </c>
      <c r="X235" s="5">
        <v>0</v>
      </c>
      <c r="Y235" s="5">
        <v>0</v>
      </c>
      <c r="Z235" s="5" t="s">
        <v>983</v>
      </c>
      <c r="AA235" s="5">
        <v>0</v>
      </c>
      <c r="AB235" s="5">
        <v>0</v>
      </c>
      <c r="AC235" s="5">
        <v>0</v>
      </c>
      <c r="AD235" s="5">
        <v>0</v>
      </c>
      <c r="AE235" s="5">
        <v>0</v>
      </c>
      <c r="AF235" s="5" t="s">
        <v>983</v>
      </c>
      <c r="AG235" s="5">
        <v>0</v>
      </c>
      <c r="AH235" s="5">
        <v>0</v>
      </c>
      <c r="AI235" s="5">
        <v>1</v>
      </c>
      <c r="AJ235" s="5">
        <v>1</v>
      </c>
      <c r="AK235" s="5" t="s">
        <v>983</v>
      </c>
      <c r="AL235" s="5">
        <v>0</v>
      </c>
      <c r="AM235" s="5">
        <v>0</v>
      </c>
      <c r="AN235" s="5">
        <v>0</v>
      </c>
      <c r="AO235" s="5">
        <v>0</v>
      </c>
      <c r="AP235" s="5" t="s">
        <v>983</v>
      </c>
      <c r="AQ235" s="5">
        <v>0</v>
      </c>
      <c r="AR235" s="5">
        <v>0</v>
      </c>
      <c r="AS235" s="5">
        <v>0</v>
      </c>
      <c r="AT235" s="5">
        <v>0</v>
      </c>
      <c r="AU235" s="5">
        <v>0</v>
      </c>
      <c r="AV235" s="5">
        <v>0</v>
      </c>
      <c r="AW235" s="5">
        <v>0</v>
      </c>
      <c r="AX235" s="5">
        <v>0</v>
      </c>
      <c r="AY235" s="5" t="s">
        <v>983</v>
      </c>
      <c r="AZ235" s="1">
        <v>0</v>
      </c>
      <c r="BA235" s="1">
        <v>0</v>
      </c>
      <c r="BB235" s="1">
        <v>1</v>
      </c>
      <c r="BC235" s="1">
        <v>1</v>
      </c>
      <c r="BD235" s="1">
        <v>1</v>
      </c>
      <c r="BE235" s="1">
        <v>1</v>
      </c>
      <c r="BF235" s="1">
        <v>0</v>
      </c>
      <c r="BG235" s="1">
        <v>1</v>
      </c>
      <c r="BH235" s="1">
        <v>8</v>
      </c>
      <c r="BI235" s="1">
        <v>34</v>
      </c>
      <c r="BJ235" s="1">
        <v>0</v>
      </c>
      <c r="BK235" s="1">
        <v>1</v>
      </c>
    </row>
    <row r="236" spans="1:63" ht="12.75" customHeight="1" x14ac:dyDescent="0.15">
      <c r="A236" s="5" t="s">
        <v>238</v>
      </c>
      <c r="B236" s="5" t="s">
        <v>238</v>
      </c>
      <c r="C236" s="5">
        <v>2</v>
      </c>
      <c r="D236" s="5">
        <v>2</v>
      </c>
      <c r="E236" s="5">
        <v>2</v>
      </c>
      <c r="F236" s="5">
        <v>2</v>
      </c>
      <c r="G236" s="5">
        <v>2</v>
      </c>
      <c r="H236" s="5">
        <v>1</v>
      </c>
      <c r="I236" s="5">
        <v>1</v>
      </c>
      <c r="J236" s="5">
        <v>1</v>
      </c>
      <c r="K236" s="5">
        <v>1</v>
      </c>
      <c r="L236" s="5">
        <v>2</v>
      </c>
      <c r="M236" s="5">
        <v>1</v>
      </c>
      <c r="N236" s="5">
        <v>1</v>
      </c>
      <c r="O236" s="5">
        <v>18</v>
      </c>
      <c r="P236" s="5" t="s">
        <v>983</v>
      </c>
      <c r="Q236" s="5">
        <v>2</v>
      </c>
      <c r="R236" s="5">
        <v>2</v>
      </c>
      <c r="S236" s="5">
        <v>2</v>
      </c>
      <c r="T236" s="5">
        <v>6</v>
      </c>
      <c r="U236" s="5" t="s">
        <v>981</v>
      </c>
      <c r="V236" s="5">
        <v>2</v>
      </c>
      <c r="W236" s="5">
        <v>0</v>
      </c>
      <c r="X236" s="5">
        <v>0</v>
      </c>
      <c r="Y236" s="5">
        <v>2</v>
      </c>
      <c r="Z236" s="5" t="s">
        <v>982</v>
      </c>
      <c r="AA236" s="5">
        <v>4</v>
      </c>
      <c r="AB236" s="5">
        <v>4</v>
      </c>
      <c r="AC236" s="5">
        <v>4</v>
      </c>
      <c r="AD236" s="5">
        <v>4</v>
      </c>
      <c r="AE236" s="5">
        <v>16</v>
      </c>
      <c r="AF236" s="5" t="s">
        <v>981</v>
      </c>
      <c r="AG236" s="5">
        <v>0</v>
      </c>
      <c r="AH236" s="5">
        <v>0</v>
      </c>
      <c r="AI236" s="5">
        <v>0</v>
      </c>
      <c r="AJ236" s="5">
        <v>0</v>
      </c>
      <c r="AK236" s="5" t="s">
        <v>983</v>
      </c>
      <c r="AL236" s="5">
        <v>2</v>
      </c>
      <c r="AM236" s="5">
        <v>1</v>
      </c>
      <c r="AN236" s="5">
        <v>1</v>
      </c>
      <c r="AO236" s="5">
        <v>4</v>
      </c>
      <c r="AP236" s="5" t="s">
        <v>982</v>
      </c>
      <c r="AQ236" s="5">
        <v>0</v>
      </c>
      <c r="AR236" s="5">
        <v>0</v>
      </c>
      <c r="AS236" s="5">
        <v>0</v>
      </c>
      <c r="AT236" s="5">
        <v>0</v>
      </c>
      <c r="AU236" s="5">
        <v>0</v>
      </c>
      <c r="AV236" s="5">
        <v>0</v>
      </c>
      <c r="AW236" s="5">
        <v>0</v>
      </c>
      <c r="AX236" s="5">
        <v>0</v>
      </c>
      <c r="AY236" s="5" t="s">
        <v>983</v>
      </c>
      <c r="AZ236" s="1">
        <v>1</v>
      </c>
      <c r="BA236" s="1">
        <v>0</v>
      </c>
      <c r="BB236" s="1">
        <v>1</v>
      </c>
      <c r="BC236" s="1">
        <v>1</v>
      </c>
      <c r="BD236" s="1">
        <v>1</v>
      </c>
      <c r="BE236" s="1">
        <v>1</v>
      </c>
      <c r="BF236" s="1">
        <v>0</v>
      </c>
      <c r="BG236" s="1">
        <v>1</v>
      </c>
      <c r="BH236" s="1">
        <v>8</v>
      </c>
      <c r="BI236" s="1">
        <v>34</v>
      </c>
      <c r="BJ236" s="1">
        <v>0</v>
      </c>
      <c r="BK236" s="1">
        <v>1</v>
      </c>
    </row>
    <row r="237" spans="1:63" ht="12.75" customHeight="1" x14ac:dyDescent="0.15">
      <c r="A237" s="5" t="s">
        <v>330</v>
      </c>
      <c r="B237" s="5" t="s">
        <v>984</v>
      </c>
      <c r="C237" s="5">
        <v>3</v>
      </c>
      <c r="D237" s="5">
        <v>2</v>
      </c>
      <c r="E237" s="5">
        <v>3</v>
      </c>
      <c r="F237" s="5">
        <v>3</v>
      </c>
      <c r="G237" s="5">
        <v>2</v>
      </c>
      <c r="H237" s="5">
        <v>1</v>
      </c>
      <c r="I237" s="5">
        <v>1</v>
      </c>
      <c r="J237" s="5">
        <v>2</v>
      </c>
      <c r="K237" s="5">
        <v>2</v>
      </c>
      <c r="L237" s="5">
        <v>3</v>
      </c>
      <c r="M237" s="5">
        <v>1</v>
      </c>
      <c r="N237" s="5">
        <v>1</v>
      </c>
      <c r="O237" s="5">
        <v>24</v>
      </c>
      <c r="P237" s="5" t="s">
        <v>981</v>
      </c>
      <c r="Q237" s="5">
        <v>0</v>
      </c>
      <c r="R237" s="5">
        <v>1</v>
      </c>
      <c r="S237" s="5">
        <v>0</v>
      </c>
      <c r="T237" s="5">
        <v>1</v>
      </c>
      <c r="U237" s="5" t="s">
        <v>983</v>
      </c>
      <c r="V237" s="5">
        <v>1</v>
      </c>
      <c r="W237" s="5">
        <v>0</v>
      </c>
      <c r="X237" s="5">
        <v>2</v>
      </c>
      <c r="Y237" s="5">
        <v>3</v>
      </c>
      <c r="Z237" s="5" t="s">
        <v>982</v>
      </c>
      <c r="AA237" s="5">
        <v>1</v>
      </c>
      <c r="AB237" s="5">
        <v>1</v>
      </c>
      <c r="AC237" s="5">
        <v>0</v>
      </c>
      <c r="AD237" s="5">
        <v>1</v>
      </c>
      <c r="AE237" s="5">
        <v>3</v>
      </c>
      <c r="AF237" s="5" t="s">
        <v>982</v>
      </c>
      <c r="AG237" s="5">
        <v>0</v>
      </c>
      <c r="AH237" s="5">
        <v>0</v>
      </c>
      <c r="AI237" s="5">
        <v>0</v>
      </c>
      <c r="AJ237" s="5">
        <v>0</v>
      </c>
      <c r="AK237" s="5" t="s">
        <v>983</v>
      </c>
      <c r="AL237" s="5">
        <v>0</v>
      </c>
      <c r="AM237" s="5">
        <v>0</v>
      </c>
      <c r="AN237" s="5">
        <v>0</v>
      </c>
      <c r="AO237" s="5">
        <v>0</v>
      </c>
      <c r="AP237" s="5" t="s">
        <v>983</v>
      </c>
      <c r="AQ237" s="5">
        <v>1</v>
      </c>
      <c r="AR237" s="5">
        <v>1</v>
      </c>
      <c r="AS237" s="5">
        <v>1</v>
      </c>
      <c r="AT237" s="5">
        <v>0</v>
      </c>
      <c r="AU237" s="5">
        <v>1</v>
      </c>
      <c r="AV237" s="5">
        <v>1</v>
      </c>
      <c r="AW237" s="5">
        <v>0</v>
      </c>
      <c r="AX237" s="5">
        <v>5</v>
      </c>
      <c r="AY237" s="5" t="s">
        <v>982</v>
      </c>
      <c r="AZ237" s="1">
        <v>0</v>
      </c>
      <c r="BA237" s="1">
        <v>0</v>
      </c>
      <c r="BB237" s="1">
        <v>0</v>
      </c>
      <c r="BC237" s="1">
        <v>1</v>
      </c>
      <c r="BD237" s="1">
        <v>1</v>
      </c>
      <c r="BE237" s="1">
        <v>1</v>
      </c>
      <c r="BF237" s="1">
        <v>36</v>
      </c>
      <c r="BG237" s="1">
        <v>1</v>
      </c>
      <c r="BH237" s="1">
        <v>2</v>
      </c>
      <c r="BI237" s="1">
        <v>17</v>
      </c>
      <c r="BJ237" s="1">
        <v>440000</v>
      </c>
      <c r="BK237" s="1">
        <v>2</v>
      </c>
    </row>
    <row r="238" spans="1:63" ht="12.75" customHeight="1" x14ac:dyDescent="0.15">
      <c r="A238" s="5" t="s">
        <v>238</v>
      </c>
      <c r="B238" s="5" t="s">
        <v>238</v>
      </c>
      <c r="C238" s="5">
        <v>2</v>
      </c>
      <c r="D238" s="5">
        <v>3</v>
      </c>
      <c r="E238" s="5">
        <v>3</v>
      </c>
      <c r="F238" s="5">
        <v>3</v>
      </c>
      <c r="G238" s="5">
        <v>3</v>
      </c>
      <c r="H238" s="5">
        <v>3</v>
      </c>
      <c r="I238" s="5">
        <v>3</v>
      </c>
      <c r="J238" s="5">
        <v>2</v>
      </c>
      <c r="K238" s="5">
        <v>2</v>
      </c>
      <c r="L238" s="5">
        <v>2</v>
      </c>
      <c r="M238" s="5">
        <v>2</v>
      </c>
      <c r="N238" s="5">
        <v>2</v>
      </c>
      <c r="O238" s="5">
        <v>30</v>
      </c>
      <c r="P238" s="5" t="s">
        <v>981</v>
      </c>
      <c r="Q238" s="5">
        <v>4</v>
      </c>
      <c r="R238" s="5">
        <v>4</v>
      </c>
      <c r="S238" s="5">
        <v>4</v>
      </c>
      <c r="T238" s="5">
        <v>12</v>
      </c>
      <c r="U238" s="5" t="s">
        <v>981</v>
      </c>
      <c r="V238" s="5">
        <v>4</v>
      </c>
      <c r="W238" s="5">
        <v>4</v>
      </c>
      <c r="X238" s="5">
        <v>4</v>
      </c>
      <c r="Y238" s="5">
        <v>12</v>
      </c>
      <c r="Z238" s="5" t="s">
        <v>981</v>
      </c>
      <c r="AA238" s="5">
        <v>0</v>
      </c>
      <c r="AB238" s="5">
        <v>0</v>
      </c>
      <c r="AC238" s="5">
        <v>0</v>
      </c>
      <c r="AD238" s="5">
        <v>0</v>
      </c>
      <c r="AE238" s="5">
        <v>0</v>
      </c>
      <c r="AF238" s="5" t="s">
        <v>983</v>
      </c>
      <c r="AG238" s="5">
        <v>4</v>
      </c>
      <c r="AH238" s="5">
        <v>4</v>
      </c>
      <c r="AI238" s="5">
        <v>4</v>
      </c>
      <c r="AJ238" s="5">
        <v>12</v>
      </c>
      <c r="AK238" s="5" t="s">
        <v>981</v>
      </c>
      <c r="AL238" s="5">
        <v>4</v>
      </c>
      <c r="AM238" s="5">
        <v>4</v>
      </c>
      <c r="AN238" s="5">
        <v>4</v>
      </c>
      <c r="AO238" s="5">
        <v>12</v>
      </c>
      <c r="AP238" s="5" t="s">
        <v>981</v>
      </c>
      <c r="AQ238" s="5">
        <v>0</v>
      </c>
      <c r="AR238" s="5">
        <v>0</v>
      </c>
      <c r="AS238" s="5">
        <v>0</v>
      </c>
      <c r="AT238" s="5">
        <v>0</v>
      </c>
      <c r="AU238" s="5">
        <v>0</v>
      </c>
      <c r="AV238" s="5">
        <v>0</v>
      </c>
      <c r="AW238" s="5">
        <v>0</v>
      </c>
      <c r="AX238" s="5">
        <v>0</v>
      </c>
      <c r="AY238" s="5" t="s">
        <v>983</v>
      </c>
      <c r="AZ238" s="1">
        <v>1</v>
      </c>
      <c r="BA238" s="1">
        <v>0</v>
      </c>
      <c r="BB238" s="1">
        <v>1</v>
      </c>
      <c r="BC238" s="1">
        <v>1</v>
      </c>
      <c r="BD238" s="1">
        <v>1</v>
      </c>
      <c r="BE238" s="1">
        <v>1</v>
      </c>
      <c r="BF238" s="1">
        <v>36</v>
      </c>
      <c r="BG238" s="1">
        <v>1</v>
      </c>
      <c r="BH238" s="1">
        <v>2</v>
      </c>
      <c r="BI238" s="1">
        <v>17</v>
      </c>
      <c r="BJ238" s="1">
        <v>440000</v>
      </c>
      <c r="BK238" s="1">
        <v>2</v>
      </c>
    </row>
    <row r="239" spans="1:63" ht="12.75" customHeight="1" x14ac:dyDescent="0.15">
      <c r="A239" s="5" t="s">
        <v>238</v>
      </c>
      <c r="B239" s="5" t="s">
        <v>238</v>
      </c>
      <c r="C239" s="5">
        <v>3</v>
      </c>
      <c r="D239" s="5">
        <v>4</v>
      </c>
      <c r="E239" s="5">
        <v>4</v>
      </c>
      <c r="F239" s="5">
        <v>3</v>
      </c>
      <c r="G239" s="5">
        <v>3</v>
      </c>
      <c r="H239" s="5">
        <v>2</v>
      </c>
      <c r="I239" s="5">
        <v>2</v>
      </c>
      <c r="J239" s="5">
        <v>3</v>
      </c>
      <c r="K239" s="5">
        <v>1</v>
      </c>
      <c r="L239" s="5">
        <v>2</v>
      </c>
      <c r="M239" s="5">
        <v>1</v>
      </c>
      <c r="N239" s="5">
        <v>2</v>
      </c>
      <c r="O239" s="5">
        <v>30</v>
      </c>
      <c r="P239" s="5" t="s">
        <v>981</v>
      </c>
      <c r="Q239" s="5">
        <v>2</v>
      </c>
      <c r="R239" s="5">
        <v>2</v>
      </c>
      <c r="S239" s="5">
        <v>0</v>
      </c>
      <c r="T239" s="5">
        <v>4</v>
      </c>
      <c r="U239" s="5" t="s">
        <v>982</v>
      </c>
      <c r="V239" s="5">
        <v>2</v>
      </c>
      <c r="W239" s="5">
        <v>2</v>
      </c>
      <c r="X239" s="5">
        <v>2</v>
      </c>
      <c r="Y239" s="5">
        <v>6</v>
      </c>
      <c r="Z239" s="5" t="s">
        <v>981</v>
      </c>
      <c r="AA239" s="5">
        <v>3</v>
      </c>
      <c r="AB239" s="5">
        <v>3</v>
      </c>
      <c r="AC239" s="5">
        <v>2</v>
      </c>
      <c r="AD239" s="5">
        <v>2</v>
      </c>
      <c r="AE239" s="5">
        <v>10</v>
      </c>
      <c r="AF239" s="5" t="s">
        <v>981</v>
      </c>
      <c r="AG239" s="5">
        <v>1</v>
      </c>
      <c r="AH239" s="5">
        <v>2</v>
      </c>
      <c r="AI239" s="5">
        <v>2</v>
      </c>
      <c r="AJ239" s="5">
        <v>5</v>
      </c>
      <c r="AK239" s="5" t="s">
        <v>982</v>
      </c>
      <c r="AL239" s="5">
        <v>2</v>
      </c>
      <c r="AM239" s="5">
        <v>2</v>
      </c>
      <c r="AN239" s="5">
        <v>2</v>
      </c>
      <c r="AO239" s="5">
        <v>6</v>
      </c>
      <c r="AP239" s="5" t="s">
        <v>981</v>
      </c>
      <c r="AQ239" s="5">
        <v>0</v>
      </c>
      <c r="AR239" s="5">
        <v>0</v>
      </c>
      <c r="AS239" s="5">
        <v>0</v>
      </c>
      <c r="AT239" s="5">
        <v>0</v>
      </c>
      <c r="AU239" s="5">
        <v>0</v>
      </c>
      <c r="AV239" s="5">
        <v>0</v>
      </c>
      <c r="AW239" s="5">
        <v>0</v>
      </c>
      <c r="AX239" s="5">
        <v>0</v>
      </c>
      <c r="AY239" s="5" t="s">
        <v>983</v>
      </c>
      <c r="AZ239" s="1">
        <v>1</v>
      </c>
      <c r="BA239" s="1">
        <v>0</v>
      </c>
      <c r="BB239" s="1">
        <v>1</v>
      </c>
      <c r="BC239" s="1">
        <v>1</v>
      </c>
      <c r="BD239" s="1">
        <v>1</v>
      </c>
      <c r="BE239" s="1">
        <v>1</v>
      </c>
      <c r="BF239" s="1">
        <v>47</v>
      </c>
      <c r="BG239" s="1">
        <v>0</v>
      </c>
      <c r="BH239" s="1">
        <v>13</v>
      </c>
      <c r="BI239" s="1">
        <v>9</v>
      </c>
      <c r="BJ239" s="1">
        <v>0</v>
      </c>
      <c r="BK239" s="1">
        <v>3</v>
      </c>
    </row>
    <row r="240" spans="1:63" ht="12.75" customHeight="1" x14ac:dyDescent="0.15">
      <c r="A240" s="5" t="s">
        <v>238</v>
      </c>
      <c r="B240" s="5" t="s">
        <v>238</v>
      </c>
      <c r="C240" s="5">
        <v>2</v>
      </c>
      <c r="D240" s="5">
        <v>1</v>
      </c>
      <c r="E240" s="5">
        <v>1</v>
      </c>
      <c r="F240" s="5">
        <v>2</v>
      </c>
      <c r="G240" s="5">
        <v>1</v>
      </c>
      <c r="H240" s="5">
        <v>1</v>
      </c>
      <c r="I240" s="5">
        <v>1</v>
      </c>
      <c r="J240" s="5">
        <v>1</v>
      </c>
      <c r="K240" s="5">
        <v>1</v>
      </c>
      <c r="L240" s="5">
        <v>1</v>
      </c>
      <c r="M240" s="5">
        <v>1</v>
      </c>
      <c r="N240" s="5">
        <v>1</v>
      </c>
      <c r="O240" s="5">
        <v>14</v>
      </c>
      <c r="P240" s="5" t="s">
        <v>983</v>
      </c>
      <c r="Q240" s="5">
        <v>3</v>
      </c>
      <c r="R240" s="5">
        <v>3</v>
      </c>
      <c r="S240" s="5">
        <v>1</v>
      </c>
      <c r="T240" s="5">
        <v>7</v>
      </c>
      <c r="U240" s="5" t="s">
        <v>981</v>
      </c>
      <c r="V240" s="5">
        <v>2</v>
      </c>
      <c r="W240" s="5">
        <v>2</v>
      </c>
      <c r="X240" s="5">
        <v>2</v>
      </c>
      <c r="Y240" s="5">
        <v>6</v>
      </c>
      <c r="Z240" s="5" t="s">
        <v>981</v>
      </c>
      <c r="AA240" s="5">
        <v>2</v>
      </c>
      <c r="AB240" s="5">
        <v>2</v>
      </c>
      <c r="AC240" s="5">
        <v>0</v>
      </c>
      <c r="AD240" s="5">
        <v>0</v>
      </c>
      <c r="AE240" s="5">
        <v>4</v>
      </c>
      <c r="AF240" s="5" t="s">
        <v>982</v>
      </c>
      <c r="AG240" s="5">
        <v>4</v>
      </c>
      <c r="AH240" s="5">
        <v>2</v>
      </c>
      <c r="AI240" s="5">
        <v>2</v>
      </c>
      <c r="AJ240" s="5">
        <v>8</v>
      </c>
      <c r="AK240" s="5" t="s">
        <v>981</v>
      </c>
      <c r="AL240" s="5">
        <v>2</v>
      </c>
      <c r="AM240" s="5">
        <v>2</v>
      </c>
      <c r="AN240" s="5">
        <v>2</v>
      </c>
      <c r="AO240" s="5">
        <v>6</v>
      </c>
      <c r="AP240" s="5" t="s">
        <v>981</v>
      </c>
      <c r="AQ240" s="5">
        <v>1</v>
      </c>
      <c r="AR240" s="5">
        <v>0</v>
      </c>
      <c r="AS240" s="5">
        <v>0</v>
      </c>
      <c r="AT240" s="5">
        <v>0</v>
      </c>
      <c r="AU240" s="5">
        <v>0</v>
      </c>
      <c r="AV240" s="5">
        <v>0</v>
      </c>
      <c r="AW240" s="5">
        <v>0</v>
      </c>
      <c r="AX240" s="5">
        <v>1</v>
      </c>
      <c r="AY240" s="5" t="s">
        <v>982</v>
      </c>
      <c r="AZ240" s="1">
        <v>1</v>
      </c>
      <c r="BA240" s="1">
        <v>0</v>
      </c>
      <c r="BB240" s="1">
        <v>1</v>
      </c>
      <c r="BC240" s="1">
        <v>1</v>
      </c>
      <c r="BD240" s="1">
        <v>1</v>
      </c>
      <c r="BE240" s="1">
        <v>1</v>
      </c>
      <c r="BF240" s="1">
        <v>37</v>
      </c>
      <c r="BG240" s="1">
        <v>0</v>
      </c>
      <c r="BH240" s="1">
        <v>14</v>
      </c>
      <c r="BI240" s="1">
        <v>34</v>
      </c>
      <c r="BJ240" s="1">
        <v>450000</v>
      </c>
      <c r="BK240" s="1">
        <v>4</v>
      </c>
    </row>
    <row r="241" spans="1:63" ht="12.75" customHeight="1" x14ac:dyDescent="0.15">
      <c r="A241" s="5" t="s">
        <v>238</v>
      </c>
      <c r="B241" s="5" t="s">
        <v>238</v>
      </c>
      <c r="C241" s="5">
        <v>1</v>
      </c>
      <c r="D241" s="5">
        <v>1</v>
      </c>
      <c r="E241" s="5">
        <v>1</v>
      </c>
      <c r="F241" s="5">
        <v>1</v>
      </c>
      <c r="G241" s="5">
        <v>1</v>
      </c>
      <c r="H241" s="5">
        <v>1</v>
      </c>
      <c r="I241" s="5">
        <v>1</v>
      </c>
      <c r="J241" s="5">
        <v>1</v>
      </c>
      <c r="K241" s="5">
        <v>1</v>
      </c>
      <c r="L241" s="5">
        <v>2</v>
      </c>
      <c r="M241" s="5">
        <v>1</v>
      </c>
      <c r="N241" s="5">
        <v>2</v>
      </c>
      <c r="O241" s="5">
        <v>14</v>
      </c>
      <c r="P241" s="5" t="s">
        <v>983</v>
      </c>
      <c r="Q241" s="5">
        <v>3</v>
      </c>
      <c r="R241" s="5">
        <v>2</v>
      </c>
      <c r="S241" s="5">
        <v>0</v>
      </c>
      <c r="T241" s="5">
        <v>5</v>
      </c>
      <c r="U241" s="5" t="s">
        <v>981</v>
      </c>
      <c r="V241" s="5">
        <v>2</v>
      </c>
      <c r="W241" s="5">
        <v>1</v>
      </c>
      <c r="X241" s="5">
        <v>1</v>
      </c>
      <c r="Y241" s="5">
        <v>4</v>
      </c>
      <c r="Z241" s="5" t="s">
        <v>982</v>
      </c>
      <c r="AA241" s="5">
        <v>1</v>
      </c>
      <c r="AB241" s="5">
        <v>1</v>
      </c>
      <c r="AC241" s="5">
        <v>1</v>
      </c>
      <c r="AD241" s="5">
        <v>1</v>
      </c>
      <c r="AE241" s="5">
        <v>4</v>
      </c>
      <c r="AF241" s="5" t="s">
        <v>982</v>
      </c>
      <c r="AG241" s="5">
        <v>2</v>
      </c>
      <c r="AH241" s="5">
        <v>0</v>
      </c>
      <c r="AI241" s="5">
        <v>0</v>
      </c>
      <c r="AJ241" s="5">
        <v>2</v>
      </c>
      <c r="AK241" s="5" t="s">
        <v>983</v>
      </c>
      <c r="AL241" s="5">
        <v>0</v>
      </c>
      <c r="AM241" s="5">
        <v>0</v>
      </c>
      <c r="AN241" s="5">
        <v>0</v>
      </c>
      <c r="AO241" s="5">
        <v>0</v>
      </c>
      <c r="AP241" s="5" t="s">
        <v>983</v>
      </c>
      <c r="AQ241" s="5">
        <v>0</v>
      </c>
      <c r="AR241" s="5">
        <v>0</v>
      </c>
      <c r="AS241" s="5">
        <v>0</v>
      </c>
      <c r="AT241" s="5">
        <v>0</v>
      </c>
      <c r="AU241" s="5">
        <v>0</v>
      </c>
      <c r="AV241" s="5">
        <v>0</v>
      </c>
      <c r="AW241" s="5">
        <v>0</v>
      </c>
      <c r="AX241" s="5">
        <v>0</v>
      </c>
      <c r="AY241" s="5" t="s">
        <v>983</v>
      </c>
      <c r="AZ241" s="1">
        <v>0</v>
      </c>
      <c r="BA241" s="1">
        <v>0</v>
      </c>
      <c r="BB241" s="1">
        <v>0</v>
      </c>
      <c r="BC241" s="1">
        <v>1</v>
      </c>
      <c r="BD241" s="1">
        <v>1</v>
      </c>
      <c r="BE241" s="1">
        <v>1</v>
      </c>
      <c r="BF241" s="1">
        <v>0</v>
      </c>
      <c r="BG241" s="1">
        <v>0</v>
      </c>
      <c r="BI241" s="1">
        <v>6</v>
      </c>
      <c r="BJ241" s="1">
        <v>0</v>
      </c>
      <c r="BK241" s="1">
        <v>2</v>
      </c>
    </row>
    <row r="242" spans="1:63" ht="12.75" customHeight="1" x14ac:dyDescent="0.15">
      <c r="A242" s="5" t="s">
        <v>238</v>
      </c>
      <c r="B242" s="5" t="s">
        <v>238</v>
      </c>
      <c r="C242" s="5">
        <v>2</v>
      </c>
      <c r="D242" s="5">
        <v>2</v>
      </c>
      <c r="E242" s="5">
        <v>3</v>
      </c>
      <c r="F242" s="5">
        <v>3</v>
      </c>
      <c r="G242" s="5">
        <v>3</v>
      </c>
      <c r="H242" s="5">
        <v>2</v>
      </c>
      <c r="I242" s="5">
        <v>2</v>
      </c>
      <c r="J242" s="5">
        <v>2</v>
      </c>
      <c r="K242" s="5">
        <v>2</v>
      </c>
      <c r="L242" s="5">
        <v>2</v>
      </c>
      <c r="M242" s="5">
        <v>2</v>
      </c>
      <c r="N242" s="5">
        <v>2</v>
      </c>
      <c r="O242" s="5">
        <v>27</v>
      </c>
      <c r="P242" s="5" t="s">
        <v>981</v>
      </c>
      <c r="Q242" s="5">
        <v>2</v>
      </c>
      <c r="R242" s="5">
        <v>2</v>
      </c>
      <c r="S242" s="5">
        <v>2</v>
      </c>
      <c r="T242" s="5">
        <v>6</v>
      </c>
      <c r="U242" s="5" t="s">
        <v>981</v>
      </c>
      <c r="V242" s="5">
        <v>1</v>
      </c>
      <c r="W242" s="5">
        <v>1</v>
      </c>
      <c r="X242" s="5">
        <v>2</v>
      </c>
      <c r="Y242" s="5">
        <v>4</v>
      </c>
      <c r="Z242" s="5" t="s">
        <v>982</v>
      </c>
      <c r="AA242" s="5">
        <v>2</v>
      </c>
      <c r="AB242" s="5">
        <v>2</v>
      </c>
      <c r="AC242" s="5">
        <v>2</v>
      </c>
      <c r="AD242" s="5">
        <v>1</v>
      </c>
      <c r="AE242" s="5">
        <v>7</v>
      </c>
      <c r="AF242" s="5" t="s">
        <v>981</v>
      </c>
      <c r="AG242" s="5">
        <v>1</v>
      </c>
      <c r="AH242" s="5">
        <v>1</v>
      </c>
      <c r="AI242" s="5">
        <v>0</v>
      </c>
      <c r="AJ242" s="5">
        <v>2</v>
      </c>
      <c r="AK242" s="5" t="s">
        <v>983</v>
      </c>
      <c r="AL242" s="5">
        <v>1</v>
      </c>
      <c r="AM242" s="5">
        <v>0</v>
      </c>
      <c r="AN242" s="5">
        <v>0</v>
      </c>
      <c r="AO242" s="5">
        <v>1</v>
      </c>
      <c r="AP242" s="5" t="s">
        <v>983</v>
      </c>
      <c r="AQ242" s="5">
        <v>0</v>
      </c>
      <c r="AR242" s="5">
        <v>0</v>
      </c>
      <c r="AS242" s="5">
        <v>0</v>
      </c>
      <c r="AT242" s="5">
        <v>0</v>
      </c>
      <c r="AU242" s="5">
        <v>0</v>
      </c>
      <c r="AV242" s="5">
        <v>0</v>
      </c>
      <c r="AW242" s="5">
        <v>0</v>
      </c>
      <c r="AX242" s="5">
        <v>0</v>
      </c>
      <c r="AY242" s="5" t="s">
        <v>983</v>
      </c>
      <c r="AZ242" s="1">
        <v>1</v>
      </c>
      <c r="BA242" s="1">
        <v>0</v>
      </c>
      <c r="BB242" s="1">
        <v>1</v>
      </c>
      <c r="BC242" s="1">
        <v>1</v>
      </c>
      <c r="BD242" s="1">
        <v>1</v>
      </c>
      <c r="BE242" s="1">
        <v>1</v>
      </c>
      <c r="BF242" s="1">
        <v>0</v>
      </c>
      <c r="BG242" s="1">
        <v>0</v>
      </c>
      <c r="BI242" s="1">
        <v>6</v>
      </c>
      <c r="BJ242" s="1">
        <v>0</v>
      </c>
      <c r="BK242" s="1">
        <v>2</v>
      </c>
    </row>
    <row r="243" spans="1:63" ht="12.75" customHeight="1" x14ac:dyDescent="0.15">
      <c r="A243" s="5" t="s">
        <v>238</v>
      </c>
      <c r="B243" s="5" t="s">
        <v>238</v>
      </c>
      <c r="C243" s="5">
        <v>2</v>
      </c>
      <c r="D243" s="5">
        <v>2</v>
      </c>
      <c r="E243" s="5">
        <v>4</v>
      </c>
      <c r="F243" s="5">
        <v>4</v>
      </c>
      <c r="G243" s="5">
        <v>4</v>
      </c>
      <c r="H243" s="5">
        <v>3</v>
      </c>
      <c r="I243" s="5">
        <v>1</v>
      </c>
      <c r="J243" s="5">
        <v>2</v>
      </c>
      <c r="K243" s="5">
        <v>2</v>
      </c>
      <c r="L243" s="5">
        <v>2</v>
      </c>
      <c r="M243" s="5">
        <v>2</v>
      </c>
      <c r="N243" s="5">
        <v>2</v>
      </c>
      <c r="O243" s="5">
        <v>30</v>
      </c>
      <c r="P243" s="5" t="s">
        <v>981</v>
      </c>
      <c r="Q243" s="5">
        <v>1</v>
      </c>
      <c r="R243" s="5">
        <v>1</v>
      </c>
      <c r="S243" s="5">
        <v>0</v>
      </c>
      <c r="T243" s="5">
        <v>2</v>
      </c>
      <c r="U243" s="5" t="s">
        <v>982</v>
      </c>
      <c r="V243" s="5">
        <v>2</v>
      </c>
      <c r="W243" s="5">
        <v>2</v>
      </c>
      <c r="X243" s="5">
        <v>1</v>
      </c>
      <c r="Y243" s="5">
        <v>5</v>
      </c>
      <c r="Z243" s="5" t="s">
        <v>982</v>
      </c>
      <c r="AA243" s="5">
        <v>2</v>
      </c>
      <c r="AB243" s="5">
        <v>2</v>
      </c>
      <c r="AC243" s="5">
        <v>0</v>
      </c>
      <c r="AD243" s="5">
        <v>0</v>
      </c>
      <c r="AE243" s="5">
        <v>4</v>
      </c>
      <c r="AF243" s="5" t="s">
        <v>982</v>
      </c>
      <c r="AG243" s="5">
        <v>0</v>
      </c>
      <c r="AH243" s="5">
        <v>0</v>
      </c>
      <c r="AI243" s="5">
        <v>0</v>
      </c>
      <c r="AJ243" s="5">
        <v>0</v>
      </c>
      <c r="AK243" s="5" t="s">
        <v>983</v>
      </c>
      <c r="AL243" s="5">
        <v>2</v>
      </c>
      <c r="AM243" s="5">
        <v>2</v>
      </c>
      <c r="AN243" s="5">
        <v>0</v>
      </c>
      <c r="AO243" s="5">
        <v>4</v>
      </c>
      <c r="AP243" s="5" t="s">
        <v>982</v>
      </c>
      <c r="AQ243" s="5">
        <v>0</v>
      </c>
      <c r="AR243" s="5">
        <v>0</v>
      </c>
      <c r="AS243" s="5">
        <v>0</v>
      </c>
      <c r="AT243" s="5">
        <v>1</v>
      </c>
      <c r="AU243" s="5">
        <v>0</v>
      </c>
      <c r="AV243" s="5">
        <v>0</v>
      </c>
      <c r="AW243" s="5">
        <v>0</v>
      </c>
      <c r="AX243" s="5">
        <v>1</v>
      </c>
      <c r="AY243" s="5" t="s">
        <v>982</v>
      </c>
      <c r="AZ243" s="1">
        <v>1</v>
      </c>
      <c r="BA243" s="1">
        <v>0</v>
      </c>
      <c r="BB243" s="1">
        <v>1</v>
      </c>
      <c r="BC243" s="1">
        <v>1</v>
      </c>
      <c r="BD243" s="1">
        <v>0</v>
      </c>
      <c r="BE243" s="1">
        <v>1</v>
      </c>
      <c r="BF243" s="1">
        <v>38</v>
      </c>
      <c r="BG243" s="1">
        <v>0</v>
      </c>
      <c r="BH243" s="1">
        <v>18</v>
      </c>
      <c r="BI243" s="1">
        <v>2</v>
      </c>
      <c r="BJ243" s="1">
        <v>400000</v>
      </c>
      <c r="BK243" s="1">
        <v>2</v>
      </c>
    </row>
    <row r="244" spans="1:63" ht="12.75" customHeight="1" x14ac:dyDescent="0.15">
      <c r="A244" s="5" t="s">
        <v>337</v>
      </c>
      <c r="B244" s="5" t="s">
        <v>984</v>
      </c>
      <c r="C244" s="5">
        <v>2</v>
      </c>
      <c r="D244" s="5">
        <v>1</v>
      </c>
      <c r="E244" s="5">
        <v>1</v>
      </c>
      <c r="F244" s="5">
        <v>1</v>
      </c>
      <c r="G244" s="5">
        <v>1</v>
      </c>
      <c r="H244" s="5">
        <v>1</v>
      </c>
      <c r="I244" s="5">
        <v>1</v>
      </c>
      <c r="J244" s="5">
        <v>2</v>
      </c>
      <c r="K244" s="5">
        <v>2</v>
      </c>
      <c r="L244" s="5">
        <v>2</v>
      </c>
      <c r="M244" s="5">
        <v>2</v>
      </c>
      <c r="N244" s="5">
        <v>2</v>
      </c>
      <c r="O244" s="5">
        <v>18</v>
      </c>
      <c r="P244" s="5" t="s">
        <v>983</v>
      </c>
      <c r="Q244" s="5">
        <v>0</v>
      </c>
      <c r="R244" s="5">
        <v>1</v>
      </c>
      <c r="S244" s="5">
        <v>0</v>
      </c>
      <c r="T244" s="5">
        <v>1</v>
      </c>
      <c r="U244" s="5" t="s">
        <v>983</v>
      </c>
      <c r="V244" s="5">
        <v>1</v>
      </c>
      <c r="W244" s="5">
        <v>2</v>
      </c>
      <c r="X244" s="5">
        <v>0</v>
      </c>
      <c r="Y244" s="5">
        <v>3</v>
      </c>
      <c r="Z244" s="5" t="s">
        <v>982</v>
      </c>
      <c r="AA244" s="5">
        <v>3</v>
      </c>
      <c r="AB244" s="5">
        <v>0</v>
      </c>
      <c r="AC244" s="5">
        <v>0</v>
      </c>
      <c r="AD244" s="5">
        <v>0</v>
      </c>
      <c r="AE244" s="5">
        <v>3</v>
      </c>
      <c r="AF244" s="5" t="s">
        <v>982</v>
      </c>
      <c r="AG244" s="5">
        <v>0</v>
      </c>
      <c r="AH244" s="5">
        <v>0</v>
      </c>
      <c r="AI244" s="5">
        <v>0</v>
      </c>
      <c r="AJ244" s="5">
        <v>0</v>
      </c>
      <c r="AK244" s="5" t="s">
        <v>983</v>
      </c>
      <c r="AL244" s="5">
        <v>0</v>
      </c>
      <c r="AM244" s="5">
        <v>0</v>
      </c>
      <c r="AN244" s="5">
        <v>0</v>
      </c>
      <c r="AO244" s="5">
        <v>0</v>
      </c>
      <c r="AP244" s="5" t="s">
        <v>983</v>
      </c>
      <c r="AQ244" s="5">
        <v>0</v>
      </c>
      <c r="AR244" s="5">
        <v>0</v>
      </c>
      <c r="AS244" s="5">
        <v>0</v>
      </c>
      <c r="AT244" s="5">
        <v>0</v>
      </c>
      <c r="AU244" s="5">
        <v>0</v>
      </c>
      <c r="AV244" s="5">
        <v>0</v>
      </c>
      <c r="AW244" s="5">
        <v>0</v>
      </c>
      <c r="AX244" s="5">
        <v>0</v>
      </c>
      <c r="AY244" s="5" t="s">
        <v>983</v>
      </c>
      <c r="AZ244" s="1">
        <v>1</v>
      </c>
      <c r="BA244" s="1">
        <v>0</v>
      </c>
      <c r="BB244" s="1">
        <v>1</v>
      </c>
      <c r="BC244" s="1">
        <v>1</v>
      </c>
      <c r="BD244" s="1">
        <v>1</v>
      </c>
      <c r="BE244" s="1">
        <v>1</v>
      </c>
      <c r="BF244" s="1">
        <v>0</v>
      </c>
      <c r="BG244" s="1">
        <v>0</v>
      </c>
      <c r="BI244" s="1">
        <v>7</v>
      </c>
      <c r="BJ244" s="1">
        <v>0</v>
      </c>
      <c r="BK244" s="1">
        <v>5</v>
      </c>
    </row>
    <row r="245" spans="1:63" ht="12.75" customHeight="1" x14ac:dyDescent="0.15">
      <c r="A245" s="5" t="s">
        <v>238</v>
      </c>
      <c r="B245" s="5" t="s">
        <v>238</v>
      </c>
      <c r="C245" s="5">
        <v>2</v>
      </c>
      <c r="D245" s="5">
        <v>3</v>
      </c>
      <c r="E245" s="5">
        <v>2</v>
      </c>
      <c r="F245" s="5">
        <v>1</v>
      </c>
      <c r="G245" s="5">
        <v>2</v>
      </c>
      <c r="H245" s="5">
        <v>1</v>
      </c>
      <c r="I245" s="5">
        <v>1</v>
      </c>
      <c r="J245" s="5">
        <v>2</v>
      </c>
      <c r="K245" s="5">
        <v>2</v>
      </c>
      <c r="L245" s="5">
        <v>2</v>
      </c>
      <c r="M245" s="5">
        <v>2</v>
      </c>
      <c r="N245" s="5">
        <v>2</v>
      </c>
      <c r="O245" s="5">
        <v>22</v>
      </c>
      <c r="P245" s="5" t="s">
        <v>982</v>
      </c>
      <c r="Q245" s="5">
        <v>2</v>
      </c>
      <c r="R245" s="5">
        <v>2</v>
      </c>
      <c r="S245" s="5">
        <v>1</v>
      </c>
      <c r="T245" s="5">
        <v>5</v>
      </c>
      <c r="U245" s="5" t="s">
        <v>981</v>
      </c>
      <c r="V245" s="5">
        <v>2</v>
      </c>
      <c r="W245" s="5">
        <v>2</v>
      </c>
      <c r="X245" s="5">
        <v>2</v>
      </c>
      <c r="Y245" s="5">
        <v>6</v>
      </c>
      <c r="Z245" s="5" t="s">
        <v>981</v>
      </c>
      <c r="AA245" s="5">
        <v>1</v>
      </c>
      <c r="AB245" s="5">
        <v>1</v>
      </c>
      <c r="AC245" s="5">
        <v>0</v>
      </c>
      <c r="AD245" s="5">
        <v>0</v>
      </c>
      <c r="AE245" s="5">
        <v>2</v>
      </c>
      <c r="AF245" s="5" t="s">
        <v>982</v>
      </c>
      <c r="AG245" s="5">
        <v>4</v>
      </c>
      <c r="AH245" s="5">
        <v>3</v>
      </c>
      <c r="AI245" s="5">
        <v>3</v>
      </c>
      <c r="AJ245" s="5">
        <v>10</v>
      </c>
      <c r="AK245" s="5" t="s">
        <v>981</v>
      </c>
      <c r="AL245" s="5">
        <v>3</v>
      </c>
      <c r="AM245" s="5">
        <v>3</v>
      </c>
      <c r="AN245" s="5">
        <v>3</v>
      </c>
      <c r="AO245" s="5">
        <v>9</v>
      </c>
      <c r="AP245" s="5" t="s">
        <v>981</v>
      </c>
      <c r="AQ245" s="5">
        <v>0</v>
      </c>
      <c r="AR245" s="5">
        <v>0</v>
      </c>
      <c r="AS245" s="5">
        <v>0</v>
      </c>
      <c r="AT245" s="5">
        <v>0</v>
      </c>
      <c r="AU245" s="5">
        <v>0</v>
      </c>
      <c r="AV245" s="5">
        <v>0</v>
      </c>
      <c r="AW245" s="5">
        <v>0</v>
      </c>
      <c r="AX245" s="5">
        <v>0</v>
      </c>
      <c r="AY245" s="5" t="s">
        <v>983</v>
      </c>
      <c r="AZ245" s="1">
        <v>1</v>
      </c>
      <c r="BA245" s="1">
        <v>0</v>
      </c>
      <c r="BB245" s="1">
        <v>1</v>
      </c>
      <c r="BC245" s="1">
        <v>1</v>
      </c>
      <c r="BD245" s="1">
        <v>0</v>
      </c>
      <c r="BE245" s="1">
        <v>1</v>
      </c>
      <c r="BF245" s="1">
        <v>0</v>
      </c>
      <c r="BG245" s="1">
        <v>0</v>
      </c>
      <c r="BI245" s="1">
        <v>7</v>
      </c>
      <c r="BJ245" s="1">
        <v>0</v>
      </c>
      <c r="BK245" s="1">
        <v>5</v>
      </c>
    </row>
    <row r="246" spans="1:63" ht="12.75" customHeight="1" x14ac:dyDescent="0.15">
      <c r="A246" s="5" t="s">
        <v>238</v>
      </c>
      <c r="B246" s="5" t="s">
        <v>238</v>
      </c>
      <c r="C246" s="5">
        <v>1</v>
      </c>
      <c r="D246" s="5">
        <v>1</v>
      </c>
      <c r="E246" s="5">
        <v>1</v>
      </c>
      <c r="F246" s="5">
        <v>1</v>
      </c>
      <c r="G246" s="5">
        <v>1</v>
      </c>
      <c r="H246" s="5">
        <v>1</v>
      </c>
      <c r="I246" s="5">
        <v>1</v>
      </c>
      <c r="J246" s="5">
        <v>1</v>
      </c>
      <c r="K246" s="5">
        <v>1</v>
      </c>
      <c r="L246" s="5">
        <v>1</v>
      </c>
      <c r="M246" s="5">
        <v>1</v>
      </c>
      <c r="N246" s="5">
        <v>1</v>
      </c>
      <c r="O246" s="5">
        <v>12</v>
      </c>
      <c r="P246" s="5" t="s">
        <v>983</v>
      </c>
      <c r="Q246" s="5">
        <v>2</v>
      </c>
      <c r="R246" s="5">
        <v>4</v>
      </c>
      <c r="S246" s="5">
        <v>2</v>
      </c>
      <c r="T246" s="5">
        <v>8</v>
      </c>
      <c r="U246" s="5" t="s">
        <v>981</v>
      </c>
      <c r="V246" s="5">
        <v>2</v>
      </c>
      <c r="W246" s="5">
        <v>2</v>
      </c>
      <c r="X246" s="5">
        <v>2</v>
      </c>
      <c r="Y246" s="5">
        <v>6</v>
      </c>
      <c r="Z246" s="5" t="s">
        <v>981</v>
      </c>
      <c r="AA246" s="5">
        <v>0</v>
      </c>
      <c r="AB246" s="5">
        <v>0</v>
      </c>
      <c r="AC246" s="5">
        <v>0</v>
      </c>
      <c r="AD246" s="5">
        <v>0</v>
      </c>
      <c r="AE246" s="5">
        <v>0</v>
      </c>
      <c r="AF246" s="5" t="s">
        <v>983</v>
      </c>
      <c r="AG246" s="5">
        <v>2</v>
      </c>
      <c r="AH246" s="5">
        <v>2</v>
      </c>
      <c r="AI246" s="5">
        <v>2</v>
      </c>
      <c r="AJ246" s="5">
        <v>6</v>
      </c>
      <c r="AK246" s="5" t="s">
        <v>981</v>
      </c>
      <c r="AL246" s="5">
        <v>2</v>
      </c>
      <c r="AM246" s="5">
        <v>2</v>
      </c>
      <c r="AN246" s="5">
        <v>2</v>
      </c>
      <c r="AO246" s="5">
        <v>6</v>
      </c>
      <c r="AP246" s="5" t="s">
        <v>981</v>
      </c>
      <c r="AQ246" s="5">
        <v>0</v>
      </c>
      <c r="AR246" s="5">
        <v>0</v>
      </c>
      <c r="AS246" s="5">
        <v>0</v>
      </c>
      <c r="AT246" s="5">
        <v>0</v>
      </c>
      <c r="AU246" s="5">
        <v>0</v>
      </c>
      <c r="AV246" s="5">
        <v>0</v>
      </c>
      <c r="AW246" s="5">
        <v>0</v>
      </c>
      <c r="AX246" s="5">
        <v>0</v>
      </c>
      <c r="AY246" s="5" t="s">
        <v>983</v>
      </c>
      <c r="AZ246" s="1">
        <v>1</v>
      </c>
      <c r="BA246" s="1">
        <v>0</v>
      </c>
      <c r="BB246" s="1">
        <v>1</v>
      </c>
      <c r="BC246" s="1">
        <v>0</v>
      </c>
      <c r="BD246" s="1">
        <v>0</v>
      </c>
      <c r="BE246" s="1">
        <v>0</v>
      </c>
      <c r="BF246" s="1">
        <v>0</v>
      </c>
      <c r="BG246" s="1">
        <v>1</v>
      </c>
      <c r="BI246" s="1">
        <v>29</v>
      </c>
      <c r="BJ246" s="1">
        <v>0</v>
      </c>
      <c r="BK246" s="1">
        <v>4</v>
      </c>
    </row>
    <row r="247" spans="1:63" ht="12.75" customHeight="1" x14ac:dyDescent="0.15">
      <c r="A247" s="5" t="s">
        <v>238</v>
      </c>
      <c r="B247" s="5" t="s">
        <v>238</v>
      </c>
      <c r="C247" s="5">
        <v>2</v>
      </c>
      <c r="D247" s="5">
        <v>2</v>
      </c>
      <c r="E247" s="5">
        <v>2</v>
      </c>
      <c r="F247" s="5">
        <v>2</v>
      </c>
      <c r="G247" s="5">
        <v>2</v>
      </c>
      <c r="H247" s="5">
        <v>2</v>
      </c>
      <c r="I247" s="5">
        <v>2</v>
      </c>
      <c r="J247" s="5">
        <v>4</v>
      </c>
      <c r="K247" s="5">
        <v>4</v>
      </c>
      <c r="L247" s="5">
        <v>4</v>
      </c>
      <c r="M247" s="5">
        <v>4</v>
      </c>
      <c r="N247" s="5">
        <v>4</v>
      </c>
      <c r="O247" s="5">
        <v>34</v>
      </c>
      <c r="P247" s="5" t="s">
        <v>981</v>
      </c>
      <c r="Q247" s="5">
        <v>2</v>
      </c>
      <c r="R247" s="5">
        <v>2</v>
      </c>
      <c r="S247" s="5">
        <v>2</v>
      </c>
      <c r="T247" s="5">
        <v>6</v>
      </c>
      <c r="U247" s="5" t="s">
        <v>981</v>
      </c>
      <c r="V247" s="5">
        <v>2</v>
      </c>
      <c r="W247" s="5">
        <v>2</v>
      </c>
      <c r="X247" s="5">
        <v>2</v>
      </c>
      <c r="Y247" s="5">
        <v>6</v>
      </c>
      <c r="Z247" s="5" t="s">
        <v>981</v>
      </c>
      <c r="AA247" s="5">
        <v>2</v>
      </c>
      <c r="AB247" s="5">
        <v>2</v>
      </c>
      <c r="AC247" s="5">
        <v>2</v>
      </c>
      <c r="AD247" s="5">
        <v>2</v>
      </c>
      <c r="AE247" s="5">
        <v>8</v>
      </c>
      <c r="AF247" s="5" t="s">
        <v>981</v>
      </c>
      <c r="AG247" s="5">
        <v>2</v>
      </c>
      <c r="AH247" s="5">
        <v>2</v>
      </c>
      <c r="AI247" s="5">
        <v>2</v>
      </c>
      <c r="AJ247" s="5">
        <v>6</v>
      </c>
      <c r="AK247" s="5" t="s">
        <v>981</v>
      </c>
      <c r="AL247" s="5">
        <v>2</v>
      </c>
      <c r="AM247" s="5">
        <v>2</v>
      </c>
      <c r="AN247" s="5">
        <v>2</v>
      </c>
      <c r="AO247" s="5">
        <v>6</v>
      </c>
      <c r="AP247" s="5" t="s">
        <v>981</v>
      </c>
      <c r="AQ247" s="5">
        <v>0</v>
      </c>
      <c r="AR247" s="5">
        <v>0</v>
      </c>
      <c r="AS247" s="5">
        <v>0</v>
      </c>
      <c r="AT247" s="5">
        <v>0</v>
      </c>
      <c r="AU247" s="5">
        <v>0</v>
      </c>
      <c r="AV247" s="5">
        <v>0</v>
      </c>
      <c r="AW247" s="5">
        <v>0</v>
      </c>
      <c r="AX247" s="5">
        <v>0</v>
      </c>
      <c r="AY247" s="5" t="s">
        <v>983</v>
      </c>
      <c r="AZ247" s="1">
        <v>0</v>
      </c>
      <c r="BA247" s="1">
        <v>0</v>
      </c>
      <c r="BB247" s="1">
        <v>0</v>
      </c>
      <c r="BC247" s="1">
        <v>1</v>
      </c>
      <c r="BD247" s="1">
        <v>0</v>
      </c>
      <c r="BE247" s="1">
        <v>1</v>
      </c>
      <c r="BF247" s="1">
        <v>39</v>
      </c>
      <c r="BG247" s="1">
        <v>1</v>
      </c>
      <c r="BH247" s="1">
        <v>15</v>
      </c>
      <c r="BI247" s="1">
        <v>24</v>
      </c>
      <c r="BJ247" s="1">
        <v>0</v>
      </c>
      <c r="BK247" s="1">
        <v>5</v>
      </c>
    </row>
    <row r="248" spans="1:63" ht="12.75" customHeight="1" x14ac:dyDescent="0.15">
      <c r="A248" s="5" t="s">
        <v>238</v>
      </c>
      <c r="B248" s="5" t="s">
        <v>238</v>
      </c>
      <c r="C248" s="5">
        <v>4</v>
      </c>
      <c r="D248" s="5">
        <v>4</v>
      </c>
      <c r="E248" s="5">
        <v>4</v>
      </c>
      <c r="F248" s="5">
        <v>4</v>
      </c>
      <c r="G248" s="5">
        <v>4</v>
      </c>
      <c r="H248" s="5">
        <v>4</v>
      </c>
      <c r="I248" s="5">
        <v>4</v>
      </c>
      <c r="J248" s="5">
        <v>2</v>
      </c>
      <c r="K248" s="5">
        <v>3</v>
      </c>
      <c r="L248" s="5">
        <v>4</v>
      </c>
      <c r="M248" s="5">
        <v>3</v>
      </c>
      <c r="N248" s="5">
        <v>3</v>
      </c>
      <c r="O248" s="5">
        <v>43</v>
      </c>
      <c r="P248" s="5" t="s">
        <v>981</v>
      </c>
      <c r="Q248" s="5">
        <v>1</v>
      </c>
      <c r="R248" s="5">
        <v>1</v>
      </c>
      <c r="S248" s="5">
        <v>0</v>
      </c>
      <c r="T248" s="5">
        <v>2</v>
      </c>
      <c r="U248" s="5" t="s">
        <v>982</v>
      </c>
      <c r="V248" s="5">
        <v>0</v>
      </c>
      <c r="W248" s="5">
        <v>0</v>
      </c>
      <c r="X248" s="5">
        <v>0</v>
      </c>
      <c r="Y248" s="5">
        <v>0</v>
      </c>
      <c r="Z248" s="5" t="s">
        <v>983</v>
      </c>
      <c r="AA248" s="5">
        <v>4</v>
      </c>
      <c r="AB248" s="5">
        <v>4</v>
      </c>
      <c r="AC248" s="5">
        <v>4</v>
      </c>
      <c r="AD248" s="5">
        <v>4</v>
      </c>
      <c r="AE248" s="5">
        <v>16</v>
      </c>
      <c r="AF248" s="5" t="s">
        <v>981</v>
      </c>
      <c r="AG248" s="5">
        <v>0</v>
      </c>
      <c r="AH248" s="5">
        <v>0</v>
      </c>
      <c r="AI248" s="5">
        <v>0</v>
      </c>
      <c r="AJ248" s="5">
        <v>0</v>
      </c>
      <c r="AK248" s="5" t="s">
        <v>983</v>
      </c>
      <c r="AL248" s="5">
        <v>3</v>
      </c>
      <c r="AM248" s="5">
        <v>3</v>
      </c>
      <c r="AN248" s="5">
        <v>2</v>
      </c>
      <c r="AO248" s="5">
        <v>8</v>
      </c>
      <c r="AP248" s="5" t="s">
        <v>981</v>
      </c>
      <c r="AQ248" s="5">
        <v>0</v>
      </c>
      <c r="AR248" s="5">
        <v>0</v>
      </c>
      <c r="AS248" s="5">
        <v>0</v>
      </c>
      <c r="AT248" s="5">
        <v>0</v>
      </c>
      <c r="AU248" s="5">
        <v>0</v>
      </c>
      <c r="AV248" s="5">
        <v>0</v>
      </c>
      <c r="AW248" s="5">
        <v>0</v>
      </c>
      <c r="AX248" s="5">
        <v>0</v>
      </c>
      <c r="AY248" s="5" t="s">
        <v>983</v>
      </c>
      <c r="AZ248" s="1">
        <v>0</v>
      </c>
      <c r="BA248" s="1">
        <v>0</v>
      </c>
      <c r="BB248" s="1">
        <v>0</v>
      </c>
      <c r="BC248" s="1">
        <v>1</v>
      </c>
      <c r="BD248" s="1">
        <v>1</v>
      </c>
      <c r="BE248" s="1">
        <v>1</v>
      </c>
      <c r="BF248" s="1">
        <v>42</v>
      </c>
      <c r="BG248" s="1">
        <v>0</v>
      </c>
      <c r="BH248" s="1">
        <v>10</v>
      </c>
      <c r="BI248" s="1">
        <v>3</v>
      </c>
      <c r="BJ248" s="1">
        <v>0</v>
      </c>
      <c r="BK248" s="1">
        <v>2</v>
      </c>
    </row>
    <row r="249" spans="1:63" ht="12.75" customHeight="1" x14ac:dyDescent="0.15">
      <c r="A249" s="5" t="s">
        <v>238</v>
      </c>
      <c r="B249" s="5" t="s">
        <v>238</v>
      </c>
      <c r="C249" s="5">
        <v>3</v>
      </c>
      <c r="D249" s="5">
        <v>3</v>
      </c>
      <c r="E249" s="5">
        <v>3</v>
      </c>
      <c r="F249" s="5">
        <v>2</v>
      </c>
      <c r="G249" s="5">
        <v>1</v>
      </c>
      <c r="H249" s="5">
        <v>1</v>
      </c>
      <c r="I249" s="5">
        <v>1</v>
      </c>
      <c r="J249" s="5">
        <v>2</v>
      </c>
      <c r="K249" s="5">
        <v>2</v>
      </c>
      <c r="L249" s="5">
        <v>2</v>
      </c>
      <c r="M249" s="5">
        <v>2</v>
      </c>
      <c r="N249" s="5">
        <v>2</v>
      </c>
      <c r="O249" s="5">
        <v>24</v>
      </c>
      <c r="P249" s="5" t="s">
        <v>981</v>
      </c>
      <c r="Q249" s="5">
        <v>1</v>
      </c>
      <c r="R249" s="5">
        <v>2</v>
      </c>
      <c r="S249" s="5">
        <v>0</v>
      </c>
      <c r="T249" s="5">
        <v>3</v>
      </c>
      <c r="U249" s="5" t="s">
        <v>982</v>
      </c>
      <c r="V249" s="5">
        <v>1</v>
      </c>
      <c r="W249" s="5">
        <v>0</v>
      </c>
      <c r="X249" s="5">
        <v>0</v>
      </c>
      <c r="Y249" s="5">
        <v>1</v>
      </c>
      <c r="Z249" s="5" t="s">
        <v>983</v>
      </c>
      <c r="AA249" s="5">
        <v>4</v>
      </c>
      <c r="AB249" s="5">
        <v>2</v>
      </c>
      <c r="AC249" s="5">
        <v>0</v>
      </c>
      <c r="AD249" s="5">
        <v>0</v>
      </c>
      <c r="AE249" s="5">
        <v>6</v>
      </c>
      <c r="AF249" s="5" t="s">
        <v>981</v>
      </c>
      <c r="AG249" s="5">
        <v>1</v>
      </c>
      <c r="AH249" s="5">
        <v>0</v>
      </c>
      <c r="AI249" s="5">
        <v>0</v>
      </c>
      <c r="AJ249" s="5">
        <v>1</v>
      </c>
      <c r="AK249" s="5" t="s">
        <v>983</v>
      </c>
      <c r="AL249" s="5">
        <v>0</v>
      </c>
      <c r="AM249" s="5">
        <v>1</v>
      </c>
      <c r="AN249" s="5">
        <v>2</v>
      </c>
      <c r="AO249" s="5">
        <v>3</v>
      </c>
      <c r="AP249" s="5" t="s">
        <v>982</v>
      </c>
      <c r="AQ249" s="5">
        <v>0</v>
      </c>
      <c r="AR249" s="5">
        <v>0</v>
      </c>
      <c r="AS249" s="5">
        <v>0</v>
      </c>
      <c r="AT249" s="5">
        <v>0</v>
      </c>
      <c r="AU249" s="5">
        <v>0</v>
      </c>
      <c r="AV249" s="5">
        <v>0</v>
      </c>
      <c r="AW249" s="5">
        <v>0</v>
      </c>
      <c r="AX249" s="5">
        <v>0</v>
      </c>
      <c r="AY249" s="5" t="s">
        <v>983</v>
      </c>
      <c r="AZ249" s="1">
        <v>1</v>
      </c>
      <c r="BA249" s="1">
        <v>0</v>
      </c>
      <c r="BB249" s="1">
        <v>1</v>
      </c>
      <c r="BC249" s="1">
        <v>1</v>
      </c>
      <c r="BD249" s="1">
        <v>1</v>
      </c>
      <c r="BE249" s="1">
        <v>1</v>
      </c>
      <c r="BF249" s="1">
        <v>39</v>
      </c>
      <c r="BG249" s="1">
        <v>0</v>
      </c>
      <c r="BH249" s="1">
        <v>16</v>
      </c>
      <c r="BI249" s="1">
        <v>34</v>
      </c>
      <c r="BJ249" s="1">
        <v>1200000</v>
      </c>
      <c r="BK249" s="1">
        <v>4</v>
      </c>
    </row>
    <row r="250" spans="1:63" ht="12.75" customHeight="1" x14ac:dyDescent="0.15">
      <c r="A250" s="5" t="s">
        <v>337</v>
      </c>
      <c r="B250" s="5" t="s">
        <v>984</v>
      </c>
      <c r="C250" s="5">
        <v>2</v>
      </c>
      <c r="D250" s="5">
        <v>1</v>
      </c>
      <c r="E250" s="5">
        <v>2</v>
      </c>
      <c r="F250" s="5">
        <v>1</v>
      </c>
      <c r="G250" s="5">
        <v>1</v>
      </c>
      <c r="H250" s="5">
        <v>1</v>
      </c>
      <c r="I250" s="5">
        <v>1</v>
      </c>
      <c r="J250" s="5">
        <v>1</v>
      </c>
      <c r="K250" s="5">
        <v>1</v>
      </c>
      <c r="L250" s="5">
        <v>1</v>
      </c>
      <c r="M250" s="5">
        <v>1</v>
      </c>
      <c r="N250" s="5">
        <v>1</v>
      </c>
      <c r="O250" s="5">
        <v>14</v>
      </c>
      <c r="P250" s="5" t="s">
        <v>983</v>
      </c>
      <c r="Q250" s="5">
        <v>1</v>
      </c>
      <c r="R250" s="5">
        <v>0</v>
      </c>
      <c r="S250" s="5">
        <v>0</v>
      </c>
      <c r="T250" s="5">
        <v>1</v>
      </c>
      <c r="U250" s="5" t="s">
        <v>983</v>
      </c>
      <c r="V250" s="5">
        <v>3</v>
      </c>
      <c r="W250" s="5">
        <v>3</v>
      </c>
      <c r="X250" s="5">
        <v>2</v>
      </c>
      <c r="Y250" s="5">
        <v>8</v>
      </c>
      <c r="Z250" s="5" t="s">
        <v>981</v>
      </c>
      <c r="AA250" s="5">
        <v>0</v>
      </c>
      <c r="AB250" s="5">
        <v>1</v>
      </c>
      <c r="AC250" s="5">
        <v>1</v>
      </c>
      <c r="AD250" s="5">
        <v>0</v>
      </c>
      <c r="AE250" s="5">
        <v>2</v>
      </c>
      <c r="AF250" s="5" t="s">
        <v>982</v>
      </c>
      <c r="AG250" s="5">
        <v>0</v>
      </c>
      <c r="AH250" s="5">
        <v>0</v>
      </c>
      <c r="AI250" s="5">
        <v>0</v>
      </c>
      <c r="AJ250" s="5">
        <v>0</v>
      </c>
      <c r="AK250" s="5" t="s">
        <v>983</v>
      </c>
      <c r="AL250" s="5">
        <v>0</v>
      </c>
      <c r="AM250" s="5">
        <v>0</v>
      </c>
      <c r="AN250" s="5">
        <v>0</v>
      </c>
      <c r="AO250" s="5">
        <v>0</v>
      </c>
      <c r="AP250" s="5" t="s">
        <v>983</v>
      </c>
      <c r="AQ250" s="5">
        <v>0</v>
      </c>
      <c r="AR250" s="5">
        <v>0</v>
      </c>
      <c r="AS250" s="5">
        <v>0</v>
      </c>
      <c r="AT250" s="5">
        <v>0</v>
      </c>
      <c r="AU250" s="5">
        <v>1</v>
      </c>
      <c r="AV250" s="5">
        <v>0</v>
      </c>
      <c r="AW250" s="5">
        <v>0</v>
      </c>
      <c r="AX250" s="5">
        <v>1</v>
      </c>
      <c r="AY250" s="5" t="s">
        <v>982</v>
      </c>
      <c r="AZ250" s="1">
        <v>1</v>
      </c>
      <c r="BA250" s="1">
        <v>0</v>
      </c>
      <c r="BB250" s="1">
        <v>1</v>
      </c>
      <c r="BC250" s="1">
        <v>1</v>
      </c>
      <c r="BD250" s="1">
        <v>1</v>
      </c>
      <c r="BE250" s="1">
        <v>1</v>
      </c>
      <c r="BF250" s="1">
        <v>29</v>
      </c>
      <c r="BG250" s="1">
        <v>0</v>
      </c>
      <c r="BH250" s="1">
        <v>14</v>
      </c>
      <c r="BI250" s="1">
        <v>34</v>
      </c>
      <c r="BJ250" s="1">
        <v>0</v>
      </c>
      <c r="BK250" s="1">
        <v>2</v>
      </c>
    </row>
    <row r="251" spans="1:63" ht="12.75" customHeight="1" x14ac:dyDescent="0.15">
      <c r="A251" s="5" t="s">
        <v>238</v>
      </c>
      <c r="B251" s="5" t="s">
        <v>238</v>
      </c>
      <c r="C251" s="5">
        <v>3</v>
      </c>
      <c r="D251" s="5">
        <v>3</v>
      </c>
      <c r="E251" s="5">
        <v>3</v>
      </c>
      <c r="F251" s="5">
        <v>3</v>
      </c>
      <c r="G251" s="5">
        <v>2</v>
      </c>
      <c r="H251" s="5">
        <v>2</v>
      </c>
      <c r="I251" s="5">
        <v>1</v>
      </c>
      <c r="J251" s="5">
        <v>3</v>
      </c>
      <c r="K251" s="5">
        <v>3</v>
      </c>
      <c r="L251" s="5">
        <v>3</v>
      </c>
      <c r="M251" s="5">
        <v>2</v>
      </c>
      <c r="N251" s="5">
        <v>2</v>
      </c>
      <c r="O251" s="5">
        <v>30</v>
      </c>
      <c r="P251" s="5" t="s">
        <v>981</v>
      </c>
      <c r="Q251" s="5">
        <v>2</v>
      </c>
      <c r="R251" s="5">
        <v>3</v>
      </c>
      <c r="S251" s="5">
        <v>2</v>
      </c>
      <c r="T251" s="5">
        <v>7</v>
      </c>
      <c r="U251" s="5" t="s">
        <v>981</v>
      </c>
      <c r="V251" s="5">
        <v>1</v>
      </c>
      <c r="W251" s="5">
        <v>1</v>
      </c>
      <c r="X251" s="5">
        <v>0</v>
      </c>
      <c r="Y251" s="5">
        <v>2</v>
      </c>
      <c r="Z251" s="5" t="s">
        <v>982</v>
      </c>
      <c r="AA251" s="5">
        <v>2</v>
      </c>
      <c r="AB251" s="5">
        <v>2</v>
      </c>
      <c r="AC251" s="5">
        <v>1</v>
      </c>
      <c r="AD251" s="5">
        <v>2</v>
      </c>
      <c r="AE251" s="5">
        <v>7</v>
      </c>
      <c r="AF251" s="5" t="s">
        <v>981</v>
      </c>
      <c r="AG251" s="5">
        <v>2</v>
      </c>
      <c r="AH251" s="5">
        <v>1</v>
      </c>
      <c r="AI251" s="5">
        <v>0</v>
      </c>
      <c r="AJ251" s="5">
        <v>3</v>
      </c>
      <c r="AK251" s="5" t="s">
        <v>982</v>
      </c>
      <c r="AL251" s="5">
        <v>1</v>
      </c>
      <c r="AM251" s="5">
        <v>2</v>
      </c>
      <c r="AN251" s="5">
        <v>2</v>
      </c>
      <c r="AO251" s="5">
        <v>5</v>
      </c>
      <c r="AP251" s="5" t="s">
        <v>982</v>
      </c>
      <c r="AQ251" s="5">
        <v>0</v>
      </c>
      <c r="AR251" s="5">
        <v>0</v>
      </c>
      <c r="AS251" s="5">
        <v>0</v>
      </c>
      <c r="AT251" s="5">
        <v>0</v>
      </c>
      <c r="AU251" s="5">
        <v>0</v>
      </c>
      <c r="AV251" s="5">
        <v>0</v>
      </c>
      <c r="AW251" s="5">
        <v>0</v>
      </c>
      <c r="AX251" s="5">
        <v>0</v>
      </c>
      <c r="AY251" s="5" t="s">
        <v>983</v>
      </c>
      <c r="AZ251" s="1">
        <v>0</v>
      </c>
      <c r="BA251" s="1">
        <v>0</v>
      </c>
      <c r="BB251" s="1">
        <v>0</v>
      </c>
      <c r="BC251" s="1">
        <v>1</v>
      </c>
      <c r="BD251" s="1">
        <v>1</v>
      </c>
      <c r="BE251" s="1">
        <v>1</v>
      </c>
      <c r="BF251" s="1">
        <v>52</v>
      </c>
      <c r="BG251" s="1">
        <v>0</v>
      </c>
      <c r="BH251" s="1">
        <v>2</v>
      </c>
      <c r="BI251" s="1">
        <v>2</v>
      </c>
      <c r="BJ251" s="1">
        <v>0</v>
      </c>
      <c r="BK251" s="1">
        <v>2</v>
      </c>
    </row>
    <row r="252" spans="1:63" ht="12.75" customHeight="1" x14ac:dyDescent="0.15">
      <c r="A252" s="5" t="s">
        <v>238</v>
      </c>
      <c r="B252" s="5" t="s">
        <v>238</v>
      </c>
      <c r="C252" s="5">
        <v>2</v>
      </c>
      <c r="D252" s="5">
        <v>2</v>
      </c>
      <c r="E252" s="5">
        <v>2</v>
      </c>
      <c r="F252" s="5">
        <v>2</v>
      </c>
      <c r="G252" s="5">
        <v>2</v>
      </c>
      <c r="H252" s="5">
        <v>2</v>
      </c>
      <c r="I252" s="5">
        <v>2</v>
      </c>
      <c r="J252" s="5">
        <v>1</v>
      </c>
      <c r="K252" s="5">
        <v>2</v>
      </c>
      <c r="L252" s="5">
        <v>2</v>
      </c>
      <c r="M252" s="5">
        <v>2</v>
      </c>
      <c r="N252" s="5">
        <v>2</v>
      </c>
      <c r="O252" s="5">
        <v>23</v>
      </c>
      <c r="P252" s="5" t="s">
        <v>982</v>
      </c>
      <c r="Q252" s="5">
        <v>3</v>
      </c>
      <c r="R252" s="5">
        <v>1</v>
      </c>
      <c r="S252" s="5">
        <v>0</v>
      </c>
      <c r="T252" s="5">
        <v>4</v>
      </c>
      <c r="U252" s="5" t="s">
        <v>982</v>
      </c>
      <c r="V252" s="5">
        <v>0</v>
      </c>
      <c r="W252" s="5">
        <v>1</v>
      </c>
      <c r="X252" s="5">
        <v>1</v>
      </c>
      <c r="Y252" s="5">
        <v>2</v>
      </c>
      <c r="Z252" s="5" t="s">
        <v>982</v>
      </c>
      <c r="AA252" s="5">
        <v>3</v>
      </c>
      <c r="AB252" s="5">
        <v>4</v>
      </c>
      <c r="AC252" s="5">
        <v>0</v>
      </c>
      <c r="AD252" s="5">
        <v>0</v>
      </c>
      <c r="AE252" s="5">
        <v>7</v>
      </c>
      <c r="AF252" s="5" t="s">
        <v>981</v>
      </c>
      <c r="AG252" s="5">
        <v>1</v>
      </c>
      <c r="AH252" s="5">
        <v>1</v>
      </c>
      <c r="AI252" s="5">
        <v>1</v>
      </c>
      <c r="AJ252" s="5">
        <v>3</v>
      </c>
      <c r="AK252" s="5" t="s">
        <v>982</v>
      </c>
      <c r="AL252" s="5">
        <v>1</v>
      </c>
      <c r="AM252" s="5">
        <v>1</v>
      </c>
      <c r="AN252" s="5">
        <v>1</v>
      </c>
      <c r="AO252" s="5">
        <v>3</v>
      </c>
      <c r="AP252" s="5" t="s">
        <v>982</v>
      </c>
      <c r="AQ252" s="5">
        <v>0</v>
      </c>
      <c r="AR252" s="5">
        <v>0</v>
      </c>
      <c r="AS252" s="5">
        <v>0</v>
      </c>
      <c r="AT252" s="5">
        <v>0</v>
      </c>
      <c r="AU252" s="5">
        <v>0</v>
      </c>
      <c r="AV252" s="5">
        <v>0</v>
      </c>
      <c r="AW252" s="5">
        <v>0</v>
      </c>
      <c r="AX252" s="5">
        <v>0</v>
      </c>
      <c r="AY252" s="5" t="s">
        <v>983</v>
      </c>
      <c r="AZ252" s="1">
        <v>0</v>
      </c>
      <c r="BA252" s="1">
        <v>0</v>
      </c>
      <c r="BB252" s="1">
        <v>0</v>
      </c>
      <c r="BC252" s="1">
        <v>0</v>
      </c>
      <c r="BD252" s="1">
        <v>0</v>
      </c>
      <c r="BE252" s="1">
        <v>0</v>
      </c>
      <c r="BF252" s="1">
        <v>52</v>
      </c>
      <c r="BG252" s="1">
        <v>0</v>
      </c>
      <c r="BH252" s="1">
        <v>2</v>
      </c>
      <c r="BI252" s="1">
        <v>2</v>
      </c>
      <c r="BJ252" s="1">
        <v>0</v>
      </c>
      <c r="BK252" s="1">
        <v>2</v>
      </c>
    </row>
    <row r="253" spans="1:63" ht="12.75" customHeight="1" x14ac:dyDescent="0.15">
      <c r="A253" s="5" t="s">
        <v>238</v>
      </c>
      <c r="B253" s="5" t="s">
        <v>238</v>
      </c>
      <c r="C253" s="5">
        <v>2</v>
      </c>
      <c r="D253" s="5">
        <v>2</v>
      </c>
      <c r="E253" s="5">
        <v>2</v>
      </c>
      <c r="F253" s="5">
        <v>1</v>
      </c>
      <c r="G253" s="5">
        <v>1</v>
      </c>
      <c r="H253" s="5">
        <v>2</v>
      </c>
      <c r="I253" s="5">
        <v>1</v>
      </c>
      <c r="J253" s="5">
        <v>2</v>
      </c>
      <c r="K253" s="5">
        <v>2</v>
      </c>
      <c r="L253" s="5">
        <v>2</v>
      </c>
      <c r="M253" s="5">
        <v>1</v>
      </c>
      <c r="N253" s="5">
        <v>1</v>
      </c>
      <c r="O253" s="5">
        <v>19</v>
      </c>
      <c r="P253" s="5" t="s">
        <v>982</v>
      </c>
      <c r="Q253" s="5">
        <v>1</v>
      </c>
      <c r="R253" s="5">
        <v>2</v>
      </c>
      <c r="S253" s="5">
        <v>1</v>
      </c>
      <c r="T253" s="5">
        <v>4</v>
      </c>
      <c r="U253" s="5" t="s">
        <v>982</v>
      </c>
      <c r="V253" s="5">
        <v>0</v>
      </c>
      <c r="W253" s="5">
        <v>0</v>
      </c>
      <c r="X253" s="5">
        <v>1</v>
      </c>
      <c r="Y253" s="5">
        <v>1</v>
      </c>
      <c r="Z253" s="5" t="s">
        <v>983</v>
      </c>
      <c r="AA253" s="5">
        <v>4</v>
      </c>
      <c r="AB253" s="5">
        <v>4</v>
      </c>
      <c r="AC253" s="5">
        <v>4</v>
      </c>
      <c r="AD253" s="5">
        <v>0</v>
      </c>
      <c r="AE253" s="5">
        <v>12</v>
      </c>
      <c r="AF253" s="5" t="s">
        <v>981</v>
      </c>
      <c r="AG253" s="5">
        <v>0</v>
      </c>
      <c r="AH253" s="5">
        <v>0</v>
      </c>
      <c r="AI253" s="5">
        <v>0</v>
      </c>
      <c r="AJ253" s="5">
        <v>0</v>
      </c>
      <c r="AK253" s="5" t="s">
        <v>983</v>
      </c>
      <c r="AL253" s="5">
        <v>0</v>
      </c>
      <c r="AM253" s="5">
        <v>0</v>
      </c>
      <c r="AN253" s="5">
        <v>0</v>
      </c>
      <c r="AO253" s="5">
        <v>0</v>
      </c>
      <c r="AP253" s="5" t="s">
        <v>983</v>
      </c>
      <c r="AQ253" s="5">
        <v>0</v>
      </c>
      <c r="AR253" s="5">
        <v>0</v>
      </c>
      <c r="AS253" s="5">
        <v>0</v>
      </c>
      <c r="AT253" s="5">
        <v>0</v>
      </c>
      <c r="AU253" s="5">
        <v>0</v>
      </c>
      <c r="AV253" s="5">
        <v>0</v>
      </c>
      <c r="AW253" s="5">
        <v>0</v>
      </c>
      <c r="AX253" s="5">
        <v>0</v>
      </c>
      <c r="AY253" s="5" t="s">
        <v>983</v>
      </c>
      <c r="AZ253" s="1">
        <v>0</v>
      </c>
      <c r="BA253" s="1">
        <v>0</v>
      </c>
      <c r="BB253" s="1">
        <v>0</v>
      </c>
      <c r="BC253" s="1">
        <v>1</v>
      </c>
      <c r="BD253" s="1">
        <v>1</v>
      </c>
      <c r="BE253" s="1">
        <v>1</v>
      </c>
      <c r="BF253" s="1">
        <v>28</v>
      </c>
      <c r="BG253" s="1">
        <v>0</v>
      </c>
      <c r="BH253" s="1">
        <v>14</v>
      </c>
      <c r="BI253" s="1">
        <v>14</v>
      </c>
      <c r="BJ253" s="1">
        <v>100000</v>
      </c>
      <c r="BK253" s="1">
        <v>2</v>
      </c>
    </row>
    <row r="254" spans="1:63" ht="12.75" customHeight="1" x14ac:dyDescent="0.15">
      <c r="A254" s="5" t="s">
        <v>238</v>
      </c>
      <c r="B254" s="5" t="s">
        <v>238</v>
      </c>
      <c r="C254" s="5">
        <v>2</v>
      </c>
      <c r="D254" s="5">
        <v>3</v>
      </c>
      <c r="E254" s="5">
        <v>2</v>
      </c>
      <c r="F254" s="5">
        <v>4</v>
      </c>
      <c r="G254" s="5">
        <v>4</v>
      </c>
      <c r="H254" s="5">
        <v>4</v>
      </c>
      <c r="I254" s="5">
        <v>1</v>
      </c>
      <c r="J254" s="5">
        <v>1</v>
      </c>
      <c r="K254" s="5">
        <v>1</v>
      </c>
      <c r="L254" s="5">
        <v>1</v>
      </c>
      <c r="M254" s="5">
        <v>1</v>
      </c>
      <c r="N254" s="5">
        <v>1</v>
      </c>
      <c r="O254" s="5">
        <v>25</v>
      </c>
      <c r="P254" s="5" t="s">
        <v>981</v>
      </c>
      <c r="Q254" s="5">
        <v>2</v>
      </c>
      <c r="R254" s="5">
        <v>2</v>
      </c>
      <c r="S254" s="5">
        <v>2</v>
      </c>
      <c r="T254" s="5">
        <v>6</v>
      </c>
      <c r="U254" s="5" t="s">
        <v>981</v>
      </c>
      <c r="V254" s="5">
        <v>2</v>
      </c>
      <c r="W254" s="5">
        <v>3</v>
      </c>
      <c r="X254" s="5">
        <v>2</v>
      </c>
      <c r="Y254" s="5">
        <v>7</v>
      </c>
      <c r="Z254" s="5" t="s">
        <v>981</v>
      </c>
      <c r="AA254" s="5">
        <v>2</v>
      </c>
      <c r="AB254" s="5">
        <v>2</v>
      </c>
      <c r="AC254" s="5">
        <v>2</v>
      </c>
      <c r="AD254" s="5">
        <v>2</v>
      </c>
      <c r="AE254" s="5">
        <v>8</v>
      </c>
      <c r="AF254" s="5" t="s">
        <v>981</v>
      </c>
      <c r="AG254" s="5">
        <v>2</v>
      </c>
      <c r="AH254" s="5">
        <v>2</v>
      </c>
      <c r="AI254" s="5">
        <v>2</v>
      </c>
      <c r="AJ254" s="5">
        <v>6</v>
      </c>
      <c r="AK254" s="5" t="s">
        <v>981</v>
      </c>
      <c r="AL254" s="5">
        <v>2</v>
      </c>
      <c r="AM254" s="5">
        <v>2</v>
      </c>
      <c r="AN254" s="5">
        <v>2</v>
      </c>
      <c r="AO254" s="5">
        <v>6</v>
      </c>
      <c r="AP254" s="5" t="s">
        <v>981</v>
      </c>
      <c r="AQ254" s="5">
        <v>0</v>
      </c>
      <c r="AR254" s="5">
        <v>0</v>
      </c>
      <c r="AS254" s="5">
        <v>0</v>
      </c>
      <c r="AT254" s="5">
        <v>0</v>
      </c>
      <c r="AU254" s="5">
        <v>0</v>
      </c>
      <c r="AV254" s="5">
        <v>0</v>
      </c>
      <c r="AW254" s="5">
        <v>0</v>
      </c>
      <c r="AX254" s="5">
        <v>0</v>
      </c>
      <c r="AY254" s="5" t="s">
        <v>983</v>
      </c>
      <c r="AZ254" s="1">
        <v>1</v>
      </c>
      <c r="BA254" s="1">
        <v>0</v>
      </c>
      <c r="BB254" s="1">
        <v>0</v>
      </c>
      <c r="BC254" s="1">
        <v>1</v>
      </c>
      <c r="BD254" s="1">
        <v>1</v>
      </c>
      <c r="BE254" s="1">
        <v>1</v>
      </c>
      <c r="BF254" s="1">
        <v>36</v>
      </c>
      <c r="BG254" s="1">
        <v>1</v>
      </c>
      <c r="BH254" s="1">
        <v>14</v>
      </c>
      <c r="BI254" s="1">
        <v>34</v>
      </c>
      <c r="BJ254" s="1">
        <v>450000</v>
      </c>
      <c r="BK254" s="1">
        <v>3</v>
      </c>
    </row>
    <row r="255" spans="1:63" ht="12.75" customHeight="1" x14ac:dyDescent="0.15">
      <c r="A255" s="5" t="s">
        <v>238</v>
      </c>
      <c r="B255" s="5" t="s">
        <v>238</v>
      </c>
      <c r="C255" s="5">
        <v>2</v>
      </c>
      <c r="D255" s="5">
        <v>3</v>
      </c>
      <c r="E255" s="5">
        <v>3</v>
      </c>
      <c r="F255" s="5">
        <v>2</v>
      </c>
      <c r="G255" s="5">
        <v>2</v>
      </c>
      <c r="H255" s="5">
        <v>1</v>
      </c>
      <c r="I255" s="5">
        <v>1</v>
      </c>
      <c r="J255" s="5">
        <v>1</v>
      </c>
      <c r="K255" s="5">
        <v>1</v>
      </c>
      <c r="L255" s="5">
        <v>1</v>
      </c>
      <c r="M255" s="5">
        <v>2</v>
      </c>
      <c r="N255" s="5">
        <v>2</v>
      </c>
      <c r="O255" s="5">
        <v>21</v>
      </c>
      <c r="P255" s="5" t="s">
        <v>982</v>
      </c>
      <c r="Q255" s="5">
        <v>1</v>
      </c>
      <c r="R255" s="5">
        <v>1</v>
      </c>
      <c r="S255" s="5">
        <v>0</v>
      </c>
      <c r="T255" s="5">
        <v>2</v>
      </c>
      <c r="U255" s="5" t="s">
        <v>982</v>
      </c>
      <c r="V255" s="5">
        <v>0</v>
      </c>
      <c r="W255" s="5">
        <v>2</v>
      </c>
      <c r="X255" s="5">
        <v>4</v>
      </c>
      <c r="Y255" s="5">
        <v>6</v>
      </c>
      <c r="Z255" s="5" t="s">
        <v>981</v>
      </c>
      <c r="AA255" s="5">
        <v>4</v>
      </c>
      <c r="AB255" s="5">
        <v>4</v>
      </c>
      <c r="AC255" s="5">
        <v>0</v>
      </c>
      <c r="AD255" s="5">
        <v>0</v>
      </c>
      <c r="AE255" s="5">
        <v>8</v>
      </c>
      <c r="AF255" s="5" t="s">
        <v>981</v>
      </c>
      <c r="AG255" s="5">
        <v>0</v>
      </c>
      <c r="AH255" s="5">
        <v>0</v>
      </c>
      <c r="AI255" s="5">
        <v>0</v>
      </c>
      <c r="AJ255" s="5">
        <v>0</v>
      </c>
      <c r="AK255" s="5" t="s">
        <v>983</v>
      </c>
      <c r="AL255" s="5">
        <v>0</v>
      </c>
      <c r="AM255" s="5">
        <v>0</v>
      </c>
      <c r="AN255" s="5">
        <v>0</v>
      </c>
      <c r="AO255" s="5">
        <v>0</v>
      </c>
      <c r="AP255" s="5" t="s">
        <v>983</v>
      </c>
      <c r="AQ255" s="5">
        <v>0</v>
      </c>
      <c r="AR255" s="5">
        <v>0</v>
      </c>
      <c r="AS255" s="5">
        <v>0</v>
      </c>
      <c r="AT255" s="5">
        <v>0</v>
      </c>
      <c r="AU255" s="5">
        <v>0</v>
      </c>
      <c r="AV255" s="5">
        <v>0</v>
      </c>
      <c r="AW255" s="5">
        <v>0</v>
      </c>
      <c r="AX255" s="5">
        <v>0</v>
      </c>
      <c r="AY255" s="5" t="s">
        <v>983</v>
      </c>
      <c r="AZ255" s="1">
        <v>1</v>
      </c>
      <c r="BA255" s="1">
        <v>0</v>
      </c>
      <c r="BB255" s="1">
        <v>1</v>
      </c>
      <c r="BC255" s="1">
        <v>1</v>
      </c>
      <c r="BD255" s="1">
        <v>1</v>
      </c>
      <c r="BE255" s="1">
        <v>1</v>
      </c>
      <c r="BF255" s="1">
        <v>0</v>
      </c>
      <c r="BG255" s="1">
        <v>1</v>
      </c>
      <c r="BH255" s="1">
        <v>3</v>
      </c>
      <c r="BI255" s="1">
        <v>4</v>
      </c>
      <c r="BJ255" s="1">
        <v>0</v>
      </c>
      <c r="BK255" s="1">
        <v>2</v>
      </c>
    </row>
    <row r="256" spans="1:63" ht="12.75" customHeight="1" x14ac:dyDescent="0.15">
      <c r="A256" s="5" t="s">
        <v>330</v>
      </c>
      <c r="B256" s="5" t="s">
        <v>984</v>
      </c>
      <c r="C256" s="5">
        <v>3</v>
      </c>
      <c r="D256" s="5">
        <v>2</v>
      </c>
      <c r="E256" s="5">
        <v>3</v>
      </c>
      <c r="F256" s="5">
        <v>3</v>
      </c>
      <c r="G256" s="5">
        <v>2</v>
      </c>
      <c r="H256" s="5">
        <v>2</v>
      </c>
      <c r="I256" s="5">
        <v>3</v>
      </c>
      <c r="J256" s="5">
        <v>2</v>
      </c>
      <c r="K256" s="5">
        <v>2</v>
      </c>
      <c r="L256" s="5">
        <v>2</v>
      </c>
      <c r="M256" s="5">
        <v>2</v>
      </c>
      <c r="N256" s="5">
        <v>2</v>
      </c>
      <c r="O256" s="5">
        <v>28</v>
      </c>
      <c r="P256" s="5" t="s">
        <v>981</v>
      </c>
      <c r="Q256" s="5">
        <v>2</v>
      </c>
      <c r="R256" s="5">
        <v>2</v>
      </c>
      <c r="S256" s="5">
        <v>2</v>
      </c>
      <c r="T256" s="5">
        <v>6</v>
      </c>
      <c r="U256" s="5" t="s">
        <v>981</v>
      </c>
      <c r="V256" s="5">
        <v>1</v>
      </c>
      <c r="W256" s="5">
        <v>2</v>
      </c>
      <c r="X256" s="5">
        <v>1</v>
      </c>
      <c r="Y256" s="5">
        <v>4</v>
      </c>
      <c r="Z256" s="5" t="s">
        <v>982</v>
      </c>
      <c r="AA256" s="5">
        <v>3</v>
      </c>
      <c r="AB256" s="5">
        <v>3</v>
      </c>
      <c r="AC256" s="5">
        <v>2</v>
      </c>
      <c r="AD256" s="5">
        <v>3</v>
      </c>
      <c r="AE256" s="5">
        <v>11</v>
      </c>
      <c r="AF256" s="5" t="s">
        <v>981</v>
      </c>
      <c r="AG256" s="5">
        <v>1</v>
      </c>
      <c r="AH256" s="5">
        <v>2</v>
      </c>
      <c r="AI256" s="5">
        <v>1</v>
      </c>
      <c r="AJ256" s="5">
        <v>4</v>
      </c>
      <c r="AK256" s="5" t="s">
        <v>982</v>
      </c>
      <c r="AL256" s="5">
        <v>2</v>
      </c>
      <c r="AM256" s="5">
        <v>1</v>
      </c>
      <c r="AN256" s="5">
        <v>2</v>
      </c>
      <c r="AO256" s="5">
        <v>5</v>
      </c>
      <c r="AP256" s="5" t="s">
        <v>982</v>
      </c>
      <c r="AQ256" s="5">
        <v>1</v>
      </c>
      <c r="AR256" s="5">
        <v>2</v>
      </c>
      <c r="AS256" s="5">
        <v>2</v>
      </c>
      <c r="AT256" s="5">
        <v>2</v>
      </c>
      <c r="AU256" s="5">
        <v>2</v>
      </c>
      <c r="AV256" s="5">
        <v>2</v>
      </c>
      <c r="AW256" s="5">
        <v>2</v>
      </c>
      <c r="AX256" s="5">
        <v>13</v>
      </c>
      <c r="AY256" s="5" t="s">
        <v>982</v>
      </c>
      <c r="AZ256" s="1">
        <v>1</v>
      </c>
      <c r="BA256" s="1">
        <v>0</v>
      </c>
      <c r="BB256" s="1">
        <v>1</v>
      </c>
      <c r="BC256" s="1">
        <v>1</v>
      </c>
      <c r="BD256" s="1">
        <v>1</v>
      </c>
      <c r="BE256" s="1">
        <v>1</v>
      </c>
      <c r="BF256" s="1">
        <v>55</v>
      </c>
      <c r="BG256" s="1">
        <v>0</v>
      </c>
      <c r="BH256" s="1">
        <v>2</v>
      </c>
      <c r="BI256" s="1">
        <v>1</v>
      </c>
      <c r="BJ256" s="1">
        <v>350000</v>
      </c>
      <c r="BK256" s="1">
        <v>5</v>
      </c>
    </row>
    <row r="257" spans="1:63" ht="12.75" customHeight="1" x14ac:dyDescent="0.15">
      <c r="A257" s="5" t="s">
        <v>238</v>
      </c>
      <c r="B257" s="5" t="s">
        <v>238</v>
      </c>
      <c r="C257" s="5">
        <v>1</v>
      </c>
      <c r="D257" s="5">
        <v>2</v>
      </c>
      <c r="E257" s="5">
        <v>1</v>
      </c>
      <c r="F257" s="5">
        <v>1</v>
      </c>
      <c r="G257" s="5">
        <v>1</v>
      </c>
      <c r="H257" s="5">
        <v>1</v>
      </c>
      <c r="I257" s="5">
        <v>1</v>
      </c>
      <c r="J257" s="5">
        <v>1</v>
      </c>
      <c r="K257" s="5">
        <v>1</v>
      </c>
      <c r="L257" s="5">
        <v>2</v>
      </c>
      <c r="M257" s="5">
        <v>1</v>
      </c>
      <c r="N257" s="5">
        <v>1</v>
      </c>
      <c r="O257" s="5">
        <v>14</v>
      </c>
      <c r="P257" s="5" t="s">
        <v>983</v>
      </c>
      <c r="Q257" s="5">
        <v>0</v>
      </c>
      <c r="R257" s="5">
        <v>0</v>
      </c>
      <c r="S257" s="5">
        <v>0</v>
      </c>
      <c r="T257" s="5">
        <v>0</v>
      </c>
      <c r="U257" s="5" t="s">
        <v>983</v>
      </c>
      <c r="V257" s="5">
        <v>0</v>
      </c>
      <c r="W257" s="5">
        <v>0</v>
      </c>
      <c r="X257" s="5">
        <v>0</v>
      </c>
      <c r="Y257" s="5">
        <v>0</v>
      </c>
      <c r="Z257" s="5" t="s">
        <v>983</v>
      </c>
      <c r="AA257" s="5">
        <v>4</v>
      </c>
      <c r="AB257" s="5">
        <v>3</v>
      </c>
      <c r="AC257" s="5">
        <v>0</v>
      </c>
      <c r="AD257" s="5">
        <v>0</v>
      </c>
      <c r="AE257" s="5">
        <v>7</v>
      </c>
      <c r="AF257" s="5" t="s">
        <v>981</v>
      </c>
      <c r="AG257" s="5">
        <v>0</v>
      </c>
      <c r="AH257" s="5">
        <v>0</v>
      </c>
      <c r="AI257" s="5">
        <v>2</v>
      </c>
      <c r="AJ257" s="5">
        <v>2</v>
      </c>
      <c r="AK257" s="5" t="s">
        <v>983</v>
      </c>
      <c r="AL257" s="5">
        <v>0</v>
      </c>
      <c r="AM257" s="5">
        <v>1</v>
      </c>
      <c r="AN257" s="5">
        <v>1</v>
      </c>
      <c r="AO257" s="5">
        <v>2</v>
      </c>
      <c r="AP257" s="5" t="s">
        <v>983</v>
      </c>
      <c r="AQ257" s="5">
        <v>0</v>
      </c>
      <c r="AR257" s="5">
        <v>1</v>
      </c>
      <c r="AS257" s="5">
        <v>1</v>
      </c>
      <c r="AT257" s="5">
        <v>1</v>
      </c>
      <c r="AU257" s="5">
        <v>0</v>
      </c>
      <c r="AV257" s="5">
        <v>0</v>
      </c>
      <c r="AW257" s="5">
        <v>0</v>
      </c>
      <c r="AX257" s="5">
        <v>3</v>
      </c>
      <c r="AY257" s="5" t="s">
        <v>982</v>
      </c>
      <c r="AZ257" s="1">
        <v>0</v>
      </c>
      <c r="BA257" s="1">
        <v>0</v>
      </c>
      <c r="BB257" s="1">
        <v>0</v>
      </c>
      <c r="BC257" s="1">
        <v>1</v>
      </c>
      <c r="BD257" s="1">
        <v>1</v>
      </c>
      <c r="BE257" s="1">
        <v>1</v>
      </c>
      <c r="BF257" s="1">
        <v>55</v>
      </c>
      <c r="BG257" s="1">
        <v>0</v>
      </c>
      <c r="BH257" s="1">
        <v>2</v>
      </c>
      <c r="BI257" s="1">
        <v>1</v>
      </c>
      <c r="BJ257" s="1">
        <v>350000</v>
      </c>
      <c r="BK257" s="1">
        <v>5</v>
      </c>
    </row>
    <row r="258" spans="1:63" ht="12.75" customHeight="1" x14ac:dyDescent="0.15">
      <c r="A258" s="5" t="s">
        <v>238</v>
      </c>
      <c r="B258" s="5" t="s">
        <v>238</v>
      </c>
      <c r="C258" s="5">
        <v>1</v>
      </c>
      <c r="D258" s="5">
        <v>2</v>
      </c>
      <c r="E258" s="5">
        <v>2</v>
      </c>
      <c r="F258" s="5">
        <v>1</v>
      </c>
      <c r="G258" s="5">
        <v>1</v>
      </c>
      <c r="H258" s="5">
        <v>1</v>
      </c>
      <c r="I258" s="5">
        <v>1</v>
      </c>
      <c r="J258" s="5">
        <v>1</v>
      </c>
      <c r="K258" s="5">
        <v>1</v>
      </c>
      <c r="L258" s="5">
        <v>1</v>
      </c>
      <c r="M258" s="5">
        <v>1</v>
      </c>
      <c r="N258" s="5">
        <v>1</v>
      </c>
      <c r="O258" s="5">
        <v>14</v>
      </c>
      <c r="P258" s="5" t="s">
        <v>983</v>
      </c>
      <c r="Q258" s="5">
        <v>2</v>
      </c>
      <c r="R258" s="5">
        <v>1</v>
      </c>
      <c r="S258" s="5">
        <v>0</v>
      </c>
      <c r="T258" s="5">
        <v>3</v>
      </c>
      <c r="U258" s="5" t="s">
        <v>982</v>
      </c>
      <c r="V258" s="5">
        <v>0</v>
      </c>
      <c r="W258" s="5">
        <v>1</v>
      </c>
      <c r="X258" s="5">
        <v>0</v>
      </c>
      <c r="Y258" s="5">
        <v>1</v>
      </c>
      <c r="Z258" s="5" t="s">
        <v>983</v>
      </c>
      <c r="AA258" s="5">
        <v>4</v>
      </c>
      <c r="AB258" s="5">
        <v>4</v>
      </c>
      <c r="AC258" s="5">
        <v>4</v>
      </c>
      <c r="AD258" s="5">
        <v>4</v>
      </c>
      <c r="AE258" s="5">
        <v>16</v>
      </c>
      <c r="AF258" s="5" t="s">
        <v>981</v>
      </c>
      <c r="AG258" s="5">
        <v>0</v>
      </c>
      <c r="AH258" s="5">
        <v>0</v>
      </c>
      <c r="AI258" s="5">
        <v>0</v>
      </c>
      <c r="AJ258" s="5">
        <v>0</v>
      </c>
      <c r="AK258" s="5" t="s">
        <v>983</v>
      </c>
      <c r="AL258" s="5">
        <v>0</v>
      </c>
      <c r="AM258" s="5">
        <v>0</v>
      </c>
      <c r="AN258" s="5">
        <v>0</v>
      </c>
      <c r="AO258" s="5">
        <v>0</v>
      </c>
      <c r="AP258" s="5" t="s">
        <v>983</v>
      </c>
      <c r="AQ258" s="5">
        <v>0</v>
      </c>
      <c r="AR258" s="5">
        <v>0</v>
      </c>
      <c r="AS258" s="5">
        <v>0</v>
      </c>
      <c r="AT258" s="5">
        <v>0</v>
      </c>
      <c r="AU258" s="5">
        <v>0</v>
      </c>
      <c r="AV258" s="5">
        <v>0</v>
      </c>
      <c r="AW258" s="5">
        <v>0</v>
      </c>
      <c r="AX258" s="5">
        <v>0</v>
      </c>
      <c r="AY258" s="5" t="s">
        <v>983</v>
      </c>
      <c r="AZ258" s="1">
        <v>1</v>
      </c>
      <c r="BA258" s="1">
        <v>1</v>
      </c>
      <c r="BB258" s="1">
        <v>1</v>
      </c>
      <c r="BC258" s="1">
        <v>1</v>
      </c>
      <c r="BD258" s="1">
        <v>1</v>
      </c>
      <c r="BE258" s="1">
        <v>1</v>
      </c>
      <c r="BF258" s="1">
        <v>53</v>
      </c>
      <c r="BG258" s="1">
        <v>0</v>
      </c>
      <c r="BH258" s="1">
        <v>14</v>
      </c>
      <c r="BI258" s="1">
        <v>2</v>
      </c>
      <c r="BJ258" s="1">
        <v>600000</v>
      </c>
      <c r="BK258" s="1">
        <v>2</v>
      </c>
    </row>
    <row r="259" spans="1:63" ht="12.75" customHeight="1" x14ac:dyDescent="0.15">
      <c r="A259" s="5" t="s">
        <v>238</v>
      </c>
      <c r="B259" s="5" t="s">
        <v>238</v>
      </c>
      <c r="C259" s="5">
        <v>2</v>
      </c>
      <c r="D259" s="5">
        <v>1</v>
      </c>
      <c r="E259" s="5">
        <v>1</v>
      </c>
      <c r="F259" s="5">
        <v>1</v>
      </c>
      <c r="G259" s="5">
        <v>1</v>
      </c>
      <c r="H259" s="5">
        <v>1</v>
      </c>
      <c r="I259" s="5">
        <v>1</v>
      </c>
      <c r="J259" s="5">
        <v>1</v>
      </c>
      <c r="K259" s="5">
        <v>1</v>
      </c>
      <c r="L259" s="5">
        <v>1</v>
      </c>
      <c r="M259" s="5">
        <v>1</v>
      </c>
      <c r="N259" s="5">
        <v>1</v>
      </c>
      <c r="O259" s="5">
        <v>13</v>
      </c>
      <c r="P259" s="5" t="s">
        <v>983</v>
      </c>
      <c r="Q259" s="5">
        <v>4</v>
      </c>
      <c r="R259" s="5">
        <v>0</v>
      </c>
      <c r="S259" s="5">
        <v>2</v>
      </c>
      <c r="T259" s="5">
        <v>6</v>
      </c>
      <c r="U259" s="5" t="s">
        <v>981</v>
      </c>
      <c r="V259" s="5">
        <v>0</v>
      </c>
      <c r="W259" s="5">
        <v>3</v>
      </c>
      <c r="X259" s="5">
        <v>1</v>
      </c>
      <c r="Y259" s="5">
        <v>4</v>
      </c>
      <c r="Z259" s="5" t="s">
        <v>982</v>
      </c>
      <c r="AA259" s="5">
        <v>1</v>
      </c>
      <c r="AB259" s="5">
        <v>2</v>
      </c>
      <c r="AC259" s="5">
        <v>1</v>
      </c>
      <c r="AD259" s="5">
        <v>4</v>
      </c>
      <c r="AE259" s="5">
        <v>8</v>
      </c>
      <c r="AF259" s="5" t="s">
        <v>981</v>
      </c>
      <c r="AG259" s="5">
        <v>0</v>
      </c>
      <c r="AH259" s="5">
        <v>2</v>
      </c>
      <c r="AI259" s="5">
        <v>0</v>
      </c>
      <c r="AJ259" s="5">
        <v>2</v>
      </c>
      <c r="AK259" s="5" t="s">
        <v>983</v>
      </c>
      <c r="AL259" s="5">
        <v>3</v>
      </c>
      <c r="AM259" s="5">
        <v>0</v>
      </c>
      <c r="AN259" s="5">
        <v>0</v>
      </c>
      <c r="AO259" s="5">
        <v>3</v>
      </c>
      <c r="AP259" s="5" t="s">
        <v>982</v>
      </c>
      <c r="AQ259" s="5">
        <v>0</v>
      </c>
      <c r="AR259" s="5">
        <v>0</v>
      </c>
      <c r="AS259" s="5">
        <v>0</v>
      </c>
      <c r="AT259" s="5">
        <v>0</v>
      </c>
      <c r="AU259" s="5">
        <v>0</v>
      </c>
      <c r="AV259" s="5">
        <v>0</v>
      </c>
      <c r="AW259" s="5">
        <v>0</v>
      </c>
      <c r="AX259" s="5">
        <v>0</v>
      </c>
      <c r="AY259" s="5" t="s">
        <v>983</v>
      </c>
      <c r="AZ259" s="1">
        <v>0</v>
      </c>
      <c r="BA259" s="1">
        <v>0</v>
      </c>
      <c r="BB259" s="1">
        <v>0</v>
      </c>
      <c r="BC259" s="1">
        <v>0</v>
      </c>
      <c r="BD259" s="1">
        <v>0</v>
      </c>
      <c r="BE259" s="1">
        <v>0</v>
      </c>
      <c r="BF259" s="1">
        <v>0</v>
      </c>
      <c r="BG259" s="1">
        <v>0</v>
      </c>
      <c r="BI259" s="1">
        <v>29</v>
      </c>
      <c r="BJ259" s="1">
        <v>0</v>
      </c>
      <c r="BK259" s="1">
        <v>3</v>
      </c>
    </row>
    <row r="260" spans="1:63" ht="12.75" customHeight="1" x14ac:dyDescent="0.15">
      <c r="A260" s="5" t="s">
        <v>238</v>
      </c>
      <c r="B260" s="5" t="s">
        <v>238</v>
      </c>
      <c r="C260" s="5">
        <v>4</v>
      </c>
      <c r="D260" s="5">
        <v>3</v>
      </c>
      <c r="E260" s="5">
        <v>3</v>
      </c>
      <c r="F260" s="5">
        <v>3</v>
      </c>
      <c r="G260" s="5">
        <v>3</v>
      </c>
      <c r="H260" s="5">
        <v>2</v>
      </c>
      <c r="I260" s="5">
        <v>2</v>
      </c>
      <c r="J260" s="5">
        <v>2</v>
      </c>
      <c r="K260" s="5">
        <v>2</v>
      </c>
      <c r="L260" s="5">
        <v>2</v>
      </c>
      <c r="M260" s="5">
        <v>2</v>
      </c>
      <c r="N260" s="5">
        <v>3</v>
      </c>
      <c r="O260" s="5">
        <v>31</v>
      </c>
      <c r="P260" s="5" t="s">
        <v>981</v>
      </c>
      <c r="Q260" s="5">
        <v>3</v>
      </c>
      <c r="R260" s="5">
        <v>4</v>
      </c>
      <c r="S260" s="5">
        <v>0</v>
      </c>
      <c r="T260" s="5">
        <v>7</v>
      </c>
      <c r="U260" s="5" t="s">
        <v>981</v>
      </c>
      <c r="V260" s="5">
        <v>2</v>
      </c>
      <c r="W260" s="5">
        <v>1</v>
      </c>
      <c r="X260" s="5">
        <v>3</v>
      </c>
      <c r="Y260" s="5">
        <v>6</v>
      </c>
      <c r="Z260" s="5" t="s">
        <v>981</v>
      </c>
      <c r="AA260" s="5">
        <v>2</v>
      </c>
      <c r="AB260" s="5">
        <v>2</v>
      </c>
      <c r="AC260" s="5">
        <v>1</v>
      </c>
      <c r="AD260" s="5">
        <v>2</v>
      </c>
      <c r="AE260" s="5">
        <v>7</v>
      </c>
      <c r="AF260" s="5" t="s">
        <v>981</v>
      </c>
      <c r="AG260" s="5">
        <v>2</v>
      </c>
      <c r="AH260" s="5">
        <v>0</v>
      </c>
      <c r="AI260" s="5">
        <v>0</v>
      </c>
      <c r="AJ260" s="5">
        <v>2</v>
      </c>
      <c r="AK260" s="5" t="s">
        <v>983</v>
      </c>
      <c r="AL260" s="5">
        <v>2</v>
      </c>
      <c r="AM260" s="5">
        <v>2</v>
      </c>
      <c r="AN260" s="5">
        <v>2</v>
      </c>
      <c r="AO260" s="5">
        <v>6</v>
      </c>
      <c r="AP260" s="5" t="s">
        <v>981</v>
      </c>
      <c r="AQ260" s="5">
        <v>0</v>
      </c>
      <c r="AR260" s="5">
        <v>0</v>
      </c>
      <c r="AS260" s="5">
        <v>0</v>
      </c>
      <c r="AT260" s="5">
        <v>0</v>
      </c>
      <c r="AU260" s="5">
        <v>0</v>
      </c>
      <c r="AV260" s="5">
        <v>0</v>
      </c>
      <c r="AW260" s="5">
        <v>0</v>
      </c>
      <c r="AX260" s="5">
        <v>0</v>
      </c>
      <c r="AY260" s="5" t="s">
        <v>983</v>
      </c>
      <c r="AZ260" s="1">
        <v>0</v>
      </c>
      <c r="BA260" s="1">
        <v>0</v>
      </c>
      <c r="BB260" s="1">
        <v>0</v>
      </c>
      <c r="BC260" s="1">
        <v>1</v>
      </c>
      <c r="BD260" s="1">
        <v>0</v>
      </c>
      <c r="BE260" s="1">
        <v>1</v>
      </c>
      <c r="BF260" s="1">
        <v>39</v>
      </c>
      <c r="BG260" s="1">
        <v>1</v>
      </c>
      <c r="BH260" s="1">
        <v>18</v>
      </c>
      <c r="BI260" s="1">
        <v>18</v>
      </c>
      <c r="BJ260" s="1">
        <v>950000</v>
      </c>
      <c r="BK260" s="1">
        <v>1</v>
      </c>
    </row>
    <row r="261" spans="1:63" ht="12.75" customHeight="1" x14ac:dyDescent="0.15">
      <c r="A261" s="5" t="s">
        <v>238</v>
      </c>
      <c r="B261" s="5" t="s">
        <v>238</v>
      </c>
      <c r="C261" s="5">
        <v>3</v>
      </c>
      <c r="D261" s="5">
        <v>3</v>
      </c>
      <c r="E261" s="5">
        <v>4</v>
      </c>
      <c r="F261" s="5">
        <v>3</v>
      </c>
      <c r="G261" s="5">
        <v>4</v>
      </c>
      <c r="H261" s="5">
        <v>3</v>
      </c>
      <c r="I261" s="5">
        <v>3</v>
      </c>
      <c r="J261" s="5">
        <v>3</v>
      </c>
      <c r="K261" s="5">
        <v>3</v>
      </c>
      <c r="L261" s="5">
        <v>3</v>
      </c>
      <c r="M261" s="5">
        <v>3</v>
      </c>
      <c r="N261" s="5">
        <v>3</v>
      </c>
      <c r="O261" s="5">
        <v>38</v>
      </c>
      <c r="P261" s="5" t="s">
        <v>981</v>
      </c>
      <c r="Q261" s="5">
        <v>1</v>
      </c>
      <c r="R261" s="5">
        <v>2</v>
      </c>
      <c r="S261" s="5">
        <v>1</v>
      </c>
      <c r="T261" s="5">
        <v>4</v>
      </c>
      <c r="U261" s="5" t="s">
        <v>982</v>
      </c>
      <c r="V261" s="5">
        <v>3</v>
      </c>
      <c r="W261" s="5">
        <v>2</v>
      </c>
      <c r="X261" s="5">
        <v>1</v>
      </c>
      <c r="Y261" s="5">
        <v>6</v>
      </c>
      <c r="Z261" s="5" t="s">
        <v>981</v>
      </c>
      <c r="AA261" s="5">
        <v>2</v>
      </c>
      <c r="AB261" s="5">
        <v>3</v>
      </c>
      <c r="AC261" s="5">
        <v>1</v>
      </c>
      <c r="AD261" s="5">
        <v>1</v>
      </c>
      <c r="AE261" s="5">
        <v>7</v>
      </c>
      <c r="AF261" s="5" t="s">
        <v>981</v>
      </c>
      <c r="AG261" s="5">
        <v>1</v>
      </c>
      <c r="AH261" s="5">
        <v>1</v>
      </c>
      <c r="AI261" s="5">
        <v>1</v>
      </c>
      <c r="AJ261" s="5">
        <v>3</v>
      </c>
      <c r="AK261" s="5" t="s">
        <v>982</v>
      </c>
      <c r="AL261" s="5">
        <v>3</v>
      </c>
      <c r="AM261" s="5">
        <v>3</v>
      </c>
      <c r="AN261" s="5">
        <v>2</v>
      </c>
      <c r="AO261" s="5">
        <v>8</v>
      </c>
      <c r="AP261" s="5" t="s">
        <v>981</v>
      </c>
      <c r="AQ261" s="5">
        <v>0</v>
      </c>
      <c r="AR261" s="5">
        <v>0</v>
      </c>
      <c r="AS261" s="5">
        <v>0</v>
      </c>
      <c r="AT261" s="5">
        <v>0</v>
      </c>
      <c r="AU261" s="5">
        <v>0</v>
      </c>
      <c r="AV261" s="5">
        <v>0</v>
      </c>
      <c r="AW261" s="5">
        <v>0</v>
      </c>
      <c r="AX261" s="5">
        <v>0</v>
      </c>
      <c r="AY261" s="5" t="s">
        <v>983</v>
      </c>
      <c r="AZ261" s="1">
        <v>0</v>
      </c>
      <c r="BA261" s="1">
        <v>0</v>
      </c>
      <c r="BB261" s="1">
        <v>0</v>
      </c>
      <c r="BC261" s="1">
        <v>1</v>
      </c>
      <c r="BD261" s="1">
        <v>1</v>
      </c>
      <c r="BE261" s="1">
        <v>1</v>
      </c>
      <c r="BF261" s="1">
        <v>40</v>
      </c>
      <c r="BG261" s="1">
        <v>1</v>
      </c>
      <c r="BH261" s="1">
        <v>2</v>
      </c>
      <c r="BI261" s="1">
        <v>1</v>
      </c>
      <c r="BJ261" s="1">
        <v>400000</v>
      </c>
      <c r="BK261" s="1">
        <v>5</v>
      </c>
    </row>
    <row r="262" spans="1:63" ht="12.75" customHeight="1" x14ac:dyDescent="0.15">
      <c r="A262" s="5" t="s">
        <v>238</v>
      </c>
      <c r="B262" s="5" t="s">
        <v>238</v>
      </c>
      <c r="C262" s="5">
        <v>3</v>
      </c>
      <c r="D262" s="5">
        <v>3</v>
      </c>
      <c r="E262" s="5">
        <v>3</v>
      </c>
      <c r="F262" s="5">
        <v>3</v>
      </c>
      <c r="G262" s="5">
        <v>1</v>
      </c>
      <c r="H262" s="5">
        <v>1</v>
      </c>
      <c r="I262" s="5">
        <v>1</v>
      </c>
      <c r="J262" s="5">
        <v>3</v>
      </c>
      <c r="K262" s="5">
        <v>3</v>
      </c>
      <c r="L262" s="5">
        <v>3</v>
      </c>
      <c r="M262" s="5">
        <v>3</v>
      </c>
      <c r="N262" s="5">
        <v>3</v>
      </c>
      <c r="O262" s="5">
        <v>30</v>
      </c>
      <c r="P262" s="5" t="s">
        <v>981</v>
      </c>
      <c r="Q262" s="5">
        <v>2</v>
      </c>
      <c r="R262" s="5">
        <v>2</v>
      </c>
      <c r="S262" s="5">
        <v>2</v>
      </c>
      <c r="T262" s="5">
        <v>6</v>
      </c>
      <c r="U262" s="5" t="s">
        <v>981</v>
      </c>
      <c r="V262" s="5">
        <v>2</v>
      </c>
      <c r="W262" s="5">
        <v>2</v>
      </c>
      <c r="X262" s="5">
        <v>2</v>
      </c>
      <c r="Y262" s="5">
        <v>6</v>
      </c>
      <c r="Z262" s="5" t="s">
        <v>981</v>
      </c>
      <c r="AA262" s="5">
        <v>2</v>
      </c>
      <c r="AB262" s="5">
        <v>2</v>
      </c>
      <c r="AC262" s="5">
        <v>2</v>
      </c>
      <c r="AD262" s="5">
        <v>2</v>
      </c>
      <c r="AE262" s="5">
        <v>8</v>
      </c>
      <c r="AF262" s="5" t="s">
        <v>981</v>
      </c>
      <c r="AG262" s="5">
        <v>2</v>
      </c>
      <c r="AH262" s="5">
        <v>2</v>
      </c>
      <c r="AI262" s="5">
        <v>2</v>
      </c>
      <c r="AJ262" s="5">
        <v>6</v>
      </c>
      <c r="AK262" s="5" t="s">
        <v>981</v>
      </c>
      <c r="AL262" s="5">
        <v>2</v>
      </c>
      <c r="AM262" s="5">
        <v>2</v>
      </c>
      <c r="AN262" s="5">
        <v>2</v>
      </c>
      <c r="AO262" s="5">
        <v>6</v>
      </c>
      <c r="AP262" s="5" t="s">
        <v>981</v>
      </c>
      <c r="AQ262" s="5">
        <v>0</v>
      </c>
      <c r="AR262" s="5">
        <v>0</v>
      </c>
      <c r="AS262" s="5">
        <v>0</v>
      </c>
      <c r="AT262" s="5">
        <v>0</v>
      </c>
      <c r="AU262" s="5">
        <v>0</v>
      </c>
      <c r="AV262" s="5">
        <v>0</v>
      </c>
      <c r="AW262" s="5">
        <v>0</v>
      </c>
      <c r="AX262" s="5">
        <v>0</v>
      </c>
      <c r="AY262" s="5" t="s">
        <v>983</v>
      </c>
      <c r="AZ262" s="1">
        <v>0</v>
      </c>
      <c r="BA262" s="1">
        <v>1</v>
      </c>
      <c r="BB262" s="1">
        <v>0</v>
      </c>
      <c r="BC262" s="1">
        <v>1</v>
      </c>
      <c r="BD262" s="1">
        <v>0</v>
      </c>
      <c r="BE262" s="1">
        <v>0</v>
      </c>
      <c r="BF262" s="1">
        <v>40</v>
      </c>
      <c r="BG262" s="1">
        <v>1</v>
      </c>
      <c r="BH262" s="1">
        <v>2</v>
      </c>
      <c r="BI262" s="1">
        <v>10</v>
      </c>
      <c r="BJ262" s="1">
        <v>800000</v>
      </c>
      <c r="BK262" s="1">
        <v>2</v>
      </c>
    </row>
    <row r="263" spans="1:63" ht="12.75" customHeight="1" x14ac:dyDescent="0.15">
      <c r="A263" s="5" t="s">
        <v>238</v>
      </c>
      <c r="B263" s="5" t="s">
        <v>238</v>
      </c>
      <c r="C263" s="5">
        <v>1</v>
      </c>
      <c r="D263" s="5">
        <v>2</v>
      </c>
      <c r="E263" s="5">
        <v>1</v>
      </c>
      <c r="F263" s="5">
        <v>1</v>
      </c>
      <c r="G263" s="5">
        <v>3</v>
      </c>
      <c r="H263" s="5">
        <v>1</v>
      </c>
      <c r="I263" s="5">
        <v>1</v>
      </c>
      <c r="J263" s="5">
        <v>1</v>
      </c>
      <c r="K263" s="5">
        <v>1</v>
      </c>
      <c r="L263" s="5">
        <v>1</v>
      </c>
      <c r="M263" s="5">
        <v>1</v>
      </c>
      <c r="N263" s="5">
        <v>1</v>
      </c>
      <c r="O263" s="5">
        <v>15</v>
      </c>
      <c r="P263" s="5" t="s">
        <v>983</v>
      </c>
      <c r="Q263" s="5">
        <v>0</v>
      </c>
      <c r="R263" s="5">
        <v>0</v>
      </c>
      <c r="S263" s="5">
        <v>0</v>
      </c>
      <c r="T263" s="5">
        <v>0</v>
      </c>
      <c r="U263" s="5" t="s">
        <v>983</v>
      </c>
      <c r="V263" s="5">
        <v>1</v>
      </c>
      <c r="W263" s="5">
        <v>0</v>
      </c>
      <c r="X263" s="5">
        <v>2</v>
      </c>
      <c r="Y263" s="5">
        <v>3</v>
      </c>
      <c r="Z263" s="5" t="s">
        <v>982</v>
      </c>
      <c r="AA263" s="5">
        <v>4</v>
      </c>
      <c r="AB263" s="5">
        <v>0</v>
      </c>
      <c r="AC263" s="5">
        <v>0</v>
      </c>
      <c r="AD263" s="5">
        <v>0</v>
      </c>
      <c r="AE263" s="5">
        <v>4</v>
      </c>
      <c r="AF263" s="5" t="s">
        <v>982</v>
      </c>
      <c r="AG263" s="5">
        <v>2</v>
      </c>
      <c r="AH263" s="5">
        <v>1</v>
      </c>
      <c r="AI263" s="5">
        <v>4</v>
      </c>
      <c r="AJ263" s="5">
        <v>7</v>
      </c>
      <c r="AK263" s="5" t="s">
        <v>981</v>
      </c>
      <c r="AL263" s="5">
        <v>1</v>
      </c>
      <c r="AM263" s="5">
        <v>1</v>
      </c>
      <c r="AN263" s="5">
        <v>1</v>
      </c>
      <c r="AO263" s="5">
        <v>3</v>
      </c>
      <c r="AP263" s="5" t="s">
        <v>982</v>
      </c>
      <c r="AQ263" s="5">
        <v>0</v>
      </c>
      <c r="AR263" s="5">
        <v>0</v>
      </c>
      <c r="AS263" s="5">
        <v>0</v>
      </c>
      <c r="AT263" s="5">
        <v>0</v>
      </c>
      <c r="AU263" s="5">
        <v>0</v>
      </c>
      <c r="AV263" s="5">
        <v>0</v>
      </c>
      <c r="AW263" s="5">
        <v>0</v>
      </c>
      <c r="AX263" s="5">
        <v>0</v>
      </c>
      <c r="AY263" s="5" t="s">
        <v>983</v>
      </c>
      <c r="AZ263" s="1">
        <v>1</v>
      </c>
      <c r="BA263" s="1">
        <v>0</v>
      </c>
      <c r="BB263" s="1">
        <v>0</v>
      </c>
      <c r="BC263" s="1">
        <v>1</v>
      </c>
      <c r="BD263" s="1">
        <v>1</v>
      </c>
      <c r="BE263" s="1">
        <v>1</v>
      </c>
      <c r="BF263" s="1">
        <v>58</v>
      </c>
      <c r="BG263" s="1">
        <v>0</v>
      </c>
      <c r="BH263" s="1">
        <v>2</v>
      </c>
      <c r="BI263" s="1">
        <v>1</v>
      </c>
      <c r="BJ263" s="1">
        <v>600000</v>
      </c>
      <c r="BK263" s="1">
        <v>1</v>
      </c>
    </row>
    <row r="264" spans="1:63" ht="12.75" customHeight="1" x14ac:dyDescent="0.15">
      <c r="A264" s="5" t="s">
        <v>238</v>
      </c>
      <c r="B264" s="5" t="s">
        <v>238</v>
      </c>
      <c r="C264" s="5">
        <v>2</v>
      </c>
      <c r="D264" s="5">
        <v>1</v>
      </c>
      <c r="E264" s="5">
        <v>1</v>
      </c>
      <c r="F264" s="5">
        <v>1</v>
      </c>
      <c r="G264" s="5">
        <v>1</v>
      </c>
      <c r="H264" s="5">
        <v>1</v>
      </c>
      <c r="I264" s="5">
        <v>1</v>
      </c>
      <c r="J264" s="5">
        <v>2</v>
      </c>
      <c r="K264" s="5">
        <v>2</v>
      </c>
      <c r="L264" s="5">
        <v>2</v>
      </c>
      <c r="M264" s="5">
        <v>2</v>
      </c>
      <c r="N264" s="5">
        <v>2</v>
      </c>
      <c r="O264" s="5">
        <v>18</v>
      </c>
      <c r="P264" s="5" t="s">
        <v>983</v>
      </c>
      <c r="Q264" s="5">
        <v>0</v>
      </c>
      <c r="R264" s="5">
        <v>1</v>
      </c>
      <c r="S264" s="5">
        <v>1</v>
      </c>
      <c r="T264" s="5">
        <v>2</v>
      </c>
      <c r="U264" s="5" t="s">
        <v>982</v>
      </c>
      <c r="V264" s="5">
        <v>1</v>
      </c>
      <c r="W264" s="5">
        <v>2</v>
      </c>
      <c r="X264" s="5">
        <v>3</v>
      </c>
      <c r="Y264" s="5">
        <v>6</v>
      </c>
      <c r="Z264" s="5" t="s">
        <v>981</v>
      </c>
      <c r="AA264" s="5">
        <v>0</v>
      </c>
      <c r="AB264" s="5">
        <v>3</v>
      </c>
      <c r="AC264" s="5">
        <v>0</v>
      </c>
      <c r="AD264" s="5">
        <v>0</v>
      </c>
      <c r="AE264" s="5">
        <v>3</v>
      </c>
      <c r="AF264" s="5" t="s">
        <v>982</v>
      </c>
      <c r="AG264" s="5">
        <v>0</v>
      </c>
      <c r="AH264" s="5">
        <v>0</v>
      </c>
      <c r="AI264" s="5">
        <v>0</v>
      </c>
      <c r="AJ264" s="5">
        <v>0</v>
      </c>
      <c r="AK264" s="5" t="s">
        <v>983</v>
      </c>
      <c r="AL264" s="5">
        <v>0</v>
      </c>
      <c r="AM264" s="5">
        <v>0</v>
      </c>
      <c r="AN264" s="5">
        <v>1</v>
      </c>
      <c r="AO264" s="5">
        <v>1</v>
      </c>
      <c r="AP264" s="5" t="s">
        <v>983</v>
      </c>
      <c r="AQ264" s="5">
        <v>0</v>
      </c>
      <c r="AR264" s="5">
        <v>0</v>
      </c>
      <c r="AS264" s="5">
        <v>0</v>
      </c>
      <c r="AT264" s="5">
        <v>0</v>
      </c>
      <c r="AU264" s="5">
        <v>0</v>
      </c>
      <c r="AV264" s="5">
        <v>0</v>
      </c>
      <c r="AW264" s="5">
        <v>0</v>
      </c>
      <c r="AX264" s="5">
        <v>0</v>
      </c>
      <c r="AY264" s="5" t="s">
        <v>983</v>
      </c>
      <c r="AZ264" s="1">
        <v>1</v>
      </c>
      <c r="BA264" s="1">
        <v>0</v>
      </c>
      <c r="BB264" s="1">
        <v>0</v>
      </c>
      <c r="BC264" s="1">
        <v>1</v>
      </c>
      <c r="BD264" s="1">
        <v>1</v>
      </c>
      <c r="BE264" s="1">
        <v>1</v>
      </c>
      <c r="BF264" s="1">
        <v>39</v>
      </c>
      <c r="BG264" s="1">
        <v>0</v>
      </c>
      <c r="BH264" s="1">
        <v>3</v>
      </c>
      <c r="BI264" s="1">
        <v>1</v>
      </c>
      <c r="BJ264" s="1">
        <v>700000</v>
      </c>
      <c r="BK264" s="1">
        <v>1</v>
      </c>
    </row>
    <row r="265" spans="1:63" ht="12.75" customHeight="1" x14ac:dyDescent="0.15">
      <c r="A265" s="5" t="s">
        <v>238</v>
      </c>
      <c r="B265" s="5" t="s">
        <v>238</v>
      </c>
      <c r="C265" s="5">
        <v>2</v>
      </c>
      <c r="D265" s="5">
        <v>2</v>
      </c>
      <c r="E265" s="5">
        <v>2</v>
      </c>
      <c r="F265" s="5">
        <v>1</v>
      </c>
      <c r="G265" s="5">
        <v>2</v>
      </c>
      <c r="H265" s="5">
        <v>2</v>
      </c>
      <c r="I265" s="5">
        <v>1</v>
      </c>
      <c r="J265" s="5">
        <v>2</v>
      </c>
      <c r="K265" s="5">
        <v>2</v>
      </c>
      <c r="L265" s="5">
        <v>2</v>
      </c>
      <c r="M265" s="5">
        <v>3</v>
      </c>
      <c r="N265" s="5">
        <v>2</v>
      </c>
      <c r="O265" s="5">
        <v>23</v>
      </c>
      <c r="P265" s="5" t="s">
        <v>982</v>
      </c>
      <c r="Q265" s="5">
        <v>2</v>
      </c>
      <c r="R265" s="5">
        <v>2</v>
      </c>
      <c r="S265" s="5">
        <v>2</v>
      </c>
      <c r="T265" s="5">
        <v>6</v>
      </c>
      <c r="U265" s="5" t="s">
        <v>981</v>
      </c>
      <c r="V265" s="5">
        <v>2</v>
      </c>
      <c r="W265" s="5">
        <v>2</v>
      </c>
      <c r="X265" s="5">
        <v>4</v>
      </c>
      <c r="Y265" s="5">
        <v>8</v>
      </c>
      <c r="Z265" s="5" t="s">
        <v>981</v>
      </c>
      <c r="AA265" s="5">
        <v>2</v>
      </c>
      <c r="AB265" s="5">
        <v>2</v>
      </c>
      <c r="AC265" s="5">
        <v>0</v>
      </c>
      <c r="AD265" s="5">
        <v>0</v>
      </c>
      <c r="AE265" s="5">
        <v>4</v>
      </c>
      <c r="AF265" s="5" t="s">
        <v>982</v>
      </c>
      <c r="AG265" s="5">
        <v>1</v>
      </c>
      <c r="AH265" s="5">
        <v>1</v>
      </c>
      <c r="AI265" s="5">
        <v>1</v>
      </c>
      <c r="AJ265" s="5">
        <v>3</v>
      </c>
      <c r="AK265" s="5" t="s">
        <v>982</v>
      </c>
      <c r="AL265" s="5">
        <v>3</v>
      </c>
      <c r="AM265" s="5">
        <v>3</v>
      </c>
      <c r="AN265" s="5">
        <v>3</v>
      </c>
      <c r="AO265" s="5">
        <v>9</v>
      </c>
      <c r="AP265" s="5" t="s">
        <v>981</v>
      </c>
      <c r="AQ265" s="5">
        <v>1</v>
      </c>
      <c r="AR265" s="5">
        <v>1</v>
      </c>
      <c r="AS265" s="5">
        <v>1</v>
      </c>
      <c r="AT265" s="5">
        <v>0</v>
      </c>
      <c r="AU265" s="5">
        <v>0</v>
      </c>
      <c r="AV265" s="5">
        <v>1</v>
      </c>
      <c r="AW265" s="5">
        <v>4</v>
      </c>
      <c r="AX265" s="5">
        <v>8</v>
      </c>
      <c r="AY265" s="5" t="s">
        <v>982</v>
      </c>
      <c r="AZ265" s="1">
        <v>0</v>
      </c>
      <c r="BA265" s="1">
        <v>1</v>
      </c>
      <c r="BB265" s="1">
        <v>0</v>
      </c>
      <c r="BC265" s="1">
        <v>1</v>
      </c>
      <c r="BD265" s="1">
        <v>1</v>
      </c>
      <c r="BE265" s="1">
        <v>1</v>
      </c>
      <c r="BF265" s="1">
        <v>39</v>
      </c>
      <c r="BG265" s="1">
        <v>0</v>
      </c>
      <c r="BH265" s="1">
        <v>3</v>
      </c>
      <c r="BI265" s="1">
        <v>1</v>
      </c>
      <c r="BJ265" s="1">
        <v>700000</v>
      </c>
      <c r="BK265" s="1">
        <v>1</v>
      </c>
    </row>
    <row r="266" spans="1:63" ht="12.75" customHeight="1" x14ac:dyDescent="0.15">
      <c r="A266" s="5" t="s">
        <v>238</v>
      </c>
      <c r="B266" s="5" t="s">
        <v>238</v>
      </c>
      <c r="C266" s="5">
        <v>1</v>
      </c>
      <c r="D266" s="5">
        <v>2</v>
      </c>
      <c r="E266" s="5">
        <v>1</v>
      </c>
      <c r="F266" s="5">
        <v>1</v>
      </c>
      <c r="G266" s="5">
        <v>2</v>
      </c>
      <c r="H266" s="5">
        <v>1</v>
      </c>
      <c r="I266" s="5">
        <v>1</v>
      </c>
      <c r="J266" s="5">
        <v>1</v>
      </c>
      <c r="K266" s="5">
        <v>1</v>
      </c>
      <c r="L266" s="5">
        <v>1</v>
      </c>
      <c r="M266" s="5">
        <v>1</v>
      </c>
      <c r="N266" s="5">
        <v>1</v>
      </c>
      <c r="O266" s="5">
        <v>14</v>
      </c>
      <c r="P266" s="5" t="s">
        <v>983</v>
      </c>
      <c r="Q266" s="5">
        <v>1</v>
      </c>
      <c r="R266" s="5">
        <v>2</v>
      </c>
      <c r="S266" s="5">
        <v>1</v>
      </c>
      <c r="T266" s="5">
        <v>4</v>
      </c>
      <c r="U266" s="5" t="s">
        <v>982</v>
      </c>
      <c r="V266" s="5">
        <v>1</v>
      </c>
      <c r="W266" s="5">
        <v>1</v>
      </c>
      <c r="X266" s="5">
        <v>2</v>
      </c>
      <c r="Y266" s="5">
        <v>4</v>
      </c>
      <c r="Z266" s="5" t="s">
        <v>982</v>
      </c>
      <c r="AA266" s="5">
        <v>2</v>
      </c>
      <c r="AB266" s="5">
        <v>1</v>
      </c>
      <c r="AC266" s="5">
        <v>0</v>
      </c>
      <c r="AD266" s="5">
        <v>0</v>
      </c>
      <c r="AE266" s="5">
        <v>3</v>
      </c>
      <c r="AF266" s="5" t="s">
        <v>982</v>
      </c>
      <c r="AG266" s="5">
        <v>1</v>
      </c>
      <c r="AH266" s="5">
        <v>1</v>
      </c>
      <c r="AI266" s="5">
        <v>1</v>
      </c>
      <c r="AJ266" s="5">
        <v>3</v>
      </c>
      <c r="AK266" s="5" t="s">
        <v>982</v>
      </c>
      <c r="AL266" s="5">
        <v>1</v>
      </c>
      <c r="AM266" s="5">
        <v>1</v>
      </c>
      <c r="AN266" s="5">
        <v>1</v>
      </c>
      <c r="AO266" s="5">
        <v>3</v>
      </c>
      <c r="AP266" s="5" t="s">
        <v>982</v>
      </c>
      <c r="AQ266" s="5">
        <v>0</v>
      </c>
      <c r="AR266" s="5">
        <v>0</v>
      </c>
      <c r="AS266" s="5">
        <v>0</v>
      </c>
      <c r="AT266" s="5">
        <v>0</v>
      </c>
      <c r="AU266" s="5">
        <v>0</v>
      </c>
      <c r="AV266" s="5">
        <v>0</v>
      </c>
      <c r="AW266" s="5">
        <v>0</v>
      </c>
      <c r="AX266" s="5">
        <v>0</v>
      </c>
      <c r="AY266" s="5" t="s">
        <v>983</v>
      </c>
      <c r="AZ266" s="1">
        <v>1</v>
      </c>
      <c r="BA266" s="1">
        <v>0</v>
      </c>
      <c r="BB266" s="1">
        <v>1</v>
      </c>
      <c r="BC266" s="1">
        <v>1</v>
      </c>
      <c r="BD266" s="1">
        <v>1</v>
      </c>
      <c r="BE266" s="1">
        <v>1</v>
      </c>
      <c r="BF266" s="1">
        <v>61</v>
      </c>
      <c r="BG266" s="1">
        <v>1</v>
      </c>
      <c r="BH266" s="1">
        <v>15</v>
      </c>
      <c r="BI266" s="1">
        <v>1</v>
      </c>
      <c r="BJ266" s="1">
        <v>0</v>
      </c>
      <c r="BK266" s="1">
        <v>2</v>
      </c>
    </row>
    <row r="267" spans="1:63" ht="12.75" customHeight="1" x14ac:dyDescent="0.15">
      <c r="A267" s="5" t="s">
        <v>238</v>
      </c>
      <c r="B267" s="5" t="s">
        <v>238</v>
      </c>
      <c r="C267" s="5">
        <v>2</v>
      </c>
      <c r="D267" s="5">
        <v>2</v>
      </c>
      <c r="E267" s="5">
        <v>2</v>
      </c>
      <c r="F267" s="5">
        <v>1</v>
      </c>
      <c r="G267" s="5">
        <v>1</v>
      </c>
      <c r="H267" s="5">
        <v>1</v>
      </c>
      <c r="I267" s="5">
        <v>1</v>
      </c>
      <c r="J267" s="5">
        <v>4</v>
      </c>
      <c r="K267" s="5">
        <v>1</v>
      </c>
      <c r="L267" s="5">
        <v>2</v>
      </c>
      <c r="M267" s="5">
        <v>1</v>
      </c>
      <c r="N267" s="5">
        <v>1</v>
      </c>
      <c r="O267" s="5">
        <v>19</v>
      </c>
      <c r="P267" s="5" t="s">
        <v>982</v>
      </c>
      <c r="Q267" s="5">
        <v>1</v>
      </c>
      <c r="R267" s="5">
        <v>2</v>
      </c>
      <c r="S267" s="5">
        <v>0</v>
      </c>
      <c r="T267" s="5">
        <v>3</v>
      </c>
      <c r="U267" s="5" t="s">
        <v>982</v>
      </c>
      <c r="V267" s="5">
        <v>0</v>
      </c>
      <c r="W267" s="5">
        <v>1</v>
      </c>
      <c r="X267" s="5">
        <v>1</v>
      </c>
      <c r="Y267" s="5">
        <v>2</v>
      </c>
      <c r="Z267" s="5" t="s">
        <v>982</v>
      </c>
      <c r="AA267" s="5">
        <v>0</v>
      </c>
      <c r="AB267" s="5">
        <v>0</v>
      </c>
      <c r="AC267" s="5">
        <v>0</v>
      </c>
      <c r="AD267" s="5">
        <v>0</v>
      </c>
      <c r="AE267" s="5">
        <v>0</v>
      </c>
      <c r="AF267" s="5" t="s">
        <v>983</v>
      </c>
      <c r="AG267" s="5">
        <v>0</v>
      </c>
      <c r="AH267" s="5">
        <v>0</v>
      </c>
      <c r="AI267" s="5">
        <v>0</v>
      </c>
      <c r="AJ267" s="5">
        <v>0</v>
      </c>
      <c r="AK267" s="5" t="s">
        <v>983</v>
      </c>
      <c r="AL267" s="5">
        <v>0</v>
      </c>
      <c r="AM267" s="5">
        <v>0</v>
      </c>
      <c r="AN267" s="5">
        <v>0</v>
      </c>
      <c r="AO267" s="5">
        <v>0</v>
      </c>
      <c r="AP267" s="5" t="s">
        <v>983</v>
      </c>
      <c r="AQ267" s="5">
        <v>0</v>
      </c>
      <c r="AR267" s="5">
        <v>0</v>
      </c>
      <c r="AS267" s="5">
        <v>0</v>
      </c>
      <c r="AT267" s="5">
        <v>0</v>
      </c>
      <c r="AU267" s="5">
        <v>0</v>
      </c>
      <c r="AV267" s="5">
        <v>0</v>
      </c>
      <c r="AW267" s="5">
        <v>0</v>
      </c>
      <c r="AX267" s="5">
        <v>0</v>
      </c>
      <c r="AY267" s="5" t="s">
        <v>983</v>
      </c>
      <c r="AZ267" s="1">
        <v>1</v>
      </c>
      <c r="BA267" s="1">
        <v>0</v>
      </c>
      <c r="BB267" s="1">
        <v>1</v>
      </c>
      <c r="BC267" s="1">
        <v>1</v>
      </c>
      <c r="BD267" s="1">
        <v>1</v>
      </c>
      <c r="BE267" s="1">
        <v>1</v>
      </c>
      <c r="BF267" s="1">
        <v>0</v>
      </c>
      <c r="BG267" s="1">
        <v>0</v>
      </c>
      <c r="BI267" s="1">
        <v>1</v>
      </c>
      <c r="BJ267" s="1">
        <v>0</v>
      </c>
      <c r="BK267" s="1">
        <v>4</v>
      </c>
    </row>
    <row r="268" spans="1:63" ht="12.75" customHeight="1" x14ac:dyDescent="0.15">
      <c r="A268" s="5" t="s">
        <v>238</v>
      </c>
      <c r="B268" s="5" t="s">
        <v>238</v>
      </c>
      <c r="C268" s="5">
        <v>1</v>
      </c>
      <c r="D268" s="5">
        <v>4</v>
      </c>
      <c r="E268" s="5">
        <v>2</v>
      </c>
      <c r="F268" s="5">
        <v>1</v>
      </c>
      <c r="G268" s="5">
        <v>2</v>
      </c>
      <c r="H268" s="5">
        <v>1</v>
      </c>
      <c r="I268" s="5">
        <v>1</v>
      </c>
      <c r="J268" s="5">
        <v>1</v>
      </c>
      <c r="K268" s="5">
        <v>1</v>
      </c>
      <c r="L268" s="5">
        <v>3</v>
      </c>
      <c r="M268" s="5">
        <v>3</v>
      </c>
      <c r="N268" s="5">
        <v>2</v>
      </c>
      <c r="O268" s="5">
        <v>22</v>
      </c>
      <c r="P268" s="5" t="s">
        <v>982</v>
      </c>
      <c r="Q268" s="5">
        <v>2</v>
      </c>
      <c r="R268" s="5">
        <v>3</v>
      </c>
      <c r="S268" s="5">
        <v>2</v>
      </c>
      <c r="T268" s="5">
        <v>7</v>
      </c>
      <c r="U268" s="5" t="s">
        <v>981</v>
      </c>
      <c r="V268" s="5">
        <v>2</v>
      </c>
      <c r="W268" s="5">
        <v>2</v>
      </c>
      <c r="X268" s="5">
        <v>3</v>
      </c>
      <c r="Y268" s="5">
        <v>7</v>
      </c>
      <c r="Z268" s="5" t="s">
        <v>981</v>
      </c>
      <c r="AA268" s="5">
        <v>2</v>
      </c>
      <c r="AB268" s="5">
        <v>3</v>
      </c>
      <c r="AC268" s="5">
        <v>3</v>
      </c>
      <c r="AD268" s="5">
        <v>0</v>
      </c>
      <c r="AE268" s="5">
        <v>8</v>
      </c>
      <c r="AF268" s="5" t="s">
        <v>981</v>
      </c>
      <c r="AG268" s="5">
        <v>2</v>
      </c>
      <c r="AH268" s="5">
        <v>2</v>
      </c>
      <c r="AI268" s="5">
        <v>3</v>
      </c>
      <c r="AJ268" s="5">
        <v>7</v>
      </c>
      <c r="AK268" s="5" t="s">
        <v>981</v>
      </c>
      <c r="AL268" s="5">
        <v>2</v>
      </c>
      <c r="AM268" s="5">
        <v>3</v>
      </c>
      <c r="AN268" s="5">
        <v>3</v>
      </c>
      <c r="AO268" s="5">
        <v>8</v>
      </c>
      <c r="AP268" s="5" t="s">
        <v>981</v>
      </c>
      <c r="AQ268" s="5">
        <v>1</v>
      </c>
      <c r="AR268" s="5">
        <v>0</v>
      </c>
      <c r="AS268" s="5">
        <v>1</v>
      </c>
      <c r="AT268" s="5">
        <v>0</v>
      </c>
      <c r="AU268" s="5">
        <v>0</v>
      </c>
      <c r="AV268" s="5">
        <v>0</v>
      </c>
      <c r="AW268" s="5">
        <v>0</v>
      </c>
      <c r="AX268" s="5">
        <v>2</v>
      </c>
      <c r="AY268" s="5" t="s">
        <v>982</v>
      </c>
      <c r="AZ268" s="1">
        <v>0</v>
      </c>
      <c r="BA268" s="1">
        <v>0</v>
      </c>
      <c r="BB268" s="1">
        <v>0</v>
      </c>
      <c r="BC268" s="1">
        <v>0</v>
      </c>
      <c r="BD268" s="1">
        <v>0</v>
      </c>
      <c r="BE268" s="1">
        <v>0</v>
      </c>
      <c r="BF268" s="1">
        <v>33</v>
      </c>
      <c r="BG268" s="1">
        <v>0</v>
      </c>
      <c r="BH268" s="1">
        <v>14</v>
      </c>
      <c r="BI268" s="1">
        <v>1</v>
      </c>
      <c r="BJ268" s="1">
        <v>100000</v>
      </c>
      <c r="BK268" s="1">
        <v>3</v>
      </c>
    </row>
    <row r="269" spans="1:63" ht="12.75" customHeight="1" x14ac:dyDescent="0.15">
      <c r="A269" s="5" t="s">
        <v>238</v>
      </c>
      <c r="B269" s="5" t="s">
        <v>238</v>
      </c>
      <c r="C269" s="5">
        <v>1</v>
      </c>
      <c r="D269" s="5">
        <v>1</v>
      </c>
      <c r="E269" s="5">
        <v>2</v>
      </c>
      <c r="F269" s="5">
        <v>1</v>
      </c>
      <c r="G269" s="5">
        <v>2</v>
      </c>
      <c r="H269" s="5">
        <v>1</v>
      </c>
      <c r="I269" s="5">
        <v>1</v>
      </c>
      <c r="J269" s="5">
        <v>1</v>
      </c>
      <c r="K269" s="5">
        <v>1</v>
      </c>
      <c r="L269" s="5">
        <v>2</v>
      </c>
      <c r="M269" s="5">
        <v>1</v>
      </c>
      <c r="N269" s="5">
        <v>1</v>
      </c>
      <c r="O269" s="5">
        <v>15</v>
      </c>
      <c r="P269" s="5" t="s">
        <v>983</v>
      </c>
      <c r="Q269" s="5">
        <v>2</v>
      </c>
      <c r="R269" s="5">
        <v>1</v>
      </c>
      <c r="S269" s="5">
        <v>0</v>
      </c>
      <c r="T269" s="5">
        <v>3</v>
      </c>
      <c r="U269" s="5" t="s">
        <v>982</v>
      </c>
      <c r="V269" s="5">
        <v>0</v>
      </c>
      <c r="W269" s="5">
        <v>0</v>
      </c>
      <c r="X269" s="5">
        <v>2</v>
      </c>
      <c r="Y269" s="5">
        <v>2</v>
      </c>
      <c r="Z269" s="5" t="s">
        <v>982</v>
      </c>
      <c r="AA269" s="5">
        <v>4</v>
      </c>
      <c r="AB269" s="5">
        <v>4</v>
      </c>
      <c r="AC269" s="5">
        <v>3</v>
      </c>
      <c r="AD269" s="5">
        <v>4</v>
      </c>
      <c r="AE269" s="5">
        <v>15</v>
      </c>
      <c r="AF269" s="5" t="s">
        <v>981</v>
      </c>
      <c r="AG269" s="5">
        <v>0</v>
      </c>
      <c r="AH269" s="5">
        <v>0</v>
      </c>
      <c r="AI269" s="5">
        <v>0</v>
      </c>
      <c r="AJ269" s="5">
        <v>0</v>
      </c>
      <c r="AK269" s="5" t="s">
        <v>983</v>
      </c>
      <c r="AL269" s="5">
        <v>0</v>
      </c>
      <c r="AM269" s="5">
        <v>0</v>
      </c>
      <c r="AN269" s="5">
        <v>0</v>
      </c>
      <c r="AO269" s="5">
        <v>0</v>
      </c>
      <c r="AP269" s="5" t="s">
        <v>983</v>
      </c>
      <c r="AQ269" s="5">
        <v>0</v>
      </c>
      <c r="AR269" s="5">
        <v>0</v>
      </c>
      <c r="AS269" s="5">
        <v>0</v>
      </c>
      <c r="AT269" s="5">
        <v>0</v>
      </c>
      <c r="AU269" s="5">
        <v>0</v>
      </c>
      <c r="AV269" s="5">
        <v>0</v>
      </c>
      <c r="AW269" s="5">
        <v>0</v>
      </c>
      <c r="AX269" s="5">
        <v>0</v>
      </c>
      <c r="AY269" s="5" t="s">
        <v>983</v>
      </c>
      <c r="AZ269" s="1">
        <v>1</v>
      </c>
      <c r="BA269" s="1">
        <v>0</v>
      </c>
      <c r="BB269" s="1">
        <v>1</v>
      </c>
      <c r="BC269" s="1">
        <v>1</v>
      </c>
      <c r="BD269" s="1">
        <v>0</v>
      </c>
      <c r="BE269" s="1">
        <v>1</v>
      </c>
      <c r="BF269" s="1">
        <v>33</v>
      </c>
      <c r="BG269" s="1">
        <v>0</v>
      </c>
      <c r="BH269" s="1">
        <v>14</v>
      </c>
      <c r="BI269" s="1">
        <v>1</v>
      </c>
      <c r="BJ269" s="1">
        <v>100000</v>
      </c>
      <c r="BK269" s="1">
        <v>3</v>
      </c>
    </row>
    <row r="270" spans="1:63" ht="12.75" customHeight="1" x14ac:dyDescent="0.15">
      <c r="A270" s="5" t="s">
        <v>238</v>
      </c>
      <c r="B270" s="5" t="s">
        <v>238</v>
      </c>
      <c r="C270" s="5">
        <v>2</v>
      </c>
      <c r="D270" s="5">
        <v>1</v>
      </c>
      <c r="E270" s="5">
        <v>1</v>
      </c>
      <c r="F270" s="5">
        <v>1</v>
      </c>
      <c r="G270" s="5">
        <v>1</v>
      </c>
      <c r="H270" s="5">
        <v>1</v>
      </c>
      <c r="I270" s="5">
        <v>1</v>
      </c>
      <c r="J270" s="5">
        <v>2</v>
      </c>
      <c r="K270" s="5">
        <v>2</v>
      </c>
      <c r="L270" s="5">
        <v>2</v>
      </c>
      <c r="M270" s="5">
        <v>2</v>
      </c>
      <c r="N270" s="5">
        <v>2</v>
      </c>
      <c r="O270" s="5">
        <v>18</v>
      </c>
      <c r="P270" s="5" t="s">
        <v>983</v>
      </c>
      <c r="Q270" s="5">
        <v>2</v>
      </c>
      <c r="R270" s="5">
        <v>0</v>
      </c>
      <c r="S270" s="5">
        <v>0</v>
      </c>
      <c r="T270" s="5">
        <v>2</v>
      </c>
      <c r="U270" s="5" t="s">
        <v>982</v>
      </c>
      <c r="V270" s="5">
        <v>0</v>
      </c>
      <c r="W270" s="5">
        <v>0</v>
      </c>
      <c r="X270" s="5">
        <v>0</v>
      </c>
      <c r="Y270" s="5">
        <v>0</v>
      </c>
      <c r="Z270" s="5" t="s">
        <v>983</v>
      </c>
      <c r="AA270" s="5">
        <v>4</v>
      </c>
      <c r="AB270" s="5">
        <v>4</v>
      </c>
      <c r="AC270" s="5">
        <v>4</v>
      </c>
      <c r="AD270" s="5">
        <v>4</v>
      </c>
      <c r="AE270" s="5">
        <v>16</v>
      </c>
      <c r="AF270" s="5" t="s">
        <v>981</v>
      </c>
      <c r="AG270" s="5">
        <v>0</v>
      </c>
      <c r="AH270" s="5">
        <v>0</v>
      </c>
      <c r="AI270" s="5">
        <v>0</v>
      </c>
      <c r="AJ270" s="5">
        <v>0</v>
      </c>
      <c r="AK270" s="5" t="s">
        <v>983</v>
      </c>
      <c r="AL270" s="5">
        <v>0</v>
      </c>
      <c r="AM270" s="5">
        <v>0</v>
      </c>
      <c r="AN270" s="5">
        <v>0</v>
      </c>
      <c r="AO270" s="5">
        <v>0</v>
      </c>
      <c r="AP270" s="5" t="s">
        <v>983</v>
      </c>
      <c r="AQ270" s="5">
        <v>0</v>
      </c>
      <c r="AR270" s="5">
        <v>0</v>
      </c>
      <c r="AS270" s="5">
        <v>0</v>
      </c>
      <c r="AT270" s="5">
        <v>0</v>
      </c>
      <c r="AU270" s="5">
        <v>0</v>
      </c>
      <c r="AV270" s="5">
        <v>0</v>
      </c>
      <c r="AW270" s="5">
        <v>0</v>
      </c>
      <c r="AX270" s="5">
        <v>0</v>
      </c>
      <c r="AY270" s="5" t="s">
        <v>983</v>
      </c>
      <c r="AZ270" s="1">
        <v>0</v>
      </c>
      <c r="BA270" s="1">
        <v>0</v>
      </c>
      <c r="BB270" s="1">
        <v>0</v>
      </c>
      <c r="BC270" s="1">
        <v>1</v>
      </c>
      <c r="BD270" s="1">
        <v>1</v>
      </c>
      <c r="BE270" s="1">
        <v>1</v>
      </c>
      <c r="BF270" s="1">
        <v>48</v>
      </c>
      <c r="BG270" s="1">
        <v>0</v>
      </c>
      <c r="BH270" s="1">
        <v>17</v>
      </c>
      <c r="BI270" s="1">
        <v>7</v>
      </c>
      <c r="BJ270" s="1">
        <v>650000</v>
      </c>
      <c r="BK270" s="1">
        <v>2</v>
      </c>
    </row>
    <row r="271" spans="1:63" ht="12.75" customHeight="1" x14ac:dyDescent="0.15">
      <c r="A271" s="5" t="s">
        <v>238</v>
      </c>
      <c r="B271" s="5" t="s">
        <v>238</v>
      </c>
      <c r="C271" s="5">
        <v>3</v>
      </c>
      <c r="D271" s="5">
        <v>3</v>
      </c>
      <c r="E271" s="5">
        <v>3</v>
      </c>
      <c r="F271" s="5">
        <v>3</v>
      </c>
      <c r="G271" s="5">
        <v>2</v>
      </c>
      <c r="H271" s="5">
        <v>2</v>
      </c>
      <c r="I271" s="5">
        <v>1</v>
      </c>
      <c r="J271" s="5">
        <v>1</v>
      </c>
      <c r="K271" s="5">
        <v>1</v>
      </c>
      <c r="L271" s="5">
        <v>2</v>
      </c>
      <c r="M271" s="5">
        <v>2</v>
      </c>
      <c r="N271" s="5">
        <v>2</v>
      </c>
      <c r="O271" s="5">
        <v>25</v>
      </c>
      <c r="P271" s="5" t="s">
        <v>981</v>
      </c>
      <c r="Q271" s="5">
        <v>1</v>
      </c>
      <c r="R271" s="5">
        <v>0</v>
      </c>
      <c r="S271" s="5">
        <v>0</v>
      </c>
      <c r="T271" s="5">
        <v>1</v>
      </c>
      <c r="U271" s="5" t="s">
        <v>983</v>
      </c>
      <c r="V271" s="5">
        <v>1</v>
      </c>
      <c r="W271" s="5">
        <v>2</v>
      </c>
      <c r="X271" s="5">
        <v>1</v>
      </c>
      <c r="Y271" s="5">
        <v>4</v>
      </c>
      <c r="Z271" s="5" t="s">
        <v>982</v>
      </c>
      <c r="AA271" s="5">
        <v>3</v>
      </c>
      <c r="AB271" s="5">
        <v>2</v>
      </c>
      <c r="AC271" s="5">
        <v>1</v>
      </c>
      <c r="AD271" s="5">
        <v>1</v>
      </c>
      <c r="AE271" s="5">
        <v>7</v>
      </c>
      <c r="AF271" s="5" t="s">
        <v>981</v>
      </c>
      <c r="AG271" s="5">
        <v>0</v>
      </c>
      <c r="AH271" s="5">
        <v>0</v>
      </c>
      <c r="AI271" s="5">
        <v>0</v>
      </c>
      <c r="AJ271" s="5">
        <v>0</v>
      </c>
      <c r="AK271" s="5" t="s">
        <v>983</v>
      </c>
      <c r="AL271" s="5">
        <v>1</v>
      </c>
      <c r="AM271" s="5">
        <v>2</v>
      </c>
      <c r="AN271" s="5">
        <v>1</v>
      </c>
      <c r="AO271" s="5">
        <v>4</v>
      </c>
      <c r="AP271" s="5" t="s">
        <v>982</v>
      </c>
      <c r="AQ271" s="5">
        <v>0</v>
      </c>
      <c r="AR271" s="5">
        <v>0</v>
      </c>
      <c r="AS271" s="5">
        <v>0</v>
      </c>
      <c r="AT271" s="5">
        <v>0</v>
      </c>
      <c r="AU271" s="5">
        <v>0</v>
      </c>
      <c r="AV271" s="5">
        <v>0</v>
      </c>
      <c r="AW271" s="5">
        <v>0</v>
      </c>
      <c r="AX271" s="5">
        <v>0</v>
      </c>
      <c r="AY271" s="5" t="s">
        <v>983</v>
      </c>
      <c r="AZ271" s="1">
        <v>1</v>
      </c>
      <c r="BA271" s="1">
        <v>0</v>
      </c>
      <c r="BB271" s="1">
        <v>0</v>
      </c>
      <c r="BC271" s="1">
        <v>1</v>
      </c>
      <c r="BD271" s="1">
        <v>1</v>
      </c>
      <c r="BE271" s="1">
        <v>1</v>
      </c>
      <c r="BF271" s="1">
        <v>62</v>
      </c>
      <c r="BG271" s="1">
        <v>0</v>
      </c>
      <c r="BH271" s="1">
        <v>14</v>
      </c>
      <c r="BI271" s="1">
        <v>1</v>
      </c>
      <c r="BJ271" s="1">
        <v>150000</v>
      </c>
      <c r="BK271" s="1">
        <v>1</v>
      </c>
    </row>
    <row r="272" spans="1:63" ht="12.75" customHeight="1" x14ac:dyDescent="0.15">
      <c r="A272" s="5" t="s">
        <v>330</v>
      </c>
      <c r="B272" s="5" t="s">
        <v>984</v>
      </c>
      <c r="C272" s="5">
        <v>2</v>
      </c>
      <c r="D272" s="5">
        <v>2</v>
      </c>
      <c r="E272" s="5">
        <v>2</v>
      </c>
      <c r="F272" s="5">
        <v>1</v>
      </c>
      <c r="G272" s="5">
        <v>2</v>
      </c>
      <c r="H272" s="5">
        <v>1</v>
      </c>
      <c r="I272" s="5">
        <v>1</v>
      </c>
      <c r="J272" s="5">
        <v>1</v>
      </c>
      <c r="K272" s="5">
        <v>1</v>
      </c>
      <c r="L272" s="5">
        <v>1</v>
      </c>
      <c r="M272" s="5">
        <v>2</v>
      </c>
      <c r="N272" s="5">
        <v>2</v>
      </c>
      <c r="O272" s="5">
        <v>18</v>
      </c>
      <c r="P272" s="5" t="s">
        <v>983</v>
      </c>
      <c r="Q272" s="5">
        <v>0</v>
      </c>
      <c r="R272" s="5">
        <v>1</v>
      </c>
      <c r="S272" s="5">
        <v>0</v>
      </c>
      <c r="T272" s="5">
        <v>1</v>
      </c>
      <c r="U272" s="5" t="s">
        <v>983</v>
      </c>
      <c r="V272" s="5">
        <v>1</v>
      </c>
      <c r="W272" s="5">
        <v>1</v>
      </c>
      <c r="X272" s="5">
        <v>1</v>
      </c>
      <c r="Y272" s="5">
        <v>3</v>
      </c>
      <c r="Z272" s="5" t="s">
        <v>982</v>
      </c>
      <c r="AA272" s="5">
        <v>4</v>
      </c>
      <c r="AB272" s="5">
        <v>4</v>
      </c>
      <c r="AC272" s="5">
        <v>4</v>
      </c>
      <c r="AD272" s="5">
        <v>4</v>
      </c>
      <c r="AE272" s="5">
        <v>16</v>
      </c>
      <c r="AF272" s="5" t="s">
        <v>981</v>
      </c>
      <c r="AG272" s="5">
        <v>0</v>
      </c>
      <c r="AH272" s="5">
        <v>0</v>
      </c>
      <c r="AI272" s="5">
        <v>0</v>
      </c>
      <c r="AJ272" s="5">
        <v>0</v>
      </c>
      <c r="AK272" s="5" t="s">
        <v>983</v>
      </c>
      <c r="AL272" s="5">
        <v>0</v>
      </c>
      <c r="AM272" s="5">
        <v>0</v>
      </c>
      <c r="AN272" s="5">
        <v>0</v>
      </c>
      <c r="AO272" s="5">
        <v>0</v>
      </c>
      <c r="AP272" s="5" t="s">
        <v>983</v>
      </c>
      <c r="AQ272" s="5">
        <v>0</v>
      </c>
      <c r="AR272" s="5">
        <v>0</v>
      </c>
      <c r="AS272" s="5">
        <v>0</v>
      </c>
      <c r="AT272" s="5">
        <v>0</v>
      </c>
      <c r="AU272" s="5">
        <v>0</v>
      </c>
      <c r="AV272" s="5">
        <v>0</v>
      </c>
      <c r="AW272" s="5">
        <v>0</v>
      </c>
      <c r="AX272" s="5">
        <v>0</v>
      </c>
      <c r="AY272" s="5" t="s">
        <v>983</v>
      </c>
      <c r="AZ272" s="1">
        <v>1</v>
      </c>
      <c r="BA272" s="1">
        <v>0</v>
      </c>
      <c r="BB272" s="1">
        <v>1</v>
      </c>
      <c r="BC272" s="1">
        <v>1</v>
      </c>
      <c r="BD272" s="1">
        <v>1</v>
      </c>
      <c r="BE272" s="1">
        <v>1</v>
      </c>
      <c r="BF272" s="1">
        <v>47</v>
      </c>
      <c r="BG272" s="1">
        <v>0</v>
      </c>
      <c r="BH272" s="1">
        <v>15</v>
      </c>
      <c r="BI272" s="1">
        <v>31</v>
      </c>
      <c r="BJ272" s="1">
        <v>0</v>
      </c>
      <c r="BK272" s="1">
        <v>3</v>
      </c>
    </row>
    <row r="273" spans="1:63" ht="12.75" customHeight="1" x14ac:dyDescent="0.15">
      <c r="A273" s="5" t="s">
        <v>337</v>
      </c>
      <c r="B273" s="5" t="s">
        <v>984</v>
      </c>
      <c r="C273" s="5">
        <v>2</v>
      </c>
      <c r="D273" s="5">
        <v>2</v>
      </c>
      <c r="E273" s="5">
        <v>2</v>
      </c>
      <c r="F273" s="5">
        <v>2</v>
      </c>
      <c r="G273" s="5">
        <v>2</v>
      </c>
      <c r="H273" s="5">
        <v>1</v>
      </c>
      <c r="I273" s="5">
        <v>1</v>
      </c>
      <c r="J273" s="5">
        <v>2</v>
      </c>
      <c r="K273" s="5">
        <v>2</v>
      </c>
      <c r="L273" s="5">
        <v>3</v>
      </c>
      <c r="M273" s="5">
        <v>2</v>
      </c>
      <c r="N273" s="5">
        <v>2</v>
      </c>
      <c r="O273" s="5">
        <v>23</v>
      </c>
      <c r="P273" s="5" t="s">
        <v>982</v>
      </c>
      <c r="Q273" s="5">
        <v>2</v>
      </c>
      <c r="R273" s="5">
        <v>2</v>
      </c>
      <c r="S273" s="5">
        <v>1</v>
      </c>
      <c r="T273" s="5">
        <v>5</v>
      </c>
      <c r="U273" s="5" t="s">
        <v>981</v>
      </c>
      <c r="V273" s="5">
        <v>0</v>
      </c>
      <c r="W273" s="5">
        <v>0</v>
      </c>
      <c r="X273" s="5">
        <v>1</v>
      </c>
      <c r="Y273" s="5">
        <v>1</v>
      </c>
      <c r="Z273" s="5" t="s">
        <v>983</v>
      </c>
      <c r="AA273" s="5">
        <v>3</v>
      </c>
      <c r="AB273" s="5">
        <v>2</v>
      </c>
      <c r="AC273" s="5">
        <v>2</v>
      </c>
      <c r="AD273" s="5">
        <v>1</v>
      </c>
      <c r="AE273" s="5">
        <v>8</v>
      </c>
      <c r="AF273" s="5" t="s">
        <v>981</v>
      </c>
      <c r="AG273" s="5">
        <v>0</v>
      </c>
      <c r="AH273" s="5">
        <v>0</v>
      </c>
      <c r="AI273" s="5">
        <v>0</v>
      </c>
      <c r="AJ273" s="5">
        <v>0</v>
      </c>
      <c r="AK273" s="5" t="s">
        <v>983</v>
      </c>
      <c r="AL273" s="5">
        <v>0</v>
      </c>
      <c r="AM273" s="5">
        <v>0</v>
      </c>
      <c r="AN273" s="5">
        <v>0</v>
      </c>
      <c r="AO273" s="5">
        <v>0</v>
      </c>
      <c r="AP273" s="5" t="s">
        <v>983</v>
      </c>
      <c r="AQ273" s="5">
        <v>0</v>
      </c>
      <c r="AR273" s="5">
        <v>0</v>
      </c>
      <c r="AS273" s="5">
        <v>0</v>
      </c>
      <c r="AT273" s="5">
        <v>0</v>
      </c>
      <c r="AU273" s="5">
        <v>0</v>
      </c>
      <c r="AV273" s="5">
        <v>0</v>
      </c>
      <c r="AW273" s="5">
        <v>0</v>
      </c>
      <c r="AX273" s="5">
        <v>0</v>
      </c>
      <c r="AY273" s="5" t="s">
        <v>983</v>
      </c>
      <c r="AZ273" s="1">
        <v>0</v>
      </c>
      <c r="BA273" s="1">
        <v>0</v>
      </c>
      <c r="BB273" s="1">
        <v>0</v>
      </c>
      <c r="BC273" s="1">
        <v>1</v>
      </c>
      <c r="BD273" s="1">
        <v>1</v>
      </c>
      <c r="BE273" s="1">
        <v>1</v>
      </c>
      <c r="BF273" s="1">
        <v>35</v>
      </c>
      <c r="BG273" s="1">
        <v>0</v>
      </c>
      <c r="BH273" s="1">
        <v>3</v>
      </c>
      <c r="BI273" s="1">
        <v>34</v>
      </c>
      <c r="BJ273" s="1">
        <v>53000</v>
      </c>
      <c r="BK273" s="1">
        <v>2</v>
      </c>
    </row>
    <row r="274" spans="1:63" ht="12.75" customHeight="1" x14ac:dyDescent="0.15">
      <c r="A274" s="5" t="s">
        <v>238</v>
      </c>
      <c r="B274" s="5" t="s">
        <v>238</v>
      </c>
      <c r="C274" s="5">
        <v>1</v>
      </c>
      <c r="D274" s="5">
        <v>4</v>
      </c>
      <c r="E274" s="5">
        <v>4</v>
      </c>
      <c r="F274" s="5">
        <v>4</v>
      </c>
      <c r="G274" s="5">
        <v>4</v>
      </c>
      <c r="H274" s="5">
        <v>4</v>
      </c>
      <c r="I274" s="5">
        <v>4</v>
      </c>
      <c r="J274" s="5">
        <v>4</v>
      </c>
      <c r="K274" s="5">
        <v>4</v>
      </c>
      <c r="L274" s="5">
        <v>4</v>
      </c>
      <c r="M274" s="5">
        <v>4</v>
      </c>
      <c r="N274" s="5">
        <v>4</v>
      </c>
      <c r="O274" s="5">
        <v>45</v>
      </c>
      <c r="P274" s="5" t="s">
        <v>981</v>
      </c>
      <c r="Q274" s="5">
        <v>0</v>
      </c>
      <c r="R274" s="5">
        <v>1</v>
      </c>
      <c r="S274" s="5">
        <v>1</v>
      </c>
      <c r="T274" s="5">
        <v>2</v>
      </c>
      <c r="U274" s="5" t="s">
        <v>982</v>
      </c>
      <c r="V274" s="5">
        <v>1</v>
      </c>
      <c r="W274" s="5">
        <v>2</v>
      </c>
      <c r="X274" s="5">
        <v>1</v>
      </c>
      <c r="Y274" s="5">
        <v>4</v>
      </c>
      <c r="Z274" s="5" t="s">
        <v>982</v>
      </c>
      <c r="AA274" s="5">
        <v>3</v>
      </c>
      <c r="AB274" s="5">
        <v>3</v>
      </c>
      <c r="AC274" s="5">
        <v>3</v>
      </c>
      <c r="AD274" s="5">
        <v>4</v>
      </c>
      <c r="AE274" s="5">
        <v>13</v>
      </c>
      <c r="AF274" s="5" t="s">
        <v>981</v>
      </c>
      <c r="AG274" s="5">
        <v>0</v>
      </c>
      <c r="AH274" s="5">
        <v>0</v>
      </c>
      <c r="AI274" s="5">
        <v>1</v>
      </c>
      <c r="AJ274" s="5">
        <v>1</v>
      </c>
      <c r="AK274" s="5" t="s">
        <v>983</v>
      </c>
      <c r="AL274" s="5">
        <v>0</v>
      </c>
      <c r="AM274" s="5">
        <v>0</v>
      </c>
      <c r="AN274" s="5">
        <v>1</v>
      </c>
      <c r="AO274" s="5">
        <v>1</v>
      </c>
      <c r="AP274" s="5" t="s">
        <v>983</v>
      </c>
      <c r="AQ274" s="5">
        <v>0</v>
      </c>
      <c r="AR274" s="5">
        <v>0</v>
      </c>
      <c r="AS274" s="5">
        <v>0</v>
      </c>
      <c r="AT274" s="5">
        <v>0</v>
      </c>
      <c r="AU274" s="5">
        <v>0</v>
      </c>
      <c r="AV274" s="5">
        <v>0</v>
      </c>
      <c r="AW274" s="5">
        <v>0</v>
      </c>
      <c r="AX274" s="5">
        <v>0</v>
      </c>
      <c r="AY274" s="5" t="s">
        <v>983</v>
      </c>
      <c r="AZ274" s="1">
        <v>0</v>
      </c>
      <c r="BA274" s="1">
        <v>0</v>
      </c>
      <c r="BB274" s="1">
        <v>0</v>
      </c>
      <c r="BC274" s="1">
        <v>1</v>
      </c>
      <c r="BD274" s="1">
        <v>1</v>
      </c>
      <c r="BE274" s="1">
        <v>1</v>
      </c>
      <c r="BF274" s="1">
        <v>0</v>
      </c>
      <c r="BG274" s="1">
        <v>0</v>
      </c>
      <c r="BH274" s="1">
        <v>0</v>
      </c>
      <c r="BI274" s="1">
        <v>2</v>
      </c>
      <c r="BJ274" s="1">
        <v>0</v>
      </c>
      <c r="BK274" s="1">
        <v>2</v>
      </c>
    </row>
    <row r="275" spans="1:63" ht="12.75" customHeight="1" x14ac:dyDescent="0.15">
      <c r="A275" s="5" t="s">
        <v>337</v>
      </c>
      <c r="B275" s="5" t="s">
        <v>984</v>
      </c>
      <c r="C275" s="5">
        <v>2</v>
      </c>
      <c r="D275" s="5">
        <v>4</v>
      </c>
      <c r="E275" s="5">
        <v>4</v>
      </c>
      <c r="F275" s="5">
        <v>4</v>
      </c>
      <c r="G275" s="5">
        <v>4</v>
      </c>
      <c r="H275" s="5">
        <v>4</v>
      </c>
      <c r="I275" s="5">
        <v>4</v>
      </c>
      <c r="J275" s="5">
        <v>2</v>
      </c>
      <c r="K275" s="5">
        <v>1</v>
      </c>
      <c r="L275" s="5">
        <v>4</v>
      </c>
      <c r="M275" s="5">
        <v>1</v>
      </c>
      <c r="N275" s="5">
        <v>2</v>
      </c>
      <c r="O275" s="5">
        <v>36</v>
      </c>
      <c r="P275" s="5" t="s">
        <v>981</v>
      </c>
      <c r="Q275" s="5">
        <v>0</v>
      </c>
      <c r="R275" s="5">
        <v>3</v>
      </c>
      <c r="S275" s="5">
        <v>1</v>
      </c>
      <c r="T275" s="5">
        <v>4</v>
      </c>
      <c r="U275" s="5" t="s">
        <v>982</v>
      </c>
      <c r="V275" s="5">
        <v>0</v>
      </c>
      <c r="W275" s="5">
        <v>2</v>
      </c>
      <c r="X275" s="5">
        <v>0</v>
      </c>
      <c r="Y275" s="5">
        <v>2</v>
      </c>
      <c r="Z275" s="5" t="s">
        <v>982</v>
      </c>
      <c r="AA275" s="5">
        <v>1</v>
      </c>
      <c r="AB275" s="5">
        <v>1</v>
      </c>
      <c r="AC275" s="5">
        <v>1</v>
      </c>
      <c r="AD275" s="5">
        <v>1</v>
      </c>
      <c r="AE275" s="5">
        <v>4</v>
      </c>
      <c r="AF275" s="5" t="s">
        <v>982</v>
      </c>
      <c r="AG275" s="5">
        <v>1</v>
      </c>
      <c r="AH275" s="5">
        <v>0</v>
      </c>
      <c r="AI275" s="5">
        <v>0</v>
      </c>
      <c r="AJ275" s="5">
        <v>1</v>
      </c>
      <c r="AK275" s="5" t="s">
        <v>983</v>
      </c>
      <c r="AL275" s="5">
        <v>2</v>
      </c>
      <c r="AM275" s="5">
        <v>2</v>
      </c>
      <c r="AN275" s="5">
        <v>0</v>
      </c>
      <c r="AO275" s="5">
        <v>4</v>
      </c>
      <c r="AP275" s="5" t="s">
        <v>982</v>
      </c>
      <c r="AQ275" s="5">
        <v>0</v>
      </c>
      <c r="AR275" s="5">
        <v>0</v>
      </c>
      <c r="AS275" s="5">
        <v>0</v>
      </c>
      <c r="AT275" s="5">
        <v>0</v>
      </c>
      <c r="AU275" s="5">
        <v>0</v>
      </c>
      <c r="AV275" s="5">
        <v>0</v>
      </c>
      <c r="AW275" s="5">
        <v>0</v>
      </c>
      <c r="AX275" s="5">
        <v>0</v>
      </c>
      <c r="AY275" s="5" t="s">
        <v>983</v>
      </c>
      <c r="AZ275" s="1">
        <v>0</v>
      </c>
      <c r="BA275" s="1">
        <v>0</v>
      </c>
      <c r="BB275" s="1">
        <v>0</v>
      </c>
      <c r="BC275" s="1">
        <v>1</v>
      </c>
      <c r="BD275" s="1">
        <v>1</v>
      </c>
      <c r="BE275" s="1">
        <v>1</v>
      </c>
      <c r="BF275" s="1">
        <v>29</v>
      </c>
      <c r="BG275" s="1">
        <v>1</v>
      </c>
      <c r="BH275" s="1">
        <v>17</v>
      </c>
      <c r="BI275" s="1">
        <v>6</v>
      </c>
      <c r="BJ275" s="1">
        <v>410000</v>
      </c>
      <c r="BK275" s="1">
        <v>3</v>
      </c>
    </row>
    <row r="276" spans="1:63" ht="12.75" customHeight="1" x14ac:dyDescent="0.15">
      <c r="A276" s="5" t="s">
        <v>238</v>
      </c>
      <c r="B276" s="5" t="s">
        <v>238</v>
      </c>
      <c r="C276" s="5">
        <v>3</v>
      </c>
      <c r="D276" s="5">
        <v>2</v>
      </c>
      <c r="E276" s="5">
        <v>3</v>
      </c>
      <c r="F276" s="5">
        <v>2</v>
      </c>
      <c r="G276" s="5">
        <v>2</v>
      </c>
      <c r="H276" s="5">
        <v>1</v>
      </c>
      <c r="I276" s="5">
        <v>1</v>
      </c>
      <c r="J276" s="5">
        <v>1</v>
      </c>
      <c r="K276" s="5">
        <v>1</v>
      </c>
      <c r="L276" s="5">
        <v>2</v>
      </c>
      <c r="M276" s="5">
        <v>2</v>
      </c>
      <c r="N276" s="5">
        <v>2</v>
      </c>
      <c r="O276" s="5">
        <v>22</v>
      </c>
      <c r="P276" s="5" t="s">
        <v>982</v>
      </c>
      <c r="Q276" s="5">
        <v>1</v>
      </c>
      <c r="R276" s="5">
        <v>2</v>
      </c>
      <c r="S276" s="5">
        <v>0</v>
      </c>
      <c r="T276" s="5">
        <v>3</v>
      </c>
      <c r="U276" s="5" t="s">
        <v>982</v>
      </c>
      <c r="V276" s="5">
        <v>1</v>
      </c>
      <c r="W276" s="5">
        <v>2</v>
      </c>
      <c r="X276" s="5">
        <v>2</v>
      </c>
      <c r="Y276" s="5">
        <v>5</v>
      </c>
      <c r="Z276" s="5" t="s">
        <v>982</v>
      </c>
      <c r="AA276" s="5">
        <v>0</v>
      </c>
      <c r="AB276" s="5">
        <v>0</v>
      </c>
      <c r="AC276" s="5">
        <v>0</v>
      </c>
      <c r="AD276" s="5">
        <v>0</v>
      </c>
      <c r="AE276" s="5">
        <v>0</v>
      </c>
      <c r="AF276" s="5" t="s">
        <v>983</v>
      </c>
      <c r="AG276" s="5">
        <v>2</v>
      </c>
      <c r="AH276" s="5">
        <v>0</v>
      </c>
      <c r="AI276" s="5">
        <v>0</v>
      </c>
      <c r="AJ276" s="5">
        <v>2</v>
      </c>
      <c r="AK276" s="5" t="s">
        <v>983</v>
      </c>
      <c r="AL276" s="5">
        <v>2</v>
      </c>
      <c r="AM276" s="5">
        <v>2</v>
      </c>
      <c r="AN276" s="5">
        <v>2</v>
      </c>
      <c r="AO276" s="5">
        <v>6</v>
      </c>
      <c r="AP276" s="5" t="s">
        <v>981</v>
      </c>
      <c r="AQ276" s="5">
        <v>0</v>
      </c>
      <c r="AR276" s="5">
        <v>0</v>
      </c>
      <c r="AS276" s="5">
        <v>0</v>
      </c>
      <c r="AT276" s="5">
        <v>0</v>
      </c>
      <c r="AU276" s="5">
        <v>0</v>
      </c>
      <c r="AV276" s="5">
        <v>0</v>
      </c>
      <c r="AW276" s="5">
        <v>0</v>
      </c>
      <c r="AX276" s="5">
        <v>0</v>
      </c>
      <c r="AY276" s="5" t="s">
        <v>983</v>
      </c>
      <c r="AZ276" s="1">
        <v>0</v>
      </c>
      <c r="BA276" s="1">
        <v>0</v>
      </c>
      <c r="BB276" s="1">
        <v>0</v>
      </c>
      <c r="BC276" s="1">
        <v>1</v>
      </c>
      <c r="BD276" s="1">
        <v>0</v>
      </c>
      <c r="BE276" s="1">
        <v>1</v>
      </c>
      <c r="BF276" s="1">
        <v>35</v>
      </c>
      <c r="BG276" s="1">
        <v>0</v>
      </c>
      <c r="BH276" s="1">
        <v>16</v>
      </c>
      <c r="BI276" s="1">
        <v>1</v>
      </c>
      <c r="BJ276" s="1">
        <v>250000</v>
      </c>
      <c r="BK276" s="1">
        <v>1</v>
      </c>
    </row>
    <row r="277" spans="1:63" ht="12.75" customHeight="1" x14ac:dyDescent="0.15">
      <c r="A277" s="5" t="s">
        <v>238</v>
      </c>
      <c r="B277" s="5" t="s">
        <v>238</v>
      </c>
      <c r="C277" s="5">
        <v>2</v>
      </c>
      <c r="D277" s="5">
        <v>2</v>
      </c>
      <c r="E277" s="5">
        <v>2</v>
      </c>
      <c r="F277" s="5">
        <v>2</v>
      </c>
      <c r="G277" s="5">
        <v>2</v>
      </c>
      <c r="H277" s="5">
        <v>2</v>
      </c>
      <c r="I277" s="5">
        <v>2</v>
      </c>
      <c r="J277" s="5">
        <v>2</v>
      </c>
      <c r="K277" s="5">
        <v>2</v>
      </c>
      <c r="L277" s="5">
        <v>2</v>
      </c>
      <c r="M277" s="5">
        <v>2</v>
      </c>
      <c r="N277" s="5">
        <v>2</v>
      </c>
      <c r="O277" s="5">
        <v>24</v>
      </c>
      <c r="P277" s="5" t="s">
        <v>981</v>
      </c>
      <c r="Q277" s="5">
        <v>2</v>
      </c>
      <c r="R277" s="5">
        <v>2</v>
      </c>
      <c r="S277" s="5">
        <v>2</v>
      </c>
      <c r="T277" s="5">
        <v>6</v>
      </c>
      <c r="U277" s="5" t="s">
        <v>981</v>
      </c>
      <c r="V277" s="5">
        <v>2</v>
      </c>
      <c r="W277" s="5">
        <v>2</v>
      </c>
      <c r="X277" s="5">
        <v>2</v>
      </c>
      <c r="Y277" s="5">
        <v>6</v>
      </c>
      <c r="Z277" s="5" t="s">
        <v>981</v>
      </c>
      <c r="AA277" s="5">
        <v>2</v>
      </c>
      <c r="AB277" s="5">
        <v>2</v>
      </c>
      <c r="AC277" s="5">
        <v>2</v>
      </c>
      <c r="AD277" s="5">
        <v>2</v>
      </c>
      <c r="AE277" s="5">
        <v>8</v>
      </c>
      <c r="AF277" s="5" t="s">
        <v>981</v>
      </c>
      <c r="AG277" s="5">
        <v>2</v>
      </c>
      <c r="AH277" s="5">
        <v>2</v>
      </c>
      <c r="AI277" s="5">
        <v>2</v>
      </c>
      <c r="AJ277" s="5">
        <v>6</v>
      </c>
      <c r="AK277" s="5" t="s">
        <v>981</v>
      </c>
      <c r="AL277" s="5">
        <v>2</v>
      </c>
      <c r="AM277" s="5">
        <v>2</v>
      </c>
      <c r="AN277" s="5">
        <v>2</v>
      </c>
      <c r="AO277" s="5">
        <v>6</v>
      </c>
      <c r="AP277" s="5" t="s">
        <v>981</v>
      </c>
      <c r="AQ277" s="5">
        <v>0</v>
      </c>
      <c r="AR277" s="5">
        <v>0</v>
      </c>
      <c r="AS277" s="5">
        <v>0</v>
      </c>
      <c r="AT277" s="5">
        <v>0</v>
      </c>
      <c r="AU277" s="5">
        <v>0</v>
      </c>
      <c r="AV277" s="5">
        <v>0</v>
      </c>
      <c r="AW277" s="5">
        <v>0</v>
      </c>
      <c r="AX277" s="5">
        <v>0</v>
      </c>
      <c r="AY277" s="5" t="s">
        <v>983</v>
      </c>
      <c r="AZ277" s="1">
        <v>1</v>
      </c>
      <c r="BA277" s="1">
        <v>0</v>
      </c>
      <c r="BB277" s="1">
        <v>1</v>
      </c>
      <c r="BC277" s="1">
        <v>1</v>
      </c>
      <c r="BD277" s="1">
        <v>1</v>
      </c>
      <c r="BE277" s="1">
        <v>1</v>
      </c>
      <c r="BF277" s="1">
        <v>0</v>
      </c>
      <c r="BG277" s="1">
        <v>0</v>
      </c>
      <c r="BI277" s="1">
        <v>34</v>
      </c>
      <c r="BJ277" s="1">
        <v>0</v>
      </c>
      <c r="BK277" s="1">
        <v>2</v>
      </c>
    </row>
    <row r="278" spans="1:63" ht="12.75" customHeight="1" x14ac:dyDescent="0.15">
      <c r="A278" s="5" t="s">
        <v>238</v>
      </c>
      <c r="B278" s="5" t="s">
        <v>238</v>
      </c>
      <c r="C278" s="5">
        <v>2</v>
      </c>
      <c r="D278" s="5">
        <v>2</v>
      </c>
      <c r="E278" s="5">
        <v>1</v>
      </c>
      <c r="F278" s="5">
        <v>1</v>
      </c>
      <c r="G278" s="5">
        <v>1</v>
      </c>
      <c r="H278" s="5">
        <v>1</v>
      </c>
      <c r="I278" s="5">
        <v>1</v>
      </c>
      <c r="J278" s="5">
        <v>1</v>
      </c>
      <c r="K278" s="5">
        <v>1</v>
      </c>
      <c r="L278" s="5">
        <v>1</v>
      </c>
      <c r="M278" s="5">
        <v>1</v>
      </c>
      <c r="N278" s="5">
        <v>1</v>
      </c>
      <c r="O278" s="5">
        <v>14</v>
      </c>
      <c r="P278" s="5" t="s">
        <v>983</v>
      </c>
      <c r="Q278" s="5">
        <v>1</v>
      </c>
      <c r="R278" s="5">
        <v>1</v>
      </c>
      <c r="S278" s="5">
        <v>1</v>
      </c>
      <c r="T278" s="5">
        <v>3</v>
      </c>
      <c r="U278" s="5" t="s">
        <v>982</v>
      </c>
      <c r="V278" s="5">
        <v>0</v>
      </c>
      <c r="W278" s="5">
        <v>1</v>
      </c>
      <c r="X278" s="5">
        <v>0</v>
      </c>
      <c r="Y278" s="5">
        <v>1</v>
      </c>
      <c r="Z278" s="5" t="s">
        <v>983</v>
      </c>
      <c r="AA278" s="5">
        <v>2</v>
      </c>
      <c r="AB278" s="5">
        <v>3</v>
      </c>
      <c r="AC278" s="5">
        <v>0</v>
      </c>
      <c r="AD278" s="5">
        <v>0</v>
      </c>
      <c r="AE278" s="5">
        <v>5</v>
      </c>
      <c r="AF278" s="5" t="s">
        <v>981</v>
      </c>
      <c r="AG278" s="5">
        <v>0</v>
      </c>
      <c r="AH278" s="5">
        <v>0</v>
      </c>
      <c r="AI278" s="5">
        <v>0</v>
      </c>
      <c r="AJ278" s="5">
        <v>0</v>
      </c>
      <c r="AK278" s="5" t="s">
        <v>983</v>
      </c>
      <c r="AL278" s="5">
        <v>3</v>
      </c>
      <c r="AM278" s="5">
        <v>0</v>
      </c>
      <c r="AN278" s="5">
        <v>0</v>
      </c>
      <c r="AO278" s="5">
        <v>3</v>
      </c>
      <c r="AP278" s="5" t="s">
        <v>982</v>
      </c>
      <c r="AQ278" s="5">
        <v>0</v>
      </c>
      <c r="AR278" s="5">
        <v>0</v>
      </c>
      <c r="AS278" s="5">
        <v>0</v>
      </c>
      <c r="AT278" s="5">
        <v>0</v>
      </c>
      <c r="AU278" s="5">
        <v>0</v>
      </c>
      <c r="AV278" s="5">
        <v>0</v>
      </c>
      <c r="AW278" s="5">
        <v>0</v>
      </c>
      <c r="AX278" s="5">
        <v>0</v>
      </c>
      <c r="AY278" s="5" t="s">
        <v>983</v>
      </c>
      <c r="AZ278" s="1">
        <v>1</v>
      </c>
      <c r="BA278" s="1">
        <v>0</v>
      </c>
      <c r="BB278" s="1">
        <v>1</v>
      </c>
      <c r="BC278" s="1">
        <v>1</v>
      </c>
      <c r="BD278" s="1">
        <v>0</v>
      </c>
      <c r="BE278" s="1">
        <v>0</v>
      </c>
      <c r="BF278" s="1">
        <v>0</v>
      </c>
      <c r="BG278" s="1">
        <v>0</v>
      </c>
      <c r="BI278" s="1">
        <v>18</v>
      </c>
      <c r="BJ278" s="1">
        <v>0</v>
      </c>
      <c r="BK278" s="1">
        <v>2</v>
      </c>
    </row>
    <row r="279" spans="1:63" ht="12.75" customHeight="1" x14ac:dyDescent="0.15">
      <c r="A279" s="5" t="s">
        <v>238</v>
      </c>
      <c r="B279" s="5" t="s">
        <v>238</v>
      </c>
      <c r="C279" s="5">
        <v>1</v>
      </c>
      <c r="D279" s="5">
        <v>1</v>
      </c>
      <c r="E279" s="5">
        <v>1</v>
      </c>
      <c r="F279" s="5">
        <v>1</v>
      </c>
      <c r="G279" s="5">
        <v>1</v>
      </c>
      <c r="H279" s="5">
        <v>1</v>
      </c>
      <c r="I279" s="5">
        <v>1</v>
      </c>
      <c r="J279" s="5">
        <v>1</v>
      </c>
      <c r="K279" s="5">
        <v>1</v>
      </c>
      <c r="L279" s="5">
        <v>1</v>
      </c>
      <c r="M279" s="5">
        <v>1</v>
      </c>
      <c r="N279" s="5">
        <v>1</v>
      </c>
      <c r="O279" s="5">
        <v>12</v>
      </c>
      <c r="P279" s="5" t="s">
        <v>983</v>
      </c>
      <c r="Q279" s="5">
        <v>0</v>
      </c>
      <c r="R279" s="5">
        <v>0</v>
      </c>
      <c r="S279" s="5">
        <v>0</v>
      </c>
      <c r="T279" s="5">
        <v>0</v>
      </c>
      <c r="U279" s="5" t="s">
        <v>983</v>
      </c>
      <c r="V279" s="5">
        <v>0</v>
      </c>
      <c r="W279" s="5">
        <v>0</v>
      </c>
      <c r="X279" s="5">
        <v>0</v>
      </c>
      <c r="Y279" s="5">
        <v>0</v>
      </c>
      <c r="Z279" s="5" t="s">
        <v>983</v>
      </c>
      <c r="AA279" s="5">
        <v>4</v>
      </c>
      <c r="AB279" s="5">
        <v>4</v>
      </c>
      <c r="AC279" s="5">
        <v>4</v>
      </c>
      <c r="AD279" s="5">
        <v>4</v>
      </c>
      <c r="AE279" s="5">
        <v>16</v>
      </c>
      <c r="AF279" s="5" t="s">
        <v>981</v>
      </c>
      <c r="AG279" s="5">
        <v>0</v>
      </c>
      <c r="AH279" s="5">
        <v>0</v>
      </c>
      <c r="AI279" s="5">
        <v>0</v>
      </c>
      <c r="AJ279" s="5">
        <v>0</v>
      </c>
      <c r="AK279" s="5" t="s">
        <v>983</v>
      </c>
      <c r="AL279" s="5">
        <v>0</v>
      </c>
      <c r="AM279" s="5">
        <v>0</v>
      </c>
      <c r="AN279" s="5">
        <v>0</v>
      </c>
      <c r="AO279" s="5">
        <v>0</v>
      </c>
      <c r="AP279" s="5" t="s">
        <v>983</v>
      </c>
      <c r="AQ279" s="5">
        <v>0</v>
      </c>
      <c r="AR279" s="5">
        <v>0</v>
      </c>
      <c r="AS279" s="5">
        <v>0</v>
      </c>
      <c r="AT279" s="5">
        <v>0</v>
      </c>
      <c r="AU279" s="5">
        <v>0</v>
      </c>
      <c r="AV279" s="5">
        <v>0</v>
      </c>
      <c r="AW279" s="5">
        <v>0</v>
      </c>
      <c r="AX279" s="5">
        <v>0</v>
      </c>
      <c r="AY279" s="5" t="s">
        <v>983</v>
      </c>
      <c r="AZ279" s="1">
        <v>0</v>
      </c>
      <c r="BA279" s="1">
        <v>0</v>
      </c>
      <c r="BB279" s="1">
        <v>0</v>
      </c>
      <c r="BC279" s="1">
        <v>1</v>
      </c>
      <c r="BD279" s="1">
        <v>1</v>
      </c>
      <c r="BE279" s="1">
        <v>1</v>
      </c>
      <c r="BF279" s="1">
        <v>30</v>
      </c>
      <c r="BG279" s="1">
        <v>1</v>
      </c>
      <c r="BH279" s="1">
        <v>17</v>
      </c>
      <c r="BI279" s="1">
        <v>24</v>
      </c>
      <c r="BJ279" s="1">
        <v>400000</v>
      </c>
      <c r="BK279" s="1">
        <v>4</v>
      </c>
    </row>
    <row r="280" spans="1:63" ht="12.75" customHeight="1" x14ac:dyDescent="0.15">
      <c r="A280" s="5" t="s">
        <v>238</v>
      </c>
      <c r="B280" s="5" t="s">
        <v>238</v>
      </c>
      <c r="C280" s="5">
        <v>2</v>
      </c>
      <c r="D280" s="5">
        <v>1</v>
      </c>
      <c r="E280" s="5">
        <v>2</v>
      </c>
      <c r="F280" s="5">
        <v>2</v>
      </c>
      <c r="G280" s="5">
        <v>2</v>
      </c>
      <c r="H280" s="5">
        <v>1</v>
      </c>
      <c r="I280" s="5">
        <v>1</v>
      </c>
      <c r="J280" s="5">
        <v>2</v>
      </c>
      <c r="K280" s="5">
        <v>2</v>
      </c>
      <c r="L280" s="5">
        <v>1</v>
      </c>
      <c r="M280" s="5">
        <v>2</v>
      </c>
      <c r="N280" s="5">
        <v>2</v>
      </c>
      <c r="O280" s="5">
        <v>20</v>
      </c>
      <c r="P280" s="5" t="s">
        <v>982</v>
      </c>
      <c r="Q280" s="5">
        <v>2</v>
      </c>
      <c r="R280" s="5">
        <v>2</v>
      </c>
      <c r="S280" s="5">
        <v>1</v>
      </c>
      <c r="T280" s="5">
        <v>5</v>
      </c>
      <c r="U280" s="5" t="s">
        <v>981</v>
      </c>
      <c r="V280" s="5">
        <v>0</v>
      </c>
      <c r="W280" s="5">
        <v>2</v>
      </c>
      <c r="X280" s="5">
        <v>1</v>
      </c>
      <c r="Y280" s="5">
        <v>3</v>
      </c>
      <c r="Z280" s="5" t="s">
        <v>982</v>
      </c>
      <c r="AA280" s="5">
        <v>0</v>
      </c>
      <c r="AB280" s="5">
        <v>0</v>
      </c>
      <c r="AC280" s="5">
        <v>0</v>
      </c>
      <c r="AD280" s="5">
        <v>0</v>
      </c>
      <c r="AE280" s="5">
        <v>0</v>
      </c>
      <c r="AF280" s="5" t="s">
        <v>983</v>
      </c>
      <c r="AG280" s="5">
        <v>0</v>
      </c>
      <c r="AH280" s="5">
        <v>0</v>
      </c>
      <c r="AI280" s="5">
        <v>2</v>
      </c>
      <c r="AJ280" s="5">
        <v>2</v>
      </c>
      <c r="AK280" s="5" t="s">
        <v>983</v>
      </c>
      <c r="AL280" s="5">
        <v>0</v>
      </c>
      <c r="AM280" s="5">
        <v>0</v>
      </c>
      <c r="AN280" s="5">
        <v>1</v>
      </c>
      <c r="AO280" s="5">
        <v>1</v>
      </c>
      <c r="AP280" s="5" t="s">
        <v>983</v>
      </c>
      <c r="AQ280" s="5">
        <v>1</v>
      </c>
      <c r="AR280" s="5">
        <v>0</v>
      </c>
      <c r="AS280" s="5">
        <v>0</v>
      </c>
      <c r="AT280" s="5">
        <v>0</v>
      </c>
      <c r="AU280" s="5">
        <v>0</v>
      </c>
      <c r="AV280" s="5">
        <v>0</v>
      </c>
      <c r="AW280" s="5">
        <v>0</v>
      </c>
      <c r="AX280" s="5">
        <v>1</v>
      </c>
      <c r="AY280" s="5" t="s">
        <v>982</v>
      </c>
      <c r="AZ280" s="1">
        <v>0</v>
      </c>
      <c r="BA280" s="1">
        <v>0</v>
      </c>
      <c r="BB280" s="1">
        <v>1</v>
      </c>
      <c r="BC280" s="1">
        <v>1</v>
      </c>
      <c r="BD280" s="1">
        <v>0</v>
      </c>
      <c r="BE280" s="1">
        <v>1</v>
      </c>
      <c r="BF280" s="1">
        <v>61</v>
      </c>
      <c r="BG280" s="1">
        <v>1</v>
      </c>
      <c r="BH280" s="1">
        <v>14</v>
      </c>
      <c r="BI280" s="1">
        <v>27</v>
      </c>
      <c r="BJ280" s="1">
        <v>600000</v>
      </c>
      <c r="BK280" s="1">
        <v>3</v>
      </c>
    </row>
    <row r="281" spans="1:63" ht="12.75" customHeight="1" x14ac:dyDescent="0.15">
      <c r="A281" s="5" t="s">
        <v>238</v>
      </c>
      <c r="B281" s="5" t="s">
        <v>238</v>
      </c>
      <c r="C281" s="5">
        <v>2</v>
      </c>
      <c r="D281" s="5">
        <v>1</v>
      </c>
      <c r="E281" s="5">
        <v>2</v>
      </c>
      <c r="F281" s="5">
        <v>1</v>
      </c>
      <c r="G281" s="5">
        <v>1</v>
      </c>
      <c r="H281" s="5">
        <v>1</v>
      </c>
      <c r="I281" s="5">
        <v>1</v>
      </c>
      <c r="J281" s="5">
        <v>1</v>
      </c>
      <c r="K281" s="5">
        <v>1</v>
      </c>
      <c r="L281" s="5">
        <v>1</v>
      </c>
      <c r="M281" s="5">
        <v>1</v>
      </c>
      <c r="N281" s="5">
        <v>1</v>
      </c>
      <c r="O281" s="5">
        <v>14</v>
      </c>
      <c r="P281" s="5" t="s">
        <v>983</v>
      </c>
      <c r="Q281" s="5">
        <v>1</v>
      </c>
      <c r="R281" s="5">
        <v>1</v>
      </c>
      <c r="S281" s="5">
        <v>0</v>
      </c>
      <c r="T281" s="5">
        <v>2</v>
      </c>
      <c r="U281" s="5" t="s">
        <v>982</v>
      </c>
      <c r="V281" s="5">
        <v>1</v>
      </c>
      <c r="W281" s="5">
        <v>0</v>
      </c>
      <c r="X281" s="5">
        <v>0</v>
      </c>
      <c r="Y281" s="5">
        <v>1</v>
      </c>
      <c r="Z281" s="5" t="s">
        <v>983</v>
      </c>
      <c r="AA281" s="5">
        <v>4</v>
      </c>
      <c r="AB281" s="5">
        <v>4</v>
      </c>
      <c r="AC281" s="5">
        <v>4</v>
      </c>
      <c r="AD281" s="5">
        <v>4</v>
      </c>
      <c r="AE281" s="5">
        <v>16</v>
      </c>
      <c r="AF281" s="5" t="s">
        <v>981</v>
      </c>
      <c r="AG281" s="5">
        <v>0</v>
      </c>
      <c r="AH281" s="5">
        <v>0</v>
      </c>
      <c r="AI281" s="5">
        <v>0</v>
      </c>
      <c r="AJ281" s="5">
        <v>0</v>
      </c>
      <c r="AK281" s="5" t="s">
        <v>983</v>
      </c>
      <c r="AL281" s="5">
        <v>0</v>
      </c>
      <c r="AM281" s="5">
        <v>0</v>
      </c>
      <c r="AN281" s="5">
        <v>0</v>
      </c>
      <c r="AO281" s="5">
        <v>0</v>
      </c>
      <c r="AP281" s="5" t="s">
        <v>983</v>
      </c>
      <c r="AQ281" s="5">
        <v>0</v>
      </c>
      <c r="AR281" s="5">
        <v>0</v>
      </c>
      <c r="AS281" s="5">
        <v>0</v>
      </c>
      <c r="AT281" s="5">
        <v>0</v>
      </c>
      <c r="AU281" s="5">
        <v>0</v>
      </c>
      <c r="AV281" s="5">
        <v>0</v>
      </c>
      <c r="AW281" s="5">
        <v>0</v>
      </c>
      <c r="AX281" s="5">
        <v>0</v>
      </c>
      <c r="AY281" s="5" t="s">
        <v>983</v>
      </c>
      <c r="AZ281" s="1">
        <v>0</v>
      </c>
      <c r="BA281" s="1">
        <v>0</v>
      </c>
      <c r="BB281" s="1">
        <v>0</v>
      </c>
      <c r="BC281" s="1">
        <v>1</v>
      </c>
      <c r="BD281" s="1">
        <v>0</v>
      </c>
      <c r="BE281" s="1">
        <v>1</v>
      </c>
      <c r="BF281" s="1">
        <v>61</v>
      </c>
      <c r="BG281" s="1">
        <v>1</v>
      </c>
      <c r="BH281" s="1">
        <v>14</v>
      </c>
      <c r="BI281" s="1">
        <v>27</v>
      </c>
      <c r="BJ281" s="1">
        <v>600000</v>
      </c>
      <c r="BK281" s="1">
        <v>3</v>
      </c>
    </row>
    <row r="282" spans="1:63" ht="12.75" customHeight="1" x14ac:dyDescent="0.15">
      <c r="A282" s="5" t="s">
        <v>238</v>
      </c>
      <c r="B282" s="5" t="s">
        <v>238</v>
      </c>
      <c r="C282" s="5">
        <v>1</v>
      </c>
      <c r="D282" s="5">
        <v>1</v>
      </c>
      <c r="E282" s="5">
        <v>1</v>
      </c>
      <c r="F282" s="5">
        <v>1</v>
      </c>
      <c r="G282" s="5">
        <v>1</v>
      </c>
      <c r="H282" s="5">
        <v>1</v>
      </c>
      <c r="I282" s="5">
        <v>1</v>
      </c>
      <c r="J282" s="5">
        <v>1</v>
      </c>
      <c r="K282" s="5">
        <v>1</v>
      </c>
      <c r="L282" s="5">
        <v>1</v>
      </c>
      <c r="M282" s="5">
        <v>1</v>
      </c>
      <c r="N282" s="5">
        <v>1</v>
      </c>
      <c r="O282" s="5">
        <v>12</v>
      </c>
      <c r="P282" s="5" t="s">
        <v>983</v>
      </c>
      <c r="Q282" s="5">
        <v>2</v>
      </c>
      <c r="R282" s="5">
        <v>1</v>
      </c>
      <c r="S282" s="5">
        <v>0</v>
      </c>
      <c r="T282" s="5">
        <v>3</v>
      </c>
      <c r="U282" s="5" t="s">
        <v>982</v>
      </c>
      <c r="V282" s="5">
        <v>0</v>
      </c>
      <c r="W282" s="5">
        <v>0</v>
      </c>
      <c r="X282" s="5">
        <v>0</v>
      </c>
      <c r="Y282" s="5">
        <v>0</v>
      </c>
      <c r="Z282" s="5" t="s">
        <v>983</v>
      </c>
      <c r="AA282" s="5">
        <v>3</v>
      </c>
      <c r="AB282" s="5">
        <v>1</v>
      </c>
      <c r="AC282" s="5">
        <v>1</v>
      </c>
      <c r="AD282" s="5">
        <v>1</v>
      </c>
      <c r="AE282" s="5">
        <v>6</v>
      </c>
      <c r="AF282" s="5" t="s">
        <v>981</v>
      </c>
      <c r="AG282" s="5">
        <v>0</v>
      </c>
      <c r="AH282" s="5">
        <v>0</v>
      </c>
      <c r="AI282" s="5">
        <v>0</v>
      </c>
      <c r="AJ282" s="5">
        <v>0</v>
      </c>
      <c r="AK282" s="5" t="s">
        <v>983</v>
      </c>
      <c r="AL282" s="5">
        <v>1</v>
      </c>
      <c r="AM282" s="5">
        <v>1</v>
      </c>
      <c r="AN282" s="5">
        <v>1</v>
      </c>
      <c r="AO282" s="5">
        <v>3</v>
      </c>
      <c r="AP282" s="5" t="s">
        <v>982</v>
      </c>
      <c r="AQ282" s="5">
        <v>0</v>
      </c>
      <c r="AR282" s="5">
        <v>0</v>
      </c>
      <c r="AS282" s="5">
        <v>0</v>
      </c>
      <c r="AT282" s="5">
        <v>0</v>
      </c>
      <c r="AU282" s="5">
        <v>0</v>
      </c>
      <c r="AV282" s="5">
        <v>0</v>
      </c>
      <c r="AW282" s="5">
        <v>0</v>
      </c>
      <c r="AX282" s="5">
        <v>0</v>
      </c>
      <c r="AY282" s="5" t="s">
        <v>983</v>
      </c>
      <c r="AZ282" s="1">
        <v>1</v>
      </c>
      <c r="BA282" s="1">
        <v>0</v>
      </c>
      <c r="BB282" s="1">
        <v>1</v>
      </c>
      <c r="BC282" s="1">
        <v>1</v>
      </c>
      <c r="BD282" s="1">
        <v>0</v>
      </c>
      <c r="BE282" s="1">
        <v>1</v>
      </c>
      <c r="BF282" s="1">
        <v>31</v>
      </c>
      <c r="BG282" s="1">
        <v>0</v>
      </c>
      <c r="BH282" s="1">
        <v>16</v>
      </c>
      <c r="BI282" s="1">
        <v>33</v>
      </c>
      <c r="BJ282" s="1">
        <v>150000</v>
      </c>
      <c r="BK282" s="1">
        <v>1</v>
      </c>
    </row>
    <row r="283" spans="1:63" ht="12.75" customHeight="1" x14ac:dyDescent="0.15">
      <c r="A283" s="5" t="s">
        <v>238</v>
      </c>
      <c r="B283" s="5" t="s">
        <v>238</v>
      </c>
      <c r="C283" s="5">
        <v>2</v>
      </c>
      <c r="D283" s="5">
        <v>1</v>
      </c>
      <c r="E283" s="5">
        <v>1</v>
      </c>
      <c r="F283" s="5">
        <v>1</v>
      </c>
      <c r="G283" s="5">
        <v>1</v>
      </c>
      <c r="H283" s="5">
        <v>1</v>
      </c>
      <c r="I283" s="5">
        <v>1</v>
      </c>
      <c r="J283" s="5">
        <v>2</v>
      </c>
      <c r="K283" s="5">
        <v>2</v>
      </c>
      <c r="L283" s="5">
        <v>2</v>
      </c>
      <c r="M283" s="5">
        <v>2</v>
      </c>
      <c r="N283" s="5">
        <v>2</v>
      </c>
      <c r="O283" s="5">
        <v>18</v>
      </c>
      <c r="P283" s="5" t="s">
        <v>983</v>
      </c>
      <c r="Q283" s="5">
        <v>1</v>
      </c>
      <c r="R283" s="5">
        <v>0</v>
      </c>
      <c r="S283" s="5">
        <v>0</v>
      </c>
      <c r="T283" s="5">
        <v>1</v>
      </c>
      <c r="U283" s="5" t="s">
        <v>983</v>
      </c>
      <c r="V283" s="5">
        <v>0</v>
      </c>
      <c r="W283" s="5">
        <v>0</v>
      </c>
      <c r="X283" s="5">
        <v>0</v>
      </c>
      <c r="Y283" s="5">
        <v>0</v>
      </c>
      <c r="Z283" s="5" t="s">
        <v>983</v>
      </c>
      <c r="AA283" s="5">
        <v>4</v>
      </c>
      <c r="AB283" s="5">
        <v>4</v>
      </c>
      <c r="AC283" s="5">
        <v>4</v>
      </c>
      <c r="AD283" s="5">
        <v>4</v>
      </c>
      <c r="AE283" s="5">
        <v>16</v>
      </c>
      <c r="AF283" s="5" t="s">
        <v>981</v>
      </c>
      <c r="AG283" s="5">
        <v>0</v>
      </c>
      <c r="AH283" s="5">
        <v>0</v>
      </c>
      <c r="AI283" s="5">
        <v>0</v>
      </c>
      <c r="AJ283" s="5">
        <v>0</v>
      </c>
      <c r="AK283" s="5" t="s">
        <v>983</v>
      </c>
      <c r="AL283" s="5">
        <v>0</v>
      </c>
      <c r="AM283" s="5">
        <v>0</v>
      </c>
      <c r="AN283" s="5">
        <v>0</v>
      </c>
      <c r="AO283" s="5">
        <v>0</v>
      </c>
      <c r="AP283" s="5" t="s">
        <v>983</v>
      </c>
      <c r="AQ283" s="5">
        <v>0</v>
      </c>
      <c r="AR283" s="5">
        <v>0</v>
      </c>
      <c r="AS283" s="5">
        <v>0</v>
      </c>
      <c r="AT283" s="5">
        <v>0</v>
      </c>
      <c r="AU283" s="5">
        <v>0</v>
      </c>
      <c r="AV283" s="5">
        <v>0</v>
      </c>
      <c r="AW283" s="5">
        <v>0</v>
      </c>
      <c r="AX283" s="5">
        <v>0</v>
      </c>
      <c r="AY283" s="5" t="s">
        <v>983</v>
      </c>
      <c r="AZ283" s="1">
        <v>1</v>
      </c>
      <c r="BA283" s="1">
        <v>0</v>
      </c>
      <c r="BB283" s="1">
        <v>1</v>
      </c>
      <c r="BC283" s="1">
        <v>1</v>
      </c>
      <c r="BD283" s="1">
        <v>1</v>
      </c>
      <c r="BE283" s="1">
        <v>1</v>
      </c>
      <c r="BF283" s="1">
        <v>0</v>
      </c>
      <c r="BG283" s="1">
        <v>0</v>
      </c>
      <c r="BI283" s="1">
        <v>34</v>
      </c>
      <c r="BJ283" s="1">
        <v>0</v>
      </c>
      <c r="BK283" s="1">
        <v>1</v>
      </c>
    </row>
    <row r="284" spans="1:63" ht="12.75" customHeight="1" x14ac:dyDescent="0.15">
      <c r="A284" s="5" t="s">
        <v>238</v>
      </c>
      <c r="B284" s="5" t="s">
        <v>238</v>
      </c>
      <c r="C284" s="5">
        <v>2</v>
      </c>
      <c r="D284" s="5">
        <v>3</v>
      </c>
      <c r="E284" s="5">
        <v>3</v>
      </c>
      <c r="F284" s="5">
        <v>3</v>
      </c>
      <c r="G284" s="5">
        <v>4</v>
      </c>
      <c r="H284" s="5">
        <v>4</v>
      </c>
      <c r="I284" s="5">
        <v>4</v>
      </c>
      <c r="J284" s="5">
        <v>3</v>
      </c>
      <c r="K284" s="5">
        <v>2</v>
      </c>
      <c r="L284" s="5">
        <v>4</v>
      </c>
      <c r="M284" s="5">
        <v>3</v>
      </c>
      <c r="N284" s="5">
        <v>1</v>
      </c>
      <c r="O284" s="5">
        <v>36</v>
      </c>
      <c r="P284" s="5" t="s">
        <v>981</v>
      </c>
      <c r="Q284" s="5">
        <v>4</v>
      </c>
      <c r="R284" s="5">
        <v>4</v>
      </c>
      <c r="S284" s="5">
        <v>1</v>
      </c>
      <c r="T284" s="5">
        <v>9</v>
      </c>
      <c r="U284" s="5" t="s">
        <v>981</v>
      </c>
      <c r="V284" s="5">
        <v>2</v>
      </c>
      <c r="W284" s="5">
        <v>2</v>
      </c>
      <c r="X284" s="5">
        <v>4</v>
      </c>
      <c r="Y284" s="5">
        <v>8</v>
      </c>
      <c r="Z284" s="5" t="s">
        <v>981</v>
      </c>
      <c r="AA284" s="5">
        <v>3</v>
      </c>
      <c r="AB284" s="5">
        <v>4</v>
      </c>
      <c r="AC284" s="5">
        <v>0</v>
      </c>
      <c r="AD284" s="5">
        <v>0</v>
      </c>
      <c r="AE284" s="5">
        <v>7</v>
      </c>
      <c r="AF284" s="5" t="s">
        <v>981</v>
      </c>
      <c r="AG284" s="5">
        <v>4</v>
      </c>
      <c r="AH284" s="5">
        <v>0</v>
      </c>
      <c r="AI284" s="5">
        <v>0</v>
      </c>
      <c r="AJ284" s="5">
        <v>4</v>
      </c>
      <c r="AK284" s="5" t="s">
        <v>982</v>
      </c>
      <c r="AL284" s="5">
        <v>0</v>
      </c>
      <c r="AM284" s="5">
        <v>2</v>
      </c>
      <c r="AN284" s="5">
        <v>2</v>
      </c>
      <c r="AO284" s="5">
        <v>4</v>
      </c>
      <c r="AP284" s="5" t="s">
        <v>982</v>
      </c>
      <c r="AQ284" s="5">
        <v>1</v>
      </c>
      <c r="AR284" s="5">
        <v>0</v>
      </c>
      <c r="AS284" s="5">
        <v>0</v>
      </c>
      <c r="AT284" s="5">
        <v>0</v>
      </c>
      <c r="AU284" s="5">
        <v>0</v>
      </c>
      <c r="AV284" s="5">
        <v>0</v>
      </c>
      <c r="AW284" s="5">
        <v>0</v>
      </c>
      <c r="AX284" s="5">
        <v>1</v>
      </c>
      <c r="AY284" s="5" t="s">
        <v>982</v>
      </c>
      <c r="AZ284" s="1">
        <v>1</v>
      </c>
      <c r="BA284" s="1">
        <v>0</v>
      </c>
      <c r="BB284" s="1">
        <v>0</v>
      </c>
      <c r="BC284" s="1">
        <v>1</v>
      </c>
      <c r="BD284" s="1">
        <v>1</v>
      </c>
      <c r="BE284" s="1">
        <v>1</v>
      </c>
      <c r="BF284" s="1">
        <v>29</v>
      </c>
      <c r="BG284" s="1">
        <v>0</v>
      </c>
      <c r="BH284" s="1">
        <v>6</v>
      </c>
      <c r="BI284" s="1">
        <v>34</v>
      </c>
      <c r="BJ284" s="1">
        <v>1000000</v>
      </c>
      <c r="BK284" s="1">
        <v>4</v>
      </c>
    </row>
    <row r="285" spans="1:63" ht="12.75" customHeight="1" x14ac:dyDescent="0.15">
      <c r="A285" s="5" t="s">
        <v>238</v>
      </c>
      <c r="B285" s="5" t="s">
        <v>238</v>
      </c>
      <c r="C285" s="5">
        <v>2</v>
      </c>
      <c r="D285" s="5">
        <v>2</v>
      </c>
      <c r="E285" s="5">
        <v>2</v>
      </c>
      <c r="F285" s="5">
        <v>2</v>
      </c>
      <c r="G285" s="5">
        <v>2</v>
      </c>
      <c r="H285" s="5">
        <v>1</v>
      </c>
      <c r="I285" s="5">
        <v>1</v>
      </c>
      <c r="J285" s="5">
        <v>1</v>
      </c>
      <c r="K285" s="5">
        <v>1</v>
      </c>
      <c r="L285" s="5">
        <v>2</v>
      </c>
      <c r="M285" s="5">
        <v>2</v>
      </c>
      <c r="N285" s="5">
        <v>2</v>
      </c>
      <c r="O285" s="5">
        <v>20</v>
      </c>
      <c r="P285" s="5" t="s">
        <v>982</v>
      </c>
      <c r="Q285" s="5">
        <v>1</v>
      </c>
      <c r="R285" s="5">
        <v>1</v>
      </c>
      <c r="S285" s="5">
        <v>0</v>
      </c>
      <c r="T285" s="5">
        <v>2</v>
      </c>
      <c r="U285" s="5" t="s">
        <v>982</v>
      </c>
      <c r="V285" s="5">
        <v>0</v>
      </c>
      <c r="W285" s="5">
        <v>1</v>
      </c>
      <c r="X285" s="5">
        <v>3</v>
      </c>
      <c r="Y285" s="5">
        <v>4</v>
      </c>
      <c r="Z285" s="5" t="s">
        <v>982</v>
      </c>
      <c r="AA285" s="5">
        <v>4</v>
      </c>
      <c r="AB285" s="5">
        <v>4</v>
      </c>
      <c r="AC285" s="5">
        <v>4</v>
      </c>
      <c r="AD285" s="5">
        <v>4</v>
      </c>
      <c r="AE285" s="5">
        <v>16</v>
      </c>
      <c r="AF285" s="5" t="s">
        <v>981</v>
      </c>
      <c r="AG285" s="5">
        <v>0</v>
      </c>
      <c r="AH285" s="5">
        <v>0</v>
      </c>
      <c r="AI285" s="5">
        <v>0</v>
      </c>
      <c r="AJ285" s="5">
        <v>0</v>
      </c>
      <c r="AK285" s="5" t="s">
        <v>983</v>
      </c>
      <c r="AL285" s="5">
        <v>0</v>
      </c>
      <c r="AM285" s="5">
        <v>0</v>
      </c>
      <c r="AN285" s="5">
        <v>0</v>
      </c>
      <c r="AO285" s="5">
        <v>0</v>
      </c>
      <c r="AP285" s="5" t="s">
        <v>983</v>
      </c>
      <c r="AQ285" s="5">
        <v>0</v>
      </c>
      <c r="AR285" s="5">
        <v>0</v>
      </c>
      <c r="AS285" s="5">
        <v>0</v>
      </c>
      <c r="AT285" s="5">
        <v>0</v>
      </c>
      <c r="AU285" s="5">
        <v>0</v>
      </c>
      <c r="AV285" s="5">
        <v>0</v>
      </c>
      <c r="AW285" s="5">
        <v>0</v>
      </c>
      <c r="AX285" s="5">
        <v>0</v>
      </c>
      <c r="AY285" s="5" t="s">
        <v>983</v>
      </c>
      <c r="AZ285" s="1">
        <v>0</v>
      </c>
      <c r="BA285" s="1">
        <v>0</v>
      </c>
      <c r="BB285" s="1">
        <v>0</v>
      </c>
      <c r="BC285" s="1">
        <v>1</v>
      </c>
      <c r="BD285" s="1">
        <v>1</v>
      </c>
      <c r="BE285" s="1">
        <v>1</v>
      </c>
      <c r="BF285" s="1">
        <v>30</v>
      </c>
      <c r="BG285" s="1">
        <v>1</v>
      </c>
      <c r="BH285" s="1">
        <v>4</v>
      </c>
      <c r="BI285" s="1">
        <v>24</v>
      </c>
      <c r="BJ285" s="1">
        <v>500000</v>
      </c>
      <c r="BK285" s="1">
        <v>1</v>
      </c>
    </row>
    <row r="286" spans="1:63" ht="12.75" customHeight="1" x14ac:dyDescent="0.15">
      <c r="A286" s="5" t="s">
        <v>337</v>
      </c>
      <c r="B286" s="5" t="s">
        <v>984</v>
      </c>
      <c r="C286" s="5">
        <v>1</v>
      </c>
      <c r="D286" s="5">
        <v>1</v>
      </c>
      <c r="E286" s="5">
        <v>1</v>
      </c>
      <c r="F286" s="5">
        <v>1</v>
      </c>
      <c r="G286" s="5">
        <v>1</v>
      </c>
      <c r="H286" s="5">
        <v>1</v>
      </c>
      <c r="I286" s="5">
        <v>1</v>
      </c>
      <c r="J286" s="5">
        <v>2</v>
      </c>
      <c r="K286" s="5">
        <v>1</v>
      </c>
      <c r="L286" s="5">
        <v>1</v>
      </c>
      <c r="M286" s="5">
        <v>1</v>
      </c>
      <c r="N286" s="5">
        <v>1</v>
      </c>
      <c r="O286" s="5">
        <v>13</v>
      </c>
      <c r="P286" s="5" t="s">
        <v>983</v>
      </c>
      <c r="Q286" s="5">
        <v>2</v>
      </c>
      <c r="R286" s="5">
        <v>2</v>
      </c>
      <c r="S286" s="5">
        <v>0</v>
      </c>
      <c r="T286" s="5">
        <v>4</v>
      </c>
      <c r="U286" s="5" t="s">
        <v>982</v>
      </c>
      <c r="V286" s="5">
        <v>0</v>
      </c>
      <c r="W286" s="5">
        <v>0</v>
      </c>
      <c r="X286" s="5">
        <v>0</v>
      </c>
      <c r="Y286" s="5">
        <v>0</v>
      </c>
      <c r="Z286" s="5" t="s">
        <v>983</v>
      </c>
      <c r="AA286" s="5">
        <v>3</v>
      </c>
      <c r="AB286" s="5">
        <v>1</v>
      </c>
      <c r="AC286" s="5">
        <v>0</v>
      </c>
      <c r="AD286" s="5">
        <v>0</v>
      </c>
      <c r="AE286" s="5">
        <v>4</v>
      </c>
      <c r="AF286" s="5" t="s">
        <v>982</v>
      </c>
      <c r="AG286" s="5">
        <v>1</v>
      </c>
      <c r="AH286" s="5">
        <v>0</v>
      </c>
      <c r="AI286" s="5">
        <v>1</v>
      </c>
      <c r="AJ286" s="5">
        <v>2</v>
      </c>
      <c r="AK286" s="5" t="s">
        <v>983</v>
      </c>
      <c r="AL286" s="5">
        <v>1</v>
      </c>
      <c r="AM286" s="5">
        <v>1</v>
      </c>
      <c r="AN286" s="5">
        <v>0</v>
      </c>
      <c r="AO286" s="5">
        <v>2</v>
      </c>
      <c r="AP286" s="5" t="s">
        <v>983</v>
      </c>
      <c r="AQ286" s="5">
        <v>0</v>
      </c>
      <c r="AR286" s="5">
        <v>0</v>
      </c>
      <c r="AS286" s="5">
        <v>0</v>
      </c>
      <c r="AT286" s="5">
        <v>0</v>
      </c>
      <c r="AU286" s="5">
        <v>0</v>
      </c>
      <c r="AV286" s="5">
        <v>0</v>
      </c>
      <c r="AW286" s="5">
        <v>0</v>
      </c>
      <c r="AX286" s="5">
        <v>0</v>
      </c>
      <c r="AY286" s="5" t="s">
        <v>983</v>
      </c>
      <c r="AZ286" s="1">
        <v>0</v>
      </c>
      <c r="BA286" s="1">
        <v>0</v>
      </c>
      <c r="BB286" s="1">
        <v>1</v>
      </c>
      <c r="BC286" s="1">
        <v>1</v>
      </c>
      <c r="BD286" s="1">
        <v>1</v>
      </c>
      <c r="BE286" s="1">
        <v>1</v>
      </c>
      <c r="BF286" s="1">
        <v>24</v>
      </c>
      <c r="BG286" s="1">
        <v>0</v>
      </c>
      <c r="BH286" s="1">
        <v>16</v>
      </c>
      <c r="BI286" s="1">
        <v>34</v>
      </c>
      <c r="BJ286" s="1">
        <v>450000</v>
      </c>
      <c r="BK286" s="1">
        <v>6</v>
      </c>
    </row>
    <row r="287" spans="1:63" ht="12.75" customHeight="1" x14ac:dyDescent="0.15">
      <c r="A287" s="5" t="s">
        <v>238</v>
      </c>
      <c r="B287" s="5" t="s">
        <v>238</v>
      </c>
      <c r="C287" s="5">
        <v>1</v>
      </c>
      <c r="D287" s="5">
        <v>2</v>
      </c>
      <c r="E287" s="5">
        <v>1</v>
      </c>
      <c r="F287" s="5">
        <v>1</v>
      </c>
      <c r="G287" s="5">
        <v>1</v>
      </c>
      <c r="H287" s="5">
        <v>1</v>
      </c>
      <c r="I287" s="5">
        <v>1</v>
      </c>
      <c r="J287" s="5">
        <v>4</v>
      </c>
      <c r="K287" s="5">
        <v>1</v>
      </c>
      <c r="L287" s="5">
        <v>1</v>
      </c>
      <c r="M287" s="5">
        <v>1</v>
      </c>
      <c r="N287" s="5">
        <v>1</v>
      </c>
      <c r="O287" s="5">
        <v>16</v>
      </c>
      <c r="P287" s="5" t="s">
        <v>983</v>
      </c>
      <c r="Q287" s="5">
        <v>0</v>
      </c>
      <c r="R287" s="5">
        <v>0</v>
      </c>
      <c r="S287" s="5">
        <v>0</v>
      </c>
      <c r="T287" s="5">
        <v>0</v>
      </c>
      <c r="U287" s="5" t="s">
        <v>983</v>
      </c>
      <c r="V287" s="5">
        <v>0</v>
      </c>
      <c r="W287" s="5">
        <v>0</v>
      </c>
      <c r="X287" s="5">
        <v>0</v>
      </c>
      <c r="Y287" s="5">
        <v>0</v>
      </c>
      <c r="Z287" s="5" t="s">
        <v>983</v>
      </c>
      <c r="AA287" s="5">
        <v>4</v>
      </c>
      <c r="AB287" s="5">
        <v>4</v>
      </c>
      <c r="AC287" s="5">
        <v>4</v>
      </c>
      <c r="AD287" s="5">
        <v>4</v>
      </c>
      <c r="AE287" s="5">
        <v>16</v>
      </c>
      <c r="AF287" s="5" t="s">
        <v>981</v>
      </c>
      <c r="AG287" s="5">
        <v>0</v>
      </c>
      <c r="AH287" s="5">
        <v>0</v>
      </c>
      <c r="AI287" s="5">
        <v>0</v>
      </c>
      <c r="AJ287" s="5">
        <v>0</v>
      </c>
      <c r="AK287" s="5" t="s">
        <v>983</v>
      </c>
      <c r="AL287" s="5">
        <v>0</v>
      </c>
      <c r="AM287" s="5">
        <v>0</v>
      </c>
      <c r="AN287" s="5">
        <v>0</v>
      </c>
      <c r="AO287" s="5">
        <v>0</v>
      </c>
      <c r="AP287" s="5" t="s">
        <v>983</v>
      </c>
      <c r="AQ287" s="5">
        <v>0</v>
      </c>
      <c r="AR287" s="5">
        <v>0</v>
      </c>
      <c r="AS287" s="5">
        <v>0</v>
      </c>
      <c r="AT287" s="5">
        <v>0</v>
      </c>
      <c r="AU287" s="5">
        <v>0</v>
      </c>
      <c r="AV287" s="5">
        <v>0</v>
      </c>
      <c r="AW287" s="5">
        <v>0</v>
      </c>
      <c r="AX287" s="5">
        <v>0</v>
      </c>
      <c r="AY287" s="5" t="s">
        <v>983</v>
      </c>
      <c r="AZ287" s="1">
        <v>0</v>
      </c>
      <c r="BA287" s="1">
        <v>0</v>
      </c>
      <c r="BB287" s="1">
        <v>0</v>
      </c>
      <c r="BC287" s="1">
        <v>1</v>
      </c>
      <c r="BD287" s="1">
        <v>1</v>
      </c>
      <c r="BE287" s="1">
        <v>1</v>
      </c>
      <c r="BF287" s="1">
        <v>37</v>
      </c>
      <c r="BG287" s="1">
        <v>0</v>
      </c>
      <c r="BH287" s="1">
        <v>17</v>
      </c>
      <c r="BI287" s="1">
        <v>34</v>
      </c>
      <c r="BJ287" s="1">
        <v>300000</v>
      </c>
      <c r="BK287" s="1">
        <v>2</v>
      </c>
    </row>
    <row r="288" spans="1:63" ht="12.75" customHeight="1" x14ac:dyDescent="0.15">
      <c r="A288" s="5" t="s">
        <v>337</v>
      </c>
      <c r="B288" s="5" t="s">
        <v>984</v>
      </c>
      <c r="C288" s="5">
        <v>1</v>
      </c>
      <c r="D288" s="5">
        <v>2</v>
      </c>
      <c r="E288" s="5">
        <v>3</v>
      </c>
      <c r="F288" s="5">
        <v>2</v>
      </c>
      <c r="G288" s="5">
        <v>3</v>
      </c>
      <c r="H288" s="5">
        <v>3</v>
      </c>
      <c r="I288" s="5">
        <v>3</v>
      </c>
      <c r="J288" s="5">
        <v>1</v>
      </c>
      <c r="K288" s="5">
        <v>1</v>
      </c>
      <c r="L288" s="5">
        <v>3</v>
      </c>
      <c r="M288" s="5">
        <v>1</v>
      </c>
      <c r="N288" s="5">
        <v>1</v>
      </c>
      <c r="O288" s="5">
        <v>24</v>
      </c>
      <c r="P288" s="5" t="s">
        <v>981</v>
      </c>
      <c r="Q288" s="5">
        <v>3</v>
      </c>
      <c r="R288" s="5">
        <v>3</v>
      </c>
      <c r="S288" s="5">
        <v>1</v>
      </c>
      <c r="T288" s="5">
        <v>7</v>
      </c>
      <c r="U288" s="5" t="s">
        <v>981</v>
      </c>
      <c r="V288" s="5">
        <v>3</v>
      </c>
      <c r="W288" s="5">
        <v>1</v>
      </c>
      <c r="X288" s="5">
        <v>4</v>
      </c>
      <c r="Y288" s="5">
        <v>8</v>
      </c>
      <c r="Z288" s="5" t="s">
        <v>981</v>
      </c>
      <c r="AA288" s="5">
        <v>2</v>
      </c>
      <c r="AB288" s="5">
        <v>3</v>
      </c>
      <c r="AC288" s="5">
        <v>0</v>
      </c>
      <c r="AD288" s="5">
        <v>0</v>
      </c>
      <c r="AE288" s="5">
        <v>5</v>
      </c>
      <c r="AF288" s="5" t="s">
        <v>981</v>
      </c>
      <c r="AG288" s="5">
        <v>0</v>
      </c>
      <c r="AH288" s="5">
        <v>0</v>
      </c>
      <c r="AI288" s="5">
        <v>0</v>
      </c>
      <c r="AJ288" s="5">
        <v>0</v>
      </c>
      <c r="AK288" s="5" t="s">
        <v>983</v>
      </c>
      <c r="AL288" s="5">
        <v>4</v>
      </c>
      <c r="AM288" s="5">
        <v>4</v>
      </c>
      <c r="AN288" s="5">
        <v>2</v>
      </c>
      <c r="AO288" s="5">
        <v>10</v>
      </c>
      <c r="AP288" s="5" t="s">
        <v>981</v>
      </c>
      <c r="AQ288" s="5">
        <v>0</v>
      </c>
      <c r="AR288" s="5">
        <v>0</v>
      </c>
      <c r="AS288" s="5">
        <v>0</v>
      </c>
      <c r="AT288" s="5">
        <v>0</v>
      </c>
      <c r="AU288" s="5">
        <v>0</v>
      </c>
      <c r="AV288" s="5">
        <v>0</v>
      </c>
      <c r="AW288" s="5">
        <v>0</v>
      </c>
      <c r="AX288" s="5">
        <v>0</v>
      </c>
      <c r="AY288" s="5" t="s">
        <v>983</v>
      </c>
      <c r="AZ288" s="1">
        <v>1</v>
      </c>
      <c r="BA288" s="1">
        <v>0</v>
      </c>
      <c r="BB288" s="1">
        <v>1</v>
      </c>
      <c r="BC288" s="1">
        <v>1</v>
      </c>
      <c r="BD288" s="1">
        <v>0</v>
      </c>
      <c r="BE288" s="1">
        <v>1</v>
      </c>
      <c r="BF288" s="1">
        <v>31</v>
      </c>
      <c r="BG288" s="1">
        <v>0</v>
      </c>
      <c r="BH288" s="1">
        <v>18</v>
      </c>
      <c r="BI288" s="1">
        <v>6</v>
      </c>
      <c r="BJ288" s="1">
        <v>350000</v>
      </c>
      <c r="BK288" s="1">
        <v>2</v>
      </c>
    </row>
    <row r="289" spans="1:63" ht="12.75" customHeight="1" x14ac:dyDescent="0.15">
      <c r="A289" s="5" t="s">
        <v>238</v>
      </c>
      <c r="B289" s="5" t="s">
        <v>238</v>
      </c>
      <c r="C289" s="5">
        <v>3</v>
      </c>
      <c r="D289" s="5">
        <v>2</v>
      </c>
      <c r="E289" s="5">
        <v>3</v>
      </c>
      <c r="F289" s="5">
        <v>3</v>
      </c>
      <c r="G289" s="5">
        <v>2</v>
      </c>
      <c r="H289" s="5">
        <v>1</v>
      </c>
      <c r="I289" s="5">
        <v>1</v>
      </c>
      <c r="J289" s="5">
        <v>1</v>
      </c>
      <c r="K289" s="5">
        <v>1</v>
      </c>
      <c r="L289" s="5">
        <v>1</v>
      </c>
      <c r="M289" s="5">
        <v>2</v>
      </c>
      <c r="N289" s="5">
        <v>1</v>
      </c>
      <c r="O289" s="5">
        <v>21</v>
      </c>
      <c r="P289" s="5" t="s">
        <v>982</v>
      </c>
      <c r="Q289" s="5">
        <v>1</v>
      </c>
      <c r="R289" s="5">
        <v>2</v>
      </c>
      <c r="S289" s="5">
        <v>1</v>
      </c>
      <c r="T289" s="5">
        <v>4</v>
      </c>
      <c r="U289" s="5" t="s">
        <v>982</v>
      </c>
      <c r="V289" s="5">
        <v>2</v>
      </c>
      <c r="W289" s="5">
        <v>0</v>
      </c>
      <c r="X289" s="5">
        <v>1</v>
      </c>
      <c r="Y289" s="5">
        <v>3</v>
      </c>
      <c r="Z289" s="5" t="s">
        <v>982</v>
      </c>
      <c r="AA289" s="5">
        <v>2</v>
      </c>
      <c r="AB289" s="5">
        <v>2</v>
      </c>
      <c r="AC289" s="5">
        <v>0</v>
      </c>
      <c r="AD289" s="5">
        <v>1</v>
      </c>
      <c r="AE289" s="5">
        <v>5</v>
      </c>
      <c r="AF289" s="5" t="s">
        <v>981</v>
      </c>
      <c r="AG289" s="5">
        <v>1</v>
      </c>
      <c r="AH289" s="5">
        <v>0</v>
      </c>
      <c r="AI289" s="5">
        <v>0</v>
      </c>
      <c r="AJ289" s="5">
        <v>1</v>
      </c>
      <c r="AK289" s="5" t="s">
        <v>983</v>
      </c>
      <c r="AL289" s="5">
        <v>0</v>
      </c>
      <c r="AM289" s="5">
        <v>0</v>
      </c>
      <c r="AN289" s="5">
        <v>0</v>
      </c>
      <c r="AO289" s="5">
        <v>0</v>
      </c>
      <c r="AP289" s="5" t="s">
        <v>983</v>
      </c>
      <c r="AQ289" s="5">
        <v>0</v>
      </c>
      <c r="AR289" s="5">
        <v>0</v>
      </c>
      <c r="AS289" s="5">
        <v>0</v>
      </c>
      <c r="AT289" s="5">
        <v>0</v>
      </c>
      <c r="AU289" s="5">
        <v>0</v>
      </c>
      <c r="AV289" s="5">
        <v>0</v>
      </c>
      <c r="AW289" s="5">
        <v>0</v>
      </c>
      <c r="AX289" s="5">
        <v>0</v>
      </c>
      <c r="AY289" s="5" t="s">
        <v>983</v>
      </c>
      <c r="AZ289" s="1">
        <v>0</v>
      </c>
      <c r="BA289" s="1">
        <v>0</v>
      </c>
      <c r="BB289" s="1">
        <v>0</v>
      </c>
      <c r="BC289" s="1">
        <v>1</v>
      </c>
      <c r="BD289" s="1">
        <v>0</v>
      </c>
      <c r="BE289" s="1">
        <v>1</v>
      </c>
      <c r="BF289" s="1">
        <v>47</v>
      </c>
      <c r="BG289" s="1">
        <v>1</v>
      </c>
      <c r="BH289" s="1">
        <v>4</v>
      </c>
      <c r="BI289" s="1">
        <v>29</v>
      </c>
      <c r="BJ289" s="1">
        <v>800000</v>
      </c>
      <c r="BK289" s="1">
        <v>3</v>
      </c>
    </row>
    <row r="290" spans="1:63" ht="12.75" customHeight="1" x14ac:dyDescent="0.15">
      <c r="A290" s="5" t="s">
        <v>238</v>
      </c>
      <c r="B290" s="5" t="s">
        <v>238</v>
      </c>
      <c r="C290" s="5">
        <v>3</v>
      </c>
      <c r="D290" s="5">
        <v>3</v>
      </c>
      <c r="E290" s="5">
        <v>3</v>
      </c>
      <c r="F290" s="5">
        <v>3</v>
      </c>
      <c r="G290" s="5">
        <v>2</v>
      </c>
      <c r="H290" s="5">
        <v>2</v>
      </c>
      <c r="I290" s="5">
        <v>1</v>
      </c>
      <c r="J290" s="5">
        <v>2</v>
      </c>
      <c r="K290" s="5">
        <v>2</v>
      </c>
      <c r="L290" s="5">
        <v>2</v>
      </c>
      <c r="M290" s="5">
        <v>1</v>
      </c>
      <c r="N290" s="5">
        <v>1</v>
      </c>
      <c r="O290" s="5">
        <v>25</v>
      </c>
      <c r="P290" s="5" t="s">
        <v>981</v>
      </c>
      <c r="Q290" s="5">
        <v>3</v>
      </c>
      <c r="R290" s="5">
        <v>2</v>
      </c>
      <c r="S290" s="5">
        <v>1</v>
      </c>
      <c r="T290" s="5">
        <v>6</v>
      </c>
      <c r="U290" s="5" t="s">
        <v>981</v>
      </c>
      <c r="V290" s="5">
        <v>1</v>
      </c>
      <c r="W290" s="5">
        <v>2</v>
      </c>
      <c r="X290" s="5">
        <v>2</v>
      </c>
      <c r="Y290" s="5">
        <v>5</v>
      </c>
      <c r="Z290" s="5" t="s">
        <v>982</v>
      </c>
      <c r="AA290" s="5">
        <v>3</v>
      </c>
      <c r="AB290" s="5">
        <v>1</v>
      </c>
      <c r="AC290" s="5">
        <v>2</v>
      </c>
      <c r="AD290" s="5">
        <v>2</v>
      </c>
      <c r="AE290" s="5">
        <v>8</v>
      </c>
      <c r="AF290" s="5" t="s">
        <v>981</v>
      </c>
      <c r="AG290" s="5">
        <v>3</v>
      </c>
      <c r="AH290" s="5">
        <v>1</v>
      </c>
      <c r="AI290" s="5">
        <v>1</v>
      </c>
      <c r="AJ290" s="5">
        <v>5</v>
      </c>
      <c r="AK290" s="5" t="s">
        <v>982</v>
      </c>
      <c r="AL290" s="5">
        <v>2</v>
      </c>
      <c r="AM290" s="5">
        <v>2</v>
      </c>
      <c r="AN290" s="5">
        <v>1</v>
      </c>
      <c r="AO290" s="5">
        <v>5</v>
      </c>
      <c r="AP290" s="5" t="s">
        <v>982</v>
      </c>
      <c r="AQ290" s="5">
        <v>0</v>
      </c>
      <c r="AR290" s="5">
        <v>0</v>
      </c>
      <c r="AS290" s="5">
        <v>0</v>
      </c>
      <c r="AT290" s="5">
        <v>0</v>
      </c>
      <c r="AU290" s="5">
        <v>0</v>
      </c>
      <c r="AV290" s="5">
        <v>0</v>
      </c>
      <c r="AW290" s="5">
        <v>0</v>
      </c>
      <c r="AX290" s="5">
        <v>0</v>
      </c>
      <c r="AY290" s="5" t="s">
        <v>983</v>
      </c>
      <c r="AZ290" s="1">
        <v>0</v>
      </c>
      <c r="BA290" s="1">
        <v>0</v>
      </c>
      <c r="BB290" s="1">
        <v>1</v>
      </c>
      <c r="BC290" s="1">
        <v>1</v>
      </c>
      <c r="BD290" s="1">
        <v>1</v>
      </c>
      <c r="BE290" s="1">
        <v>1</v>
      </c>
      <c r="BF290" s="1">
        <v>37</v>
      </c>
      <c r="BG290" s="1">
        <v>1</v>
      </c>
      <c r="BH290" s="1">
        <v>2</v>
      </c>
      <c r="BI290" s="1">
        <v>3</v>
      </c>
      <c r="BJ290" s="1">
        <v>0</v>
      </c>
      <c r="BK290" s="1">
        <v>2</v>
      </c>
    </row>
    <row r="291" spans="1:63" ht="12.75" customHeight="1" x14ac:dyDescent="0.15">
      <c r="A291" s="5" t="s">
        <v>238</v>
      </c>
      <c r="B291" s="5" t="s">
        <v>238</v>
      </c>
      <c r="C291" s="5">
        <v>2</v>
      </c>
      <c r="D291" s="5">
        <v>2</v>
      </c>
      <c r="E291" s="5">
        <v>2</v>
      </c>
      <c r="F291" s="5">
        <v>2</v>
      </c>
      <c r="G291" s="5">
        <v>1</v>
      </c>
      <c r="H291" s="5">
        <v>1</v>
      </c>
      <c r="I291" s="5">
        <v>1</v>
      </c>
      <c r="J291" s="5">
        <v>1</v>
      </c>
      <c r="K291" s="5">
        <v>2</v>
      </c>
      <c r="L291" s="5">
        <v>2</v>
      </c>
      <c r="M291" s="5">
        <v>2</v>
      </c>
      <c r="N291" s="5">
        <v>1</v>
      </c>
      <c r="O291" s="5">
        <v>19</v>
      </c>
      <c r="P291" s="5" t="s">
        <v>982</v>
      </c>
      <c r="Q291" s="5">
        <v>2</v>
      </c>
      <c r="R291" s="5">
        <v>2</v>
      </c>
      <c r="S291" s="5">
        <v>1</v>
      </c>
      <c r="T291" s="5">
        <v>5</v>
      </c>
      <c r="U291" s="5" t="s">
        <v>981</v>
      </c>
      <c r="V291" s="5">
        <v>0</v>
      </c>
      <c r="W291" s="5">
        <v>3</v>
      </c>
      <c r="X291" s="5">
        <v>2</v>
      </c>
      <c r="Y291" s="5">
        <v>5</v>
      </c>
      <c r="Z291" s="5" t="s">
        <v>982</v>
      </c>
      <c r="AA291" s="5">
        <v>4</v>
      </c>
      <c r="AB291" s="5">
        <v>4</v>
      </c>
      <c r="AC291" s="5">
        <v>4</v>
      </c>
      <c r="AD291" s="5">
        <v>0</v>
      </c>
      <c r="AE291" s="5">
        <v>12</v>
      </c>
      <c r="AF291" s="5" t="s">
        <v>981</v>
      </c>
      <c r="AG291" s="5">
        <v>0</v>
      </c>
      <c r="AH291" s="5">
        <v>0</v>
      </c>
      <c r="AI291" s="5">
        <v>0</v>
      </c>
      <c r="AJ291" s="5">
        <v>0</v>
      </c>
      <c r="AK291" s="5" t="s">
        <v>983</v>
      </c>
      <c r="AL291" s="5">
        <v>1</v>
      </c>
      <c r="AM291" s="5">
        <v>1</v>
      </c>
      <c r="AN291" s="5">
        <v>1</v>
      </c>
      <c r="AO291" s="5">
        <v>3</v>
      </c>
      <c r="AP291" s="5" t="s">
        <v>982</v>
      </c>
      <c r="AQ291" s="5">
        <v>0</v>
      </c>
      <c r="AR291" s="5">
        <v>0</v>
      </c>
      <c r="AS291" s="5">
        <v>0</v>
      </c>
      <c r="AT291" s="5">
        <v>0</v>
      </c>
      <c r="AU291" s="5">
        <v>0</v>
      </c>
      <c r="AV291" s="5">
        <v>0</v>
      </c>
      <c r="AW291" s="5">
        <v>0</v>
      </c>
      <c r="AX291" s="5">
        <v>0</v>
      </c>
      <c r="AY291" s="5" t="s">
        <v>983</v>
      </c>
      <c r="AZ291" s="1">
        <v>1</v>
      </c>
      <c r="BA291" s="1">
        <v>0</v>
      </c>
      <c r="BB291" s="1">
        <v>1</v>
      </c>
      <c r="BC291" s="1">
        <v>1</v>
      </c>
      <c r="BD291" s="1">
        <v>1</v>
      </c>
      <c r="BE291" s="1">
        <v>1</v>
      </c>
      <c r="BF291" s="1">
        <v>0</v>
      </c>
      <c r="BG291" s="1">
        <v>1</v>
      </c>
      <c r="BI291" s="1">
        <v>6</v>
      </c>
      <c r="BJ291" s="1">
        <v>0</v>
      </c>
      <c r="BK291" s="1">
        <v>4</v>
      </c>
    </row>
    <row r="292" spans="1:63" ht="12.75" customHeight="1" x14ac:dyDescent="0.15">
      <c r="A292" s="5" t="s">
        <v>238</v>
      </c>
      <c r="B292" s="5" t="s">
        <v>238</v>
      </c>
      <c r="C292" s="5">
        <v>2</v>
      </c>
      <c r="D292" s="5">
        <v>2</v>
      </c>
      <c r="E292" s="5">
        <v>2</v>
      </c>
      <c r="F292" s="5">
        <v>2</v>
      </c>
      <c r="G292" s="5">
        <v>2</v>
      </c>
      <c r="H292" s="5">
        <v>2</v>
      </c>
      <c r="I292" s="5">
        <v>2</v>
      </c>
      <c r="J292" s="5">
        <v>2</v>
      </c>
      <c r="K292" s="5">
        <v>2</v>
      </c>
      <c r="L292" s="5">
        <v>2</v>
      </c>
      <c r="M292" s="5">
        <v>2</v>
      </c>
      <c r="N292" s="5">
        <v>2</v>
      </c>
      <c r="O292" s="5">
        <v>24</v>
      </c>
      <c r="P292" s="5" t="s">
        <v>981</v>
      </c>
      <c r="Q292" s="5">
        <v>0</v>
      </c>
      <c r="R292" s="5">
        <v>0</v>
      </c>
      <c r="S292" s="5">
        <v>0</v>
      </c>
      <c r="T292" s="5">
        <v>0</v>
      </c>
      <c r="U292" s="5" t="s">
        <v>983</v>
      </c>
      <c r="V292" s="5">
        <v>0</v>
      </c>
      <c r="W292" s="5">
        <v>0</v>
      </c>
      <c r="X292" s="5">
        <v>1</v>
      </c>
      <c r="Y292" s="5">
        <v>1</v>
      </c>
      <c r="Z292" s="5" t="s">
        <v>983</v>
      </c>
      <c r="AA292" s="5">
        <v>3</v>
      </c>
      <c r="AB292" s="5">
        <v>4</v>
      </c>
      <c r="AC292" s="5">
        <v>4</v>
      </c>
      <c r="AD292" s="5">
        <v>4</v>
      </c>
      <c r="AE292" s="5">
        <v>15</v>
      </c>
      <c r="AF292" s="5" t="s">
        <v>981</v>
      </c>
      <c r="AG292" s="5">
        <v>1</v>
      </c>
      <c r="AH292" s="5">
        <v>0</v>
      </c>
      <c r="AI292" s="5">
        <v>0</v>
      </c>
      <c r="AJ292" s="5">
        <v>1</v>
      </c>
      <c r="AK292" s="5" t="s">
        <v>983</v>
      </c>
      <c r="AL292" s="5">
        <v>0</v>
      </c>
      <c r="AM292" s="5">
        <v>0</v>
      </c>
      <c r="AN292" s="5">
        <v>0</v>
      </c>
      <c r="AO292" s="5">
        <v>0</v>
      </c>
      <c r="AP292" s="5" t="s">
        <v>983</v>
      </c>
      <c r="AQ292" s="5">
        <v>0</v>
      </c>
      <c r="AR292" s="5">
        <v>0</v>
      </c>
      <c r="AS292" s="5">
        <v>0</v>
      </c>
      <c r="AT292" s="5">
        <v>0</v>
      </c>
      <c r="AU292" s="5">
        <v>0</v>
      </c>
      <c r="AV292" s="5">
        <v>0</v>
      </c>
      <c r="AW292" s="5">
        <v>0</v>
      </c>
      <c r="AX292" s="5">
        <v>0</v>
      </c>
      <c r="AY292" s="5" t="s">
        <v>983</v>
      </c>
      <c r="AZ292" s="1">
        <v>1</v>
      </c>
      <c r="BA292" s="1">
        <v>0</v>
      </c>
      <c r="BB292" s="1">
        <v>1</v>
      </c>
      <c r="BC292" s="1">
        <v>1</v>
      </c>
      <c r="BD292" s="1">
        <v>0</v>
      </c>
      <c r="BE292" s="1">
        <v>0</v>
      </c>
      <c r="BF292" s="1">
        <v>40</v>
      </c>
      <c r="BG292" s="1">
        <v>0</v>
      </c>
      <c r="BH292" s="1">
        <v>18</v>
      </c>
      <c r="BI292" s="1">
        <v>34</v>
      </c>
      <c r="BJ292" s="1">
        <v>2000000</v>
      </c>
      <c r="BK292" s="1">
        <v>7</v>
      </c>
    </row>
    <row r="293" spans="1:63" ht="12.75" customHeight="1" x14ac:dyDescent="0.15">
      <c r="A293" s="5" t="s">
        <v>238</v>
      </c>
      <c r="B293" s="5" t="s">
        <v>238</v>
      </c>
      <c r="C293" s="5">
        <v>2</v>
      </c>
      <c r="D293" s="5">
        <v>2</v>
      </c>
      <c r="E293" s="5">
        <v>3</v>
      </c>
      <c r="F293" s="5">
        <v>2</v>
      </c>
      <c r="G293" s="5">
        <v>2</v>
      </c>
      <c r="H293" s="5">
        <v>1</v>
      </c>
      <c r="I293" s="5">
        <v>1</v>
      </c>
      <c r="J293" s="5">
        <v>1</v>
      </c>
      <c r="K293" s="5">
        <v>1</v>
      </c>
      <c r="L293" s="5">
        <v>2</v>
      </c>
      <c r="M293" s="5">
        <v>1</v>
      </c>
      <c r="N293" s="5">
        <v>1</v>
      </c>
      <c r="O293" s="5">
        <v>19</v>
      </c>
      <c r="P293" s="5" t="s">
        <v>982</v>
      </c>
      <c r="Q293" s="5">
        <v>3</v>
      </c>
      <c r="R293" s="5">
        <v>2</v>
      </c>
      <c r="S293" s="5">
        <v>2</v>
      </c>
      <c r="T293" s="5">
        <v>7</v>
      </c>
      <c r="U293" s="5" t="s">
        <v>981</v>
      </c>
      <c r="V293" s="5">
        <v>2</v>
      </c>
      <c r="W293" s="5">
        <v>2</v>
      </c>
      <c r="X293" s="5">
        <v>2</v>
      </c>
      <c r="Y293" s="5">
        <v>6</v>
      </c>
      <c r="Z293" s="5" t="s">
        <v>981</v>
      </c>
      <c r="AA293" s="5">
        <v>2</v>
      </c>
      <c r="AB293" s="5">
        <v>1</v>
      </c>
      <c r="AC293" s="5">
        <v>0</v>
      </c>
      <c r="AD293" s="5">
        <v>0</v>
      </c>
      <c r="AE293" s="5">
        <v>3</v>
      </c>
      <c r="AF293" s="5" t="s">
        <v>982</v>
      </c>
      <c r="AG293" s="5">
        <v>0</v>
      </c>
      <c r="AH293" s="5">
        <v>0</v>
      </c>
      <c r="AI293" s="5">
        <v>0</v>
      </c>
      <c r="AJ293" s="5">
        <v>0</v>
      </c>
      <c r="AK293" s="5" t="s">
        <v>983</v>
      </c>
      <c r="AL293" s="5">
        <v>2</v>
      </c>
      <c r="AM293" s="5">
        <v>2</v>
      </c>
      <c r="AN293" s="5">
        <v>1</v>
      </c>
      <c r="AO293" s="5">
        <v>5</v>
      </c>
      <c r="AP293" s="5" t="s">
        <v>982</v>
      </c>
      <c r="AQ293" s="5">
        <v>0</v>
      </c>
      <c r="AR293" s="5">
        <v>0</v>
      </c>
      <c r="AS293" s="5">
        <v>0</v>
      </c>
      <c r="AT293" s="5">
        <v>0</v>
      </c>
      <c r="AU293" s="5">
        <v>0</v>
      </c>
      <c r="AV293" s="5">
        <v>0</v>
      </c>
      <c r="AW293" s="5">
        <v>0</v>
      </c>
      <c r="AX293" s="5">
        <v>0</v>
      </c>
      <c r="AY293" s="5" t="s">
        <v>983</v>
      </c>
      <c r="AZ293" s="1">
        <v>1</v>
      </c>
      <c r="BA293" s="1">
        <v>0</v>
      </c>
      <c r="BB293" s="1">
        <v>0</v>
      </c>
      <c r="BC293" s="1">
        <v>1</v>
      </c>
      <c r="BD293" s="1">
        <v>0</v>
      </c>
      <c r="BE293" s="1">
        <v>1</v>
      </c>
      <c r="BF293" s="1">
        <v>35</v>
      </c>
      <c r="BG293" s="1">
        <v>1</v>
      </c>
      <c r="BH293" s="1">
        <v>2</v>
      </c>
      <c r="BI293" s="1">
        <v>34</v>
      </c>
      <c r="BJ293" s="1">
        <v>0</v>
      </c>
      <c r="BK293" s="1">
        <v>6</v>
      </c>
    </row>
    <row r="294" spans="1:63" ht="12.75" customHeight="1" x14ac:dyDescent="0.15">
      <c r="A294" s="5" t="s">
        <v>238</v>
      </c>
      <c r="B294" s="5" t="s">
        <v>238</v>
      </c>
      <c r="C294" s="5">
        <v>3</v>
      </c>
      <c r="D294" s="5">
        <v>3</v>
      </c>
      <c r="E294" s="5">
        <v>3</v>
      </c>
      <c r="F294" s="5">
        <v>3</v>
      </c>
      <c r="G294" s="5">
        <v>3</v>
      </c>
      <c r="H294" s="5">
        <v>3</v>
      </c>
      <c r="I294" s="5">
        <v>3</v>
      </c>
      <c r="J294" s="5">
        <v>3</v>
      </c>
      <c r="K294" s="5">
        <v>3</v>
      </c>
      <c r="L294" s="5">
        <v>3</v>
      </c>
      <c r="M294" s="5">
        <v>3</v>
      </c>
      <c r="N294" s="5">
        <v>3</v>
      </c>
      <c r="O294" s="5">
        <v>36</v>
      </c>
      <c r="P294" s="5" t="s">
        <v>981</v>
      </c>
      <c r="Q294" s="5">
        <v>4</v>
      </c>
      <c r="R294" s="5">
        <v>2</v>
      </c>
      <c r="S294" s="5">
        <v>2</v>
      </c>
      <c r="T294" s="5">
        <v>8</v>
      </c>
      <c r="U294" s="5" t="s">
        <v>981</v>
      </c>
      <c r="V294" s="5">
        <v>2</v>
      </c>
      <c r="W294" s="5">
        <v>2</v>
      </c>
      <c r="X294" s="5">
        <v>4</v>
      </c>
      <c r="Y294" s="5">
        <v>8</v>
      </c>
      <c r="Z294" s="5" t="s">
        <v>981</v>
      </c>
      <c r="AA294" s="5">
        <v>2</v>
      </c>
      <c r="AB294" s="5">
        <v>2</v>
      </c>
      <c r="AC294" s="5">
        <v>2</v>
      </c>
      <c r="AD294" s="5">
        <v>2</v>
      </c>
      <c r="AE294" s="5">
        <v>8</v>
      </c>
      <c r="AF294" s="5" t="s">
        <v>981</v>
      </c>
      <c r="AG294" s="5">
        <v>2</v>
      </c>
      <c r="AH294" s="5">
        <v>2</v>
      </c>
      <c r="AI294" s="5">
        <v>2</v>
      </c>
      <c r="AJ294" s="5">
        <v>6</v>
      </c>
      <c r="AK294" s="5" t="s">
        <v>981</v>
      </c>
      <c r="AL294" s="5">
        <v>2</v>
      </c>
      <c r="AM294" s="5">
        <v>2</v>
      </c>
      <c r="AN294" s="5">
        <v>2</v>
      </c>
      <c r="AO294" s="5">
        <v>6</v>
      </c>
      <c r="AP294" s="5" t="s">
        <v>981</v>
      </c>
      <c r="AQ294" s="5">
        <v>0</v>
      </c>
      <c r="AR294" s="5">
        <v>0</v>
      </c>
      <c r="AS294" s="5">
        <v>0</v>
      </c>
      <c r="AT294" s="5">
        <v>0</v>
      </c>
      <c r="AU294" s="5">
        <v>0</v>
      </c>
      <c r="AV294" s="5">
        <v>0</v>
      </c>
      <c r="AW294" s="5">
        <v>0</v>
      </c>
      <c r="AX294" s="5">
        <v>0</v>
      </c>
      <c r="AY294" s="5" t="s">
        <v>983</v>
      </c>
      <c r="AZ294" s="1">
        <v>0</v>
      </c>
      <c r="BA294" s="1">
        <v>1</v>
      </c>
      <c r="BB294" s="1">
        <v>0</v>
      </c>
      <c r="BC294" s="1">
        <v>1</v>
      </c>
      <c r="BD294" s="1">
        <v>1</v>
      </c>
      <c r="BE294" s="1">
        <v>1</v>
      </c>
      <c r="BF294" s="1">
        <v>42</v>
      </c>
      <c r="BG294" s="1">
        <v>0</v>
      </c>
      <c r="BH294" s="1">
        <v>18</v>
      </c>
      <c r="BI294" s="1">
        <v>34</v>
      </c>
      <c r="BJ294" s="1">
        <v>700000</v>
      </c>
      <c r="BK294" s="1">
        <v>4</v>
      </c>
    </row>
    <row r="295" spans="1:63" ht="12.75" customHeight="1" x14ac:dyDescent="0.15">
      <c r="A295" s="5" t="s">
        <v>238</v>
      </c>
      <c r="B295" s="5" t="s">
        <v>238</v>
      </c>
      <c r="C295" s="5">
        <v>3</v>
      </c>
      <c r="D295" s="5">
        <v>1</v>
      </c>
      <c r="E295" s="5">
        <v>2</v>
      </c>
      <c r="F295" s="5">
        <v>2</v>
      </c>
      <c r="G295" s="5">
        <v>2</v>
      </c>
      <c r="H295" s="5">
        <v>3</v>
      </c>
      <c r="I295" s="5">
        <v>4</v>
      </c>
      <c r="J295" s="5">
        <v>3</v>
      </c>
      <c r="K295" s="5">
        <v>1</v>
      </c>
      <c r="L295" s="5">
        <v>3</v>
      </c>
      <c r="M295" s="5">
        <v>1</v>
      </c>
      <c r="N295" s="5">
        <v>1</v>
      </c>
      <c r="O295" s="5">
        <v>26</v>
      </c>
      <c r="P295" s="5" t="s">
        <v>981</v>
      </c>
      <c r="Q295" s="5">
        <v>0</v>
      </c>
      <c r="R295" s="5">
        <v>2</v>
      </c>
      <c r="S295" s="5">
        <v>0</v>
      </c>
      <c r="T295" s="5">
        <v>2</v>
      </c>
      <c r="U295" s="5" t="s">
        <v>982</v>
      </c>
      <c r="V295" s="5">
        <v>0</v>
      </c>
      <c r="W295" s="5">
        <v>4</v>
      </c>
      <c r="X295" s="5">
        <v>2</v>
      </c>
      <c r="Y295" s="5">
        <v>6</v>
      </c>
      <c r="Z295" s="5" t="s">
        <v>981</v>
      </c>
      <c r="AA295" s="5">
        <v>0</v>
      </c>
      <c r="AB295" s="5">
        <v>3</v>
      </c>
      <c r="AC295" s="5">
        <v>1</v>
      </c>
      <c r="AD295" s="5">
        <v>2</v>
      </c>
      <c r="AE295" s="5">
        <v>6</v>
      </c>
      <c r="AF295" s="5" t="s">
        <v>981</v>
      </c>
      <c r="AG295" s="5">
        <v>1</v>
      </c>
      <c r="AH295" s="5">
        <v>0</v>
      </c>
      <c r="AI295" s="5">
        <v>0</v>
      </c>
      <c r="AJ295" s="5">
        <v>1</v>
      </c>
      <c r="AK295" s="5" t="s">
        <v>983</v>
      </c>
      <c r="AL295" s="5">
        <v>1</v>
      </c>
      <c r="AM295" s="5">
        <v>1</v>
      </c>
      <c r="AN295" s="5">
        <v>1</v>
      </c>
      <c r="AO295" s="5">
        <v>3</v>
      </c>
      <c r="AP295" s="5" t="s">
        <v>982</v>
      </c>
      <c r="AQ295" s="5">
        <v>1</v>
      </c>
      <c r="AR295" s="5">
        <v>0</v>
      </c>
      <c r="AS295" s="5">
        <v>0</v>
      </c>
      <c r="AT295" s="5">
        <v>0</v>
      </c>
      <c r="AU295" s="5">
        <v>0</v>
      </c>
      <c r="AV295" s="5">
        <v>0</v>
      </c>
      <c r="AW295" s="5">
        <v>0</v>
      </c>
      <c r="AX295" s="5">
        <v>1</v>
      </c>
      <c r="AY295" s="5" t="s">
        <v>982</v>
      </c>
      <c r="AZ295" s="1">
        <v>0</v>
      </c>
      <c r="BA295" s="1">
        <v>0</v>
      </c>
      <c r="BB295" s="1">
        <v>0</v>
      </c>
      <c r="BC295" s="1">
        <v>1</v>
      </c>
      <c r="BD295" s="1">
        <v>1</v>
      </c>
      <c r="BE295" s="1">
        <v>1</v>
      </c>
      <c r="BF295" s="1">
        <v>59</v>
      </c>
      <c r="BG295" s="1">
        <v>1</v>
      </c>
      <c r="BH295" s="1">
        <v>16</v>
      </c>
      <c r="BI295" s="1">
        <v>24</v>
      </c>
      <c r="BJ295" s="1">
        <v>400000</v>
      </c>
      <c r="BK295" s="1">
        <v>1</v>
      </c>
    </row>
    <row r="296" spans="1:63" ht="12.75" customHeight="1" x14ac:dyDescent="0.15">
      <c r="A296" s="5" t="s">
        <v>337</v>
      </c>
      <c r="B296" s="5" t="s">
        <v>984</v>
      </c>
      <c r="C296" s="5">
        <v>4</v>
      </c>
      <c r="D296" s="5">
        <v>3</v>
      </c>
      <c r="E296" s="5">
        <v>2</v>
      </c>
      <c r="F296" s="5">
        <v>3</v>
      </c>
      <c r="G296" s="5">
        <v>3</v>
      </c>
      <c r="H296" s="5">
        <v>1</v>
      </c>
      <c r="I296" s="5">
        <v>1</v>
      </c>
      <c r="J296" s="5">
        <v>2</v>
      </c>
      <c r="K296" s="5">
        <v>2</v>
      </c>
      <c r="L296" s="5">
        <v>3</v>
      </c>
      <c r="M296" s="5">
        <v>1</v>
      </c>
      <c r="N296" s="5">
        <v>2</v>
      </c>
      <c r="O296" s="5">
        <v>27</v>
      </c>
      <c r="P296" s="5" t="s">
        <v>981</v>
      </c>
      <c r="Q296" s="5">
        <v>3</v>
      </c>
      <c r="R296" s="5">
        <v>3</v>
      </c>
      <c r="S296" s="5">
        <v>3</v>
      </c>
      <c r="T296" s="5">
        <v>9</v>
      </c>
      <c r="U296" s="5" t="s">
        <v>981</v>
      </c>
      <c r="V296" s="5">
        <v>3</v>
      </c>
      <c r="W296" s="5">
        <v>3</v>
      </c>
      <c r="X296" s="5">
        <v>3</v>
      </c>
      <c r="Y296" s="5">
        <v>9</v>
      </c>
      <c r="Z296" s="5" t="s">
        <v>981</v>
      </c>
      <c r="AA296" s="5">
        <v>1</v>
      </c>
      <c r="AB296" s="5">
        <v>1</v>
      </c>
      <c r="AC296" s="5">
        <v>1</v>
      </c>
      <c r="AD296" s="5">
        <v>1</v>
      </c>
      <c r="AE296" s="5">
        <v>4</v>
      </c>
      <c r="AF296" s="5" t="s">
        <v>982</v>
      </c>
      <c r="AG296" s="5">
        <v>3</v>
      </c>
      <c r="AH296" s="5">
        <v>2</v>
      </c>
      <c r="AI296" s="5">
        <v>2</v>
      </c>
      <c r="AJ296" s="5">
        <v>7</v>
      </c>
      <c r="AK296" s="5" t="s">
        <v>981</v>
      </c>
      <c r="AL296" s="5">
        <v>4</v>
      </c>
      <c r="AM296" s="5">
        <v>4</v>
      </c>
      <c r="AN296" s="5">
        <v>4</v>
      </c>
      <c r="AO296" s="5">
        <v>12</v>
      </c>
      <c r="AP296" s="5" t="s">
        <v>981</v>
      </c>
      <c r="AQ296" s="5">
        <v>0</v>
      </c>
      <c r="AR296" s="5">
        <v>0</v>
      </c>
      <c r="AS296" s="5">
        <v>0</v>
      </c>
      <c r="AT296" s="5">
        <v>0</v>
      </c>
      <c r="AU296" s="5">
        <v>0</v>
      </c>
      <c r="AV296" s="5">
        <v>0</v>
      </c>
      <c r="AW296" s="5">
        <v>0</v>
      </c>
      <c r="AX296" s="5">
        <v>0</v>
      </c>
      <c r="AY296" s="5" t="s">
        <v>983</v>
      </c>
      <c r="AZ296" s="1">
        <v>0</v>
      </c>
      <c r="BA296" s="1">
        <v>0</v>
      </c>
      <c r="BB296" s="1">
        <v>0</v>
      </c>
      <c r="BC296" s="1">
        <v>1</v>
      </c>
      <c r="BD296" s="1">
        <v>1</v>
      </c>
      <c r="BE296" s="1">
        <v>1</v>
      </c>
      <c r="BF296" s="1">
        <v>59</v>
      </c>
      <c r="BG296" s="1">
        <v>1</v>
      </c>
      <c r="BH296" s="1">
        <v>16</v>
      </c>
      <c r="BI296" s="1">
        <v>24</v>
      </c>
      <c r="BJ296" s="1">
        <v>400000</v>
      </c>
      <c r="BK296" s="1">
        <v>1</v>
      </c>
    </row>
    <row r="297" spans="1:63" ht="12.75" customHeight="1" x14ac:dyDescent="0.15">
      <c r="A297" s="5" t="s">
        <v>238</v>
      </c>
      <c r="B297" s="5" t="s">
        <v>238</v>
      </c>
      <c r="C297" s="5">
        <v>3</v>
      </c>
      <c r="D297" s="5">
        <v>3</v>
      </c>
      <c r="E297" s="5">
        <v>3</v>
      </c>
      <c r="F297" s="5">
        <v>3</v>
      </c>
      <c r="G297" s="5">
        <v>3</v>
      </c>
      <c r="H297" s="5">
        <v>3</v>
      </c>
      <c r="I297" s="5">
        <v>2</v>
      </c>
      <c r="J297" s="5">
        <v>1</v>
      </c>
      <c r="K297" s="5">
        <v>1</v>
      </c>
      <c r="L297" s="5">
        <v>2</v>
      </c>
      <c r="M297" s="5">
        <v>1</v>
      </c>
      <c r="N297" s="5">
        <v>3</v>
      </c>
      <c r="O297" s="5">
        <v>28</v>
      </c>
      <c r="P297" s="5" t="s">
        <v>981</v>
      </c>
      <c r="Q297" s="5">
        <v>1</v>
      </c>
      <c r="R297" s="5">
        <v>4</v>
      </c>
      <c r="S297" s="5">
        <v>0</v>
      </c>
      <c r="T297" s="5">
        <v>5</v>
      </c>
      <c r="U297" s="5" t="s">
        <v>981</v>
      </c>
      <c r="V297" s="5">
        <v>4</v>
      </c>
      <c r="W297" s="5">
        <v>0</v>
      </c>
      <c r="X297" s="5">
        <v>4</v>
      </c>
      <c r="Y297" s="5">
        <v>8</v>
      </c>
      <c r="Z297" s="5" t="s">
        <v>981</v>
      </c>
      <c r="AA297" s="5">
        <v>3</v>
      </c>
      <c r="AB297" s="5">
        <v>4</v>
      </c>
      <c r="AC297" s="5">
        <v>3</v>
      </c>
      <c r="AD297" s="5">
        <v>3</v>
      </c>
      <c r="AE297" s="5">
        <v>13</v>
      </c>
      <c r="AF297" s="5" t="s">
        <v>981</v>
      </c>
      <c r="AG297" s="5">
        <v>1</v>
      </c>
      <c r="AH297" s="5">
        <v>0</v>
      </c>
      <c r="AI297" s="5">
        <v>0</v>
      </c>
      <c r="AJ297" s="5">
        <v>1</v>
      </c>
      <c r="AK297" s="5" t="s">
        <v>983</v>
      </c>
      <c r="AL297" s="5">
        <v>0</v>
      </c>
      <c r="AM297" s="5">
        <v>0</v>
      </c>
      <c r="AN297" s="5">
        <v>0</v>
      </c>
      <c r="AO297" s="5">
        <v>0</v>
      </c>
      <c r="AP297" s="5" t="s">
        <v>983</v>
      </c>
      <c r="AQ297" s="5">
        <v>0</v>
      </c>
      <c r="AR297" s="5">
        <v>0</v>
      </c>
      <c r="AS297" s="5">
        <v>0</v>
      </c>
      <c r="AT297" s="5">
        <v>0</v>
      </c>
      <c r="AU297" s="5">
        <v>0</v>
      </c>
      <c r="AV297" s="5">
        <v>0</v>
      </c>
      <c r="AW297" s="5">
        <v>0</v>
      </c>
      <c r="AX297" s="5">
        <v>0</v>
      </c>
      <c r="AY297" s="5" t="s">
        <v>983</v>
      </c>
      <c r="AZ297" s="1">
        <v>0</v>
      </c>
      <c r="BA297" s="1">
        <v>0</v>
      </c>
      <c r="BB297" s="1">
        <v>0</v>
      </c>
      <c r="BC297" s="1">
        <v>1</v>
      </c>
      <c r="BD297" s="1">
        <v>1</v>
      </c>
      <c r="BE297" s="1">
        <v>1</v>
      </c>
      <c r="BF297" s="1">
        <v>50</v>
      </c>
      <c r="BG297" s="1">
        <v>0</v>
      </c>
      <c r="BH297" s="1">
        <v>4</v>
      </c>
      <c r="BI297" s="1">
        <v>32</v>
      </c>
      <c r="BJ297" s="1">
        <v>850000</v>
      </c>
      <c r="BK297" s="1">
        <v>2</v>
      </c>
    </row>
    <row r="298" spans="1:63" ht="12.75" customHeight="1" x14ac:dyDescent="0.15">
      <c r="A298" s="5" t="s">
        <v>238</v>
      </c>
      <c r="B298" s="5" t="s">
        <v>238</v>
      </c>
      <c r="C298" s="5">
        <v>2</v>
      </c>
      <c r="D298" s="5">
        <v>2</v>
      </c>
      <c r="E298" s="5">
        <v>2</v>
      </c>
      <c r="F298" s="5">
        <v>2</v>
      </c>
      <c r="G298" s="5">
        <v>2</v>
      </c>
      <c r="H298" s="5">
        <v>1</v>
      </c>
      <c r="I298" s="5">
        <v>1</v>
      </c>
      <c r="J298" s="5">
        <v>1</v>
      </c>
      <c r="K298" s="5">
        <v>1</v>
      </c>
      <c r="L298" s="5">
        <v>1</v>
      </c>
      <c r="M298" s="5">
        <v>1</v>
      </c>
      <c r="N298" s="5">
        <v>1</v>
      </c>
      <c r="O298" s="5">
        <v>17</v>
      </c>
      <c r="P298" s="5" t="s">
        <v>983</v>
      </c>
      <c r="Q298" s="5">
        <v>1</v>
      </c>
      <c r="R298" s="5">
        <v>1</v>
      </c>
      <c r="S298" s="5">
        <v>0</v>
      </c>
      <c r="T298" s="5">
        <v>2</v>
      </c>
      <c r="U298" s="5" t="s">
        <v>982</v>
      </c>
      <c r="V298" s="5">
        <v>0</v>
      </c>
      <c r="W298" s="5">
        <v>1</v>
      </c>
      <c r="X298" s="5">
        <v>1</v>
      </c>
      <c r="Y298" s="5">
        <v>2</v>
      </c>
      <c r="Z298" s="5" t="s">
        <v>982</v>
      </c>
      <c r="AA298" s="5">
        <v>4</v>
      </c>
      <c r="AB298" s="5">
        <v>4</v>
      </c>
      <c r="AC298" s="5">
        <v>0</v>
      </c>
      <c r="AD298" s="5">
        <v>0</v>
      </c>
      <c r="AE298" s="5">
        <v>8</v>
      </c>
      <c r="AF298" s="5" t="s">
        <v>981</v>
      </c>
      <c r="AG298" s="5">
        <v>2</v>
      </c>
      <c r="AH298" s="5">
        <v>0</v>
      </c>
      <c r="AI298" s="5">
        <v>0</v>
      </c>
      <c r="AJ298" s="5">
        <v>2</v>
      </c>
      <c r="AK298" s="5" t="s">
        <v>983</v>
      </c>
      <c r="AL298" s="5">
        <v>4</v>
      </c>
      <c r="AM298" s="5">
        <v>4</v>
      </c>
      <c r="AN298" s="5">
        <v>4</v>
      </c>
      <c r="AO298" s="5">
        <v>12</v>
      </c>
      <c r="AP298" s="5" t="s">
        <v>981</v>
      </c>
      <c r="AQ298" s="5">
        <v>0</v>
      </c>
      <c r="AR298" s="5">
        <v>0</v>
      </c>
      <c r="AS298" s="5">
        <v>0</v>
      </c>
      <c r="AT298" s="5">
        <v>0</v>
      </c>
      <c r="AU298" s="5">
        <v>0</v>
      </c>
      <c r="AV298" s="5">
        <v>0</v>
      </c>
      <c r="AW298" s="5">
        <v>0</v>
      </c>
      <c r="AX298" s="5">
        <v>0</v>
      </c>
      <c r="AY298" s="5" t="s">
        <v>983</v>
      </c>
      <c r="AZ298" s="1">
        <v>1</v>
      </c>
      <c r="BA298" s="1">
        <v>0</v>
      </c>
      <c r="BB298" s="1">
        <v>1</v>
      </c>
      <c r="BC298" s="1">
        <v>1</v>
      </c>
      <c r="BD298" s="1">
        <v>0</v>
      </c>
      <c r="BE298" s="1">
        <v>1</v>
      </c>
      <c r="BF298" s="1">
        <v>50</v>
      </c>
      <c r="BG298" s="1">
        <v>0</v>
      </c>
      <c r="BH298" s="1">
        <v>4</v>
      </c>
      <c r="BI298" s="1">
        <v>32</v>
      </c>
      <c r="BJ298" s="1">
        <v>850000</v>
      </c>
      <c r="BK298" s="1">
        <v>2</v>
      </c>
    </row>
    <row r="299" spans="1:63" ht="12.75" customHeight="1" x14ac:dyDescent="0.15">
      <c r="A299" s="5" t="s">
        <v>238</v>
      </c>
      <c r="B299" s="5" t="s">
        <v>238</v>
      </c>
      <c r="C299" s="5">
        <v>2</v>
      </c>
      <c r="D299" s="5">
        <v>2</v>
      </c>
      <c r="E299" s="5">
        <v>3</v>
      </c>
      <c r="F299" s="5">
        <v>3</v>
      </c>
      <c r="G299" s="5">
        <v>3</v>
      </c>
      <c r="H299" s="5">
        <v>1</v>
      </c>
      <c r="I299" s="5">
        <v>1</v>
      </c>
      <c r="J299" s="5">
        <v>2</v>
      </c>
      <c r="K299" s="5">
        <v>2</v>
      </c>
      <c r="L299" s="5">
        <v>2</v>
      </c>
      <c r="M299" s="5">
        <v>2</v>
      </c>
      <c r="N299" s="5">
        <v>3</v>
      </c>
      <c r="O299" s="5">
        <v>26</v>
      </c>
      <c r="P299" s="5" t="s">
        <v>981</v>
      </c>
      <c r="Q299" s="5">
        <v>2</v>
      </c>
      <c r="R299" s="5">
        <v>3</v>
      </c>
      <c r="S299" s="5">
        <v>0</v>
      </c>
      <c r="T299" s="5">
        <v>5</v>
      </c>
      <c r="U299" s="5" t="s">
        <v>981</v>
      </c>
      <c r="V299" s="5">
        <v>1</v>
      </c>
      <c r="W299" s="5">
        <v>2</v>
      </c>
      <c r="X299" s="5">
        <v>3</v>
      </c>
      <c r="Y299" s="5">
        <v>6</v>
      </c>
      <c r="Z299" s="5" t="s">
        <v>981</v>
      </c>
      <c r="AA299" s="5">
        <v>2</v>
      </c>
      <c r="AB299" s="5">
        <v>1</v>
      </c>
      <c r="AC299" s="5">
        <v>2</v>
      </c>
      <c r="AD299" s="5">
        <v>1</v>
      </c>
      <c r="AE299" s="5">
        <v>6</v>
      </c>
      <c r="AF299" s="5" t="s">
        <v>981</v>
      </c>
      <c r="AG299" s="5">
        <v>1</v>
      </c>
      <c r="AH299" s="5">
        <v>0</v>
      </c>
      <c r="AI299" s="5">
        <v>0</v>
      </c>
      <c r="AJ299" s="5">
        <v>1</v>
      </c>
      <c r="AK299" s="5" t="s">
        <v>983</v>
      </c>
      <c r="AL299" s="5">
        <v>3</v>
      </c>
      <c r="AM299" s="5">
        <v>2</v>
      </c>
      <c r="AN299" s="5">
        <v>3</v>
      </c>
      <c r="AO299" s="5">
        <v>8</v>
      </c>
      <c r="AP299" s="5" t="s">
        <v>981</v>
      </c>
      <c r="AQ299" s="5">
        <v>1</v>
      </c>
      <c r="AR299" s="5">
        <v>1</v>
      </c>
      <c r="AS299" s="5">
        <v>0</v>
      </c>
      <c r="AT299" s="5">
        <v>0</v>
      </c>
      <c r="AU299" s="5">
        <v>0</v>
      </c>
      <c r="AV299" s="5">
        <v>1</v>
      </c>
      <c r="AW299" s="5">
        <v>1</v>
      </c>
      <c r="AX299" s="5">
        <v>4</v>
      </c>
      <c r="AY299" s="5" t="s">
        <v>982</v>
      </c>
      <c r="AZ299" s="1">
        <v>0</v>
      </c>
      <c r="BA299" s="1">
        <v>0</v>
      </c>
      <c r="BB299" s="1">
        <v>0</v>
      </c>
      <c r="BC299" s="1">
        <v>1</v>
      </c>
      <c r="BD299" s="1">
        <v>0</v>
      </c>
      <c r="BE299" s="1">
        <v>1</v>
      </c>
      <c r="BF299" s="1">
        <v>55</v>
      </c>
      <c r="BG299" s="1">
        <v>1</v>
      </c>
      <c r="BH299" s="1">
        <v>2</v>
      </c>
      <c r="BI299" s="1">
        <v>11</v>
      </c>
      <c r="BJ299" s="1">
        <v>800000</v>
      </c>
      <c r="BK299" s="1">
        <v>1</v>
      </c>
    </row>
    <row r="300" spans="1:63" ht="12.75" customHeight="1" x14ac:dyDescent="0.15">
      <c r="A300" s="5" t="s">
        <v>238</v>
      </c>
      <c r="B300" s="5" t="s">
        <v>238</v>
      </c>
      <c r="C300" s="5">
        <v>2</v>
      </c>
      <c r="D300" s="5">
        <v>2</v>
      </c>
      <c r="E300" s="5">
        <v>2</v>
      </c>
      <c r="F300" s="5">
        <v>1</v>
      </c>
      <c r="G300" s="5">
        <v>1</v>
      </c>
      <c r="H300" s="5">
        <v>1</v>
      </c>
      <c r="I300" s="5">
        <v>1</v>
      </c>
      <c r="J300" s="5">
        <v>1</v>
      </c>
      <c r="K300" s="5">
        <v>2</v>
      </c>
      <c r="L300" s="5">
        <v>2</v>
      </c>
      <c r="M300" s="5">
        <v>1</v>
      </c>
      <c r="N300" s="5">
        <v>1</v>
      </c>
      <c r="O300" s="5">
        <v>17</v>
      </c>
      <c r="P300" s="5" t="s">
        <v>983</v>
      </c>
      <c r="Q300" s="5">
        <v>1</v>
      </c>
      <c r="R300" s="5">
        <v>0</v>
      </c>
      <c r="S300" s="5">
        <v>0</v>
      </c>
      <c r="T300" s="5">
        <v>1</v>
      </c>
      <c r="U300" s="5" t="s">
        <v>983</v>
      </c>
      <c r="V300" s="5">
        <v>0</v>
      </c>
      <c r="W300" s="5">
        <v>0</v>
      </c>
      <c r="X300" s="5">
        <v>0</v>
      </c>
      <c r="Y300" s="5">
        <v>0</v>
      </c>
      <c r="Z300" s="5" t="s">
        <v>983</v>
      </c>
      <c r="AA300" s="5">
        <v>1</v>
      </c>
      <c r="AB300" s="5">
        <v>0</v>
      </c>
      <c r="AC300" s="5">
        <v>1</v>
      </c>
      <c r="AD300" s="5">
        <v>0</v>
      </c>
      <c r="AE300" s="5">
        <v>2</v>
      </c>
      <c r="AF300" s="5" t="s">
        <v>982</v>
      </c>
      <c r="AG300" s="5">
        <v>0</v>
      </c>
      <c r="AH300" s="5">
        <v>0</v>
      </c>
      <c r="AI300" s="5">
        <v>0</v>
      </c>
      <c r="AJ300" s="5">
        <v>0</v>
      </c>
      <c r="AK300" s="5" t="s">
        <v>983</v>
      </c>
      <c r="AL300" s="5">
        <v>0</v>
      </c>
      <c r="AM300" s="5">
        <v>0</v>
      </c>
      <c r="AN300" s="5">
        <v>2</v>
      </c>
      <c r="AO300" s="5">
        <v>2</v>
      </c>
      <c r="AP300" s="5" t="s">
        <v>983</v>
      </c>
      <c r="AQ300" s="5">
        <v>0</v>
      </c>
      <c r="AR300" s="5">
        <v>0</v>
      </c>
      <c r="AS300" s="5">
        <v>0</v>
      </c>
      <c r="AT300" s="5">
        <v>0</v>
      </c>
      <c r="AU300" s="5">
        <v>0</v>
      </c>
      <c r="AV300" s="5">
        <v>0</v>
      </c>
      <c r="AW300" s="5">
        <v>0</v>
      </c>
      <c r="AX300" s="5">
        <v>0</v>
      </c>
      <c r="AY300" s="5" t="s">
        <v>983</v>
      </c>
      <c r="AZ300" s="1">
        <v>1</v>
      </c>
      <c r="BA300" s="1">
        <v>0</v>
      </c>
      <c r="BB300" s="1">
        <v>1</v>
      </c>
      <c r="BC300" s="1">
        <v>1</v>
      </c>
      <c r="BD300" s="1">
        <v>1</v>
      </c>
      <c r="BE300" s="1">
        <v>1</v>
      </c>
      <c r="BF300" s="1">
        <v>0</v>
      </c>
      <c r="BG300" s="1">
        <v>1</v>
      </c>
      <c r="BI300" s="1">
        <v>34</v>
      </c>
      <c r="BJ300" s="1">
        <v>0</v>
      </c>
      <c r="BK300" s="1">
        <v>1</v>
      </c>
    </row>
    <row r="301" spans="1:63" ht="12.75" customHeight="1" x14ac:dyDescent="0.15">
      <c r="A301" s="5" t="s">
        <v>330</v>
      </c>
      <c r="B301" s="5" t="s">
        <v>984</v>
      </c>
      <c r="C301" s="5">
        <v>3</v>
      </c>
      <c r="D301" s="5">
        <v>2</v>
      </c>
      <c r="E301" s="5">
        <v>3</v>
      </c>
      <c r="F301" s="5">
        <v>3</v>
      </c>
      <c r="G301" s="5">
        <v>3</v>
      </c>
      <c r="H301" s="5">
        <v>3</v>
      </c>
      <c r="I301" s="5">
        <v>2</v>
      </c>
      <c r="J301" s="5">
        <v>3</v>
      </c>
      <c r="K301" s="5">
        <v>3</v>
      </c>
      <c r="L301" s="5">
        <v>3</v>
      </c>
      <c r="M301" s="5">
        <v>3</v>
      </c>
      <c r="N301" s="5">
        <v>3</v>
      </c>
      <c r="O301" s="5">
        <v>34</v>
      </c>
      <c r="P301" s="5" t="s">
        <v>981</v>
      </c>
      <c r="Q301" s="5">
        <v>0</v>
      </c>
      <c r="R301" s="5">
        <v>0</v>
      </c>
      <c r="S301" s="5">
        <v>0</v>
      </c>
      <c r="T301" s="5">
        <v>0</v>
      </c>
      <c r="U301" s="5" t="s">
        <v>983</v>
      </c>
      <c r="V301" s="5">
        <v>0</v>
      </c>
      <c r="W301" s="5">
        <v>0</v>
      </c>
      <c r="X301" s="5">
        <v>4</v>
      </c>
      <c r="Y301" s="5">
        <v>4</v>
      </c>
      <c r="Z301" s="5" t="s">
        <v>982</v>
      </c>
      <c r="AA301" s="5">
        <v>4</v>
      </c>
      <c r="AB301" s="5">
        <v>4</v>
      </c>
      <c r="AC301" s="5">
        <v>4</v>
      </c>
      <c r="AD301" s="5">
        <v>4</v>
      </c>
      <c r="AE301" s="5">
        <v>16</v>
      </c>
      <c r="AF301" s="5" t="s">
        <v>981</v>
      </c>
      <c r="AG301" s="5">
        <v>0</v>
      </c>
      <c r="AH301" s="5">
        <v>0</v>
      </c>
      <c r="AI301" s="5">
        <v>0</v>
      </c>
      <c r="AJ301" s="5">
        <v>0</v>
      </c>
      <c r="AK301" s="5" t="s">
        <v>983</v>
      </c>
      <c r="AL301" s="5">
        <v>0</v>
      </c>
      <c r="AM301" s="5">
        <v>0</v>
      </c>
      <c r="AN301" s="5">
        <v>0</v>
      </c>
      <c r="AO301" s="5">
        <v>0</v>
      </c>
      <c r="AP301" s="5" t="s">
        <v>983</v>
      </c>
      <c r="AQ301" s="5">
        <v>0</v>
      </c>
      <c r="AR301" s="5">
        <v>0</v>
      </c>
      <c r="AS301" s="5">
        <v>0</v>
      </c>
      <c r="AT301" s="5">
        <v>0</v>
      </c>
      <c r="AU301" s="5">
        <v>0</v>
      </c>
      <c r="AV301" s="5">
        <v>0</v>
      </c>
      <c r="AW301" s="5">
        <v>0</v>
      </c>
      <c r="AX301" s="5">
        <v>0</v>
      </c>
      <c r="AY301" s="5" t="s">
        <v>983</v>
      </c>
      <c r="AZ301" s="1">
        <v>0</v>
      </c>
      <c r="BA301" s="1">
        <v>0</v>
      </c>
      <c r="BB301" s="1">
        <v>0</v>
      </c>
      <c r="BC301" s="1">
        <v>1</v>
      </c>
      <c r="BD301" s="1">
        <v>0</v>
      </c>
      <c r="BE301" s="1">
        <v>1</v>
      </c>
      <c r="BF301" s="1">
        <v>0</v>
      </c>
      <c r="BG301" s="1">
        <v>0</v>
      </c>
      <c r="BI301" s="1">
        <v>13</v>
      </c>
      <c r="BJ301" s="1">
        <v>0</v>
      </c>
      <c r="BK301" s="1">
        <v>2</v>
      </c>
    </row>
    <row r="302" spans="1:63" ht="12.75" customHeight="1" x14ac:dyDescent="0.15">
      <c r="A302" s="5" t="s">
        <v>238</v>
      </c>
      <c r="B302" s="5" t="s">
        <v>238</v>
      </c>
      <c r="C302" s="5">
        <v>2</v>
      </c>
      <c r="D302" s="5">
        <v>3</v>
      </c>
      <c r="E302" s="5">
        <v>3</v>
      </c>
      <c r="F302" s="5">
        <v>1</v>
      </c>
      <c r="G302" s="5">
        <v>2</v>
      </c>
      <c r="H302" s="5">
        <v>1</v>
      </c>
      <c r="I302" s="5">
        <v>1</v>
      </c>
      <c r="J302" s="5">
        <v>4</v>
      </c>
      <c r="K302" s="5">
        <v>4</v>
      </c>
      <c r="L302" s="5">
        <v>3</v>
      </c>
      <c r="M302" s="5">
        <v>4</v>
      </c>
      <c r="N302" s="5">
        <v>4</v>
      </c>
      <c r="O302" s="5">
        <v>32</v>
      </c>
      <c r="P302" s="5" t="s">
        <v>981</v>
      </c>
      <c r="Q302" s="5">
        <v>2</v>
      </c>
      <c r="R302" s="5">
        <v>3</v>
      </c>
      <c r="S302" s="5">
        <v>1</v>
      </c>
      <c r="T302" s="5">
        <v>6</v>
      </c>
      <c r="U302" s="5" t="s">
        <v>981</v>
      </c>
      <c r="V302" s="5">
        <v>1</v>
      </c>
      <c r="W302" s="5">
        <v>4</v>
      </c>
      <c r="X302" s="5">
        <v>1</v>
      </c>
      <c r="Y302" s="5">
        <v>6</v>
      </c>
      <c r="Z302" s="5" t="s">
        <v>981</v>
      </c>
      <c r="AA302" s="5">
        <v>3</v>
      </c>
      <c r="AB302" s="5">
        <v>1</v>
      </c>
      <c r="AC302" s="5">
        <v>1</v>
      </c>
      <c r="AD302" s="5">
        <v>2</v>
      </c>
      <c r="AE302" s="5">
        <v>7</v>
      </c>
      <c r="AF302" s="5" t="s">
        <v>981</v>
      </c>
      <c r="AG302" s="5">
        <v>4</v>
      </c>
      <c r="AH302" s="5">
        <v>1</v>
      </c>
      <c r="AI302" s="5">
        <v>2</v>
      </c>
      <c r="AJ302" s="5">
        <v>7</v>
      </c>
      <c r="AK302" s="5" t="s">
        <v>981</v>
      </c>
      <c r="AL302" s="5">
        <v>1</v>
      </c>
      <c r="AM302" s="5">
        <v>1</v>
      </c>
      <c r="AN302" s="5">
        <v>1</v>
      </c>
      <c r="AO302" s="5">
        <v>3</v>
      </c>
      <c r="AP302" s="5" t="s">
        <v>982</v>
      </c>
      <c r="AQ302" s="5">
        <v>1</v>
      </c>
      <c r="AR302" s="5">
        <v>1</v>
      </c>
      <c r="AS302" s="5">
        <v>0</v>
      </c>
      <c r="AT302" s="5">
        <v>0</v>
      </c>
      <c r="AU302" s="5">
        <v>2</v>
      </c>
      <c r="AV302" s="5">
        <v>0</v>
      </c>
      <c r="AW302" s="5">
        <v>2</v>
      </c>
      <c r="AX302" s="5">
        <v>6</v>
      </c>
      <c r="AY302" s="5" t="s">
        <v>982</v>
      </c>
      <c r="AZ302" s="1">
        <v>1</v>
      </c>
      <c r="BA302" s="1">
        <v>0</v>
      </c>
      <c r="BB302" s="1">
        <v>1</v>
      </c>
      <c r="BC302" s="1">
        <v>1</v>
      </c>
      <c r="BD302" s="1">
        <v>1</v>
      </c>
      <c r="BE302" s="1">
        <v>1</v>
      </c>
      <c r="BF302" s="1">
        <v>0</v>
      </c>
      <c r="BG302" s="1">
        <v>1</v>
      </c>
      <c r="BH302" s="1">
        <v>18</v>
      </c>
      <c r="BI302" s="1">
        <v>34</v>
      </c>
      <c r="BJ302" s="1">
        <v>80000</v>
      </c>
      <c r="BK302" s="1">
        <v>5</v>
      </c>
    </row>
    <row r="303" spans="1:63" ht="12.75" customHeight="1" x14ac:dyDescent="0.15">
      <c r="A303" s="5" t="s">
        <v>238</v>
      </c>
      <c r="B303" s="5" t="s">
        <v>238</v>
      </c>
      <c r="C303" s="5">
        <v>1</v>
      </c>
      <c r="D303" s="5">
        <v>2</v>
      </c>
      <c r="E303" s="5">
        <v>2</v>
      </c>
      <c r="F303" s="5">
        <v>2</v>
      </c>
      <c r="G303" s="5">
        <v>2</v>
      </c>
      <c r="H303" s="5">
        <v>1</v>
      </c>
      <c r="I303" s="5">
        <v>1</v>
      </c>
      <c r="J303" s="5">
        <v>1</v>
      </c>
      <c r="K303" s="5">
        <v>1</v>
      </c>
      <c r="L303" s="5">
        <v>2</v>
      </c>
      <c r="M303" s="5">
        <v>2</v>
      </c>
      <c r="N303" s="5">
        <v>2</v>
      </c>
      <c r="O303" s="5">
        <v>19</v>
      </c>
      <c r="P303" s="5" t="s">
        <v>982</v>
      </c>
      <c r="Q303" s="5">
        <v>2</v>
      </c>
      <c r="R303" s="5">
        <v>2</v>
      </c>
      <c r="S303" s="5">
        <v>1</v>
      </c>
      <c r="T303" s="5">
        <v>5</v>
      </c>
      <c r="U303" s="5" t="s">
        <v>981</v>
      </c>
      <c r="V303" s="5">
        <v>0</v>
      </c>
      <c r="W303" s="5">
        <v>3</v>
      </c>
      <c r="X303" s="5">
        <v>2</v>
      </c>
      <c r="Y303" s="5">
        <v>5</v>
      </c>
      <c r="Z303" s="5" t="s">
        <v>982</v>
      </c>
      <c r="AA303" s="5">
        <v>4</v>
      </c>
      <c r="AB303" s="5">
        <v>4</v>
      </c>
      <c r="AC303" s="5">
        <v>3</v>
      </c>
      <c r="AD303" s="5">
        <v>3</v>
      </c>
      <c r="AE303" s="5">
        <v>14</v>
      </c>
      <c r="AF303" s="5" t="s">
        <v>981</v>
      </c>
      <c r="AG303" s="5">
        <v>1</v>
      </c>
      <c r="AH303" s="5">
        <v>2</v>
      </c>
      <c r="AI303" s="5">
        <v>2</v>
      </c>
      <c r="AJ303" s="5">
        <v>5</v>
      </c>
      <c r="AK303" s="5" t="s">
        <v>982</v>
      </c>
      <c r="AL303" s="5">
        <v>2</v>
      </c>
      <c r="AM303" s="5">
        <v>1</v>
      </c>
      <c r="AN303" s="5">
        <v>1</v>
      </c>
      <c r="AO303" s="5">
        <v>4</v>
      </c>
      <c r="AP303" s="5" t="s">
        <v>982</v>
      </c>
      <c r="AQ303" s="5">
        <v>0</v>
      </c>
      <c r="AR303" s="5">
        <v>0</v>
      </c>
      <c r="AS303" s="5">
        <v>0</v>
      </c>
      <c r="AT303" s="5">
        <v>0</v>
      </c>
      <c r="AU303" s="5">
        <v>0</v>
      </c>
      <c r="AV303" s="5">
        <v>0</v>
      </c>
      <c r="AW303" s="5">
        <v>0</v>
      </c>
      <c r="AX303" s="5">
        <v>0</v>
      </c>
      <c r="AY303" s="5" t="s">
        <v>983</v>
      </c>
      <c r="AZ303" s="1">
        <v>1</v>
      </c>
      <c r="BA303" s="1">
        <v>1</v>
      </c>
      <c r="BB303" s="1">
        <v>0</v>
      </c>
      <c r="BC303" s="1">
        <v>1</v>
      </c>
      <c r="BD303" s="1">
        <v>1</v>
      </c>
      <c r="BE303" s="1">
        <v>1</v>
      </c>
      <c r="BF303" s="1">
        <v>45</v>
      </c>
      <c r="BG303" s="1">
        <v>0</v>
      </c>
      <c r="BH303" s="1">
        <v>8</v>
      </c>
      <c r="BI303" s="1">
        <v>34</v>
      </c>
      <c r="BJ303" s="1">
        <v>420000</v>
      </c>
      <c r="BK303" s="1">
        <v>1</v>
      </c>
    </row>
    <row r="304" spans="1:63" ht="12.75" customHeight="1" x14ac:dyDescent="0.15">
      <c r="A304" s="5" t="s">
        <v>238</v>
      </c>
      <c r="B304" s="5" t="s">
        <v>238</v>
      </c>
      <c r="C304" s="5">
        <v>1</v>
      </c>
      <c r="D304" s="5">
        <v>2</v>
      </c>
      <c r="E304" s="5">
        <v>1</v>
      </c>
      <c r="F304" s="5">
        <v>1</v>
      </c>
      <c r="G304" s="5">
        <v>1</v>
      </c>
      <c r="H304" s="5">
        <v>1</v>
      </c>
      <c r="I304" s="5">
        <v>1</v>
      </c>
      <c r="J304" s="5">
        <v>1</v>
      </c>
      <c r="K304" s="5">
        <v>4</v>
      </c>
      <c r="L304" s="5">
        <v>4</v>
      </c>
      <c r="M304" s="5">
        <v>4</v>
      </c>
      <c r="N304" s="5">
        <v>4</v>
      </c>
      <c r="O304" s="5">
        <v>25</v>
      </c>
      <c r="P304" s="5" t="s">
        <v>981</v>
      </c>
      <c r="Q304" s="5">
        <v>3</v>
      </c>
      <c r="R304" s="5">
        <v>2</v>
      </c>
      <c r="S304" s="5">
        <v>1</v>
      </c>
      <c r="T304" s="5">
        <v>6</v>
      </c>
      <c r="U304" s="5" t="s">
        <v>981</v>
      </c>
      <c r="V304" s="5">
        <v>0</v>
      </c>
      <c r="W304" s="5">
        <v>0</v>
      </c>
      <c r="X304" s="5">
        <v>0</v>
      </c>
      <c r="Y304" s="5">
        <v>0</v>
      </c>
      <c r="Z304" s="5" t="s">
        <v>983</v>
      </c>
      <c r="AA304" s="5">
        <v>4</v>
      </c>
      <c r="AB304" s="5">
        <v>4</v>
      </c>
      <c r="AC304" s="5">
        <v>4</v>
      </c>
      <c r="AD304" s="5">
        <v>0</v>
      </c>
      <c r="AE304" s="5">
        <v>12</v>
      </c>
      <c r="AF304" s="5" t="s">
        <v>981</v>
      </c>
      <c r="AG304" s="5">
        <v>0</v>
      </c>
      <c r="AH304" s="5">
        <v>0</v>
      </c>
      <c r="AI304" s="5">
        <v>0</v>
      </c>
      <c r="AJ304" s="5">
        <v>0</v>
      </c>
      <c r="AK304" s="5" t="s">
        <v>983</v>
      </c>
      <c r="AL304" s="5">
        <v>0</v>
      </c>
      <c r="AM304" s="5">
        <v>0</v>
      </c>
      <c r="AN304" s="5">
        <v>0</v>
      </c>
      <c r="AO304" s="5">
        <v>0</v>
      </c>
      <c r="AP304" s="5" t="s">
        <v>983</v>
      </c>
      <c r="AQ304" s="5">
        <v>0</v>
      </c>
      <c r="AR304" s="5">
        <v>0</v>
      </c>
      <c r="AS304" s="5">
        <v>0</v>
      </c>
      <c r="AT304" s="5">
        <v>0</v>
      </c>
      <c r="AU304" s="5">
        <v>0</v>
      </c>
      <c r="AV304" s="5">
        <v>0</v>
      </c>
      <c r="AW304" s="5">
        <v>0</v>
      </c>
      <c r="AX304" s="5">
        <v>0</v>
      </c>
      <c r="AY304" s="5" t="s">
        <v>983</v>
      </c>
      <c r="AZ304" s="1">
        <v>0</v>
      </c>
      <c r="BA304" s="1">
        <v>1</v>
      </c>
      <c r="BB304" s="1">
        <v>0</v>
      </c>
      <c r="BC304" s="1">
        <v>1</v>
      </c>
      <c r="BD304" s="1">
        <v>1</v>
      </c>
      <c r="BE304" s="1">
        <v>1</v>
      </c>
      <c r="BF304" s="1">
        <v>52</v>
      </c>
      <c r="BG304" s="1">
        <v>1</v>
      </c>
      <c r="BH304" s="1">
        <v>14</v>
      </c>
      <c r="BI304" s="1">
        <v>2</v>
      </c>
      <c r="BJ304" s="1">
        <v>1400000</v>
      </c>
      <c r="BK304" s="1">
        <v>3</v>
      </c>
    </row>
    <row r="305" spans="1:63" ht="12.75" customHeight="1" x14ac:dyDescent="0.15">
      <c r="A305" s="5" t="s">
        <v>330</v>
      </c>
      <c r="B305" s="5" t="s">
        <v>984</v>
      </c>
      <c r="C305" s="5">
        <v>1</v>
      </c>
      <c r="D305" s="5">
        <v>2</v>
      </c>
      <c r="E305" s="5">
        <v>3</v>
      </c>
      <c r="F305" s="5">
        <v>1</v>
      </c>
      <c r="G305" s="5">
        <v>1</v>
      </c>
      <c r="H305" s="5">
        <v>1</v>
      </c>
      <c r="I305" s="5">
        <v>1</v>
      </c>
      <c r="J305" s="5">
        <v>1</v>
      </c>
      <c r="K305" s="5">
        <v>1</v>
      </c>
      <c r="L305" s="5">
        <v>1</v>
      </c>
      <c r="M305" s="5">
        <v>1</v>
      </c>
      <c r="N305" s="5">
        <v>1</v>
      </c>
      <c r="O305" s="5">
        <v>15</v>
      </c>
      <c r="P305" s="5" t="s">
        <v>983</v>
      </c>
      <c r="Q305" s="5">
        <v>2</v>
      </c>
      <c r="R305" s="5">
        <v>2</v>
      </c>
      <c r="S305" s="5">
        <v>1</v>
      </c>
      <c r="T305" s="5">
        <v>5</v>
      </c>
      <c r="U305" s="5" t="s">
        <v>981</v>
      </c>
      <c r="V305" s="5">
        <v>0</v>
      </c>
      <c r="W305" s="5">
        <v>2</v>
      </c>
      <c r="X305" s="5">
        <v>1</v>
      </c>
      <c r="Y305" s="5">
        <v>3</v>
      </c>
      <c r="Z305" s="5" t="s">
        <v>982</v>
      </c>
      <c r="AA305" s="5">
        <v>0</v>
      </c>
      <c r="AB305" s="5">
        <v>0</v>
      </c>
      <c r="AC305" s="5">
        <v>0</v>
      </c>
      <c r="AD305" s="5">
        <v>0</v>
      </c>
      <c r="AE305" s="5">
        <v>0</v>
      </c>
      <c r="AF305" s="5" t="s">
        <v>983</v>
      </c>
      <c r="AG305" s="5">
        <v>3</v>
      </c>
      <c r="AH305" s="5">
        <v>1</v>
      </c>
      <c r="AI305" s="5">
        <v>1</v>
      </c>
      <c r="AJ305" s="5">
        <v>5</v>
      </c>
      <c r="AK305" s="5" t="s">
        <v>982</v>
      </c>
      <c r="AL305" s="5">
        <v>0</v>
      </c>
      <c r="AM305" s="5">
        <v>0</v>
      </c>
      <c r="AN305" s="5">
        <v>1</v>
      </c>
      <c r="AO305" s="5">
        <v>1</v>
      </c>
      <c r="AP305" s="5" t="s">
        <v>983</v>
      </c>
      <c r="AQ305" s="5">
        <v>0</v>
      </c>
      <c r="AR305" s="5">
        <v>0</v>
      </c>
      <c r="AS305" s="5">
        <v>0</v>
      </c>
      <c r="AT305" s="5">
        <v>0</v>
      </c>
      <c r="AU305" s="5">
        <v>0</v>
      </c>
      <c r="AV305" s="5">
        <v>0</v>
      </c>
      <c r="AW305" s="5">
        <v>0</v>
      </c>
      <c r="AX305" s="5">
        <v>0</v>
      </c>
      <c r="AY305" s="5" t="s">
        <v>983</v>
      </c>
      <c r="AZ305" s="1">
        <v>0</v>
      </c>
      <c r="BA305" s="1">
        <v>0</v>
      </c>
      <c r="BB305" s="1">
        <v>0</v>
      </c>
      <c r="BC305" s="1">
        <v>1</v>
      </c>
      <c r="BD305" s="1">
        <v>1</v>
      </c>
      <c r="BE305" s="1">
        <v>1</v>
      </c>
      <c r="BF305" s="1">
        <v>36</v>
      </c>
      <c r="BG305" s="1">
        <v>1</v>
      </c>
      <c r="BH305" s="1">
        <v>14</v>
      </c>
      <c r="BI305" s="1">
        <v>3</v>
      </c>
      <c r="BJ305" s="1">
        <v>0</v>
      </c>
      <c r="BK305" s="1">
        <v>4</v>
      </c>
    </row>
    <row r="306" spans="1:63" ht="12.75" customHeight="1" x14ac:dyDescent="0.15">
      <c r="A306" s="5" t="s">
        <v>238</v>
      </c>
      <c r="B306" s="5" t="s">
        <v>238</v>
      </c>
      <c r="C306" s="5">
        <v>3</v>
      </c>
      <c r="D306" s="5">
        <v>3</v>
      </c>
      <c r="E306" s="5">
        <v>3</v>
      </c>
      <c r="F306" s="5">
        <v>3</v>
      </c>
      <c r="G306" s="5">
        <v>2</v>
      </c>
      <c r="H306" s="5">
        <v>2</v>
      </c>
      <c r="I306" s="5">
        <v>2</v>
      </c>
      <c r="J306" s="5">
        <v>2</v>
      </c>
      <c r="K306" s="5">
        <v>2</v>
      </c>
      <c r="L306" s="5">
        <v>2</v>
      </c>
      <c r="M306" s="5">
        <v>2</v>
      </c>
      <c r="N306" s="5">
        <v>2</v>
      </c>
      <c r="O306" s="5">
        <v>28</v>
      </c>
      <c r="P306" s="5" t="s">
        <v>981</v>
      </c>
      <c r="Q306" s="5">
        <v>3</v>
      </c>
      <c r="R306" s="5">
        <v>3</v>
      </c>
      <c r="S306" s="5">
        <v>2</v>
      </c>
      <c r="T306" s="5">
        <v>8</v>
      </c>
      <c r="U306" s="5" t="s">
        <v>981</v>
      </c>
      <c r="V306" s="5">
        <v>2</v>
      </c>
      <c r="W306" s="5">
        <v>3</v>
      </c>
      <c r="X306" s="5">
        <v>3</v>
      </c>
      <c r="Y306" s="5">
        <v>8</v>
      </c>
      <c r="Z306" s="5" t="s">
        <v>981</v>
      </c>
      <c r="AA306" s="5">
        <v>1</v>
      </c>
      <c r="AB306" s="5">
        <v>1</v>
      </c>
      <c r="AC306" s="5">
        <v>1</v>
      </c>
      <c r="AD306" s="5">
        <v>1</v>
      </c>
      <c r="AE306" s="5">
        <v>4</v>
      </c>
      <c r="AF306" s="5" t="s">
        <v>982</v>
      </c>
      <c r="AG306" s="5">
        <v>3</v>
      </c>
      <c r="AH306" s="5">
        <v>3</v>
      </c>
      <c r="AI306" s="5">
        <v>3</v>
      </c>
      <c r="AJ306" s="5">
        <v>9</v>
      </c>
      <c r="AK306" s="5" t="s">
        <v>981</v>
      </c>
      <c r="AL306" s="5">
        <v>3</v>
      </c>
      <c r="AM306" s="5">
        <v>3</v>
      </c>
      <c r="AN306" s="5">
        <v>3</v>
      </c>
      <c r="AO306" s="5">
        <v>9</v>
      </c>
      <c r="AP306" s="5" t="s">
        <v>981</v>
      </c>
      <c r="AQ306" s="5">
        <v>0</v>
      </c>
      <c r="AR306" s="5">
        <v>0</v>
      </c>
      <c r="AS306" s="5">
        <v>0</v>
      </c>
      <c r="AT306" s="5">
        <v>0</v>
      </c>
      <c r="AU306" s="5">
        <v>0</v>
      </c>
      <c r="AV306" s="5">
        <v>0</v>
      </c>
      <c r="AW306" s="5">
        <v>0</v>
      </c>
      <c r="AX306" s="5">
        <v>0</v>
      </c>
      <c r="AY306" s="5" t="s">
        <v>983</v>
      </c>
      <c r="AZ306" s="1">
        <v>1</v>
      </c>
      <c r="BA306" s="1">
        <v>0</v>
      </c>
      <c r="BB306" s="1">
        <v>0</v>
      </c>
      <c r="BC306" s="1">
        <v>1</v>
      </c>
      <c r="BD306" s="1">
        <v>1</v>
      </c>
      <c r="BE306" s="1">
        <v>1</v>
      </c>
      <c r="BF306" s="1">
        <v>33</v>
      </c>
      <c r="BG306" s="1">
        <v>0</v>
      </c>
      <c r="BH306" s="1">
        <v>16</v>
      </c>
      <c r="BI306" s="1">
        <v>7</v>
      </c>
      <c r="BJ306" s="1">
        <v>360000</v>
      </c>
      <c r="BK306" s="1">
        <v>4</v>
      </c>
    </row>
    <row r="307" spans="1:63" ht="12.75" customHeight="1" x14ac:dyDescent="0.15">
      <c r="A307" s="5" t="s">
        <v>337</v>
      </c>
      <c r="B307" s="5" t="s">
        <v>984</v>
      </c>
      <c r="C307" s="5">
        <v>4</v>
      </c>
      <c r="D307" s="5">
        <v>3</v>
      </c>
      <c r="E307" s="5">
        <v>3</v>
      </c>
      <c r="F307" s="5">
        <v>3</v>
      </c>
      <c r="G307" s="5">
        <v>3</v>
      </c>
      <c r="H307" s="5">
        <v>3</v>
      </c>
      <c r="I307" s="5">
        <v>3</v>
      </c>
      <c r="J307" s="5">
        <v>2</v>
      </c>
      <c r="K307" s="5">
        <v>2</v>
      </c>
      <c r="L307" s="5">
        <v>2</v>
      </c>
      <c r="M307" s="5">
        <v>2</v>
      </c>
      <c r="N307" s="5">
        <v>2</v>
      </c>
      <c r="O307" s="5">
        <v>32</v>
      </c>
      <c r="P307" s="5" t="s">
        <v>981</v>
      </c>
      <c r="Q307" s="5">
        <v>1</v>
      </c>
      <c r="R307" s="5">
        <v>1</v>
      </c>
      <c r="S307" s="5">
        <v>1</v>
      </c>
      <c r="T307" s="5">
        <v>3</v>
      </c>
      <c r="U307" s="5" t="s">
        <v>982</v>
      </c>
      <c r="V307" s="5">
        <v>1</v>
      </c>
      <c r="W307" s="5">
        <v>1</v>
      </c>
      <c r="X307" s="5">
        <v>1</v>
      </c>
      <c r="Y307" s="5">
        <v>3</v>
      </c>
      <c r="Z307" s="5" t="s">
        <v>982</v>
      </c>
      <c r="AA307" s="5">
        <v>3</v>
      </c>
      <c r="AB307" s="5">
        <v>3</v>
      </c>
      <c r="AC307" s="5">
        <v>3</v>
      </c>
      <c r="AD307" s="5">
        <v>3</v>
      </c>
      <c r="AE307" s="5">
        <v>12</v>
      </c>
      <c r="AF307" s="5" t="s">
        <v>981</v>
      </c>
      <c r="AG307" s="5">
        <v>1</v>
      </c>
      <c r="AH307" s="5">
        <v>1</v>
      </c>
      <c r="AI307" s="5">
        <v>1</v>
      </c>
      <c r="AJ307" s="5">
        <v>3</v>
      </c>
      <c r="AK307" s="5" t="s">
        <v>982</v>
      </c>
      <c r="AL307" s="5">
        <v>1</v>
      </c>
      <c r="AM307" s="5">
        <v>1</v>
      </c>
      <c r="AN307" s="5">
        <v>1</v>
      </c>
      <c r="AO307" s="5">
        <v>3</v>
      </c>
      <c r="AP307" s="5" t="s">
        <v>982</v>
      </c>
      <c r="AQ307" s="5">
        <v>1</v>
      </c>
      <c r="AR307" s="5">
        <v>1</v>
      </c>
      <c r="AS307" s="5">
        <v>1</v>
      </c>
      <c r="AT307" s="5">
        <v>1</v>
      </c>
      <c r="AU307" s="5">
        <v>1</v>
      </c>
      <c r="AV307" s="5">
        <v>1</v>
      </c>
      <c r="AW307" s="5">
        <v>1</v>
      </c>
      <c r="AX307" s="5">
        <v>7</v>
      </c>
      <c r="AY307" s="5" t="s">
        <v>982</v>
      </c>
      <c r="AZ307" s="1">
        <v>0</v>
      </c>
      <c r="BA307" s="1">
        <v>0</v>
      </c>
      <c r="BB307" s="1">
        <v>0</v>
      </c>
      <c r="BC307" s="1">
        <v>1</v>
      </c>
      <c r="BD307" s="1">
        <v>1</v>
      </c>
      <c r="BE307" s="1">
        <v>0</v>
      </c>
      <c r="BF307" s="1">
        <v>33</v>
      </c>
      <c r="BG307" s="1">
        <v>0</v>
      </c>
      <c r="BH307" s="1">
        <v>16</v>
      </c>
      <c r="BI307" s="1">
        <v>7</v>
      </c>
      <c r="BJ307" s="1">
        <v>360000</v>
      </c>
      <c r="BK307" s="1">
        <v>4</v>
      </c>
    </row>
    <row r="308" spans="1:63" ht="12.75" customHeight="1" x14ac:dyDescent="0.15">
      <c r="A308" s="5" t="s">
        <v>238</v>
      </c>
      <c r="B308" s="5" t="s">
        <v>238</v>
      </c>
      <c r="C308" s="5">
        <v>2</v>
      </c>
      <c r="D308" s="5">
        <v>1</v>
      </c>
      <c r="E308" s="5">
        <v>2</v>
      </c>
      <c r="F308" s="5">
        <v>2</v>
      </c>
      <c r="G308" s="5">
        <v>2</v>
      </c>
      <c r="H308" s="5">
        <v>1</v>
      </c>
      <c r="I308" s="5">
        <v>1</v>
      </c>
      <c r="J308" s="5">
        <v>2</v>
      </c>
      <c r="K308" s="5">
        <v>2</v>
      </c>
      <c r="L308" s="5">
        <v>3</v>
      </c>
      <c r="M308" s="5">
        <v>3</v>
      </c>
      <c r="N308" s="5">
        <v>2</v>
      </c>
      <c r="O308" s="5">
        <v>23</v>
      </c>
      <c r="P308" s="5" t="s">
        <v>982</v>
      </c>
      <c r="Q308" s="5">
        <v>2</v>
      </c>
      <c r="R308" s="5">
        <v>1</v>
      </c>
      <c r="S308" s="5">
        <v>1</v>
      </c>
      <c r="T308" s="5">
        <v>4</v>
      </c>
      <c r="U308" s="5" t="s">
        <v>982</v>
      </c>
      <c r="V308" s="5">
        <v>0</v>
      </c>
      <c r="W308" s="5">
        <v>1</v>
      </c>
      <c r="X308" s="5">
        <v>0</v>
      </c>
      <c r="Y308" s="5">
        <v>1</v>
      </c>
      <c r="Z308" s="5" t="s">
        <v>983</v>
      </c>
      <c r="AA308" s="5">
        <v>3</v>
      </c>
      <c r="AB308" s="5">
        <v>4</v>
      </c>
      <c r="AC308" s="5">
        <v>0</v>
      </c>
      <c r="AD308" s="5">
        <v>0</v>
      </c>
      <c r="AE308" s="5">
        <v>7</v>
      </c>
      <c r="AF308" s="5" t="s">
        <v>981</v>
      </c>
      <c r="AG308" s="5">
        <v>1</v>
      </c>
      <c r="AH308" s="5">
        <v>1</v>
      </c>
      <c r="AI308" s="5">
        <v>1</v>
      </c>
      <c r="AJ308" s="5">
        <v>3</v>
      </c>
      <c r="AK308" s="5" t="s">
        <v>982</v>
      </c>
      <c r="AL308" s="5">
        <v>1</v>
      </c>
      <c r="AM308" s="5">
        <v>1</v>
      </c>
      <c r="AN308" s="5">
        <v>1</v>
      </c>
      <c r="AO308" s="5">
        <v>3</v>
      </c>
      <c r="AP308" s="5" t="s">
        <v>982</v>
      </c>
      <c r="AQ308" s="5">
        <v>0</v>
      </c>
      <c r="AR308" s="5">
        <v>0</v>
      </c>
      <c r="AS308" s="5">
        <v>0</v>
      </c>
      <c r="AT308" s="5">
        <v>0</v>
      </c>
      <c r="AU308" s="5">
        <v>0</v>
      </c>
      <c r="AV308" s="5">
        <v>0</v>
      </c>
      <c r="AW308" s="5">
        <v>0</v>
      </c>
      <c r="AX308" s="5">
        <v>0</v>
      </c>
      <c r="AY308" s="5" t="s">
        <v>983</v>
      </c>
      <c r="AZ308" s="1">
        <v>1</v>
      </c>
      <c r="BA308" s="1">
        <v>0</v>
      </c>
      <c r="BB308" s="1">
        <v>0</v>
      </c>
      <c r="BC308" s="1">
        <v>1</v>
      </c>
      <c r="BD308" s="1">
        <v>0</v>
      </c>
      <c r="BE308" s="1">
        <v>1</v>
      </c>
      <c r="BF308" s="1">
        <v>58</v>
      </c>
      <c r="BG308" s="1">
        <v>1</v>
      </c>
      <c r="BH308" s="1">
        <v>2</v>
      </c>
      <c r="BI308" s="1">
        <v>5</v>
      </c>
      <c r="BJ308" s="1">
        <v>300000</v>
      </c>
      <c r="BK308" s="1">
        <v>2</v>
      </c>
    </row>
    <row r="309" spans="1:63" ht="12.75" customHeight="1" x14ac:dyDescent="0.15">
      <c r="A309" s="5" t="s">
        <v>330</v>
      </c>
      <c r="B309" s="5" t="s">
        <v>984</v>
      </c>
      <c r="C309" s="5">
        <v>3</v>
      </c>
      <c r="D309" s="5">
        <v>2</v>
      </c>
      <c r="E309" s="5">
        <v>2</v>
      </c>
      <c r="F309" s="5">
        <v>2</v>
      </c>
      <c r="G309" s="5">
        <v>2</v>
      </c>
      <c r="H309" s="5">
        <v>2</v>
      </c>
      <c r="I309" s="5">
        <v>2</v>
      </c>
      <c r="J309" s="5">
        <v>2</v>
      </c>
      <c r="K309" s="5">
        <v>2</v>
      </c>
      <c r="L309" s="5">
        <v>2</v>
      </c>
      <c r="M309" s="5">
        <v>2</v>
      </c>
      <c r="N309" s="5">
        <v>2</v>
      </c>
      <c r="O309" s="5">
        <v>25</v>
      </c>
      <c r="P309" s="5" t="s">
        <v>981</v>
      </c>
      <c r="Q309" s="5">
        <v>3</v>
      </c>
      <c r="R309" s="5">
        <v>3</v>
      </c>
      <c r="S309" s="5">
        <v>3</v>
      </c>
      <c r="T309" s="5">
        <v>9</v>
      </c>
      <c r="U309" s="5" t="s">
        <v>981</v>
      </c>
      <c r="V309" s="5">
        <v>3</v>
      </c>
      <c r="W309" s="5">
        <v>3</v>
      </c>
      <c r="X309" s="5">
        <v>3</v>
      </c>
      <c r="Y309" s="5">
        <v>9</v>
      </c>
      <c r="Z309" s="5" t="s">
        <v>981</v>
      </c>
      <c r="AA309" s="5">
        <v>1</v>
      </c>
      <c r="AB309" s="5">
        <v>1</v>
      </c>
      <c r="AC309" s="5">
        <v>1</v>
      </c>
      <c r="AD309" s="5">
        <v>1</v>
      </c>
      <c r="AE309" s="5">
        <v>4</v>
      </c>
      <c r="AF309" s="5" t="s">
        <v>982</v>
      </c>
      <c r="AG309" s="5">
        <v>3</v>
      </c>
      <c r="AH309" s="5">
        <v>3</v>
      </c>
      <c r="AI309" s="5">
        <v>3</v>
      </c>
      <c r="AJ309" s="5">
        <v>9</v>
      </c>
      <c r="AK309" s="5" t="s">
        <v>981</v>
      </c>
      <c r="AL309" s="5">
        <v>3</v>
      </c>
      <c r="AM309" s="5">
        <v>3</v>
      </c>
      <c r="AN309" s="5">
        <v>3</v>
      </c>
      <c r="AO309" s="5">
        <v>9</v>
      </c>
      <c r="AP309" s="5" t="s">
        <v>981</v>
      </c>
      <c r="AQ309" s="5">
        <v>0</v>
      </c>
      <c r="AR309" s="5">
        <v>0</v>
      </c>
      <c r="AS309" s="5">
        <v>0</v>
      </c>
      <c r="AT309" s="5">
        <v>0</v>
      </c>
      <c r="AU309" s="5">
        <v>0</v>
      </c>
      <c r="AV309" s="5">
        <v>0</v>
      </c>
      <c r="AW309" s="5">
        <v>0</v>
      </c>
      <c r="AX309" s="5">
        <v>0</v>
      </c>
      <c r="AY309" s="5" t="s">
        <v>983</v>
      </c>
      <c r="AZ309" s="1">
        <v>0</v>
      </c>
      <c r="BA309" s="1">
        <v>0</v>
      </c>
      <c r="BB309" s="1">
        <v>0</v>
      </c>
      <c r="BC309" s="1">
        <v>1</v>
      </c>
      <c r="BD309" s="1">
        <v>0</v>
      </c>
      <c r="BE309" s="1">
        <v>1</v>
      </c>
      <c r="BF309" s="1">
        <v>34</v>
      </c>
      <c r="BG309" s="1">
        <v>0</v>
      </c>
      <c r="BH309" s="1">
        <v>15</v>
      </c>
      <c r="BI309" s="1">
        <v>30</v>
      </c>
      <c r="BJ309" s="1">
        <v>450000</v>
      </c>
      <c r="BK309" s="1">
        <v>2</v>
      </c>
    </row>
    <row r="310" spans="1:63" ht="12.75" customHeight="1" x14ac:dyDescent="0.15">
      <c r="A310" s="5" t="s">
        <v>238</v>
      </c>
      <c r="B310" s="5" t="s">
        <v>238</v>
      </c>
      <c r="C310" s="5">
        <v>2</v>
      </c>
      <c r="D310" s="5">
        <v>3</v>
      </c>
      <c r="E310" s="5">
        <v>2</v>
      </c>
      <c r="F310" s="5">
        <v>2</v>
      </c>
      <c r="G310" s="5">
        <v>2</v>
      </c>
      <c r="H310" s="5">
        <v>3</v>
      </c>
      <c r="I310" s="5">
        <v>2</v>
      </c>
      <c r="J310" s="5">
        <v>2</v>
      </c>
      <c r="K310" s="5">
        <v>2</v>
      </c>
      <c r="L310" s="5">
        <v>2</v>
      </c>
      <c r="M310" s="5">
        <v>2</v>
      </c>
      <c r="N310" s="5">
        <v>2</v>
      </c>
      <c r="O310" s="5">
        <v>26</v>
      </c>
      <c r="P310" s="5" t="s">
        <v>981</v>
      </c>
      <c r="Q310" s="5">
        <v>2</v>
      </c>
      <c r="R310" s="5">
        <v>3</v>
      </c>
      <c r="S310" s="5">
        <v>2</v>
      </c>
      <c r="T310" s="5">
        <v>7</v>
      </c>
      <c r="U310" s="5" t="s">
        <v>981</v>
      </c>
      <c r="V310" s="5">
        <v>1</v>
      </c>
      <c r="W310" s="5">
        <v>1</v>
      </c>
      <c r="X310" s="5">
        <v>1</v>
      </c>
      <c r="Y310" s="5">
        <v>3</v>
      </c>
      <c r="Z310" s="5" t="s">
        <v>982</v>
      </c>
      <c r="AA310" s="5">
        <v>1</v>
      </c>
      <c r="AB310" s="5">
        <v>2</v>
      </c>
      <c r="AC310" s="5">
        <v>1</v>
      </c>
      <c r="AD310" s="5">
        <v>1</v>
      </c>
      <c r="AE310" s="5">
        <v>5</v>
      </c>
      <c r="AF310" s="5" t="s">
        <v>981</v>
      </c>
      <c r="AG310" s="5">
        <v>1</v>
      </c>
      <c r="AH310" s="5">
        <v>0</v>
      </c>
      <c r="AI310" s="5">
        <v>2</v>
      </c>
      <c r="AJ310" s="5">
        <v>3</v>
      </c>
      <c r="AK310" s="5" t="s">
        <v>982</v>
      </c>
      <c r="AL310" s="5">
        <v>0</v>
      </c>
      <c r="AM310" s="5">
        <v>1</v>
      </c>
      <c r="AN310" s="5">
        <v>1</v>
      </c>
      <c r="AO310" s="5">
        <v>2</v>
      </c>
      <c r="AP310" s="5" t="s">
        <v>983</v>
      </c>
      <c r="AQ310" s="5">
        <v>0</v>
      </c>
      <c r="AR310" s="5">
        <v>0</v>
      </c>
      <c r="AS310" s="5">
        <v>0</v>
      </c>
      <c r="AT310" s="5">
        <v>0</v>
      </c>
      <c r="AU310" s="5">
        <v>0</v>
      </c>
      <c r="AV310" s="5">
        <v>0</v>
      </c>
      <c r="AW310" s="5">
        <v>0</v>
      </c>
      <c r="AX310" s="5">
        <v>0</v>
      </c>
      <c r="AY310" s="5" t="s">
        <v>983</v>
      </c>
      <c r="AZ310" s="1">
        <v>1</v>
      </c>
      <c r="BA310" s="1">
        <v>1</v>
      </c>
      <c r="BB310" s="1">
        <v>0</v>
      </c>
      <c r="BC310" s="1">
        <v>1</v>
      </c>
      <c r="BD310" s="1">
        <v>1</v>
      </c>
      <c r="BE310" s="1">
        <v>1</v>
      </c>
      <c r="BF310" s="1">
        <v>38</v>
      </c>
      <c r="BG310" s="1">
        <v>0</v>
      </c>
      <c r="BH310" s="1">
        <v>18</v>
      </c>
      <c r="BI310" s="1">
        <v>34</v>
      </c>
      <c r="BJ310" s="1">
        <v>1000000</v>
      </c>
      <c r="BK310" s="1">
        <v>4</v>
      </c>
    </row>
    <row r="311" spans="1:63" ht="12.75" customHeight="1" x14ac:dyDescent="0.15">
      <c r="A311" s="5" t="s">
        <v>238</v>
      </c>
      <c r="B311" s="5" t="s">
        <v>238</v>
      </c>
      <c r="C311" s="5">
        <v>3</v>
      </c>
      <c r="D311" s="5">
        <v>3</v>
      </c>
      <c r="E311" s="5">
        <v>3</v>
      </c>
      <c r="F311" s="5">
        <v>2</v>
      </c>
      <c r="G311" s="5">
        <v>2</v>
      </c>
      <c r="H311" s="5">
        <v>2</v>
      </c>
      <c r="I311" s="5">
        <v>1</v>
      </c>
      <c r="J311" s="5">
        <v>2</v>
      </c>
      <c r="K311" s="5">
        <v>1</v>
      </c>
      <c r="L311" s="5">
        <v>1</v>
      </c>
      <c r="M311" s="5">
        <v>2</v>
      </c>
      <c r="N311" s="5">
        <v>2</v>
      </c>
      <c r="O311" s="5">
        <v>24</v>
      </c>
      <c r="P311" s="5" t="s">
        <v>981</v>
      </c>
      <c r="Q311" s="5">
        <v>3</v>
      </c>
      <c r="R311" s="5">
        <v>3</v>
      </c>
      <c r="S311" s="5">
        <v>2</v>
      </c>
      <c r="T311" s="5">
        <v>8</v>
      </c>
      <c r="U311" s="5" t="s">
        <v>981</v>
      </c>
      <c r="V311" s="5">
        <v>3</v>
      </c>
      <c r="W311" s="5">
        <v>3</v>
      </c>
      <c r="X311" s="5">
        <v>3</v>
      </c>
      <c r="Y311" s="5">
        <v>9</v>
      </c>
      <c r="Z311" s="5" t="s">
        <v>981</v>
      </c>
      <c r="AA311" s="5">
        <v>2</v>
      </c>
      <c r="AB311" s="5">
        <v>1</v>
      </c>
      <c r="AC311" s="5">
        <v>2</v>
      </c>
      <c r="AD311" s="5">
        <v>2</v>
      </c>
      <c r="AE311" s="5">
        <v>7</v>
      </c>
      <c r="AF311" s="5" t="s">
        <v>981</v>
      </c>
      <c r="AG311" s="5">
        <v>3</v>
      </c>
      <c r="AH311" s="5">
        <v>2</v>
      </c>
      <c r="AI311" s="5">
        <v>2</v>
      </c>
      <c r="AJ311" s="5">
        <v>7</v>
      </c>
      <c r="AK311" s="5" t="s">
        <v>981</v>
      </c>
      <c r="AL311" s="5">
        <v>2</v>
      </c>
      <c r="AM311" s="5">
        <v>2</v>
      </c>
      <c r="AN311" s="5">
        <v>2</v>
      </c>
      <c r="AO311" s="5">
        <v>6</v>
      </c>
      <c r="AP311" s="5" t="s">
        <v>981</v>
      </c>
      <c r="AQ311" s="5">
        <v>0</v>
      </c>
      <c r="AR311" s="5">
        <v>0</v>
      </c>
      <c r="AS311" s="5">
        <v>0</v>
      </c>
      <c r="AT311" s="5">
        <v>0</v>
      </c>
      <c r="AU311" s="5">
        <v>0</v>
      </c>
      <c r="AV311" s="5">
        <v>0</v>
      </c>
      <c r="AW311" s="5">
        <v>0</v>
      </c>
      <c r="AX311" s="5">
        <v>0</v>
      </c>
      <c r="AY311" s="5" t="s">
        <v>983</v>
      </c>
      <c r="AZ311" s="1">
        <v>0</v>
      </c>
      <c r="BA311" s="1">
        <v>0</v>
      </c>
      <c r="BB311" s="1">
        <v>0</v>
      </c>
      <c r="BC311" s="1">
        <v>1</v>
      </c>
      <c r="BD311" s="1">
        <v>1</v>
      </c>
      <c r="BE311" s="1">
        <v>1</v>
      </c>
      <c r="BF311" s="1">
        <v>29</v>
      </c>
      <c r="BG311" s="1">
        <v>0</v>
      </c>
      <c r="BH311" s="1">
        <v>16</v>
      </c>
      <c r="BI311" s="1">
        <v>34</v>
      </c>
      <c r="BJ311" s="1">
        <v>250000</v>
      </c>
      <c r="BK311" s="1">
        <v>3</v>
      </c>
    </row>
    <row r="312" spans="1:63" ht="12.75" customHeight="1" x14ac:dyDescent="0.15">
      <c r="A312" s="5" t="s">
        <v>337</v>
      </c>
      <c r="B312" s="5" t="s">
        <v>984</v>
      </c>
      <c r="C312" s="5">
        <v>1</v>
      </c>
      <c r="D312" s="5">
        <v>1</v>
      </c>
      <c r="E312" s="5">
        <v>1</v>
      </c>
      <c r="F312" s="5">
        <v>1</v>
      </c>
      <c r="G312" s="5">
        <v>1</v>
      </c>
      <c r="H312" s="5">
        <v>1</v>
      </c>
      <c r="I312" s="5">
        <v>1</v>
      </c>
      <c r="J312" s="5">
        <v>1</v>
      </c>
      <c r="K312" s="5">
        <v>1</v>
      </c>
      <c r="L312" s="5">
        <v>1</v>
      </c>
      <c r="M312" s="5">
        <v>1</v>
      </c>
      <c r="N312" s="5">
        <v>1</v>
      </c>
      <c r="O312" s="5">
        <v>12</v>
      </c>
      <c r="P312" s="5" t="s">
        <v>983</v>
      </c>
      <c r="Q312" s="5">
        <v>0</v>
      </c>
      <c r="R312" s="5">
        <v>0</v>
      </c>
      <c r="S312" s="5">
        <v>0</v>
      </c>
      <c r="T312" s="5">
        <v>0</v>
      </c>
      <c r="U312" s="5" t="s">
        <v>983</v>
      </c>
      <c r="V312" s="5">
        <v>0</v>
      </c>
      <c r="W312" s="5">
        <v>0</v>
      </c>
      <c r="X312" s="5">
        <v>1</v>
      </c>
      <c r="Y312" s="5">
        <v>1</v>
      </c>
      <c r="Z312" s="5" t="s">
        <v>983</v>
      </c>
      <c r="AA312" s="5">
        <v>4</v>
      </c>
      <c r="AB312" s="5">
        <v>3</v>
      </c>
      <c r="AC312" s="5">
        <v>4</v>
      </c>
      <c r="AD312" s="5">
        <v>4</v>
      </c>
      <c r="AE312" s="5">
        <v>15</v>
      </c>
      <c r="AF312" s="5" t="s">
        <v>981</v>
      </c>
      <c r="AG312" s="5">
        <v>0</v>
      </c>
      <c r="AH312" s="5">
        <v>0</v>
      </c>
      <c r="AI312" s="5">
        <v>0</v>
      </c>
      <c r="AJ312" s="5">
        <v>0</v>
      </c>
      <c r="AK312" s="5" t="s">
        <v>983</v>
      </c>
      <c r="AL312" s="5">
        <v>0</v>
      </c>
      <c r="AM312" s="5">
        <v>0</v>
      </c>
      <c r="AN312" s="5">
        <v>0</v>
      </c>
      <c r="AO312" s="5">
        <v>0</v>
      </c>
      <c r="AP312" s="5" t="s">
        <v>983</v>
      </c>
      <c r="AQ312" s="5">
        <v>0</v>
      </c>
      <c r="AR312" s="5">
        <v>0</v>
      </c>
      <c r="AS312" s="5">
        <v>0</v>
      </c>
      <c r="AT312" s="5">
        <v>0</v>
      </c>
      <c r="AU312" s="5">
        <v>0</v>
      </c>
      <c r="AV312" s="5">
        <v>0</v>
      </c>
      <c r="AW312" s="5">
        <v>0</v>
      </c>
      <c r="AX312" s="5">
        <v>0</v>
      </c>
      <c r="AY312" s="5" t="s">
        <v>983</v>
      </c>
      <c r="AZ312" s="1">
        <v>1</v>
      </c>
      <c r="BA312" s="1">
        <v>0</v>
      </c>
      <c r="BB312" s="1">
        <v>1</v>
      </c>
      <c r="BC312" s="1">
        <v>0</v>
      </c>
      <c r="BD312" s="1">
        <v>0</v>
      </c>
      <c r="BE312" s="1">
        <v>0</v>
      </c>
      <c r="BF312" s="1">
        <v>45</v>
      </c>
      <c r="BG312" s="1">
        <v>1</v>
      </c>
      <c r="BH312" s="1">
        <v>1</v>
      </c>
      <c r="BI312" s="1">
        <v>31</v>
      </c>
      <c r="BJ312" s="1">
        <v>300000</v>
      </c>
      <c r="BK312" s="1">
        <v>1</v>
      </c>
    </row>
    <row r="313" spans="1:63" ht="12.75" customHeight="1" x14ac:dyDescent="0.15">
      <c r="A313" s="5" t="s">
        <v>330</v>
      </c>
      <c r="B313" s="5" t="s">
        <v>984</v>
      </c>
      <c r="C313" s="5">
        <v>2</v>
      </c>
      <c r="D313" s="5">
        <v>3</v>
      </c>
      <c r="E313" s="5">
        <v>2</v>
      </c>
      <c r="F313" s="5">
        <v>2</v>
      </c>
      <c r="G313" s="5">
        <v>2</v>
      </c>
      <c r="H313" s="5">
        <v>2</v>
      </c>
      <c r="I313" s="5">
        <v>2</v>
      </c>
      <c r="J313" s="5">
        <v>2</v>
      </c>
      <c r="K313" s="5">
        <v>2</v>
      </c>
      <c r="L313" s="5">
        <v>2</v>
      </c>
      <c r="M313" s="5">
        <v>2</v>
      </c>
      <c r="N313" s="5">
        <v>2</v>
      </c>
      <c r="O313" s="5">
        <v>25</v>
      </c>
      <c r="P313" s="5" t="s">
        <v>981</v>
      </c>
      <c r="Q313" s="5">
        <v>3</v>
      </c>
      <c r="R313" s="5">
        <v>2</v>
      </c>
      <c r="S313" s="5">
        <v>1</v>
      </c>
      <c r="T313" s="5">
        <v>6</v>
      </c>
      <c r="U313" s="5" t="s">
        <v>981</v>
      </c>
      <c r="V313" s="5">
        <v>2</v>
      </c>
      <c r="W313" s="5">
        <v>2</v>
      </c>
      <c r="X313" s="5">
        <v>3</v>
      </c>
      <c r="Y313" s="5">
        <v>7</v>
      </c>
      <c r="Z313" s="5" t="s">
        <v>981</v>
      </c>
      <c r="AA313" s="5">
        <v>1</v>
      </c>
      <c r="AB313" s="5">
        <v>1</v>
      </c>
      <c r="AC313" s="5">
        <v>2</v>
      </c>
      <c r="AD313" s="5">
        <v>1</v>
      </c>
      <c r="AE313" s="5">
        <v>5</v>
      </c>
      <c r="AF313" s="5" t="s">
        <v>981</v>
      </c>
      <c r="AG313" s="5">
        <v>2</v>
      </c>
      <c r="AH313" s="5">
        <v>1</v>
      </c>
      <c r="AI313" s="5">
        <v>1</v>
      </c>
      <c r="AJ313" s="5">
        <v>4</v>
      </c>
      <c r="AK313" s="5" t="s">
        <v>982</v>
      </c>
      <c r="AL313" s="5">
        <v>2</v>
      </c>
      <c r="AM313" s="5">
        <v>2</v>
      </c>
      <c r="AN313" s="5">
        <v>2</v>
      </c>
      <c r="AO313" s="5">
        <v>6</v>
      </c>
      <c r="AP313" s="5" t="s">
        <v>981</v>
      </c>
      <c r="AQ313" s="5">
        <v>0</v>
      </c>
      <c r="AR313" s="5">
        <v>1</v>
      </c>
      <c r="AS313" s="5">
        <v>1</v>
      </c>
      <c r="AT313" s="5">
        <v>0</v>
      </c>
      <c r="AU313" s="5">
        <v>0</v>
      </c>
      <c r="AV313" s="5">
        <v>1</v>
      </c>
      <c r="AW313" s="5">
        <v>1</v>
      </c>
      <c r="AX313" s="5">
        <v>4</v>
      </c>
      <c r="AY313" s="5" t="s">
        <v>982</v>
      </c>
      <c r="AZ313" s="1">
        <v>0</v>
      </c>
      <c r="BA313" s="1">
        <v>0</v>
      </c>
      <c r="BB313" s="1">
        <v>0</v>
      </c>
      <c r="BC313" s="1">
        <v>1</v>
      </c>
      <c r="BD313" s="1">
        <v>0</v>
      </c>
      <c r="BE313" s="1">
        <v>1</v>
      </c>
      <c r="BF313" s="1">
        <v>25</v>
      </c>
      <c r="BG313" s="1">
        <v>1</v>
      </c>
      <c r="BH313" s="1">
        <v>2</v>
      </c>
      <c r="BI313" s="1">
        <v>3</v>
      </c>
      <c r="BJ313" s="1">
        <v>410000</v>
      </c>
      <c r="BK313" s="1">
        <v>3</v>
      </c>
    </row>
    <row r="314" spans="1:63" ht="12.75" customHeight="1" x14ac:dyDescent="0.15">
      <c r="A314" s="5" t="s">
        <v>238</v>
      </c>
      <c r="B314" s="5" t="s">
        <v>238</v>
      </c>
      <c r="C314" s="5">
        <v>3</v>
      </c>
      <c r="D314" s="5">
        <v>3</v>
      </c>
      <c r="E314" s="5">
        <v>3</v>
      </c>
      <c r="F314" s="5">
        <v>3</v>
      </c>
      <c r="G314" s="5">
        <v>3</v>
      </c>
      <c r="H314" s="5">
        <v>3</v>
      </c>
      <c r="I314" s="5">
        <v>3</v>
      </c>
      <c r="J314" s="5">
        <v>3</v>
      </c>
      <c r="K314" s="5">
        <v>3</v>
      </c>
      <c r="L314" s="5">
        <v>3</v>
      </c>
      <c r="M314" s="5">
        <v>3</v>
      </c>
      <c r="N314" s="5">
        <v>3</v>
      </c>
      <c r="O314" s="5">
        <v>36</v>
      </c>
      <c r="P314" s="5" t="s">
        <v>981</v>
      </c>
      <c r="Q314" s="5">
        <v>1</v>
      </c>
      <c r="R314" s="5">
        <v>3</v>
      </c>
      <c r="S314" s="5">
        <v>1</v>
      </c>
      <c r="T314" s="5">
        <v>5</v>
      </c>
      <c r="U314" s="5" t="s">
        <v>981</v>
      </c>
      <c r="V314" s="5">
        <v>3</v>
      </c>
      <c r="W314" s="5">
        <v>4</v>
      </c>
      <c r="X314" s="5">
        <v>1</v>
      </c>
      <c r="Y314" s="5">
        <v>8</v>
      </c>
      <c r="Z314" s="5" t="s">
        <v>981</v>
      </c>
      <c r="AA314" s="5">
        <v>4</v>
      </c>
      <c r="AB314" s="5">
        <v>4</v>
      </c>
      <c r="AC314" s="5">
        <v>4</v>
      </c>
      <c r="AD314" s="5">
        <v>4</v>
      </c>
      <c r="AE314" s="5">
        <v>16</v>
      </c>
      <c r="AF314" s="5" t="s">
        <v>981</v>
      </c>
      <c r="AG314" s="5">
        <v>1</v>
      </c>
      <c r="AH314" s="5">
        <v>0</v>
      </c>
      <c r="AI314" s="5">
        <v>0</v>
      </c>
      <c r="AJ314" s="5">
        <v>1</v>
      </c>
      <c r="AK314" s="5" t="s">
        <v>983</v>
      </c>
      <c r="AL314" s="5">
        <v>3</v>
      </c>
      <c r="AM314" s="5">
        <v>3</v>
      </c>
      <c r="AN314" s="5">
        <v>3</v>
      </c>
      <c r="AO314" s="5">
        <v>9</v>
      </c>
      <c r="AP314" s="5" t="s">
        <v>981</v>
      </c>
      <c r="AQ314" s="5">
        <v>0</v>
      </c>
      <c r="AR314" s="5">
        <v>0</v>
      </c>
      <c r="AS314" s="5">
        <v>0</v>
      </c>
      <c r="AT314" s="5">
        <v>0</v>
      </c>
      <c r="AU314" s="5">
        <v>0</v>
      </c>
      <c r="AV314" s="5">
        <v>0</v>
      </c>
      <c r="AW314" s="5">
        <v>0</v>
      </c>
      <c r="AX314" s="5">
        <v>0</v>
      </c>
      <c r="AY314" s="5" t="s">
        <v>983</v>
      </c>
      <c r="AZ314" s="1">
        <v>0</v>
      </c>
      <c r="BA314" s="1">
        <v>0</v>
      </c>
      <c r="BB314" s="1">
        <v>0</v>
      </c>
      <c r="BC314" s="1">
        <v>1</v>
      </c>
      <c r="BD314" s="1">
        <v>1</v>
      </c>
      <c r="BE314" s="1">
        <v>1</v>
      </c>
      <c r="BF314" s="1">
        <v>30</v>
      </c>
      <c r="BG314" s="1">
        <v>1</v>
      </c>
      <c r="BH314" s="1">
        <v>0</v>
      </c>
      <c r="BI314" s="1">
        <v>24</v>
      </c>
      <c r="BJ314" s="1">
        <v>100000</v>
      </c>
      <c r="BK314" s="1">
        <v>4</v>
      </c>
    </row>
    <row r="315" spans="1:63" ht="12.75" customHeight="1" x14ac:dyDescent="0.15">
      <c r="A315" s="5" t="s">
        <v>238</v>
      </c>
      <c r="B315" s="5" t="s">
        <v>238</v>
      </c>
      <c r="C315" s="5">
        <v>4</v>
      </c>
      <c r="D315" s="5">
        <v>3</v>
      </c>
      <c r="E315" s="5">
        <v>2</v>
      </c>
      <c r="F315" s="5">
        <v>2</v>
      </c>
      <c r="G315" s="5">
        <v>2</v>
      </c>
      <c r="H315" s="5">
        <v>2</v>
      </c>
      <c r="I315" s="5">
        <v>2</v>
      </c>
      <c r="J315" s="5">
        <v>2</v>
      </c>
      <c r="K315" s="5">
        <v>2</v>
      </c>
      <c r="L315" s="5">
        <v>2</v>
      </c>
      <c r="M315" s="5">
        <v>2</v>
      </c>
      <c r="N315" s="5">
        <v>2</v>
      </c>
      <c r="O315" s="5">
        <v>27</v>
      </c>
      <c r="P315" s="5" t="s">
        <v>981</v>
      </c>
      <c r="Q315" s="5">
        <v>2</v>
      </c>
      <c r="R315" s="5">
        <v>2</v>
      </c>
      <c r="S315" s="5">
        <v>2</v>
      </c>
      <c r="T315" s="5">
        <v>6</v>
      </c>
      <c r="U315" s="5" t="s">
        <v>981</v>
      </c>
      <c r="V315" s="5">
        <v>2</v>
      </c>
      <c r="W315" s="5">
        <v>2</v>
      </c>
      <c r="X315" s="5">
        <v>2</v>
      </c>
      <c r="Y315" s="5">
        <v>6</v>
      </c>
      <c r="Z315" s="5" t="s">
        <v>981</v>
      </c>
      <c r="AA315" s="5">
        <v>1</v>
      </c>
      <c r="AB315" s="5">
        <v>1</v>
      </c>
      <c r="AC315" s="5">
        <v>1</v>
      </c>
      <c r="AD315" s="5">
        <v>1</v>
      </c>
      <c r="AE315" s="5">
        <v>4</v>
      </c>
      <c r="AF315" s="5" t="s">
        <v>982</v>
      </c>
      <c r="AG315" s="5">
        <v>3</v>
      </c>
      <c r="AH315" s="5">
        <v>3</v>
      </c>
      <c r="AI315" s="5">
        <v>3</v>
      </c>
      <c r="AJ315" s="5">
        <v>9</v>
      </c>
      <c r="AK315" s="5" t="s">
        <v>981</v>
      </c>
      <c r="AL315" s="5">
        <v>3</v>
      </c>
      <c r="AM315" s="5">
        <v>3</v>
      </c>
      <c r="AN315" s="5">
        <v>3</v>
      </c>
      <c r="AO315" s="5">
        <v>9</v>
      </c>
      <c r="AP315" s="5" t="s">
        <v>981</v>
      </c>
      <c r="AQ315" s="5">
        <v>0</v>
      </c>
      <c r="AR315" s="5">
        <v>0</v>
      </c>
      <c r="AS315" s="5">
        <v>0</v>
      </c>
      <c r="AT315" s="5">
        <v>0</v>
      </c>
      <c r="AU315" s="5">
        <v>0</v>
      </c>
      <c r="AV315" s="5">
        <v>0</v>
      </c>
      <c r="AW315" s="5">
        <v>0</v>
      </c>
      <c r="AX315" s="5">
        <v>0</v>
      </c>
      <c r="AY315" s="5" t="s">
        <v>983</v>
      </c>
      <c r="AZ315" s="1">
        <v>1</v>
      </c>
      <c r="BA315" s="1">
        <v>0</v>
      </c>
      <c r="BB315" s="1">
        <v>1</v>
      </c>
      <c r="BC315" s="1">
        <v>1</v>
      </c>
      <c r="BD315" s="1">
        <v>1</v>
      </c>
      <c r="BE315" s="1">
        <v>1</v>
      </c>
      <c r="BF315" s="1">
        <v>35</v>
      </c>
      <c r="BG315" s="1">
        <v>0</v>
      </c>
      <c r="BH315" s="1">
        <v>12</v>
      </c>
      <c r="BI315" s="1">
        <v>6</v>
      </c>
      <c r="BJ315" s="1">
        <v>400000</v>
      </c>
      <c r="BK315" s="1">
        <v>4</v>
      </c>
    </row>
    <row r="316" spans="1:63" ht="12.75" customHeight="1" x14ac:dyDescent="0.15">
      <c r="A316" s="5" t="s">
        <v>238</v>
      </c>
      <c r="B316" s="5" t="s">
        <v>238</v>
      </c>
      <c r="C316" s="5">
        <v>1</v>
      </c>
      <c r="D316" s="5">
        <v>1</v>
      </c>
      <c r="E316" s="5">
        <v>1</v>
      </c>
      <c r="F316" s="5">
        <v>1</v>
      </c>
      <c r="G316" s="5">
        <v>2</v>
      </c>
      <c r="H316" s="5">
        <v>1</v>
      </c>
      <c r="I316" s="5">
        <v>1</v>
      </c>
      <c r="J316" s="5">
        <v>1</v>
      </c>
      <c r="K316" s="5">
        <v>1</v>
      </c>
      <c r="L316" s="5">
        <v>2</v>
      </c>
      <c r="M316" s="5">
        <v>2</v>
      </c>
      <c r="N316" s="5">
        <v>1</v>
      </c>
      <c r="O316" s="5">
        <v>15</v>
      </c>
      <c r="P316" s="5" t="s">
        <v>983</v>
      </c>
      <c r="Q316" s="5">
        <v>4</v>
      </c>
      <c r="R316" s="5">
        <v>1</v>
      </c>
      <c r="S316" s="5">
        <v>0</v>
      </c>
      <c r="T316" s="5">
        <v>5</v>
      </c>
      <c r="U316" s="5" t="s">
        <v>981</v>
      </c>
      <c r="V316" s="5">
        <v>0</v>
      </c>
      <c r="W316" s="5">
        <v>0</v>
      </c>
      <c r="X316" s="5">
        <v>0</v>
      </c>
      <c r="Y316" s="5">
        <v>0</v>
      </c>
      <c r="Z316" s="5" t="s">
        <v>983</v>
      </c>
      <c r="AA316" s="5">
        <v>1</v>
      </c>
      <c r="AB316" s="5">
        <v>1</v>
      </c>
      <c r="AC316" s="5">
        <v>0</v>
      </c>
      <c r="AD316" s="5">
        <v>2</v>
      </c>
      <c r="AE316" s="5">
        <v>4</v>
      </c>
      <c r="AF316" s="5" t="s">
        <v>982</v>
      </c>
      <c r="AG316" s="5">
        <v>4</v>
      </c>
      <c r="AH316" s="5">
        <v>0</v>
      </c>
      <c r="AI316" s="5">
        <v>2</v>
      </c>
      <c r="AJ316" s="5">
        <v>6</v>
      </c>
      <c r="AK316" s="5" t="s">
        <v>981</v>
      </c>
      <c r="AL316" s="5">
        <v>2</v>
      </c>
      <c r="AM316" s="5">
        <v>0</v>
      </c>
      <c r="AN316" s="5">
        <v>2</v>
      </c>
      <c r="AO316" s="5">
        <v>4</v>
      </c>
      <c r="AP316" s="5" t="s">
        <v>982</v>
      </c>
      <c r="AQ316" s="5">
        <v>0</v>
      </c>
      <c r="AR316" s="5">
        <v>0</v>
      </c>
      <c r="AS316" s="5">
        <v>0</v>
      </c>
      <c r="AT316" s="5">
        <v>0</v>
      </c>
      <c r="AU316" s="5">
        <v>0</v>
      </c>
      <c r="AV316" s="5">
        <v>0</v>
      </c>
      <c r="AW316" s="5">
        <v>0</v>
      </c>
      <c r="AX316" s="5">
        <v>0</v>
      </c>
      <c r="AY316" s="5" t="s">
        <v>983</v>
      </c>
      <c r="AZ316" s="1">
        <v>0</v>
      </c>
      <c r="BA316" s="1">
        <v>0</v>
      </c>
      <c r="BB316" s="1">
        <v>0</v>
      </c>
      <c r="BC316" s="1">
        <v>1</v>
      </c>
      <c r="BD316" s="1">
        <v>0</v>
      </c>
      <c r="BE316" s="1">
        <v>1</v>
      </c>
      <c r="BF316" s="1">
        <v>0</v>
      </c>
      <c r="BG316" s="1">
        <v>0</v>
      </c>
      <c r="BI316" s="1">
        <v>20</v>
      </c>
      <c r="BJ316" s="1">
        <v>0</v>
      </c>
      <c r="BK316" s="1">
        <v>2</v>
      </c>
    </row>
    <row r="317" spans="1:63" ht="12.75" customHeight="1" x14ac:dyDescent="0.15">
      <c r="A317" s="5" t="s">
        <v>238</v>
      </c>
      <c r="B317" s="5" t="s">
        <v>238</v>
      </c>
      <c r="C317" s="5">
        <v>2</v>
      </c>
      <c r="D317" s="5">
        <v>2</v>
      </c>
      <c r="E317" s="5">
        <v>2</v>
      </c>
      <c r="F317" s="5">
        <v>2</v>
      </c>
      <c r="G317" s="5">
        <v>1</v>
      </c>
      <c r="H317" s="5">
        <v>1</v>
      </c>
      <c r="I317" s="5">
        <v>1</v>
      </c>
      <c r="J317" s="5">
        <v>4</v>
      </c>
      <c r="K317" s="5">
        <v>2</v>
      </c>
      <c r="L317" s="5">
        <v>2</v>
      </c>
      <c r="M317" s="5">
        <v>2</v>
      </c>
      <c r="N317" s="5">
        <v>2</v>
      </c>
      <c r="O317" s="5">
        <v>23</v>
      </c>
      <c r="P317" s="5" t="s">
        <v>982</v>
      </c>
      <c r="Q317" s="5">
        <v>1</v>
      </c>
      <c r="R317" s="5">
        <v>2</v>
      </c>
      <c r="S317" s="5">
        <v>0</v>
      </c>
      <c r="T317" s="5">
        <v>3</v>
      </c>
      <c r="U317" s="5" t="s">
        <v>982</v>
      </c>
      <c r="V317" s="5">
        <v>2</v>
      </c>
      <c r="W317" s="5">
        <v>2</v>
      </c>
      <c r="X317" s="5">
        <v>4</v>
      </c>
      <c r="Y317" s="5">
        <v>8</v>
      </c>
      <c r="Z317" s="5" t="s">
        <v>981</v>
      </c>
      <c r="AA317" s="5">
        <v>4</v>
      </c>
      <c r="AB317" s="5">
        <v>4</v>
      </c>
      <c r="AC317" s="5">
        <v>4</v>
      </c>
      <c r="AD317" s="5">
        <v>4</v>
      </c>
      <c r="AE317" s="5">
        <v>16</v>
      </c>
      <c r="AF317" s="5" t="s">
        <v>981</v>
      </c>
      <c r="AG317" s="5">
        <v>2</v>
      </c>
      <c r="AH317" s="5">
        <v>0</v>
      </c>
      <c r="AI317" s="5">
        <v>0</v>
      </c>
      <c r="AJ317" s="5">
        <v>2</v>
      </c>
      <c r="AK317" s="5" t="s">
        <v>983</v>
      </c>
      <c r="AL317" s="5">
        <v>2</v>
      </c>
      <c r="AM317" s="5">
        <v>2</v>
      </c>
      <c r="AN317" s="5">
        <v>2</v>
      </c>
      <c r="AO317" s="5">
        <v>6</v>
      </c>
      <c r="AP317" s="5" t="s">
        <v>981</v>
      </c>
      <c r="AQ317" s="5">
        <v>0</v>
      </c>
      <c r="AR317" s="5">
        <v>0</v>
      </c>
      <c r="AS317" s="5">
        <v>0</v>
      </c>
      <c r="AT317" s="5">
        <v>0</v>
      </c>
      <c r="AU317" s="5">
        <v>0</v>
      </c>
      <c r="AV317" s="5">
        <v>0</v>
      </c>
      <c r="AW317" s="5">
        <v>0</v>
      </c>
      <c r="AX317" s="5">
        <v>0</v>
      </c>
      <c r="AY317" s="5" t="s">
        <v>983</v>
      </c>
      <c r="AZ317" s="1">
        <v>0</v>
      </c>
      <c r="BA317" s="1">
        <v>0</v>
      </c>
      <c r="BB317" s="1">
        <v>0</v>
      </c>
      <c r="BC317" s="1">
        <v>1</v>
      </c>
      <c r="BD317" s="1">
        <v>1</v>
      </c>
      <c r="BE317" s="1">
        <v>1</v>
      </c>
      <c r="BF317" s="1">
        <v>0</v>
      </c>
      <c r="BG317" s="1">
        <v>0</v>
      </c>
      <c r="BI317" s="1">
        <v>6</v>
      </c>
      <c r="BJ317" s="1">
        <v>0</v>
      </c>
      <c r="BK317" s="1">
        <v>2</v>
      </c>
    </row>
    <row r="318" spans="1:63" ht="12.75" customHeight="1" x14ac:dyDescent="0.15">
      <c r="A318" s="5" t="s">
        <v>238</v>
      </c>
      <c r="B318" s="5" t="s">
        <v>238</v>
      </c>
      <c r="C318" s="5">
        <v>1</v>
      </c>
      <c r="D318" s="5">
        <v>2</v>
      </c>
      <c r="E318" s="5">
        <v>1</v>
      </c>
      <c r="F318" s="5">
        <v>1</v>
      </c>
      <c r="G318" s="5">
        <v>1</v>
      </c>
      <c r="H318" s="5">
        <v>1</v>
      </c>
      <c r="I318" s="5">
        <v>1</v>
      </c>
      <c r="J318" s="5">
        <v>2</v>
      </c>
      <c r="K318" s="5">
        <v>2</v>
      </c>
      <c r="L318" s="5">
        <v>2</v>
      </c>
      <c r="M318" s="5">
        <v>2</v>
      </c>
      <c r="N318" s="5">
        <v>2</v>
      </c>
      <c r="O318" s="5">
        <v>18</v>
      </c>
      <c r="P318" s="5" t="s">
        <v>983</v>
      </c>
      <c r="Q318" s="5">
        <v>0</v>
      </c>
      <c r="R318" s="5">
        <v>1</v>
      </c>
      <c r="S318" s="5">
        <v>0</v>
      </c>
      <c r="T318" s="5">
        <v>1</v>
      </c>
      <c r="U318" s="5" t="s">
        <v>983</v>
      </c>
      <c r="V318" s="5">
        <v>0</v>
      </c>
      <c r="W318" s="5">
        <v>0</v>
      </c>
      <c r="X318" s="5">
        <v>0</v>
      </c>
      <c r="Y318" s="5">
        <v>0</v>
      </c>
      <c r="Z318" s="5" t="s">
        <v>983</v>
      </c>
      <c r="AA318" s="5">
        <v>4</v>
      </c>
      <c r="AB318" s="5">
        <v>0</v>
      </c>
      <c r="AC318" s="5">
        <v>0</v>
      </c>
      <c r="AD318" s="5">
        <v>0</v>
      </c>
      <c r="AE318" s="5">
        <v>4</v>
      </c>
      <c r="AF318" s="5" t="s">
        <v>982</v>
      </c>
      <c r="AG318" s="5">
        <v>0</v>
      </c>
      <c r="AH318" s="5">
        <v>0</v>
      </c>
      <c r="AI318" s="5">
        <v>0</v>
      </c>
      <c r="AJ318" s="5">
        <v>0</v>
      </c>
      <c r="AK318" s="5" t="s">
        <v>983</v>
      </c>
      <c r="AL318" s="5">
        <v>0</v>
      </c>
      <c r="AM318" s="5">
        <v>0</v>
      </c>
      <c r="AN318" s="5">
        <v>1</v>
      </c>
      <c r="AO318" s="5">
        <v>1</v>
      </c>
      <c r="AP318" s="5" t="s">
        <v>983</v>
      </c>
      <c r="AQ318" s="5">
        <v>0</v>
      </c>
      <c r="AR318" s="5">
        <v>0</v>
      </c>
      <c r="AS318" s="5">
        <v>0</v>
      </c>
      <c r="AT318" s="5">
        <v>0</v>
      </c>
      <c r="AU318" s="5">
        <v>0</v>
      </c>
      <c r="AV318" s="5">
        <v>0</v>
      </c>
      <c r="AW318" s="5">
        <v>0</v>
      </c>
      <c r="AX318" s="5">
        <v>0</v>
      </c>
      <c r="AY318" s="5" t="s">
        <v>983</v>
      </c>
      <c r="AZ318" s="1">
        <v>0</v>
      </c>
      <c r="BA318" s="1">
        <v>0</v>
      </c>
      <c r="BB318" s="1">
        <v>0</v>
      </c>
      <c r="BC318" s="1">
        <v>1</v>
      </c>
      <c r="BD318" s="1">
        <v>0</v>
      </c>
      <c r="BE318" s="1">
        <v>1</v>
      </c>
      <c r="BF318" s="1">
        <v>38</v>
      </c>
      <c r="BG318" s="1">
        <v>1</v>
      </c>
      <c r="BH318" s="1">
        <v>14</v>
      </c>
      <c r="BI318" s="1">
        <v>6</v>
      </c>
      <c r="BJ318" s="1">
        <v>300000</v>
      </c>
      <c r="BK318" s="1">
        <v>5</v>
      </c>
    </row>
    <row r="319" spans="1:63" ht="12.75" customHeight="1" x14ac:dyDescent="0.15">
      <c r="A319" s="5" t="s">
        <v>337</v>
      </c>
      <c r="B319" s="5" t="s">
        <v>984</v>
      </c>
      <c r="C319" s="5">
        <v>2</v>
      </c>
      <c r="D319" s="5">
        <v>2</v>
      </c>
      <c r="E319" s="5">
        <v>3</v>
      </c>
      <c r="F319" s="5">
        <v>2</v>
      </c>
      <c r="G319" s="5">
        <v>2</v>
      </c>
      <c r="H319" s="5">
        <v>2</v>
      </c>
      <c r="I319" s="5">
        <v>2</v>
      </c>
      <c r="J319" s="5">
        <v>2</v>
      </c>
      <c r="K319" s="5">
        <v>2</v>
      </c>
      <c r="L319" s="5">
        <v>2</v>
      </c>
      <c r="M319" s="5">
        <v>2</v>
      </c>
      <c r="N319" s="5">
        <v>2</v>
      </c>
      <c r="O319" s="5">
        <v>25</v>
      </c>
      <c r="P319" s="5" t="s">
        <v>981</v>
      </c>
      <c r="Q319" s="5">
        <v>1</v>
      </c>
      <c r="R319" s="5">
        <v>1</v>
      </c>
      <c r="S319" s="5">
        <v>1</v>
      </c>
      <c r="T319" s="5">
        <v>3</v>
      </c>
      <c r="U319" s="5" t="s">
        <v>982</v>
      </c>
      <c r="V319" s="5">
        <v>1</v>
      </c>
      <c r="W319" s="5">
        <v>1</v>
      </c>
      <c r="X319" s="5">
        <v>1</v>
      </c>
      <c r="Y319" s="5">
        <v>3</v>
      </c>
      <c r="Z319" s="5" t="s">
        <v>982</v>
      </c>
      <c r="AA319" s="5">
        <v>1</v>
      </c>
      <c r="AB319" s="5">
        <v>1</v>
      </c>
      <c r="AC319" s="5">
        <v>1</v>
      </c>
      <c r="AD319" s="5">
        <v>0</v>
      </c>
      <c r="AE319" s="5">
        <v>3</v>
      </c>
      <c r="AF319" s="5" t="s">
        <v>982</v>
      </c>
      <c r="AG319" s="5">
        <v>1</v>
      </c>
      <c r="AH319" s="5">
        <v>1</v>
      </c>
      <c r="AI319" s="5">
        <v>2</v>
      </c>
      <c r="AJ319" s="5">
        <v>4</v>
      </c>
      <c r="AK319" s="5" t="s">
        <v>982</v>
      </c>
      <c r="AL319" s="5">
        <v>1</v>
      </c>
      <c r="AM319" s="5">
        <v>1</v>
      </c>
      <c r="AN319" s="5">
        <v>1</v>
      </c>
      <c r="AO319" s="5">
        <v>3</v>
      </c>
      <c r="AP319" s="5" t="s">
        <v>982</v>
      </c>
      <c r="AQ319" s="5">
        <v>1</v>
      </c>
      <c r="AR319" s="5">
        <v>0</v>
      </c>
      <c r="AS319" s="5">
        <v>0</v>
      </c>
      <c r="AT319" s="5">
        <v>0</v>
      </c>
      <c r="AU319" s="5">
        <v>0</v>
      </c>
      <c r="AV319" s="5">
        <v>0</v>
      </c>
      <c r="AW319" s="5">
        <v>0</v>
      </c>
      <c r="AX319" s="5">
        <v>1</v>
      </c>
      <c r="AY319" s="5" t="s">
        <v>982</v>
      </c>
      <c r="AZ319" s="1">
        <v>1</v>
      </c>
      <c r="BA319" s="1">
        <v>0</v>
      </c>
      <c r="BB319" s="1">
        <v>1</v>
      </c>
      <c r="BC319" s="1">
        <v>1</v>
      </c>
      <c r="BD319" s="1">
        <v>1</v>
      </c>
      <c r="BE319" s="1">
        <v>1</v>
      </c>
      <c r="BF319" s="1">
        <v>33</v>
      </c>
      <c r="BG319" s="1">
        <v>0</v>
      </c>
      <c r="BH319" s="1">
        <v>18</v>
      </c>
      <c r="BI319" s="1">
        <v>31</v>
      </c>
      <c r="BJ319" s="1">
        <v>500000</v>
      </c>
      <c r="BK319" s="1">
        <v>4</v>
      </c>
    </row>
    <row r="320" spans="1:63" ht="12.75" customHeight="1" x14ac:dyDescent="0.15">
      <c r="A320" s="5" t="s">
        <v>238</v>
      </c>
      <c r="B320" s="5" t="s">
        <v>238</v>
      </c>
      <c r="C320" s="5">
        <v>2</v>
      </c>
      <c r="D320" s="5">
        <v>2</v>
      </c>
      <c r="E320" s="5">
        <v>2</v>
      </c>
      <c r="F320" s="5">
        <v>2</v>
      </c>
      <c r="G320" s="5">
        <v>2</v>
      </c>
      <c r="H320" s="5">
        <v>1</v>
      </c>
      <c r="I320" s="5">
        <v>1</v>
      </c>
      <c r="J320" s="5">
        <v>2</v>
      </c>
      <c r="K320" s="5">
        <v>2</v>
      </c>
      <c r="L320" s="5">
        <v>2</v>
      </c>
      <c r="M320" s="5">
        <v>2</v>
      </c>
      <c r="N320" s="5">
        <v>2</v>
      </c>
      <c r="O320" s="5">
        <v>22</v>
      </c>
      <c r="P320" s="5" t="s">
        <v>982</v>
      </c>
      <c r="Q320" s="5">
        <v>2</v>
      </c>
      <c r="R320" s="5">
        <v>2</v>
      </c>
      <c r="S320" s="5">
        <v>2</v>
      </c>
      <c r="T320" s="5">
        <v>6</v>
      </c>
      <c r="U320" s="5" t="s">
        <v>981</v>
      </c>
      <c r="V320" s="5">
        <v>2</v>
      </c>
      <c r="W320" s="5">
        <v>2</v>
      </c>
      <c r="X320" s="5">
        <v>2</v>
      </c>
      <c r="Y320" s="5">
        <v>6</v>
      </c>
      <c r="Z320" s="5" t="s">
        <v>981</v>
      </c>
      <c r="AA320" s="5">
        <v>2</v>
      </c>
      <c r="AB320" s="5">
        <v>2</v>
      </c>
      <c r="AC320" s="5">
        <v>1</v>
      </c>
      <c r="AD320" s="5">
        <v>1</v>
      </c>
      <c r="AE320" s="5">
        <v>6</v>
      </c>
      <c r="AF320" s="5" t="s">
        <v>981</v>
      </c>
      <c r="AG320" s="5">
        <v>1</v>
      </c>
      <c r="AH320" s="5">
        <v>1</v>
      </c>
      <c r="AI320" s="5">
        <v>1</v>
      </c>
      <c r="AJ320" s="5">
        <v>3</v>
      </c>
      <c r="AK320" s="5" t="s">
        <v>982</v>
      </c>
      <c r="AL320" s="5">
        <v>1</v>
      </c>
      <c r="AM320" s="5">
        <v>1</v>
      </c>
      <c r="AN320" s="5">
        <v>1</v>
      </c>
      <c r="AO320" s="5">
        <v>3</v>
      </c>
      <c r="AP320" s="5" t="s">
        <v>982</v>
      </c>
      <c r="AQ320" s="5">
        <v>0</v>
      </c>
      <c r="AR320" s="5">
        <v>0</v>
      </c>
      <c r="AS320" s="5">
        <v>0</v>
      </c>
      <c r="AT320" s="5">
        <v>0</v>
      </c>
      <c r="AU320" s="5">
        <v>0</v>
      </c>
      <c r="AV320" s="5">
        <v>0</v>
      </c>
      <c r="AW320" s="5">
        <v>0</v>
      </c>
      <c r="AX320" s="5">
        <v>0</v>
      </c>
      <c r="AY320" s="5" t="s">
        <v>983</v>
      </c>
      <c r="AZ320" s="1">
        <v>1</v>
      </c>
      <c r="BA320" s="1">
        <v>1</v>
      </c>
      <c r="BB320" s="1">
        <v>1</v>
      </c>
      <c r="BC320" s="1">
        <v>1</v>
      </c>
      <c r="BD320" s="1">
        <v>0</v>
      </c>
      <c r="BE320" s="1">
        <v>1</v>
      </c>
      <c r="BF320" s="1">
        <v>32</v>
      </c>
      <c r="BG320" s="1">
        <v>0</v>
      </c>
      <c r="BH320" s="1">
        <v>14</v>
      </c>
      <c r="BI320" s="1">
        <v>8</v>
      </c>
      <c r="BJ320" s="1">
        <v>520000</v>
      </c>
      <c r="BK320" s="1">
        <v>2</v>
      </c>
    </row>
    <row r="321" spans="1:63" ht="12.75" customHeight="1" x14ac:dyDescent="0.15">
      <c r="A321" s="5" t="s">
        <v>238</v>
      </c>
      <c r="B321" s="5" t="s">
        <v>238</v>
      </c>
      <c r="C321" s="5">
        <v>1</v>
      </c>
      <c r="D321" s="5">
        <v>1</v>
      </c>
      <c r="E321" s="5">
        <v>1</v>
      </c>
      <c r="F321" s="5">
        <v>1</v>
      </c>
      <c r="G321" s="5">
        <v>1</v>
      </c>
      <c r="H321" s="5">
        <v>1</v>
      </c>
      <c r="I321" s="5">
        <v>1</v>
      </c>
      <c r="J321" s="5">
        <v>4</v>
      </c>
      <c r="K321" s="5">
        <v>1</v>
      </c>
      <c r="L321" s="5">
        <v>1</v>
      </c>
      <c r="M321" s="5">
        <v>1</v>
      </c>
      <c r="N321" s="5">
        <v>1</v>
      </c>
      <c r="O321" s="5">
        <v>15</v>
      </c>
      <c r="P321" s="5" t="s">
        <v>983</v>
      </c>
      <c r="Q321" s="5">
        <v>0</v>
      </c>
      <c r="R321" s="5">
        <v>0</v>
      </c>
      <c r="S321" s="5">
        <v>0</v>
      </c>
      <c r="T321" s="5">
        <v>0</v>
      </c>
      <c r="U321" s="5" t="s">
        <v>983</v>
      </c>
      <c r="V321" s="5">
        <v>0</v>
      </c>
      <c r="W321" s="5">
        <v>0</v>
      </c>
      <c r="X321" s="5">
        <v>1</v>
      </c>
      <c r="Y321" s="5">
        <v>1</v>
      </c>
      <c r="Z321" s="5" t="s">
        <v>983</v>
      </c>
      <c r="AA321" s="5">
        <v>0</v>
      </c>
      <c r="AB321" s="5">
        <v>0</v>
      </c>
      <c r="AC321" s="5">
        <v>0</v>
      </c>
      <c r="AD321" s="5">
        <v>0</v>
      </c>
      <c r="AE321" s="5">
        <v>0</v>
      </c>
      <c r="AF321" s="5" t="s">
        <v>983</v>
      </c>
      <c r="AG321" s="5">
        <v>1</v>
      </c>
      <c r="AH321" s="5">
        <v>1</v>
      </c>
      <c r="AI321" s="5">
        <v>1</v>
      </c>
      <c r="AJ321" s="5">
        <v>3</v>
      </c>
      <c r="AK321" s="5" t="s">
        <v>982</v>
      </c>
      <c r="AL321" s="5">
        <v>0</v>
      </c>
      <c r="AM321" s="5">
        <v>0</v>
      </c>
      <c r="AN321" s="5">
        <v>0</v>
      </c>
      <c r="AO321" s="5">
        <v>0</v>
      </c>
      <c r="AP321" s="5" t="s">
        <v>983</v>
      </c>
      <c r="AQ321" s="5">
        <v>0</v>
      </c>
      <c r="AR321" s="5">
        <v>0</v>
      </c>
      <c r="AS321" s="5">
        <v>0</v>
      </c>
      <c r="AT321" s="5">
        <v>0</v>
      </c>
      <c r="AU321" s="5">
        <v>0</v>
      </c>
      <c r="AV321" s="5">
        <v>0</v>
      </c>
      <c r="AW321" s="5">
        <v>0</v>
      </c>
      <c r="AX321" s="5">
        <v>0</v>
      </c>
      <c r="AY321" s="5" t="s">
        <v>983</v>
      </c>
      <c r="AZ321" s="1">
        <v>1</v>
      </c>
      <c r="BA321" s="1">
        <v>1</v>
      </c>
      <c r="BB321" s="1">
        <v>0</v>
      </c>
      <c r="BC321" s="1">
        <v>1</v>
      </c>
      <c r="BD321" s="1">
        <v>0</v>
      </c>
      <c r="BE321" s="1">
        <v>1</v>
      </c>
      <c r="BF321" s="1">
        <v>29</v>
      </c>
      <c r="BG321" s="1">
        <v>0</v>
      </c>
      <c r="BH321" s="1">
        <v>2</v>
      </c>
      <c r="BI321" s="1">
        <v>2</v>
      </c>
      <c r="BJ321" s="1">
        <v>650000</v>
      </c>
      <c r="BK321" s="1">
        <v>1</v>
      </c>
    </row>
    <row r="322" spans="1:63" ht="12.75" customHeight="1" x14ac:dyDescent="0.15">
      <c r="A322" s="5" t="s">
        <v>330</v>
      </c>
      <c r="B322" s="5" t="s">
        <v>984</v>
      </c>
      <c r="C322" s="5">
        <v>2</v>
      </c>
      <c r="D322" s="5">
        <v>2</v>
      </c>
      <c r="E322" s="5">
        <v>2</v>
      </c>
      <c r="F322" s="5">
        <v>2</v>
      </c>
      <c r="G322" s="5">
        <v>2</v>
      </c>
      <c r="H322" s="5">
        <v>2</v>
      </c>
      <c r="I322" s="5">
        <v>2</v>
      </c>
      <c r="J322" s="5">
        <v>2</v>
      </c>
      <c r="K322" s="5">
        <v>2</v>
      </c>
      <c r="L322" s="5">
        <v>2</v>
      </c>
      <c r="M322" s="5">
        <v>2</v>
      </c>
      <c r="N322" s="5">
        <v>2</v>
      </c>
      <c r="O322" s="5">
        <v>24</v>
      </c>
      <c r="P322" s="5" t="s">
        <v>981</v>
      </c>
      <c r="Q322" s="5">
        <v>1</v>
      </c>
      <c r="R322" s="5">
        <v>2</v>
      </c>
      <c r="S322" s="5">
        <v>1</v>
      </c>
      <c r="T322" s="5">
        <v>4</v>
      </c>
      <c r="U322" s="5" t="s">
        <v>982</v>
      </c>
      <c r="V322" s="5">
        <v>1</v>
      </c>
      <c r="W322" s="5">
        <v>2</v>
      </c>
      <c r="X322" s="5">
        <v>0</v>
      </c>
      <c r="Y322" s="5">
        <v>3</v>
      </c>
      <c r="Z322" s="5" t="s">
        <v>982</v>
      </c>
      <c r="AA322" s="5">
        <v>1</v>
      </c>
      <c r="AB322" s="5">
        <v>1</v>
      </c>
      <c r="AC322" s="5">
        <v>0</v>
      </c>
      <c r="AD322" s="5">
        <v>0</v>
      </c>
      <c r="AE322" s="5">
        <v>2</v>
      </c>
      <c r="AF322" s="5" t="s">
        <v>982</v>
      </c>
      <c r="AG322" s="5">
        <v>1</v>
      </c>
      <c r="AH322" s="5">
        <v>0</v>
      </c>
      <c r="AI322" s="5">
        <v>0</v>
      </c>
      <c r="AJ322" s="5">
        <v>1</v>
      </c>
      <c r="AK322" s="5" t="s">
        <v>983</v>
      </c>
      <c r="AL322" s="5">
        <v>1</v>
      </c>
      <c r="AM322" s="5">
        <v>1</v>
      </c>
      <c r="AN322" s="5">
        <v>1</v>
      </c>
      <c r="AO322" s="5">
        <v>3</v>
      </c>
      <c r="AP322" s="5" t="s">
        <v>982</v>
      </c>
      <c r="AQ322" s="5">
        <v>1</v>
      </c>
      <c r="AR322" s="5">
        <v>0</v>
      </c>
      <c r="AS322" s="5">
        <v>0</v>
      </c>
      <c r="AT322" s="5">
        <v>0</v>
      </c>
      <c r="AU322" s="5">
        <v>0</v>
      </c>
      <c r="AV322" s="5">
        <v>0</v>
      </c>
      <c r="AW322" s="5">
        <v>0</v>
      </c>
      <c r="AX322" s="5">
        <v>1</v>
      </c>
      <c r="AY322" s="5" t="s">
        <v>982</v>
      </c>
      <c r="AZ322" s="1">
        <v>0</v>
      </c>
      <c r="BA322" s="1">
        <v>0</v>
      </c>
      <c r="BB322" s="1">
        <v>0</v>
      </c>
      <c r="BC322" s="1">
        <v>1</v>
      </c>
      <c r="BD322" s="1">
        <v>1</v>
      </c>
      <c r="BE322" s="1">
        <v>1</v>
      </c>
      <c r="BF322" s="1">
        <v>49</v>
      </c>
      <c r="BG322" s="1">
        <v>0</v>
      </c>
      <c r="BH322" s="1">
        <v>14</v>
      </c>
      <c r="BI322" s="1">
        <v>1</v>
      </c>
      <c r="BJ322" s="1">
        <v>49000</v>
      </c>
      <c r="BK322" s="1">
        <v>3</v>
      </c>
    </row>
    <row r="323" spans="1:63" ht="12.75" customHeight="1" x14ac:dyDescent="0.15">
      <c r="A323" s="5" t="s">
        <v>238</v>
      </c>
      <c r="B323" s="5" t="s">
        <v>238</v>
      </c>
      <c r="C323" s="5">
        <v>2</v>
      </c>
      <c r="D323" s="5">
        <v>1</v>
      </c>
      <c r="E323" s="5">
        <v>1</v>
      </c>
      <c r="F323" s="5">
        <v>1</v>
      </c>
      <c r="G323" s="5">
        <v>1</v>
      </c>
      <c r="H323" s="5">
        <v>1</v>
      </c>
      <c r="I323" s="5">
        <v>1</v>
      </c>
      <c r="J323" s="5">
        <v>2</v>
      </c>
      <c r="K323" s="5">
        <v>2</v>
      </c>
      <c r="L323" s="5">
        <v>2</v>
      </c>
      <c r="M323" s="5">
        <v>2</v>
      </c>
      <c r="N323" s="5">
        <v>2</v>
      </c>
      <c r="O323" s="5">
        <v>18</v>
      </c>
      <c r="P323" s="5" t="s">
        <v>983</v>
      </c>
      <c r="Q323" s="5">
        <v>2</v>
      </c>
      <c r="R323" s="5">
        <v>1</v>
      </c>
      <c r="S323" s="5">
        <v>1</v>
      </c>
      <c r="T323" s="5">
        <v>4</v>
      </c>
      <c r="U323" s="5" t="s">
        <v>982</v>
      </c>
      <c r="V323" s="5">
        <v>0</v>
      </c>
      <c r="W323" s="5">
        <v>2</v>
      </c>
      <c r="X323" s="5">
        <v>1</v>
      </c>
      <c r="Y323" s="5">
        <v>3</v>
      </c>
      <c r="Z323" s="5" t="s">
        <v>982</v>
      </c>
      <c r="AA323" s="5">
        <v>2</v>
      </c>
      <c r="AB323" s="5">
        <v>2</v>
      </c>
      <c r="AC323" s="5">
        <v>2</v>
      </c>
      <c r="AD323" s="5">
        <v>2</v>
      </c>
      <c r="AE323" s="5">
        <v>8</v>
      </c>
      <c r="AF323" s="5" t="s">
        <v>981</v>
      </c>
      <c r="AG323" s="5">
        <v>2</v>
      </c>
      <c r="AH323" s="5">
        <v>2</v>
      </c>
      <c r="AI323" s="5">
        <v>2</v>
      </c>
      <c r="AJ323" s="5">
        <v>6</v>
      </c>
      <c r="AK323" s="5" t="s">
        <v>981</v>
      </c>
      <c r="AL323" s="5">
        <v>2</v>
      </c>
      <c r="AM323" s="5">
        <v>2</v>
      </c>
      <c r="AN323" s="5">
        <v>2</v>
      </c>
      <c r="AO323" s="5">
        <v>6</v>
      </c>
      <c r="AP323" s="5" t="s">
        <v>981</v>
      </c>
      <c r="AQ323" s="5">
        <v>0</v>
      </c>
      <c r="AR323" s="5">
        <v>0</v>
      </c>
      <c r="AS323" s="5">
        <v>0</v>
      </c>
      <c r="AT323" s="5">
        <v>0</v>
      </c>
      <c r="AU323" s="5">
        <v>0</v>
      </c>
      <c r="AV323" s="5">
        <v>0</v>
      </c>
      <c r="AW323" s="5">
        <v>0</v>
      </c>
      <c r="AX323" s="5">
        <v>0</v>
      </c>
      <c r="AY323" s="5" t="s">
        <v>983</v>
      </c>
      <c r="AZ323" s="1">
        <v>1</v>
      </c>
      <c r="BA323" s="1">
        <v>0</v>
      </c>
      <c r="BB323" s="1">
        <v>1</v>
      </c>
      <c r="BC323" s="1">
        <v>1</v>
      </c>
      <c r="BD323" s="1">
        <v>1</v>
      </c>
      <c r="BE323" s="1">
        <v>1</v>
      </c>
      <c r="BF323" s="1">
        <v>52</v>
      </c>
      <c r="BG323" s="1">
        <v>1</v>
      </c>
      <c r="BH323" s="1">
        <v>3</v>
      </c>
      <c r="BI323" s="1">
        <v>3</v>
      </c>
      <c r="BJ323" s="1">
        <v>80000</v>
      </c>
      <c r="BK323" s="1">
        <v>5</v>
      </c>
    </row>
    <row r="324" spans="1:63" ht="12.75" customHeight="1" x14ac:dyDescent="0.15">
      <c r="A324" s="5" t="s">
        <v>330</v>
      </c>
      <c r="B324" s="5" t="s">
        <v>984</v>
      </c>
      <c r="C324" s="5">
        <v>1</v>
      </c>
      <c r="D324" s="5">
        <v>3</v>
      </c>
      <c r="E324" s="5">
        <v>3</v>
      </c>
      <c r="F324" s="5">
        <v>2</v>
      </c>
      <c r="G324" s="5">
        <v>3</v>
      </c>
      <c r="H324" s="5">
        <v>2</v>
      </c>
      <c r="I324" s="5">
        <v>1</v>
      </c>
      <c r="J324" s="5">
        <v>1</v>
      </c>
      <c r="K324" s="5">
        <v>1</v>
      </c>
      <c r="L324" s="5">
        <v>1</v>
      </c>
      <c r="M324" s="5">
        <v>1</v>
      </c>
      <c r="N324" s="5">
        <v>1</v>
      </c>
      <c r="O324" s="5">
        <v>20</v>
      </c>
      <c r="P324" s="5" t="s">
        <v>982</v>
      </c>
      <c r="Q324" s="5">
        <v>1</v>
      </c>
      <c r="R324" s="5">
        <v>3</v>
      </c>
      <c r="S324" s="5">
        <v>0</v>
      </c>
      <c r="T324" s="5">
        <v>4</v>
      </c>
      <c r="U324" s="5" t="s">
        <v>982</v>
      </c>
      <c r="V324" s="5">
        <v>0</v>
      </c>
      <c r="W324" s="5">
        <v>0</v>
      </c>
      <c r="X324" s="5">
        <v>0</v>
      </c>
      <c r="Y324" s="5">
        <v>0</v>
      </c>
      <c r="Z324" s="5" t="s">
        <v>983</v>
      </c>
      <c r="AA324" s="5">
        <v>4</v>
      </c>
      <c r="AB324" s="5">
        <v>4</v>
      </c>
      <c r="AC324" s="5">
        <v>0</v>
      </c>
      <c r="AD324" s="5">
        <v>0</v>
      </c>
      <c r="AE324" s="5">
        <v>8</v>
      </c>
      <c r="AF324" s="5" t="s">
        <v>981</v>
      </c>
      <c r="AG324" s="5">
        <v>0</v>
      </c>
      <c r="AH324" s="5">
        <v>0</v>
      </c>
      <c r="AI324" s="5">
        <v>3</v>
      </c>
      <c r="AJ324" s="5">
        <v>3</v>
      </c>
      <c r="AK324" s="5" t="s">
        <v>982</v>
      </c>
      <c r="AL324" s="5">
        <v>1</v>
      </c>
      <c r="AM324" s="5">
        <v>0</v>
      </c>
      <c r="AN324" s="5">
        <v>0</v>
      </c>
      <c r="AO324" s="5">
        <v>1</v>
      </c>
      <c r="AP324" s="5" t="s">
        <v>983</v>
      </c>
      <c r="AQ324" s="5">
        <v>0</v>
      </c>
      <c r="AR324" s="5">
        <v>0</v>
      </c>
      <c r="AS324" s="5">
        <v>0</v>
      </c>
      <c r="AT324" s="5">
        <v>0</v>
      </c>
      <c r="AU324" s="5">
        <v>0</v>
      </c>
      <c r="AV324" s="5">
        <v>0</v>
      </c>
      <c r="AW324" s="5">
        <v>0</v>
      </c>
      <c r="AX324" s="5">
        <v>0</v>
      </c>
      <c r="AY324" s="5" t="s">
        <v>983</v>
      </c>
      <c r="AZ324" s="1">
        <v>0</v>
      </c>
      <c r="BA324" s="1">
        <v>0</v>
      </c>
      <c r="BB324" s="1">
        <v>0</v>
      </c>
      <c r="BC324" s="1">
        <v>1</v>
      </c>
      <c r="BD324" s="1">
        <v>1</v>
      </c>
      <c r="BE324" s="1">
        <v>1</v>
      </c>
      <c r="BF324" s="1">
        <v>35</v>
      </c>
      <c r="BG324" s="1">
        <v>1</v>
      </c>
      <c r="BH324" s="1">
        <v>18</v>
      </c>
      <c r="BI324" s="1">
        <v>3</v>
      </c>
      <c r="BJ324" s="1">
        <v>900000</v>
      </c>
      <c r="BK324" s="1">
        <v>5</v>
      </c>
    </row>
    <row r="325" spans="1:63" ht="12.75" customHeight="1" x14ac:dyDescent="0.15">
      <c r="A325" s="5" t="s">
        <v>238</v>
      </c>
      <c r="B325" s="5" t="s">
        <v>238</v>
      </c>
      <c r="C325" s="5">
        <v>2</v>
      </c>
      <c r="D325" s="5">
        <v>4</v>
      </c>
      <c r="E325" s="5">
        <v>3</v>
      </c>
      <c r="F325" s="5">
        <v>3</v>
      </c>
      <c r="G325" s="5">
        <v>2</v>
      </c>
      <c r="H325" s="5">
        <v>2</v>
      </c>
      <c r="I325" s="5">
        <v>1</v>
      </c>
      <c r="J325" s="5">
        <v>1</v>
      </c>
      <c r="K325" s="5">
        <v>1</v>
      </c>
      <c r="L325" s="5">
        <v>2</v>
      </c>
      <c r="M325" s="5">
        <v>3</v>
      </c>
      <c r="N325" s="5">
        <v>2</v>
      </c>
      <c r="O325" s="5">
        <v>26</v>
      </c>
      <c r="P325" s="5" t="s">
        <v>981</v>
      </c>
      <c r="Q325" s="5">
        <v>4</v>
      </c>
      <c r="R325" s="5">
        <v>3</v>
      </c>
      <c r="S325" s="5">
        <v>2</v>
      </c>
      <c r="T325" s="5">
        <v>9</v>
      </c>
      <c r="U325" s="5" t="s">
        <v>981</v>
      </c>
      <c r="V325" s="5">
        <v>2</v>
      </c>
      <c r="W325" s="5">
        <v>2</v>
      </c>
      <c r="X325" s="5">
        <v>2</v>
      </c>
      <c r="Y325" s="5">
        <v>6</v>
      </c>
      <c r="Z325" s="5" t="s">
        <v>981</v>
      </c>
      <c r="AA325" s="5">
        <v>2</v>
      </c>
      <c r="AB325" s="5">
        <v>2</v>
      </c>
      <c r="AC325" s="5">
        <v>2</v>
      </c>
      <c r="AD325" s="5">
        <v>2</v>
      </c>
      <c r="AE325" s="5">
        <v>8</v>
      </c>
      <c r="AF325" s="5" t="s">
        <v>981</v>
      </c>
      <c r="AG325" s="5">
        <v>2</v>
      </c>
      <c r="AH325" s="5">
        <v>4</v>
      </c>
      <c r="AI325" s="5">
        <v>4</v>
      </c>
      <c r="AJ325" s="5">
        <v>10</v>
      </c>
      <c r="AK325" s="5" t="s">
        <v>981</v>
      </c>
      <c r="AL325" s="5">
        <v>4</v>
      </c>
      <c r="AM325" s="5">
        <v>4</v>
      </c>
      <c r="AN325" s="5">
        <v>4</v>
      </c>
      <c r="AO325" s="5">
        <v>12</v>
      </c>
      <c r="AP325" s="5" t="s">
        <v>981</v>
      </c>
      <c r="AQ325" s="5">
        <v>0</v>
      </c>
      <c r="AR325" s="5">
        <v>0</v>
      </c>
      <c r="AS325" s="5">
        <v>0</v>
      </c>
      <c r="AT325" s="5">
        <v>0</v>
      </c>
      <c r="AU325" s="5">
        <v>0</v>
      </c>
      <c r="AV325" s="5">
        <v>4</v>
      </c>
      <c r="AW325" s="5">
        <v>4</v>
      </c>
      <c r="AX325" s="5">
        <v>8</v>
      </c>
      <c r="AY325" s="5" t="s">
        <v>982</v>
      </c>
      <c r="AZ325" s="1">
        <v>1</v>
      </c>
      <c r="BA325" s="1">
        <v>0</v>
      </c>
      <c r="BB325" s="1">
        <v>1</v>
      </c>
      <c r="BC325" s="1">
        <v>1</v>
      </c>
      <c r="BD325" s="1">
        <v>1</v>
      </c>
      <c r="BE325" s="1">
        <v>1</v>
      </c>
      <c r="BF325" s="1">
        <v>0</v>
      </c>
      <c r="BG325" s="1">
        <v>1</v>
      </c>
      <c r="BI325" s="1">
        <v>7</v>
      </c>
      <c r="BJ325" s="1">
        <v>0</v>
      </c>
      <c r="BK325" s="1">
        <v>1</v>
      </c>
    </row>
    <row r="326" spans="1:63" ht="12.75" customHeight="1" x14ac:dyDescent="0.15">
      <c r="A326" s="5" t="s">
        <v>238</v>
      </c>
      <c r="B326" s="5" t="s">
        <v>238</v>
      </c>
      <c r="C326" s="5">
        <v>1</v>
      </c>
      <c r="D326" s="5">
        <v>2</v>
      </c>
      <c r="E326" s="5">
        <v>1</v>
      </c>
      <c r="F326" s="5">
        <v>1</v>
      </c>
      <c r="G326" s="5">
        <v>1</v>
      </c>
      <c r="H326" s="5">
        <v>1</v>
      </c>
      <c r="I326" s="5">
        <v>1</v>
      </c>
      <c r="J326" s="5">
        <v>1</v>
      </c>
      <c r="K326" s="5">
        <v>1</v>
      </c>
      <c r="L326" s="5">
        <v>1</v>
      </c>
      <c r="M326" s="5">
        <v>1</v>
      </c>
      <c r="N326" s="5">
        <v>1</v>
      </c>
      <c r="O326" s="5">
        <v>13</v>
      </c>
      <c r="P326" s="5" t="s">
        <v>983</v>
      </c>
      <c r="Q326" s="5">
        <v>2</v>
      </c>
      <c r="R326" s="5">
        <v>1</v>
      </c>
      <c r="S326" s="5">
        <v>1</v>
      </c>
      <c r="T326" s="5">
        <v>4</v>
      </c>
      <c r="U326" s="5" t="s">
        <v>982</v>
      </c>
      <c r="V326" s="5">
        <v>1</v>
      </c>
      <c r="W326" s="5">
        <v>2</v>
      </c>
      <c r="X326" s="5">
        <v>1</v>
      </c>
      <c r="Y326" s="5">
        <v>4</v>
      </c>
      <c r="Z326" s="5" t="s">
        <v>982</v>
      </c>
      <c r="AA326" s="5">
        <v>3</v>
      </c>
      <c r="AB326" s="5">
        <v>3</v>
      </c>
      <c r="AC326" s="5">
        <v>0</v>
      </c>
      <c r="AD326" s="5">
        <v>0</v>
      </c>
      <c r="AE326" s="5">
        <v>6</v>
      </c>
      <c r="AF326" s="5" t="s">
        <v>981</v>
      </c>
      <c r="AG326" s="5">
        <v>1</v>
      </c>
      <c r="AH326" s="5">
        <v>0</v>
      </c>
      <c r="AI326" s="5">
        <v>0</v>
      </c>
      <c r="AJ326" s="5">
        <v>1</v>
      </c>
      <c r="AK326" s="5" t="s">
        <v>983</v>
      </c>
      <c r="AL326" s="5">
        <v>0</v>
      </c>
      <c r="AM326" s="5">
        <v>0</v>
      </c>
      <c r="AN326" s="5">
        <v>0</v>
      </c>
      <c r="AO326" s="5">
        <v>0</v>
      </c>
      <c r="AP326" s="5" t="s">
        <v>983</v>
      </c>
      <c r="AQ326" s="5">
        <v>0</v>
      </c>
      <c r="AR326" s="5">
        <v>0</v>
      </c>
      <c r="AS326" s="5">
        <v>0</v>
      </c>
      <c r="AT326" s="5">
        <v>0</v>
      </c>
      <c r="AU326" s="5">
        <v>0</v>
      </c>
      <c r="AV326" s="5">
        <v>0</v>
      </c>
      <c r="AW326" s="5">
        <v>0</v>
      </c>
      <c r="AX326" s="5">
        <v>0</v>
      </c>
      <c r="AY326" s="5" t="s">
        <v>983</v>
      </c>
      <c r="AZ326" s="1">
        <v>1</v>
      </c>
      <c r="BA326" s="1">
        <v>1</v>
      </c>
      <c r="BB326" s="1">
        <v>1</v>
      </c>
      <c r="BC326" s="1">
        <v>1</v>
      </c>
      <c r="BD326" s="1">
        <v>0</v>
      </c>
      <c r="BE326" s="1">
        <v>1</v>
      </c>
      <c r="BF326" s="1">
        <v>26</v>
      </c>
      <c r="BG326" s="1">
        <v>0</v>
      </c>
      <c r="BH326" s="1">
        <v>15</v>
      </c>
      <c r="BI326" s="1">
        <v>24</v>
      </c>
      <c r="BJ326" s="1">
        <v>350000</v>
      </c>
      <c r="BK326" s="1">
        <v>2</v>
      </c>
    </row>
    <row r="327" spans="1:63" ht="12.75" customHeight="1" x14ac:dyDescent="0.15">
      <c r="A327" s="5" t="s">
        <v>238</v>
      </c>
      <c r="B327" s="5" t="s">
        <v>238</v>
      </c>
      <c r="C327" s="5">
        <v>1</v>
      </c>
      <c r="D327" s="5">
        <v>1</v>
      </c>
      <c r="E327" s="5">
        <v>2</v>
      </c>
      <c r="F327" s="5">
        <v>1</v>
      </c>
      <c r="G327" s="5">
        <v>1</v>
      </c>
      <c r="H327" s="5">
        <v>1</v>
      </c>
      <c r="I327" s="5">
        <v>1</v>
      </c>
      <c r="J327" s="5">
        <v>1</v>
      </c>
      <c r="K327" s="5">
        <v>1</v>
      </c>
      <c r="L327" s="5">
        <v>4</v>
      </c>
      <c r="M327" s="5">
        <v>4</v>
      </c>
      <c r="N327" s="5">
        <v>1</v>
      </c>
      <c r="O327" s="5">
        <v>19</v>
      </c>
      <c r="P327" s="5" t="s">
        <v>982</v>
      </c>
      <c r="Q327" s="5">
        <v>4</v>
      </c>
      <c r="R327" s="5">
        <v>2</v>
      </c>
      <c r="S327" s="5">
        <v>2</v>
      </c>
      <c r="T327" s="5">
        <v>8</v>
      </c>
      <c r="U327" s="5" t="s">
        <v>981</v>
      </c>
      <c r="V327" s="5">
        <v>2</v>
      </c>
      <c r="W327" s="5">
        <v>1</v>
      </c>
      <c r="X327" s="5">
        <v>1</v>
      </c>
      <c r="Y327" s="5">
        <v>4</v>
      </c>
      <c r="Z327" s="5" t="s">
        <v>982</v>
      </c>
      <c r="AA327" s="5">
        <v>2</v>
      </c>
      <c r="AB327" s="5">
        <v>2</v>
      </c>
      <c r="AC327" s="5">
        <v>0</v>
      </c>
      <c r="AD327" s="5">
        <v>2</v>
      </c>
      <c r="AE327" s="5">
        <v>6</v>
      </c>
      <c r="AF327" s="5" t="s">
        <v>981</v>
      </c>
      <c r="AG327" s="5">
        <v>2</v>
      </c>
      <c r="AH327" s="5">
        <v>1</v>
      </c>
      <c r="AI327" s="5">
        <v>2</v>
      </c>
      <c r="AJ327" s="5">
        <v>5</v>
      </c>
      <c r="AK327" s="5" t="s">
        <v>982</v>
      </c>
      <c r="AL327" s="5">
        <v>2</v>
      </c>
      <c r="AM327" s="5">
        <v>2</v>
      </c>
      <c r="AN327" s="5">
        <v>2</v>
      </c>
      <c r="AO327" s="5">
        <v>6</v>
      </c>
      <c r="AP327" s="5" t="s">
        <v>981</v>
      </c>
      <c r="AQ327" s="5">
        <v>0</v>
      </c>
      <c r="AR327" s="5">
        <v>0</v>
      </c>
      <c r="AS327" s="5">
        <v>0</v>
      </c>
      <c r="AT327" s="5">
        <v>0</v>
      </c>
      <c r="AU327" s="5">
        <v>0</v>
      </c>
      <c r="AV327" s="5">
        <v>0</v>
      </c>
      <c r="AW327" s="5">
        <v>0</v>
      </c>
      <c r="AX327" s="5">
        <v>0</v>
      </c>
      <c r="AY327" s="5" t="s">
        <v>983</v>
      </c>
      <c r="AZ327" s="1">
        <v>1</v>
      </c>
      <c r="BA327" s="1">
        <v>0</v>
      </c>
      <c r="BB327" s="1">
        <v>1</v>
      </c>
      <c r="BC327" s="1">
        <v>1</v>
      </c>
      <c r="BD327" s="1">
        <v>1</v>
      </c>
      <c r="BE327" s="1">
        <v>1</v>
      </c>
      <c r="BF327" s="1">
        <v>33</v>
      </c>
      <c r="BG327" s="1">
        <v>1</v>
      </c>
      <c r="BH327" s="1">
        <v>18</v>
      </c>
      <c r="BI327" s="1">
        <v>34</v>
      </c>
      <c r="BJ327" s="1">
        <v>0</v>
      </c>
      <c r="BK327" s="1">
        <v>1</v>
      </c>
    </row>
    <row r="328" spans="1:63" ht="12.75" customHeight="1" x14ac:dyDescent="0.15">
      <c r="A328" s="5" t="s">
        <v>238</v>
      </c>
      <c r="B328" s="5" t="s">
        <v>238</v>
      </c>
      <c r="C328" s="5">
        <v>2</v>
      </c>
      <c r="D328" s="5">
        <v>2</v>
      </c>
      <c r="E328" s="5">
        <v>3</v>
      </c>
      <c r="F328" s="5">
        <v>1</v>
      </c>
      <c r="G328" s="5">
        <v>2</v>
      </c>
      <c r="H328" s="5">
        <v>4</v>
      </c>
      <c r="I328" s="5">
        <v>1</v>
      </c>
      <c r="J328" s="5">
        <v>1</v>
      </c>
      <c r="K328" s="5">
        <v>1</v>
      </c>
      <c r="L328" s="5">
        <v>1</v>
      </c>
      <c r="M328" s="5">
        <v>1</v>
      </c>
      <c r="N328" s="5">
        <v>1</v>
      </c>
      <c r="O328" s="5">
        <v>20</v>
      </c>
      <c r="P328" s="5" t="s">
        <v>982</v>
      </c>
      <c r="Q328" s="5">
        <v>1</v>
      </c>
      <c r="R328" s="5">
        <v>1</v>
      </c>
      <c r="S328" s="5">
        <v>2</v>
      </c>
      <c r="T328" s="5">
        <v>4</v>
      </c>
      <c r="U328" s="5" t="s">
        <v>982</v>
      </c>
      <c r="V328" s="5">
        <v>1</v>
      </c>
      <c r="W328" s="5">
        <v>2</v>
      </c>
      <c r="X328" s="5">
        <v>0</v>
      </c>
      <c r="Y328" s="5">
        <v>3</v>
      </c>
      <c r="Z328" s="5" t="s">
        <v>982</v>
      </c>
      <c r="AA328" s="5">
        <v>4</v>
      </c>
      <c r="AB328" s="5">
        <v>4</v>
      </c>
      <c r="AC328" s="5">
        <v>4</v>
      </c>
      <c r="AD328" s="5">
        <v>4</v>
      </c>
      <c r="AE328" s="5">
        <v>16</v>
      </c>
      <c r="AF328" s="5" t="s">
        <v>981</v>
      </c>
      <c r="AG328" s="5">
        <v>0</v>
      </c>
      <c r="AH328" s="5">
        <v>0</v>
      </c>
      <c r="AI328" s="5">
        <v>0</v>
      </c>
      <c r="AJ328" s="5">
        <v>0</v>
      </c>
      <c r="AK328" s="5" t="s">
        <v>983</v>
      </c>
      <c r="AL328" s="5">
        <v>0</v>
      </c>
      <c r="AM328" s="5">
        <v>0</v>
      </c>
      <c r="AN328" s="5">
        <v>0</v>
      </c>
      <c r="AO328" s="5">
        <v>0</v>
      </c>
      <c r="AP328" s="5" t="s">
        <v>983</v>
      </c>
      <c r="AQ328" s="5">
        <v>0</v>
      </c>
      <c r="AR328" s="5">
        <v>0</v>
      </c>
      <c r="AS328" s="5">
        <v>0</v>
      </c>
      <c r="AT328" s="5">
        <v>0</v>
      </c>
      <c r="AU328" s="5">
        <v>0</v>
      </c>
      <c r="AV328" s="5">
        <v>0</v>
      </c>
      <c r="AW328" s="5">
        <v>0</v>
      </c>
      <c r="AX328" s="5">
        <v>0</v>
      </c>
      <c r="AY328" s="5" t="s">
        <v>983</v>
      </c>
      <c r="AZ328" s="1">
        <v>0</v>
      </c>
      <c r="BA328" s="1">
        <v>0</v>
      </c>
      <c r="BB328" s="1">
        <v>0</v>
      </c>
      <c r="BC328" s="1">
        <v>0</v>
      </c>
      <c r="BD328" s="1">
        <v>0</v>
      </c>
      <c r="BE328" s="1">
        <v>0</v>
      </c>
      <c r="BF328" s="1">
        <v>30</v>
      </c>
      <c r="BG328" s="1">
        <v>0</v>
      </c>
      <c r="BH328" s="1">
        <v>4</v>
      </c>
      <c r="BI328" s="1">
        <v>34</v>
      </c>
      <c r="BJ328" s="1">
        <v>250000</v>
      </c>
      <c r="BK328" s="1">
        <v>1</v>
      </c>
    </row>
    <row r="329" spans="1:63" ht="12.75" customHeight="1" x14ac:dyDescent="0.15">
      <c r="A329" s="5" t="s">
        <v>238</v>
      </c>
      <c r="B329" s="5" t="s">
        <v>238</v>
      </c>
      <c r="C329" s="5">
        <v>1</v>
      </c>
      <c r="D329" s="5">
        <v>1</v>
      </c>
      <c r="E329" s="5">
        <v>1</v>
      </c>
      <c r="F329" s="5">
        <v>1</v>
      </c>
      <c r="G329" s="5">
        <v>1</v>
      </c>
      <c r="H329" s="5">
        <v>1</v>
      </c>
      <c r="I329" s="5">
        <v>1</v>
      </c>
      <c r="J329" s="5">
        <v>2</v>
      </c>
      <c r="K329" s="5">
        <v>2</v>
      </c>
      <c r="L329" s="5">
        <v>2</v>
      </c>
      <c r="M329" s="5">
        <v>2</v>
      </c>
      <c r="N329" s="5">
        <v>2</v>
      </c>
      <c r="O329" s="5">
        <v>17</v>
      </c>
      <c r="P329" s="5" t="s">
        <v>983</v>
      </c>
      <c r="Q329" s="5">
        <v>0</v>
      </c>
      <c r="R329" s="5">
        <v>0</v>
      </c>
      <c r="S329" s="5">
        <v>0</v>
      </c>
      <c r="T329" s="5">
        <v>0</v>
      </c>
      <c r="U329" s="5" t="s">
        <v>983</v>
      </c>
      <c r="V329" s="5">
        <v>0</v>
      </c>
      <c r="W329" s="5">
        <v>1</v>
      </c>
      <c r="X329" s="5">
        <v>3</v>
      </c>
      <c r="Y329" s="5">
        <v>4</v>
      </c>
      <c r="Z329" s="5" t="s">
        <v>982</v>
      </c>
      <c r="AA329" s="5">
        <v>1</v>
      </c>
      <c r="AB329" s="5">
        <v>1</v>
      </c>
      <c r="AC329" s="5">
        <v>1</v>
      </c>
      <c r="AD329" s="5">
        <v>1</v>
      </c>
      <c r="AE329" s="5">
        <v>4</v>
      </c>
      <c r="AF329" s="5" t="s">
        <v>982</v>
      </c>
      <c r="AG329" s="5">
        <v>4</v>
      </c>
      <c r="AH329" s="5">
        <v>3</v>
      </c>
      <c r="AI329" s="5">
        <v>3</v>
      </c>
      <c r="AJ329" s="5">
        <v>10</v>
      </c>
      <c r="AK329" s="5" t="s">
        <v>981</v>
      </c>
      <c r="AL329" s="5">
        <v>3</v>
      </c>
      <c r="AM329" s="5">
        <v>3</v>
      </c>
      <c r="AN329" s="5">
        <v>3</v>
      </c>
      <c r="AO329" s="5">
        <v>9</v>
      </c>
      <c r="AP329" s="5" t="s">
        <v>981</v>
      </c>
      <c r="AQ329" s="5">
        <v>0</v>
      </c>
      <c r="AR329" s="5">
        <v>0</v>
      </c>
      <c r="AS329" s="5">
        <v>0</v>
      </c>
      <c r="AT329" s="5">
        <v>0</v>
      </c>
      <c r="AU329" s="5">
        <v>0</v>
      </c>
      <c r="AV329" s="5">
        <v>0</v>
      </c>
      <c r="AW329" s="5">
        <v>0</v>
      </c>
      <c r="AX329" s="5">
        <v>0</v>
      </c>
      <c r="AY329" s="5" t="s">
        <v>983</v>
      </c>
      <c r="AZ329" s="1">
        <v>1</v>
      </c>
      <c r="BA329" s="1">
        <v>0</v>
      </c>
      <c r="BB329" s="1">
        <v>1</v>
      </c>
      <c r="BC329" s="1">
        <v>1</v>
      </c>
      <c r="BD329" s="1">
        <v>1</v>
      </c>
      <c r="BE329" s="1">
        <v>1</v>
      </c>
      <c r="BF329" s="1">
        <v>38</v>
      </c>
      <c r="BG329" s="1">
        <v>0</v>
      </c>
      <c r="BH329" s="1">
        <v>14</v>
      </c>
      <c r="BI329" s="1">
        <v>2</v>
      </c>
      <c r="BJ329" s="1">
        <v>0</v>
      </c>
      <c r="BK329" s="1">
        <v>7</v>
      </c>
    </row>
    <row r="330" spans="1:63" ht="12.75" customHeight="1" x14ac:dyDescent="0.15">
      <c r="A330" s="5" t="s">
        <v>238</v>
      </c>
      <c r="B330" s="5" t="s">
        <v>238</v>
      </c>
      <c r="C330" s="5">
        <v>1</v>
      </c>
      <c r="D330" s="5">
        <v>3</v>
      </c>
      <c r="E330" s="5">
        <v>2</v>
      </c>
      <c r="F330" s="5">
        <v>4</v>
      </c>
      <c r="G330" s="5">
        <v>3</v>
      </c>
      <c r="H330" s="5">
        <v>1</v>
      </c>
      <c r="I330" s="5">
        <v>1</v>
      </c>
      <c r="J330" s="5">
        <v>1</v>
      </c>
      <c r="K330" s="5">
        <v>1</v>
      </c>
      <c r="L330" s="5">
        <v>2</v>
      </c>
      <c r="M330" s="5">
        <v>1</v>
      </c>
      <c r="N330" s="5">
        <v>2</v>
      </c>
      <c r="O330" s="5">
        <v>22</v>
      </c>
      <c r="P330" s="5" t="s">
        <v>982</v>
      </c>
      <c r="Q330" s="5">
        <v>3</v>
      </c>
      <c r="R330" s="5">
        <v>2</v>
      </c>
      <c r="S330" s="5">
        <v>2</v>
      </c>
      <c r="T330" s="5">
        <v>7</v>
      </c>
      <c r="U330" s="5" t="s">
        <v>981</v>
      </c>
      <c r="V330" s="5">
        <v>1</v>
      </c>
      <c r="W330" s="5">
        <v>1</v>
      </c>
      <c r="X330" s="5">
        <v>1</v>
      </c>
      <c r="Y330" s="5">
        <v>3</v>
      </c>
      <c r="Z330" s="5" t="s">
        <v>982</v>
      </c>
      <c r="AA330" s="5">
        <v>4</v>
      </c>
      <c r="AB330" s="5">
        <v>3</v>
      </c>
      <c r="AC330" s="5">
        <v>2</v>
      </c>
      <c r="AD330" s="5">
        <v>2</v>
      </c>
      <c r="AE330" s="5">
        <v>11</v>
      </c>
      <c r="AF330" s="5" t="s">
        <v>981</v>
      </c>
      <c r="AG330" s="5">
        <v>2</v>
      </c>
      <c r="AH330" s="5">
        <v>2</v>
      </c>
      <c r="AI330" s="5">
        <v>2</v>
      </c>
      <c r="AJ330" s="5">
        <v>6</v>
      </c>
      <c r="AK330" s="5" t="s">
        <v>981</v>
      </c>
      <c r="AL330" s="5">
        <v>2</v>
      </c>
      <c r="AM330" s="5">
        <v>2</v>
      </c>
      <c r="AN330" s="5">
        <v>2</v>
      </c>
      <c r="AO330" s="5">
        <v>6</v>
      </c>
      <c r="AP330" s="5" t="s">
        <v>981</v>
      </c>
      <c r="AQ330" s="5">
        <v>0</v>
      </c>
      <c r="AR330" s="5">
        <v>0</v>
      </c>
      <c r="AS330" s="5">
        <v>0</v>
      </c>
      <c r="AT330" s="5">
        <v>0</v>
      </c>
      <c r="AU330" s="5">
        <v>0</v>
      </c>
      <c r="AV330" s="5">
        <v>0</v>
      </c>
      <c r="AW330" s="5">
        <v>0</v>
      </c>
      <c r="AX330" s="5">
        <v>0</v>
      </c>
      <c r="AY330" s="5" t="s">
        <v>983</v>
      </c>
      <c r="AZ330" s="1">
        <v>0</v>
      </c>
      <c r="BA330" s="1">
        <v>0</v>
      </c>
      <c r="BB330" s="1">
        <v>0</v>
      </c>
      <c r="BC330" s="1">
        <v>1</v>
      </c>
      <c r="BD330" s="1">
        <v>1</v>
      </c>
      <c r="BE330" s="1">
        <v>1</v>
      </c>
      <c r="BF330" s="1">
        <v>49</v>
      </c>
      <c r="BG330" s="1">
        <v>1</v>
      </c>
      <c r="BH330" s="1">
        <v>13</v>
      </c>
      <c r="BI330" s="1">
        <v>2</v>
      </c>
      <c r="BJ330" s="1">
        <v>250000</v>
      </c>
      <c r="BK330" s="1">
        <v>1</v>
      </c>
    </row>
    <row r="331" spans="1:63" ht="12.75" customHeight="1" x14ac:dyDescent="0.15">
      <c r="A331" s="5" t="s">
        <v>238</v>
      </c>
      <c r="B331" s="5" t="s">
        <v>238</v>
      </c>
      <c r="C331" s="5">
        <v>1</v>
      </c>
      <c r="D331" s="5">
        <v>3</v>
      </c>
      <c r="E331" s="5">
        <v>3</v>
      </c>
      <c r="F331" s="5">
        <v>3</v>
      </c>
      <c r="G331" s="5">
        <v>3</v>
      </c>
      <c r="H331" s="5">
        <v>3</v>
      </c>
      <c r="I331" s="5">
        <v>3</v>
      </c>
      <c r="J331" s="5">
        <v>3</v>
      </c>
      <c r="K331" s="5">
        <v>3</v>
      </c>
      <c r="L331" s="5">
        <v>3</v>
      </c>
      <c r="M331" s="5">
        <v>3</v>
      </c>
      <c r="N331" s="5">
        <v>3</v>
      </c>
      <c r="O331" s="5">
        <v>34</v>
      </c>
      <c r="P331" s="5" t="s">
        <v>981</v>
      </c>
      <c r="Q331" s="5">
        <v>0</v>
      </c>
      <c r="R331" s="5">
        <v>0</v>
      </c>
      <c r="S331" s="5">
        <v>0</v>
      </c>
      <c r="T331" s="5">
        <v>0</v>
      </c>
      <c r="U331" s="5" t="s">
        <v>983</v>
      </c>
      <c r="V331" s="5">
        <v>0</v>
      </c>
      <c r="W331" s="5">
        <v>0</v>
      </c>
      <c r="X331" s="5">
        <v>0</v>
      </c>
      <c r="Y331" s="5">
        <v>0</v>
      </c>
      <c r="Z331" s="5" t="s">
        <v>983</v>
      </c>
      <c r="AA331" s="5">
        <v>4</v>
      </c>
      <c r="AB331" s="5">
        <v>4</v>
      </c>
      <c r="AC331" s="5">
        <v>4</v>
      </c>
      <c r="AD331" s="5">
        <v>4</v>
      </c>
      <c r="AE331" s="5">
        <v>16</v>
      </c>
      <c r="AF331" s="5" t="s">
        <v>981</v>
      </c>
      <c r="AG331" s="5">
        <v>0</v>
      </c>
      <c r="AH331" s="5">
        <v>0</v>
      </c>
      <c r="AI331" s="5">
        <v>0</v>
      </c>
      <c r="AJ331" s="5">
        <v>0</v>
      </c>
      <c r="AK331" s="5" t="s">
        <v>983</v>
      </c>
      <c r="AL331" s="5">
        <v>0</v>
      </c>
      <c r="AM331" s="5">
        <v>0</v>
      </c>
      <c r="AN331" s="5">
        <v>0</v>
      </c>
      <c r="AO331" s="5">
        <v>0</v>
      </c>
      <c r="AP331" s="5" t="s">
        <v>983</v>
      </c>
      <c r="AQ331" s="5">
        <v>4</v>
      </c>
      <c r="AR331" s="5">
        <v>4</v>
      </c>
      <c r="AS331" s="5">
        <v>4</v>
      </c>
      <c r="AT331" s="5">
        <v>4</v>
      </c>
      <c r="AU331" s="5">
        <v>4</v>
      </c>
      <c r="AV331" s="5">
        <v>4</v>
      </c>
      <c r="AW331" s="5">
        <v>4</v>
      </c>
      <c r="AX331" s="5">
        <v>28</v>
      </c>
      <c r="AY331" s="5" t="s">
        <v>981</v>
      </c>
      <c r="AZ331" s="1">
        <v>1</v>
      </c>
      <c r="BA331" s="1">
        <v>0</v>
      </c>
      <c r="BB331" s="1">
        <v>0</v>
      </c>
      <c r="BC331" s="1">
        <v>1</v>
      </c>
      <c r="BD331" s="1">
        <v>1</v>
      </c>
      <c r="BE331" s="1">
        <v>1</v>
      </c>
      <c r="BF331" s="1">
        <v>38</v>
      </c>
      <c r="BG331" s="1">
        <v>0</v>
      </c>
      <c r="BH331" s="1">
        <v>13</v>
      </c>
      <c r="BI331" s="1">
        <v>31</v>
      </c>
      <c r="BJ331" s="1">
        <v>360000</v>
      </c>
      <c r="BK331" s="1">
        <v>3</v>
      </c>
    </row>
    <row r="332" spans="1:63" ht="12.75" customHeight="1" x14ac:dyDescent="0.15">
      <c r="A332" s="5" t="s">
        <v>238</v>
      </c>
      <c r="B332" s="5" t="s">
        <v>238</v>
      </c>
      <c r="C332" s="5">
        <v>3</v>
      </c>
      <c r="D332" s="5">
        <v>1</v>
      </c>
      <c r="E332" s="5">
        <v>1</v>
      </c>
      <c r="F332" s="5">
        <v>1</v>
      </c>
      <c r="G332" s="5">
        <v>1</v>
      </c>
      <c r="H332" s="5">
        <v>1</v>
      </c>
      <c r="I332" s="5">
        <v>1</v>
      </c>
      <c r="J332" s="5">
        <v>4</v>
      </c>
      <c r="K332" s="5">
        <v>4</v>
      </c>
      <c r="L332" s="5">
        <v>4</v>
      </c>
      <c r="M332" s="5">
        <v>4</v>
      </c>
      <c r="N332" s="5">
        <v>4</v>
      </c>
      <c r="O332" s="5">
        <v>29</v>
      </c>
      <c r="P332" s="5" t="s">
        <v>981</v>
      </c>
      <c r="Q332" s="5">
        <v>1</v>
      </c>
      <c r="R332" s="5">
        <v>2</v>
      </c>
      <c r="S332" s="5">
        <v>0</v>
      </c>
      <c r="T332" s="5">
        <v>3</v>
      </c>
      <c r="U332" s="5" t="s">
        <v>982</v>
      </c>
      <c r="V332" s="5">
        <v>0</v>
      </c>
      <c r="W332" s="5">
        <v>0</v>
      </c>
      <c r="X332" s="5">
        <v>0</v>
      </c>
      <c r="Y332" s="5">
        <v>0</v>
      </c>
      <c r="Z332" s="5" t="s">
        <v>983</v>
      </c>
      <c r="AA332" s="5">
        <v>3</v>
      </c>
      <c r="AB332" s="5">
        <v>3</v>
      </c>
      <c r="AC332" s="5">
        <v>0</v>
      </c>
      <c r="AD332" s="5">
        <v>0</v>
      </c>
      <c r="AE332" s="5">
        <v>6</v>
      </c>
      <c r="AF332" s="5" t="s">
        <v>981</v>
      </c>
      <c r="AG332" s="5">
        <v>3</v>
      </c>
      <c r="AH332" s="5">
        <v>1</v>
      </c>
      <c r="AI332" s="5">
        <v>1</v>
      </c>
      <c r="AJ332" s="5">
        <v>5</v>
      </c>
      <c r="AK332" s="5" t="s">
        <v>982</v>
      </c>
      <c r="AL332" s="5">
        <v>1</v>
      </c>
      <c r="AM332" s="5">
        <v>2</v>
      </c>
      <c r="AN332" s="5">
        <v>2</v>
      </c>
      <c r="AO332" s="5">
        <v>5</v>
      </c>
      <c r="AP332" s="5" t="s">
        <v>982</v>
      </c>
      <c r="AQ332" s="5">
        <v>0</v>
      </c>
      <c r="AR332" s="5">
        <v>0</v>
      </c>
      <c r="AS332" s="5">
        <v>0</v>
      </c>
      <c r="AT332" s="5">
        <v>0</v>
      </c>
      <c r="AU332" s="5">
        <v>0</v>
      </c>
      <c r="AV332" s="5">
        <v>0</v>
      </c>
      <c r="AW332" s="5">
        <v>0</v>
      </c>
      <c r="AX332" s="5">
        <v>0</v>
      </c>
      <c r="AY332" s="5" t="s">
        <v>983</v>
      </c>
      <c r="AZ332" s="1">
        <v>1</v>
      </c>
      <c r="BA332" s="1">
        <v>0</v>
      </c>
      <c r="BB332" s="1">
        <v>1</v>
      </c>
      <c r="BC332" s="1">
        <v>1</v>
      </c>
      <c r="BD332" s="1">
        <v>1</v>
      </c>
      <c r="BE332" s="1">
        <v>1</v>
      </c>
      <c r="BF332" s="1">
        <v>69</v>
      </c>
      <c r="BG332" s="1">
        <v>0</v>
      </c>
      <c r="BH332" s="1">
        <v>12</v>
      </c>
      <c r="BI332" s="1">
        <v>5</v>
      </c>
      <c r="BJ332" s="1">
        <v>230000</v>
      </c>
      <c r="BK332" s="1">
        <v>3</v>
      </c>
    </row>
    <row r="333" spans="1:63" ht="12.75" customHeight="1" x14ac:dyDescent="0.15">
      <c r="A333" s="5" t="s">
        <v>238</v>
      </c>
      <c r="B333" s="5" t="s">
        <v>238</v>
      </c>
      <c r="C333" s="5">
        <v>3</v>
      </c>
      <c r="D333" s="5">
        <v>4</v>
      </c>
      <c r="E333" s="5">
        <v>4</v>
      </c>
      <c r="F333" s="5">
        <v>4</v>
      </c>
      <c r="G333" s="5">
        <v>4</v>
      </c>
      <c r="H333" s="5">
        <v>4</v>
      </c>
      <c r="I333" s="5">
        <v>4</v>
      </c>
      <c r="J333" s="5">
        <v>1</v>
      </c>
      <c r="K333" s="5">
        <v>2</v>
      </c>
      <c r="L333" s="5">
        <v>4</v>
      </c>
      <c r="M333" s="5">
        <v>2</v>
      </c>
      <c r="N333" s="5">
        <v>2</v>
      </c>
      <c r="O333" s="5">
        <v>38</v>
      </c>
      <c r="P333" s="5" t="s">
        <v>981</v>
      </c>
      <c r="Q333" s="5">
        <v>1</v>
      </c>
      <c r="R333" s="5">
        <v>1</v>
      </c>
      <c r="S333" s="5">
        <v>0</v>
      </c>
      <c r="T333" s="5">
        <v>2</v>
      </c>
      <c r="U333" s="5" t="s">
        <v>982</v>
      </c>
      <c r="V333" s="5">
        <v>1</v>
      </c>
      <c r="W333" s="5">
        <v>1</v>
      </c>
      <c r="X333" s="5">
        <v>2</v>
      </c>
      <c r="Y333" s="5">
        <v>4</v>
      </c>
      <c r="Z333" s="5" t="s">
        <v>982</v>
      </c>
      <c r="AA333" s="5">
        <v>0</v>
      </c>
      <c r="AB333" s="5">
        <v>0</v>
      </c>
      <c r="AC333" s="5">
        <v>0</v>
      </c>
      <c r="AD333" s="5">
        <v>0</v>
      </c>
      <c r="AE333" s="5">
        <v>0</v>
      </c>
      <c r="AF333" s="5" t="s">
        <v>983</v>
      </c>
      <c r="AG333" s="5">
        <v>0</v>
      </c>
      <c r="AH333" s="5">
        <v>0</v>
      </c>
      <c r="AI333" s="5">
        <v>0</v>
      </c>
      <c r="AJ333" s="5">
        <v>0</v>
      </c>
      <c r="AK333" s="5" t="s">
        <v>983</v>
      </c>
      <c r="AL333" s="5">
        <v>2</v>
      </c>
      <c r="AM333" s="5">
        <v>2</v>
      </c>
      <c r="AN333" s="5">
        <v>2</v>
      </c>
      <c r="AO333" s="5">
        <v>6</v>
      </c>
      <c r="AP333" s="5" t="s">
        <v>981</v>
      </c>
      <c r="AQ333" s="5">
        <v>0</v>
      </c>
      <c r="AR333" s="5">
        <v>0</v>
      </c>
      <c r="AS333" s="5">
        <v>0</v>
      </c>
      <c r="AT333" s="5">
        <v>0</v>
      </c>
      <c r="AU333" s="5">
        <v>0</v>
      </c>
      <c r="AV333" s="5">
        <v>0</v>
      </c>
      <c r="AW333" s="5">
        <v>0</v>
      </c>
      <c r="AX333" s="5">
        <v>0</v>
      </c>
      <c r="AY333" s="5" t="s">
        <v>983</v>
      </c>
      <c r="AZ333" s="1">
        <v>0</v>
      </c>
      <c r="BA333" s="1">
        <v>0</v>
      </c>
      <c r="BB333" s="1">
        <v>0</v>
      </c>
      <c r="BC333" s="1">
        <v>1</v>
      </c>
      <c r="BD333" s="1">
        <v>1</v>
      </c>
      <c r="BE333" s="1">
        <v>1</v>
      </c>
      <c r="BF333" s="1">
        <v>39</v>
      </c>
      <c r="BG333" s="1">
        <v>0</v>
      </c>
      <c r="BH333" s="1">
        <v>1</v>
      </c>
      <c r="BI333" s="1">
        <v>2</v>
      </c>
      <c r="BJ333" s="1">
        <v>0</v>
      </c>
      <c r="BK333" s="1">
        <v>1</v>
      </c>
    </row>
    <row r="334" spans="1:63" ht="12.75" customHeight="1" x14ac:dyDescent="0.15">
      <c r="A334" s="5" t="s">
        <v>330</v>
      </c>
      <c r="B334" s="5" t="s">
        <v>984</v>
      </c>
      <c r="C334" s="5">
        <v>3</v>
      </c>
      <c r="D334" s="5">
        <v>3</v>
      </c>
      <c r="E334" s="5">
        <v>2</v>
      </c>
      <c r="F334" s="5">
        <v>2</v>
      </c>
      <c r="G334" s="5">
        <v>4</v>
      </c>
      <c r="H334" s="5">
        <v>4</v>
      </c>
      <c r="I334" s="5">
        <v>4</v>
      </c>
      <c r="J334" s="5">
        <v>3</v>
      </c>
      <c r="K334" s="5">
        <v>2</v>
      </c>
      <c r="L334" s="5">
        <v>4</v>
      </c>
      <c r="M334" s="5">
        <v>3</v>
      </c>
      <c r="N334" s="5">
        <v>4</v>
      </c>
      <c r="O334" s="5">
        <v>38</v>
      </c>
      <c r="P334" s="5" t="s">
        <v>981</v>
      </c>
      <c r="Q334" s="5">
        <v>1</v>
      </c>
      <c r="R334" s="5">
        <v>2</v>
      </c>
      <c r="S334" s="5">
        <v>1</v>
      </c>
      <c r="T334" s="5">
        <v>4</v>
      </c>
      <c r="U334" s="5" t="s">
        <v>982</v>
      </c>
      <c r="V334" s="5">
        <v>1</v>
      </c>
      <c r="W334" s="5">
        <v>4</v>
      </c>
      <c r="X334" s="5">
        <v>0</v>
      </c>
      <c r="Y334" s="5">
        <v>5</v>
      </c>
      <c r="Z334" s="5" t="s">
        <v>982</v>
      </c>
      <c r="AA334" s="5">
        <v>0</v>
      </c>
      <c r="AB334" s="5">
        <v>0</v>
      </c>
      <c r="AC334" s="5">
        <v>0</v>
      </c>
      <c r="AD334" s="5">
        <v>0</v>
      </c>
      <c r="AE334" s="5">
        <v>0</v>
      </c>
      <c r="AF334" s="5" t="s">
        <v>983</v>
      </c>
      <c r="AG334" s="5">
        <v>0</v>
      </c>
      <c r="AH334" s="5">
        <v>0</v>
      </c>
      <c r="AI334" s="5">
        <v>0</v>
      </c>
      <c r="AJ334" s="5">
        <v>0</v>
      </c>
      <c r="AK334" s="5" t="s">
        <v>983</v>
      </c>
      <c r="AL334" s="5">
        <v>0</v>
      </c>
      <c r="AM334" s="5">
        <v>1</v>
      </c>
      <c r="AN334" s="5">
        <v>2</v>
      </c>
      <c r="AO334" s="5">
        <v>3</v>
      </c>
      <c r="AP334" s="5" t="s">
        <v>982</v>
      </c>
      <c r="AQ334" s="5">
        <v>1</v>
      </c>
      <c r="AR334" s="5">
        <v>0</v>
      </c>
      <c r="AS334" s="5">
        <v>0</v>
      </c>
      <c r="AT334" s="5">
        <v>0</v>
      </c>
      <c r="AU334" s="5">
        <v>0</v>
      </c>
      <c r="AV334" s="5">
        <v>0</v>
      </c>
      <c r="AW334" s="5">
        <v>0</v>
      </c>
      <c r="AX334" s="5">
        <v>1</v>
      </c>
      <c r="AY334" s="5" t="s">
        <v>982</v>
      </c>
      <c r="AZ334" s="1">
        <v>0</v>
      </c>
      <c r="BA334" s="1">
        <v>0</v>
      </c>
      <c r="BB334" s="1">
        <v>0</v>
      </c>
      <c r="BC334" s="1">
        <v>1</v>
      </c>
      <c r="BD334" s="1">
        <v>1</v>
      </c>
      <c r="BE334" s="1">
        <v>1</v>
      </c>
      <c r="BF334" s="1">
        <v>48</v>
      </c>
      <c r="BG334" s="1">
        <v>0</v>
      </c>
      <c r="BH334" s="1">
        <v>6</v>
      </c>
      <c r="BI334" s="1">
        <v>28</v>
      </c>
      <c r="BJ334" s="1">
        <v>500000</v>
      </c>
      <c r="BK334" s="1">
        <v>2</v>
      </c>
    </row>
    <row r="335" spans="1:63" ht="12.75" customHeight="1" x14ac:dyDescent="0.15">
      <c r="A335" s="5" t="s">
        <v>337</v>
      </c>
      <c r="B335" s="5" t="s">
        <v>984</v>
      </c>
      <c r="C335" s="5">
        <v>2</v>
      </c>
      <c r="D335" s="5">
        <v>2</v>
      </c>
      <c r="E335" s="5">
        <v>2</v>
      </c>
      <c r="F335" s="5">
        <v>2</v>
      </c>
      <c r="G335" s="5">
        <v>3</v>
      </c>
      <c r="H335" s="5">
        <v>2</v>
      </c>
      <c r="I335" s="5">
        <v>2</v>
      </c>
      <c r="J335" s="5">
        <v>2</v>
      </c>
      <c r="K335" s="5">
        <v>2</v>
      </c>
      <c r="L335" s="5">
        <v>2</v>
      </c>
      <c r="M335" s="5">
        <v>2</v>
      </c>
      <c r="N335" s="5">
        <v>2</v>
      </c>
      <c r="O335" s="5">
        <v>25</v>
      </c>
      <c r="P335" s="5" t="s">
        <v>981</v>
      </c>
      <c r="Q335" s="5">
        <v>3</v>
      </c>
      <c r="R335" s="5">
        <v>1</v>
      </c>
      <c r="S335" s="5">
        <v>0</v>
      </c>
      <c r="T335" s="5">
        <v>4</v>
      </c>
      <c r="U335" s="5" t="s">
        <v>982</v>
      </c>
      <c r="V335" s="5">
        <v>0</v>
      </c>
      <c r="W335" s="5">
        <v>0</v>
      </c>
      <c r="X335" s="5">
        <v>0</v>
      </c>
      <c r="Y335" s="5">
        <v>0</v>
      </c>
      <c r="Z335" s="5" t="s">
        <v>983</v>
      </c>
      <c r="AA335" s="5">
        <v>4</v>
      </c>
      <c r="AB335" s="5">
        <v>4</v>
      </c>
      <c r="AC335" s="5">
        <v>3</v>
      </c>
      <c r="AD335" s="5">
        <v>4</v>
      </c>
      <c r="AE335" s="5">
        <v>15</v>
      </c>
      <c r="AF335" s="5" t="s">
        <v>981</v>
      </c>
      <c r="AG335" s="5">
        <v>0</v>
      </c>
      <c r="AH335" s="5">
        <v>0</v>
      </c>
      <c r="AI335" s="5">
        <v>0</v>
      </c>
      <c r="AJ335" s="5">
        <v>0</v>
      </c>
      <c r="AK335" s="5" t="s">
        <v>983</v>
      </c>
      <c r="AL335" s="5">
        <v>0</v>
      </c>
      <c r="AM335" s="5">
        <v>0</v>
      </c>
      <c r="AN335" s="5">
        <v>1</v>
      </c>
      <c r="AO335" s="5">
        <v>1</v>
      </c>
      <c r="AP335" s="5" t="s">
        <v>983</v>
      </c>
      <c r="AQ335" s="5">
        <v>0</v>
      </c>
      <c r="AR335" s="5">
        <v>0</v>
      </c>
      <c r="AS335" s="5">
        <v>0</v>
      </c>
      <c r="AT335" s="5">
        <v>0</v>
      </c>
      <c r="AU335" s="5">
        <v>0</v>
      </c>
      <c r="AV335" s="5">
        <v>0</v>
      </c>
      <c r="AW335" s="5">
        <v>0</v>
      </c>
      <c r="AX335" s="5">
        <v>0</v>
      </c>
      <c r="AY335" s="5" t="s">
        <v>983</v>
      </c>
      <c r="AZ335" s="1">
        <v>1</v>
      </c>
      <c r="BA335" s="1">
        <v>0</v>
      </c>
      <c r="BB335" s="1">
        <v>1</v>
      </c>
      <c r="BC335" s="1">
        <v>1</v>
      </c>
      <c r="BD335" s="1">
        <v>1</v>
      </c>
      <c r="BE335" s="1">
        <v>1</v>
      </c>
      <c r="BF335" s="1">
        <v>48</v>
      </c>
      <c r="BG335" s="1">
        <v>0</v>
      </c>
      <c r="BH335" s="1">
        <v>6</v>
      </c>
      <c r="BI335" s="1">
        <v>28</v>
      </c>
      <c r="BJ335" s="1">
        <v>500000</v>
      </c>
      <c r="BK335" s="1">
        <v>2</v>
      </c>
    </row>
    <row r="336" spans="1:63" ht="12.75" customHeight="1" x14ac:dyDescent="0.15">
      <c r="A336" s="5" t="s">
        <v>238</v>
      </c>
      <c r="B336" s="5" t="s">
        <v>238</v>
      </c>
      <c r="C336" s="5">
        <v>2</v>
      </c>
      <c r="D336" s="5">
        <v>2</v>
      </c>
      <c r="E336" s="5">
        <v>2</v>
      </c>
      <c r="F336" s="5">
        <v>3</v>
      </c>
      <c r="G336" s="5">
        <v>2</v>
      </c>
      <c r="H336" s="5">
        <v>2</v>
      </c>
      <c r="I336" s="5">
        <v>1</v>
      </c>
      <c r="J336" s="5">
        <v>1</v>
      </c>
      <c r="K336" s="5">
        <v>1</v>
      </c>
      <c r="L336" s="5">
        <v>1</v>
      </c>
      <c r="M336" s="5">
        <v>1</v>
      </c>
      <c r="N336" s="5">
        <v>1</v>
      </c>
      <c r="O336" s="5">
        <v>19</v>
      </c>
      <c r="P336" s="5" t="s">
        <v>982</v>
      </c>
      <c r="Q336" s="5">
        <v>1</v>
      </c>
      <c r="R336" s="5">
        <v>1</v>
      </c>
      <c r="S336" s="5">
        <v>1</v>
      </c>
      <c r="T336" s="5">
        <v>3</v>
      </c>
      <c r="U336" s="5" t="s">
        <v>982</v>
      </c>
      <c r="V336" s="5">
        <v>1</v>
      </c>
      <c r="W336" s="5">
        <v>2</v>
      </c>
      <c r="X336" s="5">
        <v>2</v>
      </c>
      <c r="Y336" s="5">
        <v>5</v>
      </c>
      <c r="Z336" s="5" t="s">
        <v>982</v>
      </c>
      <c r="AA336" s="5">
        <v>0</v>
      </c>
      <c r="AB336" s="5">
        <v>0</v>
      </c>
      <c r="AC336" s="5">
        <v>0</v>
      </c>
      <c r="AD336" s="5">
        <v>0</v>
      </c>
      <c r="AE336" s="5">
        <v>0</v>
      </c>
      <c r="AF336" s="5" t="s">
        <v>983</v>
      </c>
      <c r="AG336" s="5">
        <v>2</v>
      </c>
      <c r="AH336" s="5">
        <v>2</v>
      </c>
      <c r="AI336" s="5">
        <v>2</v>
      </c>
      <c r="AJ336" s="5">
        <v>6</v>
      </c>
      <c r="AK336" s="5" t="s">
        <v>981</v>
      </c>
      <c r="AL336" s="5">
        <v>2</v>
      </c>
      <c r="AM336" s="5">
        <v>2</v>
      </c>
      <c r="AN336" s="5">
        <v>2</v>
      </c>
      <c r="AO336" s="5">
        <v>6</v>
      </c>
      <c r="AP336" s="5" t="s">
        <v>981</v>
      </c>
      <c r="AQ336" s="5">
        <v>0</v>
      </c>
      <c r="AR336" s="5">
        <v>0</v>
      </c>
      <c r="AS336" s="5">
        <v>0</v>
      </c>
      <c r="AT336" s="5">
        <v>0</v>
      </c>
      <c r="AU336" s="5">
        <v>0</v>
      </c>
      <c r="AV336" s="5">
        <v>0</v>
      </c>
      <c r="AW336" s="5">
        <v>0</v>
      </c>
      <c r="AX336" s="5">
        <v>0</v>
      </c>
      <c r="AY336" s="5" t="s">
        <v>983</v>
      </c>
      <c r="AZ336" s="1">
        <v>0</v>
      </c>
      <c r="BA336" s="1">
        <v>0</v>
      </c>
      <c r="BB336" s="1">
        <v>0</v>
      </c>
      <c r="BC336" s="1">
        <v>1</v>
      </c>
      <c r="BD336" s="1">
        <v>1</v>
      </c>
      <c r="BE336" s="1">
        <v>1</v>
      </c>
      <c r="BF336" s="1">
        <v>20</v>
      </c>
      <c r="BG336" s="1">
        <v>0</v>
      </c>
      <c r="BH336" s="1">
        <v>5</v>
      </c>
      <c r="BI336" s="1">
        <v>3</v>
      </c>
      <c r="BJ336" s="1">
        <v>0</v>
      </c>
      <c r="BK336" s="1">
        <v>4</v>
      </c>
    </row>
    <row r="337" spans="1:63" ht="12.75" customHeight="1" x14ac:dyDescent="0.15">
      <c r="A337" s="5" t="s">
        <v>238</v>
      </c>
      <c r="B337" s="5" t="s">
        <v>238</v>
      </c>
      <c r="C337" s="5">
        <v>3</v>
      </c>
      <c r="D337" s="5">
        <v>3</v>
      </c>
      <c r="E337" s="5">
        <v>3</v>
      </c>
      <c r="F337" s="5">
        <v>3</v>
      </c>
      <c r="G337" s="5">
        <v>3</v>
      </c>
      <c r="H337" s="5">
        <v>3</v>
      </c>
      <c r="I337" s="5">
        <v>2</v>
      </c>
      <c r="J337" s="5">
        <v>3</v>
      </c>
      <c r="K337" s="5">
        <v>2</v>
      </c>
      <c r="L337" s="5">
        <v>3</v>
      </c>
      <c r="M337" s="5">
        <v>2</v>
      </c>
      <c r="N337" s="5">
        <v>3</v>
      </c>
      <c r="O337" s="5">
        <v>33</v>
      </c>
      <c r="P337" s="5" t="s">
        <v>981</v>
      </c>
      <c r="Q337" s="5">
        <v>2</v>
      </c>
      <c r="R337" s="5">
        <v>1</v>
      </c>
      <c r="S337" s="5">
        <v>1</v>
      </c>
      <c r="T337" s="5">
        <v>4</v>
      </c>
      <c r="U337" s="5" t="s">
        <v>982</v>
      </c>
      <c r="V337" s="5">
        <v>2</v>
      </c>
      <c r="W337" s="5">
        <v>1</v>
      </c>
      <c r="X337" s="5">
        <v>1</v>
      </c>
      <c r="Y337" s="5">
        <v>4</v>
      </c>
      <c r="Z337" s="5" t="s">
        <v>982</v>
      </c>
      <c r="AA337" s="5">
        <v>3</v>
      </c>
      <c r="AB337" s="5">
        <v>2</v>
      </c>
      <c r="AC337" s="5">
        <v>2</v>
      </c>
      <c r="AD337" s="5">
        <v>3</v>
      </c>
      <c r="AE337" s="5">
        <v>10</v>
      </c>
      <c r="AF337" s="5" t="s">
        <v>981</v>
      </c>
      <c r="AG337" s="5">
        <v>1</v>
      </c>
      <c r="AH337" s="5">
        <v>0</v>
      </c>
      <c r="AI337" s="5">
        <v>0</v>
      </c>
      <c r="AJ337" s="5">
        <v>1</v>
      </c>
      <c r="AK337" s="5" t="s">
        <v>983</v>
      </c>
      <c r="AL337" s="5">
        <v>0</v>
      </c>
      <c r="AM337" s="5">
        <v>2</v>
      </c>
      <c r="AN337" s="5">
        <v>2</v>
      </c>
      <c r="AO337" s="5">
        <v>4</v>
      </c>
      <c r="AP337" s="5" t="s">
        <v>982</v>
      </c>
      <c r="AQ337" s="5">
        <v>0</v>
      </c>
      <c r="AR337" s="5">
        <v>0</v>
      </c>
      <c r="AS337" s="5">
        <v>0</v>
      </c>
      <c r="AT337" s="5">
        <v>0</v>
      </c>
      <c r="AU337" s="5">
        <v>0</v>
      </c>
      <c r="AV337" s="5">
        <v>0</v>
      </c>
      <c r="AW337" s="5">
        <v>0</v>
      </c>
      <c r="AX337" s="5">
        <v>0</v>
      </c>
      <c r="AY337" s="5" t="s">
        <v>983</v>
      </c>
      <c r="AZ337" s="1">
        <v>1</v>
      </c>
      <c r="BA337" s="1">
        <v>0</v>
      </c>
      <c r="BB337" s="1">
        <v>1</v>
      </c>
      <c r="BC337" s="1">
        <v>1</v>
      </c>
      <c r="BD337" s="1">
        <v>0</v>
      </c>
      <c r="BE337" s="1">
        <v>1</v>
      </c>
      <c r="BF337" s="1">
        <v>35</v>
      </c>
      <c r="BG337" s="1">
        <v>1</v>
      </c>
      <c r="BH337" s="1">
        <v>88</v>
      </c>
      <c r="BI337" s="1">
        <v>2</v>
      </c>
      <c r="BJ337" s="1">
        <v>1200000</v>
      </c>
      <c r="BK337" s="1">
        <v>4</v>
      </c>
    </row>
    <row r="338" spans="1:63" ht="12.75" customHeight="1" x14ac:dyDescent="0.15">
      <c r="A338" s="5" t="s">
        <v>337</v>
      </c>
      <c r="B338" s="5" t="s">
        <v>984</v>
      </c>
      <c r="C338" s="5">
        <v>4</v>
      </c>
      <c r="D338" s="5">
        <v>4</v>
      </c>
      <c r="E338" s="5">
        <v>3</v>
      </c>
      <c r="F338" s="5">
        <v>2</v>
      </c>
      <c r="G338" s="5">
        <v>2</v>
      </c>
      <c r="H338" s="5">
        <v>2</v>
      </c>
      <c r="I338" s="5">
        <v>1</v>
      </c>
      <c r="J338" s="5">
        <v>3</v>
      </c>
      <c r="K338" s="5">
        <v>2</v>
      </c>
      <c r="L338" s="5">
        <v>3</v>
      </c>
      <c r="M338" s="5">
        <v>2</v>
      </c>
      <c r="N338" s="5">
        <v>2</v>
      </c>
      <c r="O338" s="5">
        <v>30</v>
      </c>
      <c r="P338" s="5" t="s">
        <v>981</v>
      </c>
      <c r="Q338" s="5">
        <v>2</v>
      </c>
      <c r="R338" s="5">
        <v>1</v>
      </c>
      <c r="S338" s="5">
        <v>0</v>
      </c>
      <c r="T338" s="5">
        <v>3</v>
      </c>
      <c r="U338" s="5" t="s">
        <v>982</v>
      </c>
      <c r="V338" s="5">
        <v>2</v>
      </c>
      <c r="W338" s="5">
        <v>4</v>
      </c>
      <c r="X338" s="5">
        <v>4</v>
      </c>
      <c r="Y338" s="5">
        <v>10</v>
      </c>
      <c r="Z338" s="5" t="s">
        <v>981</v>
      </c>
      <c r="AA338" s="5">
        <v>1</v>
      </c>
      <c r="AB338" s="5">
        <v>1</v>
      </c>
      <c r="AC338" s="5">
        <v>0</v>
      </c>
      <c r="AD338" s="5">
        <v>0</v>
      </c>
      <c r="AE338" s="5">
        <v>2</v>
      </c>
      <c r="AF338" s="5" t="s">
        <v>982</v>
      </c>
      <c r="AG338" s="5">
        <v>0</v>
      </c>
      <c r="AH338" s="5">
        <v>0</v>
      </c>
      <c r="AI338" s="5">
        <v>0</v>
      </c>
      <c r="AJ338" s="5">
        <v>0</v>
      </c>
      <c r="AK338" s="5" t="s">
        <v>983</v>
      </c>
      <c r="AL338" s="5">
        <v>3</v>
      </c>
      <c r="AM338" s="5">
        <v>2</v>
      </c>
      <c r="AN338" s="5">
        <v>2</v>
      </c>
      <c r="AO338" s="5">
        <v>7</v>
      </c>
      <c r="AP338" s="5" t="s">
        <v>981</v>
      </c>
      <c r="AQ338" s="5">
        <v>1</v>
      </c>
      <c r="AR338" s="5">
        <v>0</v>
      </c>
      <c r="AS338" s="5">
        <v>0</v>
      </c>
      <c r="AT338" s="5">
        <v>0</v>
      </c>
      <c r="AU338" s="5">
        <v>0</v>
      </c>
      <c r="AV338" s="5">
        <v>1</v>
      </c>
      <c r="AW338" s="5">
        <v>0</v>
      </c>
      <c r="AX338" s="5">
        <v>2</v>
      </c>
      <c r="AY338" s="5" t="s">
        <v>982</v>
      </c>
      <c r="AZ338" s="1">
        <v>0</v>
      </c>
      <c r="BA338" s="1">
        <v>0</v>
      </c>
      <c r="BB338" s="1">
        <v>0</v>
      </c>
      <c r="BC338" s="1">
        <v>1</v>
      </c>
      <c r="BD338" s="1">
        <v>1</v>
      </c>
      <c r="BE338" s="1">
        <v>1</v>
      </c>
      <c r="BF338" s="1">
        <v>60</v>
      </c>
      <c r="BG338" s="1">
        <v>1</v>
      </c>
      <c r="BH338" s="1">
        <v>17</v>
      </c>
      <c r="BI338" s="1">
        <v>16</v>
      </c>
      <c r="BJ338" s="1">
        <v>1200000</v>
      </c>
      <c r="BK338" s="1">
        <v>2</v>
      </c>
    </row>
    <row r="339" spans="1:63" ht="12.75" customHeight="1" x14ac:dyDescent="0.15">
      <c r="A339" s="5" t="s">
        <v>238</v>
      </c>
      <c r="B339" s="5" t="s">
        <v>238</v>
      </c>
      <c r="C339" s="5">
        <v>1</v>
      </c>
      <c r="D339" s="5">
        <v>2</v>
      </c>
      <c r="E339" s="5">
        <v>2</v>
      </c>
      <c r="F339" s="5">
        <v>1</v>
      </c>
      <c r="G339" s="5">
        <v>2</v>
      </c>
      <c r="H339" s="5">
        <v>1</v>
      </c>
      <c r="I339" s="5">
        <v>1</v>
      </c>
      <c r="J339" s="5">
        <v>1</v>
      </c>
      <c r="K339" s="5">
        <v>1</v>
      </c>
      <c r="L339" s="5">
        <v>1</v>
      </c>
      <c r="M339" s="5">
        <v>1</v>
      </c>
      <c r="N339" s="5">
        <v>1</v>
      </c>
      <c r="O339" s="5">
        <v>15</v>
      </c>
      <c r="P339" s="5" t="s">
        <v>983</v>
      </c>
      <c r="Q339" s="5">
        <v>0</v>
      </c>
      <c r="R339" s="5">
        <v>0</v>
      </c>
      <c r="S339" s="5">
        <v>0</v>
      </c>
      <c r="T339" s="5">
        <v>0</v>
      </c>
      <c r="U339" s="5" t="s">
        <v>983</v>
      </c>
      <c r="V339" s="5">
        <v>4</v>
      </c>
      <c r="W339" s="5">
        <v>0</v>
      </c>
      <c r="X339" s="5">
        <v>0</v>
      </c>
      <c r="Y339" s="5">
        <v>4</v>
      </c>
      <c r="Z339" s="5" t="s">
        <v>982</v>
      </c>
      <c r="AA339" s="5">
        <v>0</v>
      </c>
      <c r="AB339" s="5">
        <v>4</v>
      </c>
      <c r="AC339" s="5">
        <v>0</v>
      </c>
      <c r="AD339" s="5">
        <v>0</v>
      </c>
      <c r="AE339" s="5">
        <v>4</v>
      </c>
      <c r="AF339" s="5" t="s">
        <v>982</v>
      </c>
      <c r="AG339" s="5">
        <v>1</v>
      </c>
      <c r="AH339" s="5">
        <v>0</v>
      </c>
      <c r="AI339" s="5">
        <v>0</v>
      </c>
      <c r="AJ339" s="5">
        <v>1</v>
      </c>
      <c r="AK339" s="5" t="s">
        <v>983</v>
      </c>
      <c r="AL339" s="5">
        <v>1</v>
      </c>
      <c r="AM339" s="5">
        <v>0</v>
      </c>
      <c r="AN339" s="5">
        <v>0</v>
      </c>
      <c r="AO339" s="5">
        <v>1</v>
      </c>
      <c r="AP339" s="5" t="s">
        <v>983</v>
      </c>
      <c r="AQ339" s="5">
        <v>0</v>
      </c>
      <c r="AR339" s="5">
        <v>0</v>
      </c>
      <c r="AS339" s="5">
        <v>0</v>
      </c>
      <c r="AT339" s="5">
        <v>0</v>
      </c>
      <c r="AU339" s="5">
        <v>0</v>
      </c>
      <c r="AV339" s="5">
        <v>0</v>
      </c>
      <c r="AW339" s="5">
        <v>0</v>
      </c>
      <c r="AX339" s="5">
        <v>0</v>
      </c>
      <c r="AY339" s="5" t="s">
        <v>983</v>
      </c>
      <c r="AZ339" s="1">
        <v>0</v>
      </c>
      <c r="BA339" s="1">
        <v>0</v>
      </c>
      <c r="BB339" s="1">
        <v>0</v>
      </c>
      <c r="BC339" s="1">
        <v>1</v>
      </c>
      <c r="BD339" s="1">
        <v>0</v>
      </c>
      <c r="BE339" s="1">
        <v>1</v>
      </c>
      <c r="BF339" s="1">
        <v>0</v>
      </c>
      <c r="BG339" s="1">
        <v>0</v>
      </c>
      <c r="BI339" s="1">
        <v>24</v>
      </c>
      <c r="BJ339" s="1">
        <v>0</v>
      </c>
      <c r="BK339" s="1">
        <v>1</v>
      </c>
    </row>
    <row r="340" spans="1:63" ht="12.75" customHeight="1" x14ac:dyDescent="0.15">
      <c r="A340" s="5" t="s">
        <v>337</v>
      </c>
      <c r="B340" s="5" t="s">
        <v>984</v>
      </c>
      <c r="C340" s="5">
        <v>2</v>
      </c>
      <c r="D340" s="5">
        <v>3</v>
      </c>
      <c r="E340" s="5">
        <v>1</v>
      </c>
      <c r="F340" s="5">
        <v>1</v>
      </c>
      <c r="G340" s="5">
        <v>3</v>
      </c>
      <c r="H340" s="5">
        <v>1</v>
      </c>
      <c r="I340" s="5">
        <v>1</v>
      </c>
      <c r="J340" s="5">
        <v>4</v>
      </c>
      <c r="K340" s="5">
        <v>4</v>
      </c>
      <c r="L340" s="5">
        <v>1</v>
      </c>
      <c r="M340" s="5">
        <v>1</v>
      </c>
      <c r="N340" s="5">
        <v>1</v>
      </c>
      <c r="O340" s="5">
        <v>23</v>
      </c>
      <c r="P340" s="5" t="s">
        <v>982</v>
      </c>
      <c r="Q340" s="5">
        <v>2</v>
      </c>
      <c r="R340" s="5">
        <v>2</v>
      </c>
      <c r="S340" s="5">
        <v>1</v>
      </c>
      <c r="T340" s="5">
        <v>5</v>
      </c>
      <c r="U340" s="5" t="s">
        <v>981</v>
      </c>
      <c r="V340" s="5">
        <v>0</v>
      </c>
      <c r="W340" s="5">
        <v>0</v>
      </c>
      <c r="X340" s="5">
        <v>0</v>
      </c>
      <c r="Y340" s="5">
        <v>0</v>
      </c>
      <c r="Z340" s="5" t="s">
        <v>983</v>
      </c>
      <c r="AA340" s="5">
        <v>0</v>
      </c>
      <c r="AB340" s="5">
        <v>0</v>
      </c>
      <c r="AC340" s="5">
        <v>0</v>
      </c>
      <c r="AD340" s="5">
        <v>0</v>
      </c>
      <c r="AE340" s="5">
        <v>0</v>
      </c>
      <c r="AF340" s="5" t="s">
        <v>983</v>
      </c>
      <c r="AG340" s="5">
        <v>4</v>
      </c>
      <c r="AH340" s="5">
        <v>1</v>
      </c>
      <c r="AI340" s="5">
        <v>0</v>
      </c>
      <c r="AJ340" s="5">
        <v>5</v>
      </c>
      <c r="AK340" s="5" t="s">
        <v>982</v>
      </c>
      <c r="AL340" s="5">
        <v>4</v>
      </c>
      <c r="AM340" s="5">
        <v>0</v>
      </c>
      <c r="AN340" s="5">
        <v>0</v>
      </c>
      <c r="AO340" s="5">
        <v>4</v>
      </c>
      <c r="AP340" s="5" t="s">
        <v>982</v>
      </c>
      <c r="AQ340" s="5">
        <v>0</v>
      </c>
      <c r="AR340" s="5">
        <v>0</v>
      </c>
      <c r="AS340" s="5">
        <v>0</v>
      </c>
      <c r="AT340" s="5">
        <v>0</v>
      </c>
      <c r="AU340" s="5">
        <v>0</v>
      </c>
      <c r="AV340" s="5">
        <v>0</v>
      </c>
      <c r="AW340" s="5">
        <v>0</v>
      </c>
      <c r="AX340" s="5">
        <v>0</v>
      </c>
      <c r="AY340" s="5" t="s">
        <v>983</v>
      </c>
      <c r="AZ340" s="1">
        <v>0</v>
      </c>
      <c r="BA340" s="1">
        <v>0</v>
      </c>
      <c r="BB340" s="1">
        <v>0</v>
      </c>
      <c r="BC340" s="1">
        <v>1</v>
      </c>
      <c r="BD340" s="1">
        <v>0</v>
      </c>
      <c r="BE340" s="1">
        <v>1</v>
      </c>
      <c r="BF340" s="1">
        <v>0</v>
      </c>
      <c r="BG340" s="1">
        <v>0</v>
      </c>
      <c r="BI340" s="1">
        <v>7</v>
      </c>
      <c r="BJ340" s="1">
        <v>0</v>
      </c>
      <c r="BK340" s="1">
        <v>1</v>
      </c>
    </row>
    <row r="341" spans="1:63" ht="12.75" customHeight="1" x14ac:dyDescent="0.15">
      <c r="A341" s="5" t="s">
        <v>238</v>
      </c>
      <c r="B341" s="5" t="s">
        <v>238</v>
      </c>
      <c r="C341" s="5">
        <v>2</v>
      </c>
      <c r="D341" s="5">
        <v>2</v>
      </c>
      <c r="E341" s="5">
        <v>2</v>
      </c>
      <c r="F341" s="5">
        <v>2</v>
      </c>
      <c r="G341" s="5">
        <v>1</v>
      </c>
      <c r="H341" s="5">
        <v>2</v>
      </c>
      <c r="I341" s="5">
        <v>1</v>
      </c>
      <c r="J341" s="5">
        <v>1</v>
      </c>
      <c r="K341" s="5">
        <v>2</v>
      </c>
      <c r="L341" s="5">
        <v>2</v>
      </c>
      <c r="M341" s="5">
        <v>2</v>
      </c>
      <c r="N341" s="5">
        <v>2</v>
      </c>
      <c r="O341" s="5">
        <v>21</v>
      </c>
      <c r="P341" s="5" t="s">
        <v>982</v>
      </c>
      <c r="Q341" s="5">
        <v>2</v>
      </c>
      <c r="R341" s="5">
        <v>3</v>
      </c>
      <c r="S341" s="5">
        <v>1</v>
      </c>
      <c r="T341" s="5">
        <v>6</v>
      </c>
      <c r="U341" s="5" t="s">
        <v>981</v>
      </c>
      <c r="V341" s="5">
        <v>1</v>
      </c>
      <c r="W341" s="5">
        <v>2</v>
      </c>
      <c r="X341" s="5">
        <v>2</v>
      </c>
      <c r="Y341" s="5">
        <v>5</v>
      </c>
      <c r="Z341" s="5" t="s">
        <v>982</v>
      </c>
      <c r="AA341" s="5">
        <v>3</v>
      </c>
      <c r="AB341" s="5">
        <v>2</v>
      </c>
      <c r="AC341" s="5">
        <v>0</v>
      </c>
      <c r="AD341" s="5">
        <v>0</v>
      </c>
      <c r="AE341" s="5">
        <v>5</v>
      </c>
      <c r="AF341" s="5" t="s">
        <v>981</v>
      </c>
      <c r="AG341" s="5">
        <v>1</v>
      </c>
      <c r="AH341" s="5">
        <v>0</v>
      </c>
      <c r="AI341" s="5">
        <v>0</v>
      </c>
      <c r="AJ341" s="5">
        <v>1</v>
      </c>
      <c r="AK341" s="5" t="s">
        <v>983</v>
      </c>
      <c r="AL341" s="5">
        <v>2</v>
      </c>
      <c r="AM341" s="5">
        <v>2</v>
      </c>
      <c r="AN341" s="5">
        <v>2</v>
      </c>
      <c r="AO341" s="5">
        <v>6</v>
      </c>
      <c r="AP341" s="5" t="s">
        <v>981</v>
      </c>
      <c r="AQ341" s="5">
        <v>0</v>
      </c>
      <c r="AR341" s="5">
        <v>0</v>
      </c>
      <c r="AS341" s="5">
        <v>0</v>
      </c>
      <c r="AT341" s="5">
        <v>0</v>
      </c>
      <c r="AU341" s="5">
        <v>0</v>
      </c>
      <c r="AV341" s="5">
        <v>0</v>
      </c>
      <c r="AW341" s="5">
        <v>0</v>
      </c>
      <c r="AX341" s="5">
        <v>0</v>
      </c>
      <c r="AY341" s="5" t="s">
        <v>983</v>
      </c>
      <c r="AZ341" s="1">
        <v>0</v>
      </c>
      <c r="BA341" s="1">
        <v>0</v>
      </c>
      <c r="BB341" s="1">
        <v>0</v>
      </c>
      <c r="BC341" s="1">
        <v>1</v>
      </c>
      <c r="BD341" s="1">
        <v>1</v>
      </c>
      <c r="BE341" s="1">
        <v>1</v>
      </c>
      <c r="BF341" s="1">
        <v>34</v>
      </c>
      <c r="BG341" s="1">
        <v>1</v>
      </c>
      <c r="BH341" s="1">
        <v>2</v>
      </c>
      <c r="BI341" s="1">
        <v>3</v>
      </c>
      <c r="BJ341" s="1">
        <v>300000</v>
      </c>
      <c r="BK341" s="1">
        <v>2</v>
      </c>
    </row>
    <row r="342" spans="1:63" ht="12.75" customHeight="1" x14ac:dyDescent="0.15">
      <c r="A342" s="5" t="s">
        <v>238</v>
      </c>
      <c r="B342" s="5" t="s">
        <v>238</v>
      </c>
      <c r="C342" s="5">
        <v>1</v>
      </c>
      <c r="D342" s="5">
        <v>2</v>
      </c>
      <c r="E342" s="5">
        <v>2</v>
      </c>
      <c r="F342" s="5">
        <v>2</v>
      </c>
      <c r="G342" s="5">
        <v>3</v>
      </c>
      <c r="H342" s="5">
        <v>1</v>
      </c>
      <c r="I342" s="5">
        <v>1</v>
      </c>
      <c r="J342" s="5">
        <v>2</v>
      </c>
      <c r="K342" s="5">
        <v>2</v>
      </c>
      <c r="L342" s="5">
        <v>1</v>
      </c>
      <c r="M342" s="5">
        <v>1</v>
      </c>
      <c r="N342" s="5">
        <v>1</v>
      </c>
      <c r="O342" s="5">
        <v>19</v>
      </c>
      <c r="P342" s="5" t="s">
        <v>982</v>
      </c>
      <c r="Q342" s="5">
        <v>1</v>
      </c>
      <c r="R342" s="5">
        <v>1</v>
      </c>
      <c r="S342" s="5">
        <v>1</v>
      </c>
      <c r="T342" s="5">
        <v>3</v>
      </c>
      <c r="U342" s="5" t="s">
        <v>982</v>
      </c>
      <c r="V342" s="5">
        <v>0</v>
      </c>
      <c r="W342" s="5">
        <v>0</v>
      </c>
      <c r="X342" s="5">
        <v>0</v>
      </c>
      <c r="Y342" s="5">
        <v>0</v>
      </c>
      <c r="Z342" s="5" t="s">
        <v>983</v>
      </c>
      <c r="AA342" s="5">
        <v>3</v>
      </c>
      <c r="AB342" s="5">
        <v>3</v>
      </c>
      <c r="AC342" s="5">
        <v>4</v>
      </c>
      <c r="AD342" s="5">
        <v>4</v>
      </c>
      <c r="AE342" s="5">
        <v>14</v>
      </c>
      <c r="AF342" s="5" t="s">
        <v>981</v>
      </c>
      <c r="AG342" s="5">
        <v>1</v>
      </c>
      <c r="AH342" s="5">
        <v>1</v>
      </c>
      <c r="AI342" s="5">
        <v>1</v>
      </c>
      <c r="AJ342" s="5">
        <v>3</v>
      </c>
      <c r="AK342" s="5" t="s">
        <v>982</v>
      </c>
      <c r="AL342" s="5">
        <v>1</v>
      </c>
      <c r="AM342" s="5">
        <v>1</v>
      </c>
      <c r="AN342" s="5">
        <v>1</v>
      </c>
      <c r="AO342" s="5">
        <v>3</v>
      </c>
      <c r="AP342" s="5" t="s">
        <v>982</v>
      </c>
      <c r="AQ342" s="5">
        <v>0</v>
      </c>
      <c r="AR342" s="5">
        <v>0</v>
      </c>
      <c r="AS342" s="5">
        <v>0</v>
      </c>
      <c r="AT342" s="5">
        <v>0</v>
      </c>
      <c r="AU342" s="5">
        <v>0</v>
      </c>
      <c r="AV342" s="5">
        <v>0</v>
      </c>
      <c r="AW342" s="5">
        <v>0</v>
      </c>
      <c r="AX342" s="5">
        <v>0</v>
      </c>
      <c r="AY342" s="5" t="s">
        <v>983</v>
      </c>
      <c r="AZ342" s="1">
        <v>1</v>
      </c>
      <c r="BA342" s="1">
        <v>0</v>
      </c>
      <c r="BB342" s="1">
        <v>1</v>
      </c>
      <c r="BC342" s="1">
        <v>1</v>
      </c>
      <c r="BD342" s="1">
        <v>1</v>
      </c>
      <c r="BE342" s="1">
        <v>1</v>
      </c>
      <c r="BF342" s="1">
        <v>52</v>
      </c>
      <c r="BG342" s="1">
        <v>1</v>
      </c>
      <c r="BH342" s="1">
        <v>11</v>
      </c>
      <c r="BI342" s="1">
        <v>34</v>
      </c>
      <c r="BJ342" s="1">
        <v>600000</v>
      </c>
      <c r="BK342" s="1">
        <v>1</v>
      </c>
    </row>
    <row r="343" spans="1:63" ht="12.75" customHeight="1" x14ac:dyDescent="0.15">
      <c r="A343" s="5" t="s">
        <v>330</v>
      </c>
      <c r="B343" s="5" t="s">
        <v>984</v>
      </c>
      <c r="C343" s="5">
        <v>2</v>
      </c>
      <c r="D343" s="5">
        <v>3</v>
      </c>
      <c r="E343" s="5">
        <v>3</v>
      </c>
      <c r="F343" s="5">
        <v>3</v>
      </c>
      <c r="G343" s="5">
        <v>3</v>
      </c>
      <c r="H343" s="5">
        <v>3</v>
      </c>
      <c r="I343" s="5">
        <v>2</v>
      </c>
      <c r="J343" s="5">
        <v>4</v>
      </c>
      <c r="K343" s="5">
        <v>3</v>
      </c>
      <c r="L343" s="5">
        <v>2</v>
      </c>
      <c r="M343" s="5">
        <v>4</v>
      </c>
      <c r="N343" s="5">
        <v>2</v>
      </c>
      <c r="O343" s="5">
        <v>34</v>
      </c>
      <c r="P343" s="5" t="s">
        <v>981</v>
      </c>
      <c r="Q343" s="5">
        <v>2</v>
      </c>
      <c r="R343" s="5">
        <v>0</v>
      </c>
      <c r="S343" s="5">
        <v>1</v>
      </c>
      <c r="T343" s="5">
        <v>3</v>
      </c>
      <c r="U343" s="5" t="s">
        <v>982</v>
      </c>
      <c r="V343" s="5">
        <v>2</v>
      </c>
      <c r="W343" s="5">
        <v>1</v>
      </c>
      <c r="X343" s="5">
        <v>3</v>
      </c>
      <c r="Y343" s="5">
        <v>6</v>
      </c>
      <c r="Z343" s="5" t="s">
        <v>981</v>
      </c>
      <c r="AA343" s="5">
        <v>4</v>
      </c>
      <c r="AB343" s="5">
        <v>4</v>
      </c>
      <c r="AC343" s="5">
        <v>1</v>
      </c>
      <c r="AD343" s="5">
        <v>2</v>
      </c>
      <c r="AE343" s="5">
        <v>11</v>
      </c>
      <c r="AF343" s="5" t="s">
        <v>981</v>
      </c>
      <c r="AG343" s="5">
        <v>1</v>
      </c>
      <c r="AH343" s="5">
        <v>4</v>
      </c>
      <c r="AI343" s="5">
        <v>3</v>
      </c>
      <c r="AJ343" s="5">
        <v>8</v>
      </c>
      <c r="AK343" s="5" t="s">
        <v>981</v>
      </c>
      <c r="AL343" s="5">
        <v>0</v>
      </c>
      <c r="AM343" s="5">
        <v>1</v>
      </c>
      <c r="AN343" s="5">
        <v>0</v>
      </c>
      <c r="AO343" s="5">
        <v>1</v>
      </c>
      <c r="AP343" s="5" t="s">
        <v>983</v>
      </c>
      <c r="AQ343" s="5">
        <v>1</v>
      </c>
      <c r="AR343" s="5">
        <v>0</v>
      </c>
      <c r="AS343" s="5">
        <v>0</v>
      </c>
      <c r="AT343" s="5">
        <v>0</v>
      </c>
      <c r="AU343" s="5">
        <v>0</v>
      </c>
      <c r="AV343" s="5">
        <v>1</v>
      </c>
      <c r="AW343" s="5">
        <v>1</v>
      </c>
      <c r="AX343" s="5">
        <v>3</v>
      </c>
      <c r="AY343" s="5" t="s">
        <v>982</v>
      </c>
      <c r="AZ343" s="1">
        <v>0</v>
      </c>
      <c r="BA343" s="1">
        <v>0</v>
      </c>
      <c r="BB343" s="1">
        <v>0</v>
      </c>
      <c r="BC343" s="1">
        <v>1</v>
      </c>
      <c r="BD343" s="1">
        <v>0</v>
      </c>
      <c r="BE343" s="1">
        <v>1</v>
      </c>
      <c r="BF343" s="1">
        <v>52</v>
      </c>
      <c r="BG343" s="1">
        <v>1</v>
      </c>
      <c r="BH343" s="1">
        <v>11</v>
      </c>
      <c r="BI343" s="1">
        <v>34</v>
      </c>
      <c r="BJ343" s="1">
        <v>600000</v>
      </c>
      <c r="BK343" s="1">
        <v>1</v>
      </c>
    </row>
    <row r="344" spans="1:63" ht="12.75" customHeight="1" x14ac:dyDescent="0.15">
      <c r="A344" s="5" t="s">
        <v>238</v>
      </c>
      <c r="B344" s="5" t="s">
        <v>238</v>
      </c>
      <c r="C344" s="5">
        <v>1</v>
      </c>
      <c r="D344" s="5">
        <v>1</v>
      </c>
      <c r="E344" s="5">
        <v>1</v>
      </c>
      <c r="F344" s="5">
        <v>1</v>
      </c>
      <c r="G344" s="5">
        <v>1</v>
      </c>
      <c r="H344" s="5">
        <v>1</v>
      </c>
      <c r="I344" s="5">
        <v>1</v>
      </c>
      <c r="J344" s="5">
        <v>4</v>
      </c>
      <c r="K344" s="5">
        <v>1</v>
      </c>
      <c r="L344" s="5">
        <v>1</v>
      </c>
      <c r="M344" s="5">
        <v>1</v>
      </c>
      <c r="N344" s="5">
        <v>1</v>
      </c>
      <c r="O344" s="5">
        <v>15</v>
      </c>
      <c r="P344" s="5" t="s">
        <v>983</v>
      </c>
      <c r="Q344" s="5">
        <v>0</v>
      </c>
      <c r="R344" s="5">
        <v>0</v>
      </c>
      <c r="S344" s="5">
        <v>0</v>
      </c>
      <c r="T344" s="5">
        <v>0</v>
      </c>
      <c r="U344" s="5" t="s">
        <v>983</v>
      </c>
      <c r="V344" s="5">
        <v>0</v>
      </c>
      <c r="W344" s="5">
        <v>0</v>
      </c>
      <c r="X344" s="5">
        <v>1</v>
      </c>
      <c r="Y344" s="5">
        <v>1</v>
      </c>
      <c r="Z344" s="5" t="s">
        <v>983</v>
      </c>
      <c r="AA344" s="5">
        <v>4</v>
      </c>
      <c r="AB344" s="5">
        <v>4</v>
      </c>
      <c r="AC344" s="5">
        <v>4</v>
      </c>
      <c r="AD344" s="5">
        <v>4</v>
      </c>
      <c r="AE344" s="5">
        <v>16</v>
      </c>
      <c r="AF344" s="5" t="s">
        <v>981</v>
      </c>
      <c r="AG344" s="5">
        <v>0</v>
      </c>
      <c r="AH344" s="5">
        <v>0</v>
      </c>
      <c r="AI344" s="5">
        <v>0</v>
      </c>
      <c r="AJ344" s="5">
        <v>0</v>
      </c>
      <c r="AK344" s="5" t="s">
        <v>983</v>
      </c>
      <c r="AL344" s="5">
        <v>0</v>
      </c>
      <c r="AM344" s="5">
        <v>0</v>
      </c>
      <c r="AN344" s="5">
        <v>0</v>
      </c>
      <c r="AO344" s="5">
        <v>0</v>
      </c>
      <c r="AP344" s="5" t="s">
        <v>983</v>
      </c>
      <c r="AQ344" s="5">
        <v>0</v>
      </c>
      <c r="AR344" s="5">
        <v>0</v>
      </c>
      <c r="AS344" s="5">
        <v>0</v>
      </c>
      <c r="AT344" s="5">
        <v>0</v>
      </c>
      <c r="AU344" s="5">
        <v>0</v>
      </c>
      <c r="AV344" s="5">
        <v>0</v>
      </c>
      <c r="AW344" s="5">
        <v>0</v>
      </c>
      <c r="AX344" s="5">
        <v>0</v>
      </c>
      <c r="AY344" s="5" t="s">
        <v>983</v>
      </c>
      <c r="AZ344" s="1">
        <v>0</v>
      </c>
      <c r="BA344" s="1">
        <v>0</v>
      </c>
      <c r="BB344" s="1">
        <v>0</v>
      </c>
      <c r="BC344" s="1">
        <v>1</v>
      </c>
      <c r="BD344" s="1">
        <v>1</v>
      </c>
      <c r="BE344" s="1">
        <v>1</v>
      </c>
      <c r="BF344" s="1">
        <v>54</v>
      </c>
      <c r="BG344" s="1">
        <v>1</v>
      </c>
      <c r="BH344" s="1">
        <v>2</v>
      </c>
      <c r="BI344" s="1">
        <v>34</v>
      </c>
      <c r="BJ344" s="1">
        <v>400000</v>
      </c>
      <c r="BK344" s="1">
        <v>2</v>
      </c>
    </row>
    <row r="345" spans="1:63" ht="12.75" customHeight="1" x14ac:dyDescent="0.15">
      <c r="A345" s="5" t="s">
        <v>238</v>
      </c>
      <c r="B345" s="5" t="s">
        <v>238</v>
      </c>
      <c r="C345" s="5">
        <v>1</v>
      </c>
      <c r="D345" s="5">
        <v>1</v>
      </c>
      <c r="E345" s="5">
        <v>1</v>
      </c>
      <c r="F345" s="5">
        <v>1</v>
      </c>
      <c r="G345" s="5">
        <v>1</v>
      </c>
      <c r="H345" s="5">
        <v>1</v>
      </c>
      <c r="I345" s="5">
        <v>1</v>
      </c>
      <c r="J345" s="5">
        <v>1</v>
      </c>
      <c r="K345" s="5">
        <v>1</v>
      </c>
      <c r="L345" s="5">
        <v>1</v>
      </c>
      <c r="M345" s="5">
        <v>1</v>
      </c>
      <c r="N345" s="5">
        <v>1</v>
      </c>
      <c r="O345" s="5">
        <v>12</v>
      </c>
      <c r="P345" s="5" t="s">
        <v>983</v>
      </c>
      <c r="Q345" s="5">
        <v>1</v>
      </c>
      <c r="R345" s="5">
        <v>1</v>
      </c>
      <c r="S345" s="5">
        <v>0</v>
      </c>
      <c r="T345" s="5">
        <v>2</v>
      </c>
      <c r="U345" s="5" t="s">
        <v>982</v>
      </c>
      <c r="V345" s="5">
        <v>0</v>
      </c>
      <c r="W345" s="5">
        <v>0</v>
      </c>
      <c r="X345" s="5">
        <v>0</v>
      </c>
      <c r="Y345" s="5">
        <v>0</v>
      </c>
      <c r="Z345" s="5" t="s">
        <v>983</v>
      </c>
      <c r="AA345" s="5">
        <v>4</v>
      </c>
      <c r="AB345" s="5">
        <v>4</v>
      </c>
      <c r="AC345" s="5">
        <v>0</v>
      </c>
      <c r="AD345" s="5">
        <v>0</v>
      </c>
      <c r="AE345" s="5">
        <v>8</v>
      </c>
      <c r="AF345" s="5" t="s">
        <v>981</v>
      </c>
      <c r="AG345" s="5">
        <v>0</v>
      </c>
      <c r="AH345" s="5">
        <v>0</v>
      </c>
      <c r="AI345" s="5">
        <v>0</v>
      </c>
      <c r="AJ345" s="5">
        <v>0</v>
      </c>
      <c r="AK345" s="5" t="s">
        <v>983</v>
      </c>
      <c r="AL345" s="5">
        <v>0</v>
      </c>
      <c r="AM345" s="5">
        <v>0</v>
      </c>
      <c r="AN345" s="5">
        <v>0</v>
      </c>
      <c r="AO345" s="5">
        <v>0</v>
      </c>
      <c r="AP345" s="5" t="s">
        <v>983</v>
      </c>
      <c r="AQ345" s="5">
        <v>0</v>
      </c>
      <c r="AR345" s="5">
        <v>0</v>
      </c>
      <c r="AS345" s="5">
        <v>0</v>
      </c>
      <c r="AT345" s="5">
        <v>0</v>
      </c>
      <c r="AU345" s="5">
        <v>0</v>
      </c>
      <c r="AV345" s="5">
        <v>0</v>
      </c>
      <c r="AW345" s="5">
        <v>0</v>
      </c>
      <c r="AX345" s="5">
        <v>0</v>
      </c>
      <c r="AY345" s="5" t="s">
        <v>983</v>
      </c>
      <c r="AZ345" s="1">
        <v>1</v>
      </c>
      <c r="BA345" s="1">
        <v>1</v>
      </c>
      <c r="BB345" s="1">
        <v>0</v>
      </c>
      <c r="BC345" s="1">
        <v>1</v>
      </c>
      <c r="BD345" s="1">
        <v>1</v>
      </c>
      <c r="BE345" s="1">
        <v>1</v>
      </c>
      <c r="BF345" s="1">
        <v>26</v>
      </c>
      <c r="BG345" s="1">
        <v>0</v>
      </c>
      <c r="BH345" s="1">
        <v>18</v>
      </c>
      <c r="BI345" s="1">
        <v>2</v>
      </c>
      <c r="BJ345" s="1">
        <v>550000</v>
      </c>
      <c r="BK345" s="1">
        <v>2</v>
      </c>
    </row>
    <row r="346" spans="1:63" ht="12.75" customHeight="1" x14ac:dyDescent="0.15">
      <c r="A346" s="5" t="s">
        <v>238</v>
      </c>
      <c r="B346" s="5" t="s">
        <v>238</v>
      </c>
      <c r="C346" s="5">
        <v>2</v>
      </c>
      <c r="D346" s="5">
        <v>3</v>
      </c>
      <c r="E346" s="5">
        <v>2</v>
      </c>
      <c r="F346" s="5">
        <v>1</v>
      </c>
      <c r="G346" s="5">
        <v>1</v>
      </c>
      <c r="H346" s="5">
        <v>1</v>
      </c>
      <c r="I346" s="5">
        <v>1</v>
      </c>
      <c r="J346" s="5">
        <v>2</v>
      </c>
      <c r="K346" s="5">
        <v>1</v>
      </c>
      <c r="L346" s="5">
        <v>1</v>
      </c>
      <c r="M346" s="5">
        <v>1</v>
      </c>
      <c r="N346" s="5">
        <v>1</v>
      </c>
      <c r="O346" s="5">
        <v>17</v>
      </c>
      <c r="P346" s="5" t="s">
        <v>983</v>
      </c>
      <c r="Q346" s="5">
        <v>1</v>
      </c>
      <c r="R346" s="5">
        <v>1</v>
      </c>
      <c r="S346" s="5">
        <v>0</v>
      </c>
      <c r="T346" s="5">
        <v>2</v>
      </c>
      <c r="U346" s="5" t="s">
        <v>982</v>
      </c>
      <c r="V346" s="5">
        <v>0</v>
      </c>
      <c r="W346" s="5">
        <v>1</v>
      </c>
      <c r="X346" s="5">
        <v>0</v>
      </c>
      <c r="Y346" s="5">
        <v>1</v>
      </c>
      <c r="Z346" s="5" t="s">
        <v>983</v>
      </c>
      <c r="AA346" s="5">
        <v>4</v>
      </c>
      <c r="AB346" s="5">
        <v>4</v>
      </c>
      <c r="AC346" s="5">
        <v>4</v>
      </c>
      <c r="AD346" s="5">
        <v>4</v>
      </c>
      <c r="AE346" s="5">
        <v>16</v>
      </c>
      <c r="AF346" s="5" t="s">
        <v>981</v>
      </c>
      <c r="AG346" s="5">
        <v>0</v>
      </c>
      <c r="AH346" s="5">
        <v>0</v>
      </c>
      <c r="AI346" s="5">
        <v>0</v>
      </c>
      <c r="AJ346" s="5">
        <v>0</v>
      </c>
      <c r="AK346" s="5" t="s">
        <v>983</v>
      </c>
      <c r="AL346" s="5">
        <v>0</v>
      </c>
      <c r="AM346" s="5">
        <v>0</v>
      </c>
      <c r="AN346" s="5">
        <v>0</v>
      </c>
      <c r="AO346" s="5">
        <v>0</v>
      </c>
      <c r="AP346" s="5" t="s">
        <v>983</v>
      </c>
      <c r="AQ346" s="5">
        <v>0</v>
      </c>
      <c r="AR346" s="5">
        <v>0</v>
      </c>
      <c r="AS346" s="5">
        <v>0</v>
      </c>
      <c r="AT346" s="5">
        <v>0</v>
      </c>
      <c r="AU346" s="5">
        <v>0</v>
      </c>
      <c r="AV346" s="5">
        <v>0</v>
      </c>
      <c r="AW346" s="5">
        <v>0</v>
      </c>
      <c r="AX346" s="5">
        <v>0</v>
      </c>
      <c r="AY346" s="5" t="s">
        <v>983</v>
      </c>
      <c r="AZ346" s="1">
        <v>0</v>
      </c>
      <c r="BA346" s="1">
        <v>0</v>
      </c>
      <c r="BB346" s="1">
        <v>0</v>
      </c>
      <c r="BC346" s="1">
        <v>1</v>
      </c>
      <c r="BD346" s="1">
        <v>0</v>
      </c>
      <c r="BE346" s="1">
        <v>1</v>
      </c>
      <c r="BF346" s="1">
        <v>32</v>
      </c>
      <c r="BG346" s="1">
        <v>0</v>
      </c>
      <c r="BH346" s="1">
        <v>14</v>
      </c>
      <c r="BI346" s="1">
        <v>34</v>
      </c>
      <c r="BJ346" s="1">
        <v>560000</v>
      </c>
      <c r="BK346" s="1">
        <v>3</v>
      </c>
    </row>
    <row r="347" spans="1:63" ht="12.75" customHeight="1" x14ac:dyDescent="0.15">
      <c r="A347" s="5" t="s">
        <v>238</v>
      </c>
      <c r="B347" s="5" t="s">
        <v>238</v>
      </c>
      <c r="C347" s="5">
        <v>1</v>
      </c>
      <c r="D347" s="5">
        <v>1</v>
      </c>
      <c r="E347" s="5">
        <v>1</v>
      </c>
      <c r="F347" s="5">
        <v>1</v>
      </c>
      <c r="G347" s="5">
        <v>1</v>
      </c>
      <c r="H347" s="5">
        <v>1</v>
      </c>
      <c r="I347" s="5">
        <v>1</v>
      </c>
      <c r="J347" s="5">
        <v>1</v>
      </c>
      <c r="K347" s="5">
        <v>1</v>
      </c>
      <c r="L347" s="5">
        <v>1</v>
      </c>
      <c r="M347" s="5">
        <v>1</v>
      </c>
      <c r="N347" s="5">
        <v>1</v>
      </c>
      <c r="O347" s="5">
        <v>12</v>
      </c>
      <c r="P347" s="5" t="s">
        <v>983</v>
      </c>
      <c r="Q347" s="5">
        <v>0</v>
      </c>
      <c r="R347" s="5">
        <v>0</v>
      </c>
      <c r="S347" s="5">
        <v>0</v>
      </c>
      <c r="T347" s="5">
        <v>0</v>
      </c>
      <c r="U347" s="5" t="s">
        <v>983</v>
      </c>
      <c r="V347" s="5">
        <v>0</v>
      </c>
      <c r="W347" s="5">
        <v>4</v>
      </c>
      <c r="X347" s="5">
        <v>0</v>
      </c>
      <c r="Y347" s="5">
        <v>4</v>
      </c>
      <c r="Z347" s="5" t="s">
        <v>982</v>
      </c>
      <c r="AA347" s="5">
        <v>2</v>
      </c>
      <c r="AB347" s="5">
        <v>0</v>
      </c>
      <c r="AC347" s="5">
        <v>0</v>
      </c>
      <c r="AD347" s="5">
        <v>0</v>
      </c>
      <c r="AE347" s="5">
        <v>2</v>
      </c>
      <c r="AF347" s="5" t="s">
        <v>982</v>
      </c>
      <c r="AG347" s="5">
        <v>2</v>
      </c>
      <c r="AH347" s="5">
        <v>2</v>
      </c>
      <c r="AI347" s="5">
        <v>2</v>
      </c>
      <c r="AJ347" s="5">
        <v>6</v>
      </c>
      <c r="AK347" s="5" t="s">
        <v>981</v>
      </c>
      <c r="AL347" s="5">
        <v>0</v>
      </c>
      <c r="AM347" s="5">
        <v>0</v>
      </c>
      <c r="AN347" s="5">
        <v>0</v>
      </c>
      <c r="AO347" s="5">
        <v>0</v>
      </c>
      <c r="AP347" s="5" t="s">
        <v>983</v>
      </c>
      <c r="AQ347" s="5">
        <v>0</v>
      </c>
      <c r="AR347" s="5">
        <v>0</v>
      </c>
      <c r="AS347" s="5">
        <v>0</v>
      </c>
      <c r="AT347" s="5">
        <v>0</v>
      </c>
      <c r="AU347" s="5">
        <v>0</v>
      </c>
      <c r="AV347" s="5">
        <v>0</v>
      </c>
      <c r="AW347" s="5">
        <v>0</v>
      </c>
      <c r="AX347" s="5">
        <v>0</v>
      </c>
      <c r="AY347" s="5" t="s">
        <v>983</v>
      </c>
      <c r="AZ347" s="1">
        <v>0</v>
      </c>
      <c r="BA347" s="1">
        <v>0</v>
      </c>
      <c r="BB347" s="1">
        <v>1</v>
      </c>
      <c r="BC347" s="1">
        <v>1</v>
      </c>
      <c r="BD347" s="1">
        <v>1</v>
      </c>
      <c r="BE347" s="1">
        <v>1</v>
      </c>
      <c r="BF347" s="1">
        <v>0</v>
      </c>
      <c r="BG347" s="1">
        <v>1</v>
      </c>
      <c r="BI347" s="1">
        <v>6</v>
      </c>
      <c r="BJ347" s="1">
        <v>0</v>
      </c>
      <c r="BK347" s="1">
        <v>7</v>
      </c>
    </row>
    <row r="348" spans="1:63" ht="12.75" customHeight="1" x14ac:dyDescent="0.15">
      <c r="A348" s="5" t="s">
        <v>330</v>
      </c>
      <c r="B348" s="5" t="s">
        <v>984</v>
      </c>
      <c r="C348" s="5">
        <v>2</v>
      </c>
      <c r="D348" s="5">
        <v>4</v>
      </c>
      <c r="E348" s="5">
        <v>3</v>
      </c>
      <c r="F348" s="5">
        <v>3</v>
      </c>
      <c r="G348" s="5">
        <v>4</v>
      </c>
      <c r="H348" s="5">
        <v>4</v>
      </c>
      <c r="I348" s="5">
        <v>1</v>
      </c>
      <c r="J348" s="5">
        <v>1</v>
      </c>
      <c r="K348" s="5">
        <v>1</v>
      </c>
      <c r="L348" s="5">
        <v>1</v>
      </c>
      <c r="M348" s="5">
        <v>1</v>
      </c>
      <c r="N348" s="5">
        <v>1</v>
      </c>
      <c r="O348" s="5">
        <v>26</v>
      </c>
      <c r="P348" s="5" t="s">
        <v>981</v>
      </c>
      <c r="Q348" s="5">
        <v>0</v>
      </c>
      <c r="R348" s="5">
        <v>0</v>
      </c>
      <c r="S348" s="5">
        <v>0</v>
      </c>
      <c r="T348" s="5">
        <v>0</v>
      </c>
      <c r="U348" s="5" t="s">
        <v>983</v>
      </c>
      <c r="V348" s="5">
        <v>0</v>
      </c>
      <c r="W348" s="5">
        <v>0</v>
      </c>
      <c r="X348" s="5">
        <v>0</v>
      </c>
      <c r="Y348" s="5">
        <v>0</v>
      </c>
      <c r="Z348" s="5" t="s">
        <v>983</v>
      </c>
      <c r="AA348" s="5">
        <v>0</v>
      </c>
      <c r="AB348" s="5">
        <v>2</v>
      </c>
      <c r="AC348" s="5">
        <v>0</v>
      </c>
      <c r="AD348" s="5">
        <v>0</v>
      </c>
      <c r="AE348" s="5">
        <v>2</v>
      </c>
      <c r="AF348" s="5" t="s">
        <v>982</v>
      </c>
      <c r="AG348" s="5">
        <v>0</v>
      </c>
      <c r="AH348" s="5">
        <v>3</v>
      </c>
      <c r="AI348" s="5">
        <v>0</v>
      </c>
      <c r="AJ348" s="5">
        <v>3</v>
      </c>
      <c r="AK348" s="5" t="s">
        <v>982</v>
      </c>
      <c r="AL348" s="5">
        <v>0</v>
      </c>
      <c r="AM348" s="5">
        <v>0</v>
      </c>
      <c r="AN348" s="5">
        <v>0</v>
      </c>
      <c r="AO348" s="5">
        <v>0</v>
      </c>
      <c r="AP348" s="5" t="s">
        <v>983</v>
      </c>
      <c r="AQ348" s="5">
        <v>0</v>
      </c>
      <c r="AR348" s="5">
        <v>0</v>
      </c>
      <c r="AS348" s="5">
        <v>0</v>
      </c>
      <c r="AT348" s="5">
        <v>0</v>
      </c>
      <c r="AU348" s="5">
        <v>0</v>
      </c>
      <c r="AV348" s="5">
        <v>0</v>
      </c>
      <c r="AW348" s="5">
        <v>0</v>
      </c>
      <c r="AX348" s="5">
        <v>0</v>
      </c>
      <c r="AY348" s="5" t="s">
        <v>983</v>
      </c>
      <c r="AZ348" s="1">
        <v>0</v>
      </c>
      <c r="BA348" s="1">
        <v>0</v>
      </c>
      <c r="BB348" s="1">
        <v>0</v>
      </c>
      <c r="BC348" s="1">
        <v>1</v>
      </c>
      <c r="BD348" s="1">
        <v>0</v>
      </c>
      <c r="BE348" s="1">
        <v>0</v>
      </c>
      <c r="BF348" s="1">
        <v>41</v>
      </c>
      <c r="BG348" s="1">
        <v>0</v>
      </c>
      <c r="BH348" s="1">
        <v>14</v>
      </c>
      <c r="BI348" s="1">
        <v>1</v>
      </c>
      <c r="BJ348" s="1">
        <v>400000</v>
      </c>
      <c r="BK348" s="1">
        <v>5</v>
      </c>
    </row>
    <row r="349" spans="1:63" ht="12.75" customHeight="1" x14ac:dyDescent="0.15">
      <c r="A349" s="5" t="s">
        <v>238</v>
      </c>
      <c r="B349" s="5" t="s">
        <v>238</v>
      </c>
      <c r="C349" s="5">
        <v>2</v>
      </c>
      <c r="D349" s="5">
        <v>2</v>
      </c>
      <c r="E349" s="5">
        <v>2</v>
      </c>
      <c r="F349" s="5">
        <v>2</v>
      </c>
      <c r="G349" s="5">
        <v>1</v>
      </c>
      <c r="H349" s="5">
        <v>1</v>
      </c>
      <c r="I349" s="5">
        <v>1</v>
      </c>
      <c r="J349" s="5">
        <v>2</v>
      </c>
      <c r="K349" s="5">
        <v>2</v>
      </c>
      <c r="L349" s="5">
        <v>2</v>
      </c>
      <c r="M349" s="5">
        <v>2</v>
      </c>
      <c r="N349" s="5">
        <v>2</v>
      </c>
      <c r="O349" s="5">
        <v>21</v>
      </c>
      <c r="P349" s="5" t="s">
        <v>982</v>
      </c>
      <c r="Q349" s="5">
        <v>0</v>
      </c>
      <c r="R349" s="5">
        <v>1</v>
      </c>
      <c r="S349" s="5">
        <v>1</v>
      </c>
      <c r="T349" s="5">
        <v>2</v>
      </c>
      <c r="U349" s="5" t="s">
        <v>982</v>
      </c>
      <c r="V349" s="5">
        <v>0</v>
      </c>
      <c r="W349" s="5">
        <v>1</v>
      </c>
      <c r="X349" s="5">
        <v>0</v>
      </c>
      <c r="Y349" s="5">
        <v>1</v>
      </c>
      <c r="Z349" s="5" t="s">
        <v>983</v>
      </c>
      <c r="AA349" s="5">
        <v>4</v>
      </c>
      <c r="AB349" s="5">
        <v>4</v>
      </c>
      <c r="AC349" s="5">
        <v>3</v>
      </c>
      <c r="AD349" s="5">
        <v>2</v>
      </c>
      <c r="AE349" s="5">
        <v>13</v>
      </c>
      <c r="AF349" s="5" t="s">
        <v>981</v>
      </c>
      <c r="AG349" s="5">
        <v>1</v>
      </c>
      <c r="AH349" s="5">
        <v>0</v>
      </c>
      <c r="AI349" s="5">
        <v>0</v>
      </c>
      <c r="AJ349" s="5">
        <v>1</v>
      </c>
      <c r="AK349" s="5" t="s">
        <v>983</v>
      </c>
      <c r="AL349" s="5">
        <v>1</v>
      </c>
      <c r="AM349" s="5">
        <v>1</v>
      </c>
      <c r="AN349" s="5">
        <v>1</v>
      </c>
      <c r="AO349" s="5">
        <v>3</v>
      </c>
      <c r="AP349" s="5" t="s">
        <v>982</v>
      </c>
      <c r="AQ349" s="5">
        <v>0</v>
      </c>
      <c r="AR349" s="5">
        <v>0</v>
      </c>
      <c r="AS349" s="5">
        <v>0</v>
      </c>
      <c r="AT349" s="5">
        <v>0</v>
      </c>
      <c r="AU349" s="5">
        <v>0</v>
      </c>
      <c r="AV349" s="5">
        <v>0</v>
      </c>
      <c r="AW349" s="5">
        <v>0</v>
      </c>
      <c r="AX349" s="5">
        <v>0</v>
      </c>
      <c r="AY349" s="5" t="s">
        <v>983</v>
      </c>
      <c r="AZ349" s="1">
        <v>1</v>
      </c>
      <c r="BA349" s="1">
        <v>0</v>
      </c>
      <c r="BB349" s="1">
        <v>1</v>
      </c>
      <c r="BC349" s="1">
        <v>1</v>
      </c>
      <c r="BD349" s="1">
        <v>1</v>
      </c>
      <c r="BE349" s="1">
        <v>1</v>
      </c>
      <c r="BF349" s="1">
        <v>52</v>
      </c>
      <c r="BG349" s="1">
        <v>1</v>
      </c>
      <c r="BH349" s="1">
        <v>14</v>
      </c>
      <c r="BI349" s="1">
        <v>1</v>
      </c>
      <c r="BJ349" s="1">
        <v>450000</v>
      </c>
      <c r="BK349" s="1">
        <v>3</v>
      </c>
    </row>
    <row r="350" spans="1:63" ht="12.75" customHeight="1" x14ac:dyDescent="0.15">
      <c r="A350" s="5" t="s">
        <v>238</v>
      </c>
      <c r="B350" s="5" t="s">
        <v>238</v>
      </c>
      <c r="C350" s="5">
        <v>2</v>
      </c>
      <c r="D350" s="5">
        <v>4</v>
      </c>
      <c r="E350" s="5">
        <v>4</v>
      </c>
      <c r="F350" s="5">
        <v>3</v>
      </c>
      <c r="G350" s="5">
        <v>3</v>
      </c>
      <c r="H350" s="5">
        <v>2</v>
      </c>
      <c r="I350" s="5">
        <v>2</v>
      </c>
      <c r="J350" s="5">
        <v>2</v>
      </c>
      <c r="K350" s="5">
        <v>2</v>
      </c>
      <c r="L350" s="5">
        <v>2</v>
      </c>
      <c r="M350" s="5">
        <v>2</v>
      </c>
      <c r="N350" s="5">
        <v>2</v>
      </c>
      <c r="O350" s="5">
        <v>30</v>
      </c>
      <c r="P350" s="5" t="s">
        <v>981</v>
      </c>
      <c r="Q350" s="5">
        <v>1</v>
      </c>
      <c r="R350" s="5">
        <v>2</v>
      </c>
      <c r="S350" s="5">
        <v>0</v>
      </c>
      <c r="T350" s="5">
        <v>3</v>
      </c>
      <c r="U350" s="5" t="s">
        <v>982</v>
      </c>
      <c r="V350" s="5">
        <v>0</v>
      </c>
      <c r="W350" s="5">
        <v>0</v>
      </c>
      <c r="X350" s="5">
        <v>1</v>
      </c>
      <c r="Y350" s="5">
        <v>1</v>
      </c>
      <c r="Z350" s="5" t="s">
        <v>983</v>
      </c>
      <c r="AA350" s="5">
        <v>4</v>
      </c>
      <c r="AB350" s="5">
        <v>3</v>
      </c>
      <c r="AC350" s="5">
        <v>0</v>
      </c>
      <c r="AD350" s="5">
        <v>0</v>
      </c>
      <c r="AE350" s="5">
        <v>7</v>
      </c>
      <c r="AF350" s="5" t="s">
        <v>981</v>
      </c>
      <c r="AG350" s="5">
        <v>0</v>
      </c>
      <c r="AH350" s="5">
        <v>0</v>
      </c>
      <c r="AI350" s="5">
        <v>0</v>
      </c>
      <c r="AJ350" s="5">
        <v>0</v>
      </c>
      <c r="AK350" s="5" t="s">
        <v>983</v>
      </c>
      <c r="AL350" s="5">
        <v>0</v>
      </c>
      <c r="AM350" s="5">
        <v>0</v>
      </c>
      <c r="AN350" s="5">
        <v>0</v>
      </c>
      <c r="AO350" s="5">
        <v>0</v>
      </c>
      <c r="AP350" s="5" t="s">
        <v>983</v>
      </c>
      <c r="AQ350" s="5">
        <v>0</v>
      </c>
      <c r="AR350" s="5">
        <v>0</v>
      </c>
      <c r="AS350" s="5">
        <v>0</v>
      </c>
      <c r="AT350" s="5">
        <v>0</v>
      </c>
      <c r="AU350" s="5">
        <v>0</v>
      </c>
      <c r="AV350" s="5">
        <v>0</v>
      </c>
      <c r="AW350" s="5">
        <v>0</v>
      </c>
      <c r="AX350" s="5">
        <v>0</v>
      </c>
      <c r="AY350" s="5" t="s">
        <v>983</v>
      </c>
      <c r="AZ350" s="1">
        <v>0</v>
      </c>
      <c r="BA350" s="1">
        <v>0</v>
      </c>
      <c r="BB350" s="1">
        <v>0</v>
      </c>
      <c r="BC350" s="1">
        <v>1</v>
      </c>
      <c r="BD350" s="1">
        <v>1</v>
      </c>
      <c r="BE350" s="1">
        <v>1</v>
      </c>
      <c r="BF350" s="1">
        <v>51</v>
      </c>
      <c r="BG350" s="1">
        <v>1</v>
      </c>
      <c r="BH350" s="1">
        <v>2</v>
      </c>
      <c r="BI350" s="1">
        <v>24</v>
      </c>
      <c r="BJ350" s="1">
        <v>1400000</v>
      </c>
      <c r="BK350" s="1">
        <v>1</v>
      </c>
    </row>
    <row r="351" spans="1:63" ht="12.75" customHeight="1" x14ac:dyDescent="0.15">
      <c r="A351" s="5" t="s">
        <v>238</v>
      </c>
      <c r="B351" s="5" t="s">
        <v>238</v>
      </c>
      <c r="C351" s="5">
        <v>3</v>
      </c>
      <c r="D351" s="5">
        <v>2</v>
      </c>
      <c r="E351" s="5">
        <v>2</v>
      </c>
      <c r="F351" s="5">
        <v>3</v>
      </c>
      <c r="G351" s="5">
        <v>2</v>
      </c>
      <c r="H351" s="5">
        <v>1</v>
      </c>
      <c r="I351" s="5">
        <v>1</v>
      </c>
      <c r="J351" s="5">
        <v>1</v>
      </c>
      <c r="K351" s="5">
        <v>1</v>
      </c>
      <c r="L351" s="5">
        <v>2</v>
      </c>
      <c r="M351" s="5">
        <v>2</v>
      </c>
      <c r="N351" s="5">
        <v>2</v>
      </c>
      <c r="O351" s="5">
        <v>22</v>
      </c>
      <c r="P351" s="5" t="s">
        <v>982</v>
      </c>
      <c r="Q351" s="5">
        <v>0</v>
      </c>
      <c r="R351" s="5">
        <v>1</v>
      </c>
      <c r="S351" s="5">
        <v>1</v>
      </c>
      <c r="T351" s="5">
        <v>2</v>
      </c>
      <c r="U351" s="5" t="s">
        <v>982</v>
      </c>
      <c r="V351" s="5">
        <v>0</v>
      </c>
      <c r="W351" s="5">
        <v>2</v>
      </c>
      <c r="X351" s="5">
        <v>2</v>
      </c>
      <c r="Y351" s="5">
        <v>4</v>
      </c>
      <c r="Z351" s="5" t="s">
        <v>982</v>
      </c>
      <c r="AA351" s="5">
        <v>2</v>
      </c>
      <c r="AB351" s="5">
        <v>0</v>
      </c>
      <c r="AC351" s="5">
        <v>0</v>
      </c>
      <c r="AD351" s="5">
        <v>0</v>
      </c>
      <c r="AE351" s="5">
        <v>2</v>
      </c>
      <c r="AF351" s="5" t="s">
        <v>982</v>
      </c>
      <c r="AG351" s="5">
        <v>1</v>
      </c>
      <c r="AH351" s="5">
        <v>1</v>
      </c>
      <c r="AI351" s="5">
        <v>1</v>
      </c>
      <c r="AJ351" s="5">
        <v>3</v>
      </c>
      <c r="AK351" s="5" t="s">
        <v>982</v>
      </c>
      <c r="AL351" s="5">
        <v>0</v>
      </c>
      <c r="AM351" s="5">
        <v>0</v>
      </c>
      <c r="AN351" s="5">
        <v>0</v>
      </c>
      <c r="AO351" s="5">
        <v>0</v>
      </c>
      <c r="AP351" s="5" t="s">
        <v>983</v>
      </c>
      <c r="AQ351" s="5">
        <v>0</v>
      </c>
      <c r="AR351" s="5">
        <v>0</v>
      </c>
      <c r="AS351" s="5">
        <v>0</v>
      </c>
      <c r="AT351" s="5">
        <v>0</v>
      </c>
      <c r="AU351" s="5">
        <v>0</v>
      </c>
      <c r="AV351" s="5">
        <v>0</v>
      </c>
      <c r="AW351" s="5">
        <v>0</v>
      </c>
      <c r="AX351" s="5">
        <v>0</v>
      </c>
      <c r="AY351" s="5" t="s">
        <v>983</v>
      </c>
      <c r="AZ351" s="1">
        <v>1</v>
      </c>
      <c r="BA351" s="1">
        <v>1</v>
      </c>
      <c r="BB351" s="1">
        <v>1</v>
      </c>
      <c r="BC351" s="1">
        <v>1</v>
      </c>
      <c r="BD351" s="1">
        <v>1</v>
      </c>
      <c r="BE351" s="1">
        <v>1</v>
      </c>
      <c r="BF351" s="1">
        <v>30</v>
      </c>
      <c r="BG351" s="1">
        <v>0</v>
      </c>
      <c r="BH351" s="1">
        <v>13</v>
      </c>
      <c r="BI351" s="1">
        <v>8</v>
      </c>
      <c r="BJ351" s="1">
        <v>100000</v>
      </c>
      <c r="BK351" s="1">
        <v>1</v>
      </c>
    </row>
    <row r="352" spans="1:63" ht="12.75" customHeight="1" x14ac:dyDescent="0.15">
      <c r="A352" s="5" t="s">
        <v>330</v>
      </c>
      <c r="B352" s="5" t="s">
        <v>984</v>
      </c>
      <c r="C352" s="5">
        <v>3</v>
      </c>
      <c r="D352" s="5">
        <v>4</v>
      </c>
      <c r="E352" s="5">
        <v>4</v>
      </c>
      <c r="F352" s="5">
        <v>4</v>
      </c>
      <c r="G352" s="5">
        <v>4</v>
      </c>
      <c r="H352" s="5">
        <v>4</v>
      </c>
      <c r="I352" s="5">
        <v>4</v>
      </c>
      <c r="J352" s="5">
        <v>4</v>
      </c>
      <c r="K352" s="5">
        <v>4</v>
      </c>
      <c r="L352" s="5">
        <v>4</v>
      </c>
      <c r="M352" s="5">
        <v>4</v>
      </c>
      <c r="N352" s="5">
        <v>4</v>
      </c>
      <c r="O352" s="5">
        <v>47</v>
      </c>
      <c r="P352" s="5" t="s">
        <v>981</v>
      </c>
      <c r="Q352" s="5">
        <v>4</v>
      </c>
      <c r="R352" s="5">
        <v>4</v>
      </c>
      <c r="S352" s="5">
        <v>4</v>
      </c>
      <c r="T352" s="5">
        <v>12</v>
      </c>
      <c r="U352" s="5" t="s">
        <v>981</v>
      </c>
      <c r="V352" s="5">
        <v>4</v>
      </c>
      <c r="W352" s="5">
        <v>4</v>
      </c>
      <c r="X352" s="5">
        <v>4</v>
      </c>
      <c r="Y352" s="5">
        <v>12</v>
      </c>
      <c r="Z352" s="5" t="s">
        <v>981</v>
      </c>
      <c r="AA352" s="5">
        <v>0</v>
      </c>
      <c r="AB352" s="5">
        <v>0</v>
      </c>
      <c r="AC352" s="5">
        <v>0</v>
      </c>
      <c r="AD352" s="5">
        <v>0</v>
      </c>
      <c r="AE352" s="5">
        <v>0</v>
      </c>
      <c r="AF352" s="5" t="s">
        <v>983</v>
      </c>
      <c r="AG352" s="5">
        <v>4</v>
      </c>
      <c r="AH352" s="5">
        <v>4</v>
      </c>
      <c r="AI352" s="5">
        <v>4</v>
      </c>
      <c r="AJ352" s="5">
        <v>12</v>
      </c>
      <c r="AK352" s="5" t="s">
        <v>981</v>
      </c>
      <c r="AL352" s="5">
        <v>4</v>
      </c>
      <c r="AM352" s="5">
        <v>4</v>
      </c>
      <c r="AN352" s="5">
        <v>4</v>
      </c>
      <c r="AO352" s="5">
        <v>12</v>
      </c>
      <c r="AP352" s="5" t="s">
        <v>981</v>
      </c>
      <c r="AQ352" s="5">
        <v>0</v>
      </c>
      <c r="AR352" s="5">
        <v>0</v>
      </c>
      <c r="AS352" s="5">
        <v>0</v>
      </c>
      <c r="AT352" s="5">
        <v>0</v>
      </c>
      <c r="AU352" s="5">
        <v>0</v>
      </c>
      <c r="AV352" s="5">
        <v>0</v>
      </c>
      <c r="AW352" s="5">
        <v>0</v>
      </c>
      <c r="AX352" s="5">
        <v>0</v>
      </c>
      <c r="AY352" s="5" t="s">
        <v>983</v>
      </c>
      <c r="AZ352" s="1">
        <v>1</v>
      </c>
      <c r="BA352" s="1">
        <v>1</v>
      </c>
      <c r="BB352" s="1">
        <v>0</v>
      </c>
      <c r="BC352" s="1">
        <v>1</v>
      </c>
      <c r="BD352" s="1">
        <v>0</v>
      </c>
      <c r="BE352" s="1">
        <v>0</v>
      </c>
      <c r="BF352" s="1">
        <v>0</v>
      </c>
      <c r="BG352" s="1">
        <v>1</v>
      </c>
      <c r="BI352" s="1">
        <v>24</v>
      </c>
      <c r="BJ352" s="1">
        <v>0</v>
      </c>
      <c r="BK352" s="1">
        <v>3</v>
      </c>
    </row>
    <row r="353" spans="1:63" ht="12.75" customHeight="1" x14ac:dyDescent="0.15">
      <c r="A353" s="5" t="s">
        <v>330</v>
      </c>
      <c r="B353" s="5" t="s">
        <v>984</v>
      </c>
      <c r="C353" s="5">
        <v>1</v>
      </c>
      <c r="D353" s="5">
        <v>2</v>
      </c>
      <c r="E353" s="5">
        <v>1</v>
      </c>
      <c r="F353" s="5">
        <v>1</v>
      </c>
      <c r="G353" s="5">
        <v>1</v>
      </c>
      <c r="H353" s="5">
        <v>1</v>
      </c>
      <c r="I353" s="5">
        <v>1</v>
      </c>
      <c r="J353" s="5">
        <v>2</v>
      </c>
      <c r="K353" s="5">
        <v>1</v>
      </c>
      <c r="L353" s="5">
        <v>1</v>
      </c>
      <c r="M353" s="5">
        <v>1</v>
      </c>
      <c r="N353" s="5">
        <v>1</v>
      </c>
      <c r="O353" s="5">
        <v>14</v>
      </c>
      <c r="P353" s="5" t="s">
        <v>983</v>
      </c>
      <c r="Q353" s="5">
        <v>2</v>
      </c>
      <c r="R353" s="5">
        <v>2</v>
      </c>
      <c r="S353" s="5">
        <v>1</v>
      </c>
      <c r="T353" s="5">
        <v>5</v>
      </c>
      <c r="U353" s="5" t="s">
        <v>981</v>
      </c>
      <c r="V353" s="5">
        <v>0</v>
      </c>
      <c r="W353" s="5">
        <v>0</v>
      </c>
      <c r="X353" s="5">
        <v>0</v>
      </c>
      <c r="Y353" s="5">
        <v>0</v>
      </c>
      <c r="Z353" s="5" t="s">
        <v>983</v>
      </c>
      <c r="AA353" s="5">
        <v>1</v>
      </c>
      <c r="AB353" s="5">
        <v>1</v>
      </c>
      <c r="AC353" s="5">
        <v>0</v>
      </c>
      <c r="AD353" s="5">
        <v>0</v>
      </c>
      <c r="AE353" s="5">
        <v>2</v>
      </c>
      <c r="AF353" s="5" t="s">
        <v>982</v>
      </c>
      <c r="AG353" s="5">
        <v>3</v>
      </c>
      <c r="AH353" s="5">
        <v>0</v>
      </c>
      <c r="AI353" s="5">
        <v>0</v>
      </c>
      <c r="AJ353" s="5">
        <v>3</v>
      </c>
      <c r="AK353" s="5" t="s">
        <v>982</v>
      </c>
      <c r="AL353" s="5">
        <v>0</v>
      </c>
      <c r="AM353" s="5">
        <v>0</v>
      </c>
      <c r="AN353" s="5">
        <v>0</v>
      </c>
      <c r="AO353" s="5">
        <v>0</v>
      </c>
      <c r="AP353" s="5" t="s">
        <v>983</v>
      </c>
      <c r="AQ353" s="5">
        <v>0</v>
      </c>
      <c r="AR353" s="5">
        <v>0</v>
      </c>
      <c r="AS353" s="5">
        <v>0</v>
      </c>
      <c r="AT353" s="5">
        <v>0</v>
      </c>
      <c r="AU353" s="5">
        <v>0</v>
      </c>
      <c r="AV353" s="5">
        <v>0</v>
      </c>
      <c r="AW353" s="5">
        <v>0</v>
      </c>
      <c r="AX353" s="5">
        <v>0</v>
      </c>
      <c r="AY353" s="5" t="s">
        <v>983</v>
      </c>
      <c r="AZ353" s="1">
        <v>0</v>
      </c>
      <c r="BA353" s="1">
        <v>0</v>
      </c>
      <c r="BB353" s="1">
        <v>0</v>
      </c>
      <c r="BC353" s="1">
        <v>1</v>
      </c>
      <c r="BD353" s="1">
        <v>0</v>
      </c>
      <c r="BE353" s="1">
        <v>1</v>
      </c>
      <c r="BF353" s="1">
        <v>0</v>
      </c>
      <c r="BG353" s="1">
        <v>1</v>
      </c>
      <c r="BI353" s="1">
        <v>24</v>
      </c>
      <c r="BJ353" s="1">
        <v>0</v>
      </c>
      <c r="BK353" s="1">
        <v>3</v>
      </c>
    </row>
    <row r="354" spans="1:63" ht="12.75" customHeight="1" x14ac:dyDescent="0.15">
      <c r="A354" s="5" t="s">
        <v>238</v>
      </c>
      <c r="B354" s="5" t="s">
        <v>238</v>
      </c>
      <c r="C354" s="5">
        <v>1</v>
      </c>
      <c r="D354" s="5">
        <v>2</v>
      </c>
      <c r="E354" s="5">
        <v>2</v>
      </c>
      <c r="F354" s="5">
        <v>2</v>
      </c>
      <c r="G354" s="5">
        <v>2</v>
      </c>
      <c r="H354" s="5">
        <v>2</v>
      </c>
      <c r="I354" s="5">
        <v>2</v>
      </c>
      <c r="J354" s="5">
        <v>2</v>
      </c>
      <c r="K354" s="5">
        <v>2</v>
      </c>
      <c r="L354" s="5">
        <v>2</v>
      </c>
      <c r="M354" s="5">
        <v>2</v>
      </c>
      <c r="N354" s="5">
        <v>2</v>
      </c>
      <c r="O354" s="5">
        <v>23</v>
      </c>
      <c r="P354" s="5" t="s">
        <v>982</v>
      </c>
      <c r="Q354" s="5">
        <v>3</v>
      </c>
      <c r="R354" s="5">
        <v>3</v>
      </c>
      <c r="S354" s="5">
        <v>3</v>
      </c>
      <c r="T354" s="5">
        <v>9</v>
      </c>
      <c r="U354" s="5" t="s">
        <v>981</v>
      </c>
      <c r="V354" s="5">
        <v>3</v>
      </c>
      <c r="W354" s="5">
        <v>3</v>
      </c>
      <c r="X354" s="5">
        <v>3</v>
      </c>
      <c r="Y354" s="5">
        <v>9</v>
      </c>
      <c r="Z354" s="5" t="s">
        <v>981</v>
      </c>
      <c r="AA354" s="5">
        <v>1</v>
      </c>
      <c r="AB354" s="5">
        <v>1</v>
      </c>
      <c r="AC354" s="5">
        <v>1</v>
      </c>
      <c r="AD354" s="5">
        <v>1</v>
      </c>
      <c r="AE354" s="5">
        <v>4</v>
      </c>
      <c r="AF354" s="5" t="s">
        <v>982</v>
      </c>
      <c r="AG354" s="5">
        <v>3</v>
      </c>
      <c r="AH354" s="5">
        <v>3</v>
      </c>
      <c r="AI354" s="5">
        <v>3</v>
      </c>
      <c r="AJ354" s="5">
        <v>9</v>
      </c>
      <c r="AK354" s="5" t="s">
        <v>981</v>
      </c>
      <c r="AL354" s="5">
        <v>3</v>
      </c>
      <c r="AM354" s="5">
        <v>3</v>
      </c>
      <c r="AN354" s="5">
        <v>3</v>
      </c>
      <c r="AO354" s="5">
        <v>9</v>
      </c>
      <c r="AP354" s="5" t="s">
        <v>981</v>
      </c>
      <c r="AQ354" s="5">
        <v>0</v>
      </c>
      <c r="AR354" s="5">
        <v>0</v>
      </c>
      <c r="AS354" s="5">
        <v>0</v>
      </c>
      <c r="AT354" s="5">
        <v>0</v>
      </c>
      <c r="AU354" s="5">
        <v>0</v>
      </c>
      <c r="AV354" s="5">
        <v>0</v>
      </c>
      <c r="AW354" s="5">
        <v>0</v>
      </c>
      <c r="AX354" s="5">
        <v>0</v>
      </c>
      <c r="AY354" s="5" t="s">
        <v>983</v>
      </c>
      <c r="AZ354" s="1">
        <v>0</v>
      </c>
      <c r="BA354" s="1">
        <v>0</v>
      </c>
      <c r="BB354" s="1">
        <v>0</v>
      </c>
      <c r="BC354" s="1">
        <v>1</v>
      </c>
      <c r="BD354" s="1">
        <v>1</v>
      </c>
      <c r="BE354" s="1">
        <v>1</v>
      </c>
      <c r="BF354" s="1">
        <v>53</v>
      </c>
      <c r="BG354" s="1">
        <v>0</v>
      </c>
      <c r="BH354" s="1">
        <v>12</v>
      </c>
      <c r="BI354" s="1">
        <v>1</v>
      </c>
      <c r="BJ354" s="1">
        <v>400000</v>
      </c>
      <c r="BK354" s="1">
        <v>2</v>
      </c>
    </row>
    <row r="355" spans="1:63" ht="12.75" customHeight="1" x14ac:dyDescent="0.15">
      <c r="A355" s="5" t="s">
        <v>238</v>
      </c>
      <c r="B355" s="5" t="s">
        <v>238</v>
      </c>
      <c r="C355" s="5">
        <v>3</v>
      </c>
      <c r="D355" s="5">
        <v>4</v>
      </c>
      <c r="E355" s="5">
        <v>3</v>
      </c>
      <c r="F355" s="5">
        <v>2</v>
      </c>
      <c r="G355" s="5">
        <v>2</v>
      </c>
      <c r="H355" s="5">
        <v>1</v>
      </c>
      <c r="I355" s="5">
        <v>1</v>
      </c>
      <c r="J355" s="5">
        <v>1</v>
      </c>
      <c r="K355" s="5">
        <v>1</v>
      </c>
      <c r="L355" s="5">
        <v>2</v>
      </c>
      <c r="M355" s="5">
        <v>2</v>
      </c>
      <c r="N355" s="5">
        <v>2</v>
      </c>
      <c r="O355" s="5">
        <v>24</v>
      </c>
      <c r="P355" s="5" t="s">
        <v>981</v>
      </c>
      <c r="Q355" s="5">
        <v>1</v>
      </c>
      <c r="R355" s="5">
        <v>1</v>
      </c>
      <c r="S355" s="5">
        <v>0</v>
      </c>
      <c r="T355" s="5">
        <v>2</v>
      </c>
      <c r="U355" s="5" t="s">
        <v>982</v>
      </c>
      <c r="V355" s="5">
        <v>1</v>
      </c>
      <c r="W355" s="5">
        <v>4</v>
      </c>
      <c r="X355" s="5">
        <v>3</v>
      </c>
      <c r="Y355" s="5">
        <v>8</v>
      </c>
      <c r="Z355" s="5" t="s">
        <v>981</v>
      </c>
      <c r="AA355" s="5">
        <v>4</v>
      </c>
      <c r="AB355" s="5">
        <v>4</v>
      </c>
      <c r="AC355" s="5">
        <v>0</v>
      </c>
      <c r="AD355" s="5">
        <v>3</v>
      </c>
      <c r="AE355" s="5">
        <v>11</v>
      </c>
      <c r="AF355" s="5" t="s">
        <v>981</v>
      </c>
      <c r="AG355" s="5">
        <v>1</v>
      </c>
      <c r="AH355" s="5">
        <v>0</v>
      </c>
      <c r="AI355" s="5">
        <v>0</v>
      </c>
      <c r="AJ355" s="5">
        <v>1</v>
      </c>
      <c r="AK355" s="5" t="s">
        <v>983</v>
      </c>
      <c r="AL355" s="5">
        <v>4</v>
      </c>
      <c r="AM355" s="5">
        <v>4</v>
      </c>
      <c r="AN355" s="5">
        <v>4</v>
      </c>
      <c r="AO355" s="5">
        <v>12</v>
      </c>
      <c r="AP355" s="5" t="s">
        <v>981</v>
      </c>
      <c r="AQ355" s="5">
        <v>0</v>
      </c>
      <c r="AR355" s="5">
        <v>0</v>
      </c>
      <c r="AS355" s="5">
        <v>0</v>
      </c>
      <c r="AT355" s="5">
        <v>0</v>
      </c>
      <c r="AU355" s="5">
        <v>0</v>
      </c>
      <c r="AV355" s="5">
        <v>0</v>
      </c>
      <c r="AW355" s="5">
        <v>0</v>
      </c>
      <c r="AX355" s="5">
        <v>0</v>
      </c>
      <c r="AY355" s="5" t="s">
        <v>983</v>
      </c>
      <c r="AZ355" s="1">
        <v>1</v>
      </c>
      <c r="BA355" s="1">
        <v>1</v>
      </c>
      <c r="BB355" s="1">
        <v>1</v>
      </c>
      <c r="BC355" s="1">
        <v>1</v>
      </c>
      <c r="BD355" s="1">
        <v>1</v>
      </c>
      <c r="BE355" s="1">
        <v>1</v>
      </c>
      <c r="BF355" s="1">
        <v>26</v>
      </c>
      <c r="BG355" s="1">
        <v>0</v>
      </c>
      <c r="BH355" s="1">
        <v>15</v>
      </c>
      <c r="BI355" s="1">
        <v>34</v>
      </c>
      <c r="BJ355" s="1">
        <v>60000</v>
      </c>
      <c r="BK355" s="1">
        <v>4</v>
      </c>
    </row>
    <row r="356" spans="1:63" ht="12.75" customHeight="1" x14ac:dyDescent="0.15">
      <c r="A356" s="5" t="s">
        <v>238</v>
      </c>
      <c r="B356" s="5" t="s">
        <v>238</v>
      </c>
      <c r="C356" s="5">
        <v>2</v>
      </c>
      <c r="D356" s="5">
        <v>2</v>
      </c>
      <c r="E356" s="5">
        <v>3</v>
      </c>
      <c r="F356" s="5">
        <v>2</v>
      </c>
      <c r="G356" s="5">
        <v>2</v>
      </c>
      <c r="H356" s="5">
        <v>2</v>
      </c>
      <c r="I356" s="5">
        <v>1</v>
      </c>
      <c r="J356" s="5">
        <v>1</v>
      </c>
      <c r="K356" s="5">
        <v>1</v>
      </c>
      <c r="L356" s="5">
        <v>1</v>
      </c>
      <c r="M356" s="5">
        <v>1</v>
      </c>
      <c r="N356" s="5">
        <v>1</v>
      </c>
      <c r="O356" s="5">
        <v>19</v>
      </c>
      <c r="P356" s="5" t="s">
        <v>982</v>
      </c>
      <c r="Q356" s="5">
        <v>2</v>
      </c>
      <c r="R356" s="5">
        <v>0</v>
      </c>
      <c r="S356" s="5">
        <v>1</v>
      </c>
      <c r="T356" s="5">
        <v>3</v>
      </c>
      <c r="U356" s="5" t="s">
        <v>982</v>
      </c>
      <c r="V356" s="5">
        <v>1</v>
      </c>
      <c r="W356" s="5">
        <v>0</v>
      </c>
      <c r="X356" s="5">
        <v>1</v>
      </c>
      <c r="Y356" s="5">
        <v>2</v>
      </c>
      <c r="Z356" s="5" t="s">
        <v>982</v>
      </c>
      <c r="AA356" s="5">
        <v>2</v>
      </c>
      <c r="AB356" s="5">
        <v>2</v>
      </c>
      <c r="AC356" s="5">
        <v>0</v>
      </c>
      <c r="AD356" s="5">
        <v>0</v>
      </c>
      <c r="AE356" s="5">
        <v>4</v>
      </c>
      <c r="AF356" s="5" t="s">
        <v>982</v>
      </c>
      <c r="AG356" s="5">
        <v>1</v>
      </c>
      <c r="AH356" s="5">
        <v>1</v>
      </c>
      <c r="AI356" s="5">
        <v>2</v>
      </c>
      <c r="AJ356" s="5">
        <v>4</v>
      </c>
      <c r="AK356" s="5" t="s">
        <v>982</v>
      </c>
      <c r="AL356" s="5">
        <v>1</v>
      </c>
      <c r="AM356" s="5">
        <v>0</v>
      </c>
      <c r="AN356" s="5">
        <v>0</v>
      </c>
      <c r="AO356" s="5">
        <v>1</v>
      </c>
      <c r="AP356" s="5" t="s">
        <v>983</v>
      </c>
      <c r="AQ356" s="5">
        <v>0</v>
      </c>
      <c r="AR356" s="5">
        <v>0</v>
      </c>
      <c r="AS356" s="5">
        <v>0</v>
      </c>
      <c r="AT356" s="5">
        <v>0</v>
      </c>
      <c r="AU356" s="5">
        <v>0</v>
      </c>
      <c r="AV356" s="5">
        <v>0</v>
      </c>
      <c r="AW356" s="5">
        <v>0</v>
      </c>
      <c r="AX356" s="5">
        <v>0</v>
      </c>
      <c r="AY356" s="5" t="s">
        <v>983</v>
      </c>
      <c r="AZ356" s="1">
        <v>1</v>
      </c>
      <c r="BA356" s="1">
        <v>0</v>
      </c>
      <c r="BB356" s="1">
        <v>1</v>
      </c>
      <c r="BC356" s="1">
        <v>1</v>
      </c>
      <c r="BD356" s="1">
        <v>0</v>
      </c>
      <c r="BE356" s="1">
        <v>1</v>
      </c>
      <c r="BF356" s="1">
        <v>43</v>
      </c>
      <c r="BG356" s="1">
        <v>1</v>
      </c>
      <c r="BH356" s="1">
        <v>13</v>
      </c>
      <c r="BI356" s="1">
        <v>9</v>
      </c>
      <c r="BJ356" s="1">
        <v>450000</v>
      </c>
      <c r="BK356" s="1">
        <v>4</v>
      </c>
    </row>
    <row r="357" spans="1:63" ht="12.75" customHeight="1" x14ac:dyDescent="0.15">
      <c r="A357" s="5" t="s">
        <v>238</v>
      </c>
      <c r="B357" s="5" t="s">
        <v>238</v>
      </c>
      <c r="C357" s="5">
        <v>2</v>
      </c>
      <c r="D357" s="5">
        <v>3</v>
      </c>
      <c r="E357" s="5">
        <v>3</v>
      </c>
      <c r="F357" s="5">
        <v>1</v>
      </c>
      <c r="G357" s="5">
        <v>1</v>
      </c>
      <c r="H357" s="5">
        <v>1</v>
      </c>
      <c r="I357" s="5">
        <v>1</v>
      </c>
      <c r="J357" s="5">
        <v>4</v>
      </c>
      <c r="K357" s="5">
        <v>2</v>
      </c>
      <c r="L357" s="5">
        <v>2</v>
      </c>
      <c r="M357" s="5">
        <v>2</v>
      </c>
      <c r="N357" s="5">
        <v>2</v>
      </c>
      <c r="O357" s="5">
        <v>24</v>
      </c>
      <c r="P357" s="5" t="s">
        <v>981</v>
      </c>
      <c r="Q357" s="5">
        <v>1</v>
      </c>
      <c r="R357" s="5">
        <v>1</v>
      </c>
      <c r="S357" s="5">
        <v>1</v>
      </c>
      <c r="T357" s="5">
        <v>3</v>
      </c>
      <c r="U357" s="5" t="s">
        <v>982</v>
      </c>
      <c r="V357" s="5">
        <v>1</v>
      </c>
      <c r="W357" s="5">
        <v>1</v>
      </c>
      <c r="X357" s="5">
        <v>1</v>
      </c>
      <c r="Y357" s="5">
        <v>3</v>
      </c>
      <c r="Z357" s="5" t="s">
        <v>982</v>
      </c>
      <c r="AA357" s="5">
        <v>3</v>
      </c>
      <c r="AB357" s="5">
        <v>3</v>
      </c>
      <c r="AC357" s="5">
        <v>3</v>
      </c>
      <c r="AD357" s="5">
        <v>3</v>
      </c>
      <c r="AE357" s="5">
        <v>12</v>
      </c>
      <c r="AF357" s="5" t="s">
        <v>981</v>
      </c>
      <c r="AG357" s="5">
        <v>1</v>
      </c>
      <c r="AH357" s="5">
        <v>1</v>
      </c>
      <c r="AI357" s="5">
        <v>1</v>
      </c>
      <c r="AJ357" s="5">
        <v>3</v>
      </c>
      <c r="AK357" s="5" t="s">
        <v>982</v>
      </c>
      <c r="AL357" s="5">
        <v>1</v>
      </c>
      <c r="AM357" s="5">
        <v>1</v>
      </c>
      <c r="AN357" s="5">
        <v>1</v>
      </c>
      <c r="AO357" s="5">
        <v>3</v>
      </c>
      <c r="AP357" s="5" t="s">
        <v>982</v>
      </c>
      <c r="AQ357" s="5">
        <v>0</v>
      </c>
      <c r="AR357" s="5">
        <v>0</v>
      </c>
      <c r="AS357" s="5">
        <v>0</v>
      </c>
      <c r="AT357" s="5">
        <v>0</v>
      </c>
      <c r="AU357" s="5">
        <v>0</v>
      </c>
      <c r="AV357" s="5">
        <v>0</v>
      </c>
      <c r="AW357" s="5">
        <v>0</v>
      </c>
      <c r="AX357" s="5">
        <v>0</v>
      </c>
      <c r="AY357" s="5" t="s">
        <v>983</v>
      </c>
      <c r="AZ357" s="1">
        <v>0</v>
      </c>
      <c r="BA357" s="1">
        <v>0</v>
      </c>
      <c r="BB357" s="1">
        <v>0</v>
      </c>
      <c r="BC357" s="1">
        <v>1</v>
      </c>
      <c r="BD357" s="1">
        <v>1</v>
      </c>
      <c r="BE357" s="1">
        <v>0</v>
      </c>
      <c r="BF357" s="1">
        <v>43</v>
      </c>
      <c r="BG357" s="1">
        <v>1</v>
      </c>
      <c r="BH357" s="1">
        <v>13</v>
      </c>
      <c r="BI357" s="1">
        <v>9</v>
      </c>
      <c r="BJ357" s="1">
        <v>450000</v>
      </c>
      <c r="BK357" s="1">
        <v>4</v>
      </c>
    </row>
    <row r="358" spans="1:63" ht="12.75" customHeight="1" x14ac:dyDescent="0.15">
      <c r="A358" s="5" t="s">
        <v>238</v>
      </c>
      <c r="B358" s="5" t="s">
        <v>238</v>
      </c>
      <c r="C358" s="5">
        <v>1</v>
      </c>
      <c r="D358" s="5">
        <v>2</v>
      </c>
      <c r="E358" s="5">
        <v>2</v>
      </c>
      <c r="F358" s="5">
        <v>2</v>
      </c>
      <c r="G358" s="5">
        <v>2</v>
      </c>
      <c r="H358" s="5">
        <v>2</v>
      </c>
      <c r="I358" s="5">
        <v>2</v>
      </c>
      <c r="J358" s="5">
        <v>3</v>
      </c>
      <c r="K358" s="5">
        <v>3</v>
      </c>
      <c r="L358" s="5">
        <v>3</v>
      </c>
      <c r="M358" s="5">
        <v>3</v>
      </c>
      <c r="N358" s="5">
        <v>3</v>
      </c>
      <c r="O358" s="5">
        <v>28</v>
      </c>
      <c r="P358" s="5" t="s">
        <v>981</v>
      </c>
      <c r="Q358" s="5">
        <v>2</v>
      </c>
      <c r="R358" s="5">
        <v>2</v>
      </c>
      <c r="S358" s="5">
        <v>2</v>
      </c>
      <c r="T358" s="5">
        <v>6</v>
      </c>
      <c r="U358" s="5" t="s">
        <v>981</v>
      </c>
      <c r="V358" s="5">
        <v>2</v>
      </c>
      <c r="W358" s="5">
        <v>2</v>
      </c>
      <c r="X358" s="5">
        <v>2</v>
      </c>
      <c r="Y358" s="5">
        <v>6</v>
      </c>
      <c r="Z358" s="5" t="s">
        <v>981</v>
      </c>
      <c r="AA358" s="5">
        <v>2</v>
      </c>
      <c r="AB358" s="5">
        <v>2</v>
      </c>
      <c r="AC358" s="5">
        <v>2</v>
      </c>
      <c r="AD358" s="5">
        <v>2</v>
      </c>
      <c r="AE358" s="5">
        <v>8</v>
      </c>
      <c r="AF358" s="5" t="s">
        <v>981</v>
      </c>
      <c r="AG358" s="5">
        <v>2</v>
      </c>
      <c r="AH358" s="5">
        <v>2</v>
      </c>
      <c r="AI358" s="5">
        <v>2</v>
      </c>
      <c r="AJ358" s="5">
        <v>6</v>
      </c>
      <c r="AK358" s="5" t="s">
        <v>981</v>
      </c>
      <c r="AL358" s="5">
        <v>2</v>
      </c>
      <c r="AM358" s="5">
        <v>2</v>
      </c>
      <c r="AN358" s="5">
        <v>2</v>
      </c>
      <c r="AO358" s="5">
        <v>6</v>
      </c>
      <c r="AP358" s="5" t="s">
        <v>981</v>
      </c>
      <c r="AQ358" s="5">
        <v>0</v>
      </c>
      <c r="AR358" s="5">
        <v>0</v>
      </c>
      <c r="AS358" s="5">
        <v>0</v>
      </c>
      <c r="AT358" s="5">
        <v>0</v>
      </c>
      <c r="AU358" s="5">
        <v>0</v>
      </c>
      <c r="AV358" s="5">
        <v>0</v>
      </c>
      <c r="AW358" s="5">
        <v>0</v>
      </c>
      <c r="AX358" s="5">
        <v>0</v>
      </c>
      <c r="AY358" s="5" t="s">
        <v>983</v>
      </c>
      <c r="AZ358" s="1">
        <v>0</v>
      </c>
      <c r="BA358" s="1">
        <v>0</v>
      </c>
      <c r="BB358" s="1">
        <v>0</v>
      </c>
      <c r="BC358" s="1">
        <v>0</v>
      </c>
      <c r="BD358" s="1">
        <v>0</v>
      </c>
      <c r="BE358" s="1">
        <v>0</v>
      </c>
      <c r="BF358" s="1">
        <v>0</v>
      </c>
      <c r="BG358" s="1">
        <v>0</v>
      </c>
      <c r="BI358" s="1">
        <v>5</v>
      </c>
      <c r="BJ358" s="1">
        <v>0</v>
      </c>
      <c r="BK358" s="1">
        <v>8</v>
      </c>
    </row>
    <row r="359" spans="1:63" ht="12.75" customHeight="1" x14ac:dyDescent="0.15">
      <c r="A359" s="5" t="s">
        <v>238</v>
      </c>
      <c r="B359" s="5" t="s">
        <v>238</v>
      </c>
      <c r="C359" s="5">
        <v>2</v>
      </c>
      <c r="D359" s="5">
        <v>2</v>
      </c>
      <c r="E359" s="5">
        <v>3</v>
      </c>
      <c r="F359" s="5">
        <v>2</v>
      </c>
      <c r="G359" s="5">
        <v>3</v>
      </c>
      <c r="H359" s="5">
        <v>3</v>
      </c>
      <c r="I359" s="5">
        <v>4</v>
      </c>
      <c r="J359" s="5">
        <v>2</v>
      </c>
      <c r="K359" s="5">
        <v>2</v>
      </c>
      <c r="L359" s="5">
        <v>2</v>
      </c>
      <c r="M359" s="5">
        <v>2</v>
      </c>
      <c r="N359" s="5">
        <v>2</v>
      </c>
      <c r="O359" s="5">
        <v>29</v>
      </c>
      <c r="P359" s="5" t="s">
        <v>981</v>
      </c>
      <c r="Q359" s="5">
        <v>2</v>
      </c>
      <c r="R359" s="5">
        <v>2</v>
      </c>
      <c r="S359" s="5">
        <v>2</v>
      </c>
      <c r="T359" s="5">
        <v>6</v>
      </c>
      <c r="U359" s="5" t="s">
        <v>981</v>
      </c>
      <c r="V359" s="5">
        <v>2</v>
      </c>
      <c r="W359" s="5">
        <v>2</v>
      </c>
      <c r="X359" s="5">
        <v>2</v>
      </c>
      <c r="Y359" s="5">
        <v>6</v>
      </c>
      <c r="Z359" s="5" t="s">
        <v>981</v>
      </c>
      <c r="AA359" s="5">
        <v>2</v>
      </c>
      <c r="AB359" s="5">
        <v>2</v>
      </c>
      <c r="AC359" s="5">
        <v>2</v>
      </c>
      <c r="AD359" s="5">
        <v>2</v>
      </c>
      <c r="AE359" s="5">
        <v>8</v>
      </c>
      <c r="AF359" s="5" t="s">
        <v>981</v>
      </c>
      <c r="AG359" s="5">
        <v>2</v>
      </c>
      <c r="AH359" s="5">
        <v>2</v>
      </c>
      <c r="AI359" s="5">
        <v>2</v>
      </c>
      <c r="AJ359" s="5">
        <v>6</v>
      </c>
      <c r="AK359" s="5" t="s">
        <v>981</v>
      </c>
      <c r="AL359" s="5">
        <v>2</v>
      </c>
      <c r="AM359" s="5">
        <v>2</v>
      </c>
      <c r="AN359" s="5">
        <v>2</v>
      </c>
      <c r="AO359" s="5">
        <v>6</v>
      </c>
      <c r="AP359" s="5" t="s">
        <v>981</v>
      </c>
      <c r="AQ359" s="5">
        <v>1</v>
      </c>
      <c r="AR359" s="5">
        <v>1</v>
      </c>
      <c r="AS359" s="5">
        <v>1</v>
      </c>
      <c r="AT359" s="5">
        <v>0</v>
      </c>
      <c r="AU359" s="5">
        <v>0</v>
      </c>
      <c r="AV359" s="5">
        <v>0</v>
      </c>
      <c r="AW359" s="5">
        <v>0</v>
      </c>
      <c r="AX359" s="5">
        <v>3</v>
      </c>
      <c r="AY359" s="5" t="s">
        <v>982</v>
      </c>
      <c r="AZ359" s="1">
        <v>1</v>
      </c>
      <c r="BA359" s="1">
        <v>0</v>
      </c>
      <c r="BB359" s="1">
        <v>1</v>
      </c>
      <c r="BC359" s="1">
        <v>1</v>
      </c>
      <c r="BD359" s="1">
        <v>1</v>
      </c>
      <c r="BE359" s="1">
        <v>1</v>
      </c>
      <c r="BF359" s="1">
        <v>0</v>
      </c>
      <c r="BG359" s="1">
        <v>0</v>
      </c>
      <c r="BI359" s="1">
        <v>5</v>
      </c>
      <c r="BJ359" s="1">
        <v>0</v>
      </c>
      <c r="BK359" s="1">
        <v>8</v>
      </c>
    </row>
    <row r="360" spans="1:63" ht="12.75" customHeight="1" x14ac:dyDescent="0.15">
      <c r="A360" s="5" t="s">
        <v>238</v>
      </c>
      <c r="B360" s="5" t="s">
        <v>238</v>
      </c>
      <c r="C360" s="5">
        <v>4</v>
      </c>
      <c r="D360" s="5">
        <v>3</v>
      </c>
      <c r="E360" s="5">
        <v>3</v>
      </c>
      <c r="F360" s="5">
        <v>2</v>
      </c>
      <c r="G360" s="5">
        <v>3</v>
      </c>
      <c r="H360" s="5">
        <v>2</v>
      </c>
      <c r="I360" s="5">
        <v>1</v>
      </c>
      <c r="J360" s="5">
        <v>3</v>
      </c>
      <c r="K360" s="5">
        <v>2</v>
      </c>
      <c r="L360" s="5">
        <v>2</v>
      </c>
      <c r="M360" s="5">
        <v>2</v>
      </c>
      <c r="N360" s="5">
        <v>2</v>
      </c>
      <c r="O360" s="5">
        <v>29</v>
      </c>
      <c r="P360" s="5" t="s">
        <v>981</v>
      </c>
      <c r="Q360" s="5">
        <v>2</v>
      </c>
      <c r="R360" s="5">
        <v>1</v>
      </c>
      <c r="S360" s="5">
        <v>1</v>
      </c>
      <c r="T360" s="5">
        <v>4</v>
      </c>
      <c r="U360" s="5" t="s">
        <v>982</v>
      </c>
      <c r="V360" s="5">
        <v>2</v>
      </c>
      <c r="W360" s="5">
        <v>1</v>
      </c>
      <c r="X360" s="5">
        <v>1</v>
      </c>
      <c r="Y360" s="5">
        <v>4</v>
      </c>
      <c r="Z360" s="5" t="s">
        <v>982</v>
      </c>
      <c r="AA360" s="5">
        <v>2</v>
      </c>
      <c r="AB360" s="5">
        <v>1</v>
      </c>
      <c r="AC360" s="5">
        <v>0</v>
      </c>
      <c r="AD360" s="5">
        <v>0</v>
      </c>
      <c r="AE360" s="5">
        <v>3</v>
      </c>
      <c r="AF360" s="5" t="s">
        <v>982</v>
      </c>
      <c r="AG360" s="5">
        <v>0</v>
      </c>
      <c r="AH360" s="5">
        <v>0</v>
      </c>
      <c r="AI360" s="5">
        <v>0</v>
      </c>
      <c r="AJ360" s="5">
        <v>0</v>
      </c>
      <c r="AK360" s="5" t="s">
        <v>983</v>
      </c>
      <c r="AL360" s="5">
        <v>0</v>
      </c>
      <c r="AM360" s="5">
        <v>1</v>
      </c>
      <c r="AN360" s="5">
        <v>0</v>
      </c>
      <c r="AO360" s="5">
        <v>1</v>
      </c>
      <c r="AP360" s="5" t="s">
        <v>983</v>
      </c>
      <c r="AQ360" s="5">
        <v>0</v>
      </c>
      <c r="AR360" s="5">
        <v>0</v>
      </c>
      <c r="AS360" s="5">
        <v>0</v>
      </c>
      <c r="AT360" s="5">
        <v>0</v>
      </c>
      <c r="AU360" s="5">
        <v>0</v>
      </c>
      <c r="AV360" s="5">
        <v>0</v>
      </c>
      <c r="AW360" s="5">
        <v>0</v>
      </c>
      <c r="AX360" s="5">
        <v>0</v>
      </c>
      <c r="AY360" s="5" t="s">
        <v>983</v>
      </c>
      <c r="AZ360" s="1">
        <v>1</v>
      </c>
      <c r="BA360" s="1">
        <v>0</v>
      </c>
      <c r="BB360" s="1">
        <v>1</v>
      </c>
      <c r="BC360" s="1">
        <v>1</v>
      </c>
      <c r="BD360" s="1">
        <v>1</v>
      </c>
      <c r="BE360" s="1">
        <v>1</v>
      </c>
      <c r="BF360" s="1">
        <v>55</v>
      </c>
      <c r="BG360" s="1">
        <v>1</v>
      </c>
      <c r="BH360" s="1">
        <v>2</v>
      </c>
      <c r="BI360" s="1">
        <v>34</v>
      </c>
      <c r="BJ360" s="1">
        <v>400000</v>
      </c>
      <c r="BK360" s="1">
        <v>1</v>
      </c>
    </row>
    <row r="361" spans="1:63" ht="12.75" customHeight="1" x14ac:dyDescent="0.15">
      <c r="A361" s="5" t="s">
        <v>238</v>
      </c>
      <c r="B361" s="5" t="s">
        <v>238</v>
      </c>
      <c r="C361" s="5">
        <v>1</v>
      </c>
      <c r="D361" s="5">
        <v>2</v>
      </c>
      <c r="E361" s="5">
        <v>3</v>
      </c>
      <c r="F361" s="5">
        <v>2</v>
      </c>
      <c r="G361" s="5">
        <v>2</v>
      </c>
      <c r="H361" s="5">
        <v>2</v>
      </c>
      <c r="I361" s="5">
        <v>1</v>
      </c>
      <c r="J361" s="5">
        <v>2</v>
      </c>
      <c r="K361" s="5">
        <v>1</v>
      </c>
      <c r="L361" s="5">
        <v>1</v>
      </c>
      <c r="M361" s="5">
        <v>1</v>
      </c>
      <c r="N361" s="5">
        <v>1</v>
      </c>
      <c r="O361" s="5">
        <v>19</v>
      </c>
      <c r="P361" s="5" t="s">
        <v>982</v>
      </c>
      <c r="Q361" s="5">
        <v>2</v>
      </c>
      <c r="R361" s="5">
        <v>2</v>
      </c>
      <c r="S361" s="5">
        <v>1</v>
      </c>
      <c r="T361" s="5">
        <v>5</v>
      </c>
      <c r="U361" s="5" t="s">
        <v>981</v>
      </c>
      <c r="V361" s="5">
        <v>1</v>
      </c>
      <c r="W361" s="5">
        <v>1</v>
      </c>
      <c r="X361" s="5">
        <v>0</v>
      </c>
      <c r="Y361" s="5">
        <v>2</v>
      </c>
      <c r="Z361" s="5" t="s">
        <v>982</v>
      </c>
      <c r="AA361" s="5">
        <v>4</v>
      </c>
      <c r="AB361" s="5">
        <v>4</v>
      </c>
      <c r="AC361" s="5">
        <v>0</v>
      </c>
      <c r="AD361" s="5">
        <v>2</v>
      </c>
      <c r="AE361" s="5">
        <v>10</v>
      </c>
      <c r="AF361" s="5" t="s">
        <v>981</v>
      </c>
      <c r="AG361" s="5">
        <v>2</v>
      </c>
      <c r="AH361" s="5">
        <v>0</v>
      </c>
      <c r="AI361" s="5">
        <v>0</v>
      </c>
      <c r="AJ361" s="5">
        <v>2</v>
      </c>
      <c r="AK361" s="5" t="s">
        <v>983</v>
      </c>
      <c r="AL361" s="5">
        <v>2</v>
      </c>
      <c r="AM361" s="5">
        <v>2</v>
      </c>
      <c r="AN361" s="5">
        <v>2</v>
      </c>
      <c r="AO361" s="5">
        <v>6</v>
      </c>
      <c r="AP361" s="5" t="s">
        <v>981</v>
      </c>
      <c r="AQ361" s="5">
        <v>1</v>
      </c>
      <c r="AR361" s="5">
        <v>0</v>
      </c>
      <c r="AS361" s="5">
        <v>0</v>
      </c>
      <c r="AT361" s="5">
        <v>0</v>
      </c>
      <c r="AU361" s="5">
        <v>0</v>
      </c>
      <c r="AV361" s="5">
        <v>0</v>
      </c>
      <c r="AW361" s="5">
        <v>0</v>
      </c>
      <c r="AX361" s="5">
        <v>1</v>
      </c>
      <c r="AY361" s="5" t="s">
        <v>982</v>
      </c>
      <c r="AZ361" s="1">
        <v>1</v>
      </c>
      <c r="BA361" s="1">
        <v>1</v>
      </c>
      <c r="BB361" s="1">
        <v>1</v>
      </c>
      <c r="BC361" s="1">
        <v>1</v>
      </c>
      <c r="BD361" s="1">
        <v>1</v>
      </c>
      <c r="BE361" s="1">
        <v>1</v>
      </c>
      <c r="BF361" s="1">
        <v>58</v>
      </c>
      <c r="BG361" s="1">
        <v>1</v>
      </c>
      <c r="BH361" s="1">
        <v>14</v>
      </c>
      <c r="BI361" s="1">
        <v>3</v>
      </c>
      <c r="BJ361" s="1">
        <v>0</v>
      </c>
      <c r="BK361" s="1">
        <v>1</v>
      </c>
    </row>
    <row r="362" spans="1:63" ht="12.75" customHeight="1" x14ac:dyDescent="0.15">
      <c r="A362" s="5" t="s">
        <v>330</v>
      </c>
      <c r="B362" s="5" t="s">
        <v>984</v>
      </c>
      <c r="C362" s="5">
        <v>3</v>
      </c>
      <c r="D362" s="5">
        <v>3</v>
      </c>
      <c r="E362" s="5">
        <v>3</v>
      </c>
      <c r="F362" s="5">
        <v>3</v>
      </c>
      <c r="G362" s="5">
        <v>3</v>
      </c>
      <c r="H362" s="5">
        <v>3</v>
      </c>
      <c r="I362" s="5">
        <v>3</v>
      </c>
      <c r="J362" s="5">
        <v>2</v>
      </c>
      <c r="K362" s="5">
        <v>2</v>
      </c>
      <c r="L362" s="5">
        <v>3</v>
      </c>
      <c r="M362" s="5">
        <v>2</v>
      </c>
      <c r="N362" s="5">
        <v>3</v>
      </c>
      <c r="O362" s="5">
        <v>33</v>
      </c>
      <c r="P362" s="5" t="s">
        <v>981</v>
      </c>
      <c r="Q362" s="5">
        <v>1</v>
      </c>
      <c r="R362" s="5">
        <v>1</v>
      </c>
      <c r="S362" s="5">
        <v>1</v>
      </c>
      <c r="T362" s="5">
        <v>3</v>
      </c>
      <c r="U362" s="5" t="s">
        <v>982</v>
      </c>
      <c r="V362" s="5">
        <v>1</v>
      </c>
      <c r="W362" s="5">
        <v>1</v>
      </c>
      <c r="X362" s="5">
        <v>1</v>
      </c>
      <c r="Y362" s="5">
        <v>3</v>
      </c>
      <c r="Z362" s="5" t="s">
        <v>982</v>
      </c>
      <c r="AA362" s="5">
        <v>1</v>
      </c>
      <c r="AB362" s="5">
        <v>1</v>
      </c>
      <c r="AC362" s="5">
        <v>1</v>
      </c>
      <c r="AD362" s="5">
        <v>1</v>
      </c>
      <c r="AE362" s="5">
        <v>4</v>
      </c>
      <c r="AF362" s="5" t="s">
        <v>982</v>
      </c>
      <c r="AG362" s="5">
        <v>2</v>
      </c>
      <c r="AH362" s="5">
        <v>2</v>
      </c>
      <c r="AI362" s="5">
        <v>2</v>
      </c>
      <c r="AJ362" s="5">
        <v>6</v>
      </c>
      <c r="AK362" s="5" t="s">
        <v>981</v>
      </c>
      <c r="AL362" s="5">
        <v>1</v>
      </c>
      <c r="AM362" s="5">
        <v>0</v>
      </c>
      <c r="AN362" s="5">
        <v>0</v>
      </c>
      <c r="AO362" s="5">
        <v>1</v>
      </c>
      <c r="AP362" s="5" t="s">
        <v>983</v>
      </c>
      <c r="AQ362" s="5">
        <v>0</v>
      </c>
      <c r="AR362" s="5">
        <v>0</v>
      </c>
      <c r="AS362" s="5">
        <v>0</v>
      </c>
      <c r="AT362" s="5">
        <v>0</v>
      </c>
      <c r="AU362" s="5">
        <v>0</v>
      </c>
      <c r="AV362" s="5">
        <v>0</v>
      </c>
      <c r="AW362" s="5">
        <v>0</v>
      </c>
      <c r="AX362" s="5">
        <v>0</v>
      </c>
      <c r="AY362" s="5" t="s">
        <v>983</v>
      </c>
      <c r="AZ362" s="1">
        <v>0</v>
      </c>
      <c r="BA362" s="1">
        <v>0</v>
      </c>
      <c r="BB362" s="1">
        <v>0</v>
      </c>
      <c r="BC362" s="1">
        <v>1</v>
      </c>
      <c r="BD362" s="1">
        <v>1</v>
      </c>
      <c r="BE362" s="1">
        <v>1</v>
      </c>
      <c r="BF362" s="1">
        <v>36</v>
      </c>
      <c r="BG362" s="1">
        <v>0</v>
      </c>
      <c r="BH362" s="1">
        <v>14</v>
      </c>
      <c r="BI362" s="1">
        <v>2</v>
      </c>
      <c r="BJ362" s="1">
        <v>0</v>
      </c>
      <c r="BK362" s="1">
        <v>4</v>
      </c>
    </row>
    <row r="363" spans="1:63" ht="12.75" customHeight="1" x14ac:dyDescent="0.15">
      <c r="A363" s="5" t="s">
        <v>330</v>
      </c>
      <c r="B363" s="5" t="s">
        <v>984</v>
      </c>
      <c r="C363" s="5">
        <v>3</v>
      </c>
      <c r="D363" s="5">
        <v>4</v>
      </c>
      <c r="E363" s="5">
        <v>4</v>
      </c>
      <c r="F363" s="5">
        <v>3</v>
      </c>
      <c r="G363" s="5">
        <v>4</v>
      </c>
      <c r="H363" s="5">
        <v>3</v>
      </c>
      <c r="I363" s="5">
        <v>3</v>
      </c>
      <c r="J363" s="5">
        <v>3</v>
      </c>
      <c r="K363" s="5">
        <v>4</v>
      </c>
      <c r="L363" s="5">
        <v>3</v>
      </c>
      <c r="M363" s="5">
        <v>3</v>
      </c>
      <c r="N363" s="5">
        <v>4</v>
      </c>
      <c r="O363" s="5">
        <v>41</v>
      </c>
      <c r="P363" s="5" t="s">
        <v>981</v>
      </c>
      <c r="Q363" s="5">
        <v>0</v>
      </c>
      <c r="R363" s="5">
        <v>2</v>
      </c>
      <c r="S363" s="5">
        <v>0</v>
      </c>
      <c r="T363" s="5">
        <v>2</v>
      </c>
      <c r="U363" s="5" t="s">
        <v>982</v>
      </c>
      <c r="V363" s="5">
        <v>1</v>
      </c>
      <c r="W363" s="5">
        <v>1</v>
      </c>
      <c r="X363" s="5">
        <v>3</v>
      </c>
      <c r="Y363" s="5">
        <v>5</v>
      </c>
      <c r="Z363" s="5" t="s">
        <v>982</v>
      </c>
      <c r="AA363" s="5">
        <v>3</v>
      </c>
      <c r="AB363" s="5">
        <v>1</v>
      </c>
      <c r="AC363" s="5">
        <v>2</v>
      </c>
      <c r="AD363" s="5">
        <v>0</v>
      </c>
      <c r="AE363" s="5">
        <v>6</v>
      </c>
      <c r="AF363" s="5" t="s">
        <v>981</v>
      </c>
      <c r="AG363" s="5">
        <v>0</v>
      </c>
      <c r="AH363" s="5">
        <v>0</v>
      </c>
      <c r="AI363" s="5">
        <v>0</v>
      </c>
      <c r="AJ363" s="5">
        <v>0</v>
      </c>
      <c r="AK363" s="5" t="s">
        <v>983</v>
      </c>
      <c r="AL363" s="5">
        <v>1</v>
      </c>
      <c r="AM363" s="5">
        <v>1</v>
      </c>
      <c r="AN363" s="5">
        <v>1</v>
      </c>
      <c r="AO363" s="5">
        <v>3</v>
      </c>
      <c r="AP363" s="5" t="s">
        <v>982</v>
      </c>
      <c r="AQ363" s="5">
        <v>0</v>
      </c>
      <c r="AR363" s="5">
        <v>0</v>
      </c>
      <c r="AS363" s="5">
        <v>0</v>
      </c>
      <c r="AT363" s="5">
        <v>0</v>
      </c>
      <c r="AU363" s="5">
        <v>0</v>
      </c>
      <c r="AV363" s="5">
        <v>0</v>
      </c>
      <c r="AW363" s="5">
        <v>1</v>
      </c>
      <c r="AX363" s="5">
        <v>1</v>
      </c>
      <c r="AY363" s="5" t="s">
        <v>982</v>
      </c>
      <c r="AZ363" s="1">
        <v>1</v>
      </c>
      <c r="BA363" s="1">
        <v>0</v>
      </c>
      <c r="BB363" s="1">
        <v>1</v>
      </c>
      <c r="BC363" s="1">
        <v>1</v>
      </c>
      <c r="BD363" s="1">
        <v>0</v>
      </c>
      <c r="BE363" s="1">
        <v>1</v>
      </c>
      <c r="BF363" s="1">
        <v>54</v>
      </c>
      <c r="BG363" s="1">
        <v>0</v>
      </c>
      <c r="BH363" s="1">
        <v>2</v>
      </c>
      <c r="BI363" s="1">
        <v>3</v>
      </c>
      <c r="BJ363" s="1">
        <v>250000</v>
      </c>
      <c r="BK363" s="1">
        <v>2</v>
      </c>
    </row>
    <row r="364" spans="1:63" ht="12.75" customHeight="1" x14ac:dyDescent="0.15">
      <c r="A364" s="5" t="s">
        <v>238</v>
      </c>
      <c r="B364" s="5" t="s">
        <v>238</v>
      </c>
      <c r="C364" s="5">
        <v>4</v>
      </c>
      <c r="D364" s="5">
        <v>3</v>
      </c>
      <c r="E364" s="5">
        <v>3</v>
      </c>
      <c r="F364" s="5">
        <v>3</v>
      </c>
      <c r="G364" s="5">
        <v>3</v>
      </c>
      <c r="H364" s="5">
        <v>3</v>
      </c>
      <c r="I364" s="5">
        <v>3</v>
      </c>
      <c r="J364" s="5">
        <v>3</v>
      </c>
      <c r="K364" s="5">
        <v>3</v>
      </c>
      <c r="L364" s="5">
        <v>3</v>
      </c>
      <c r="M364" s="5">
        <v>3</v>
      </c>
      <c r="N364" s="5">
        <v>3</v>
      </c>
      <c r="O364" s="5">
        <v>37</v>
      </c>
      <c r="P364" s="5" t="s">
        <v>981</v>
      </c>
      <c r="Q364" s="5">
        <v>3</v>
      </c>
      <c r="R364" s="5">
        <v>3</v>
      </c>
      <c r="S364" s="5">
        <v>3</v>
      </c>
      <c r="T364" s="5">
        <v>9</v>
      </c>
      <c r="U364" s="5" t="s">
        <v>981</v>
      </c>
      <c r="V364" s="5">
        <v>3</v>
      </c>
      <c r="W364" s="5">
        <v>3</v>
      </c>
      <c r="X364" s="5">
        <v>3</v>
      </c>
      <c r="Y364" s="5">
        <v>9</v>
      </c>
      <c r="Z364" s="5" t="s">
        <v>981</v>
      </c>
      <c r="AA364" s="5">
        <v>1</v>
      </c>
      <c r="AB364" s="5">
        <v>1</v>
      </c>
      <c r="AC364" s="5">
        <v>1</v>
      </c>
      <c r="AD364" s="5">
        <v>1</v>
      </c>
      <c r="AE364" s="5">
        <v>4</v>
      </c>
      <c r="AF364" s="5" t="s">
        <v>982</v>
      </c>
      <c r="AG364" s="5">
        <v>3</v>
      </c>
      <c r="AH364" s="5">
        <v>3</v>
      </c>
      <c r="AI364" s="5">
        <v>3</v>
      </c>
      <c r="AJ364" s="5">
        <v>9</v>
      </c>
      <c r="AK364" s="5" t="s">
        <v>981</v>
      </c>
      <c r="AL364" s="5">
        <v>3</v>
      </c>
      <c r="AM364" s="5">
        <v>3</v>
      </c>
      <c r="AN364" s="5">
        <v>3</v>
      </c>
      <c r="AO364" s="5">
        <v>9</v>
      </c>
      <c r="AP364" s="5" t="s">
        <v>981</v>
      </c>
      <c r="AQ364" s="5">
        <v>0</v>
      </c>
      <c r="AR364" s="5">
        <v>0</v>
      </c>
      <c r="AS364" s="5">
        <v>0</v>
      </c>
      <c r="AT364" s="5">
        <v>0</v>
      </c>
      <c r="AU364" s="5">
        <v>0</v>
      </c>
      <c r="AV364" s="5">
        <v>0</v>
      </c>
      <c r="AW364" s="5">
        <v>0</v>
      </c>
      <c r="AX364" s="5">
        <v>0</v>
      </c>
      <c r="AY364" s="5" t="s">
        <v>983</v>
      </c>
      <c r="AZ364" s="1">
        <v>0</v>
      </c>
      <c r="BA364" s="1">
        <v>0</v>
      </c>
      <c r="BB364" s="1">
        <v>0</v>
      </c>
      <c r="BC364" s="1">
        <v>1</v>
      </c>
      <c r="BD364" s="1">
        <v>0</v>
      </c>
      <c r="BE364" s="1">
        <v>1</v>
      </c>
      <c r="BF364" s="1">
        <v>0</v>
      </c>
      <c r="BG364" s="1">
        <v>0</v>
      </c>
      <c r="BI364" s="1">
        <v>25</v>
      </c>
      <c r="BJ364" s="1">
        <v>0</v>
      </c>
      <c r="BK364" s="1">
        <v>3</v>
      </c>
    </row>
    <row r="365" spans="1:63" ht="12.75" customHeight="1" x14ac:dyDescent="0.15">
      <c r="A365" s="5" t="s">
        <v>238</v>
      </c>
      <c r="B365" s="5" t="s">
        <v>238</v>
      </c>
      <c r="C365" s="5">
        <v>2</v>
      </c>
      <c r="D365" s="5">
        <v>1</v>
      </c>
      <c r="E365" s="5">
        <v>1</v>
      </c>
      <c r="F365" s="5">
        <v>1</v>
      </c>
      <c r="G365" s="5">
        <v>1</v>
      </c>
      <c r="H365" s="5">
        <v>1</v>
      </c>
      <c r="I365" s="5">
        <v>1</v>
      </c>
      <c r="J365" s="5">
        <v>1</v>
      </c>
      <c r="K365" s="5">
        <v>1</v>
      </c>
      <c r="L365" s="5">
        <v>1</v>
      </c>
      <c r="M365" s="5">
        <v>1</v>
      </c>
      <c r="N365" s="5">
        <v>1</v>
      </c>
      <c r="O365" s="5">
        <v>13</v>
      </c>
      <c r="P365" s="5" t="s">
        <v>983</v>
      </c>
      <c r="Q365" s="5">
        <v>1</v>
      </c>
      <c r="R365" s="5">
        <v>1</v>
      </c>
      <c r="S365" s="5">
        <v>0</v>
      </c>
      <c r="T365" s="5">
        <v>2</v>
      </c>
      <c r="U365" s="5" t="s">
        <v>982</v>
      </c>
      <c r="V365" s="5">
        <v>0</v>
      </c>
      <c r="W365" s="5">
        <v>0</v>
      </c>
      <c r="X365" s="5">
        <v>1</v>
      </c>
      <c r="Y365" s="5">
        <v>1</v>
      </c>
      <c r="Z365" s="5" t="s">
        <v>983</v>
      </c>
      <c r="AA365" s="5">
        <v>3</v>
      </c>
      <c r="AB365" s="5">
        <v>3</v>
      </c>
      <c r="AC365" s="5">
        <v>0</v>
      </c>
      <c r="AD365" s="5">
        <v>0</v>
      </c>
      <c r="AE365" s="5">
        <v>6</v>
      </c>
      <c r="AF365" s="5" t="s">
        <v>981</v>
      </c>
      <c r="AG365" s="5">
        <v>0</v>
      </c>
      <c r="AH365" s="5">
        <v>0</v>
      </c>
      <c r="AI365" s="5">
        <v>0</v>
      </c>
      <c r="AJ365" s="5">
        <v>0</v>
      </c>
      <c r="AK365" s="5" t="s">
        <v>983</v>
      </c>
      <c r="AL365" s="5">
        <v>1</v>
      </c>
      <c r="AM365" s="5">
        <v>0</v>
      </c>
      <c r="AN365" s="5">
        <v>0</v>
      </c>
      <c r="AO365" s="5">
        <v>1</v>
      </c>
      <c r="AP365" s="5" t="s">
        <v>983</v>
      </c>
      <c r="AQ365" s="5">
        <v>0</v>
      </c>
      <c r="AR365" s="5">
        <v>0</v>
      </c>
      <c r="AS365" s="5">
        <v>0</v>
      </c>
      <c r="AT365" s="5">
        <v>0</v>
      </c>
      <c r="AU365" s="5">
        <v>0</v>
      </c>
      <c r="AV365" s="5">
        <v>0</v>
      </c>
      <c r="AW365" s="5">
        <v>0</v>
      </c>
      <c r="AX365" s="5">
        <v>0</v>
      </c>
      <c r="AY365" s="5" t="s">
        <v>983</v>
      </c>
      <c r="AZ365" s="1">
        <v>1</v>
      </c>
      <c r="BA365" s="1">
        <v>0</v>
      </c>
      <c r="BB365" s="1">
        <v>0</v>
      </c>
      <c r="BC365" s="1">
        <v>1</v>
      </c>
      <c r="BD365" s="1">
        <v>0</v>
      </c>
      <c r="BE365" s="1">
        <v>1</v>
      </c>
      <c r="BF365" s="1">
        <v>56</v>
      </c>
      <c r="BG365" s="1">
        <v>0</v>
      </c>
      <c r="BH365" s="1">
        <v>2</v>
      </c>
      <c r="BI365" s="1">
        <v>11</v>
      </c>
      <c r="BJ365" s="1">
        <v>0</v>
      </c>
      <c r="BK365" s="1">
        <v>2</v>
      </c>
    </row>
    <row r="366" spans="1:63" ht="12.75" customHeight="1" x14ac:dyDescent="0.15">
      <c r="A366" s="5" t="s">
        <v>238</v>
      </c>
      <c r="B366" s="5" t="s">
        <v>238</v>
      </c>
      <c r="C366" s="5">
        <v>4</v>
      </c>
      <c r="D366" s="5">
        <v>2</v>
      </c>
      <c r="E366" s="5">
        <v>4</v>
      </c>
      <c r="F366" s="5">
        <v>3</v>
      </c>
      <c r="G366" s="5">
        <v>4</v>
      </c>
      <c r="H366" s="5">
        <v>3</v>
      </c>
      <c r="I366" s="5">
        <v>3</v>
      </c>
      <c r="J366" s="5">
        <v>3</v>
      </c>
      <c r="K366" s="5">
        <v>2</v>
      </c>
      <c r="L366" s="5">
        <v>2</v>
      </c>
      <c r="M366" s="5">
        <v>1</v>
      </c>
      <c r="N366" s="5">
        <v>3</v>
      </c>
      <c r="O366" s="5">
        <v>34</v>
      </c>
      <c r="P366" s="5" t="s">
        <v>981</v>
      </c>
      <c r="Q366" s="5">
        <v>2</v>
      </c>
      <c r="R366" s="5">
        <v>2</v>
      </c>
      <c r="S366" s="5">
        <v>2</v>
      </c>
      <c r="T366" s="5">
        <v>6</v>
      </c>
      <c r="U366" s="5" t="s">
        <v>981</v>
      </c>
      <c r="V366" s="5">
        <v>0</v>
      </c>
      <c r="W366" s="5">
        <v>1</v>
      </c>
      <c r="X366" s="5">
        <v>4</v>
      </c>
      <c r="Y366" s="5">
        <v>5</v>
      </c>
      <c r="Z366" s="5" t="s">
        <v>982</v>
      </c>
      <c r="AA366" s="5">
        <v>4</v>
      </c>
      <c r="AB366" s="5">
        <v>4</v>
      </c>
      <c r="AC366" s="5">
        <v>4</v>
      </c>
      <c r="AD366" s="5">
        <v>3</v>
      </c>
      <c r="AE366" s="5">
        <v>15</v>
      </c>
      <c r="AF366" s="5" t="s">
        <v>981</v>
      </c>
      <c r="AG366" s="5">
        <v>2</v>
      </c>
      <c r="AH366" s="5">
        <v>0</v>
      </c>
      <c r="AI366" s="5">
        <v>0</v>
      </c>
      <c r="AJ366" s="5">
        <v>2</v>
      </c>
      <c r="AK366" s="5" t="s">
        <v>983</v>
      </c>
      <c r="AL366" s="5">
        <v>0</v>
      </c>
      <c r="AM366" s="5">
        <v>0</v>
      </c>
      <c r="AN366" s="5">
        <v>0</v>
      </c>
      <c r="AO366" s="5">
        <v>0</v>
      </c>
      <c r="AP366" s="5" t="s">
        <v>983</v>
      </c>
      <c r="AQ366" s="5">
        <v>0</v>
      </c>
      <c r="AR366" s="5">
        <v>0</v>
      </c>
      <c r="AS366" s="5">
        <v>0</v>
      </c>
      <c r="AT366" s="5">
        <v>0</v>
      </c>
      <c r="AU366" s="5">
        <v>0</v>
      </c>
      <c r="AV366" s="5">
        <v>0</v>
      </c>
      <c r="AW366" s="5">
        <v>0</v>
      </c>
      <c r="AX366" s="5">
        <v>0</v>
      </c>
      <c r="AY366" s="5" t="s">
        <v>983</v>
      </c>
      <c r="AZ366" s="1">
        <v>0</v>
      </c>
      <c r="BA366" s="1">
        <v>0</v>
      </c>
      <c r="BB366" s="1">
        <v>0</v>
      </c>
      <c r="BC366" s="1">
        <v>1</v>
      </c>
      <c r="BD366" s="1">
        <v>1</v>
      </c>
      <c r="BE366" s="1">
        <v>1</v>
      </c>
      <c r="BF366" s="1">
        <v>56</v>
      </c>
      <c r="BG366" s="1">
        <v>0</v>
      </c>
      <c r="BH366" s="1">
        <v>2</v>
      </c>
      <c r="BI366" s="1">
        <v>11</v>
      </c>
      <c r="BJ366" s="1">
        <v>0</v>
      </c>
      <c r="BK366" s="1">
        <v>2</v>
      </c>
    </row>
    <row r="367" spans="1:63" ht="12.75" customHeight="1" x14ac:dyDescent="0.15">
      <c r="A367" s="5" t="s">
        <v>330</v>
      </c>
      <c r="B367" s="5" t="s">
        <v>984</v>
      </c>
      <c r="C367" s="5">
        <v>4</v>
      </c>
      <c r="D367" s="5">
        <v>2</v>
      </c>
      <c r="E367" s="5">
        <v>3</v>
      </c>
      <c r="F367" s="5">
        <v>3</v>
      </c>
      <c r="G367" s="5">
        <v>2</v>
      </c>
      <c r="H367" s="5">
        <v>2</v>
      </c>
      <c r="I367" s="5">
        <v>2</v>
      </c>
      <c r="J367" s="5">
        <v>2</v>
      </c>
      <c r="K367" s="5">
        <v>2</v>
      </c>
      <c r="L367" s="5">
        <v>2</v>
      </c>
      <c r="M367" s="5">
        <v>2</v>
      </c>
      <c r="N367" s="5">
        <v>2</v>
      </c>
      <c r="O367" s="5">
        <v>28</v>
      </c>
      <c r="P367" s="5" t="s">
        <v>981</v>
      </c>
      <c r="Q367" s="5">
        <v>1</v>
      </c>
      <c r="R367" s="5">
        <v>1</v>
      </c>
      <c r="S367" s="5">
        <v>2</v>
      </c>
      <c r="T367" s="5">
        <v>4</v>
      </c>
      <c r="U367" s="5" t="s">
        <v>982</v>
      </c>
      <c r="V367" s="5">
        <v>1</v>
      </c>
      <c r="W367" s="5">
        <v>1</v>
      </c>
      <c r="X367" s="5">
        <v>2</v>
      </c>
      <c r="Y367" s="5">
        <v>4</v>
      </c>
      <c r="Z367" s="5" t="s">
        <v>982</v>
      </c>
      <c r="AA367" s="5">
        <v>1</v>
      </c>
      <c r="AB367" s="5">
        <v>1</v>
      </c>
      <c r="AC367" s="5">
        <v>1</v>
      </c>
      <c r="AD367" s="5">
        <v>2</v>
      </c>
      <c r="AE367" s="5">
        <v>5</v>
      </c>
      <c r="AF367" s="5" t="s">
        <v>981</v>
      </c>
      <c r="AG367" s="5">
        <v>1</v>
      </c>
      <c r="AH367" s="5">
        <v>2</v>
      </c>
      <c r="AI367" s="5">
        <v>1</v>
      </c>
      <c r="AJ367" s="5">
        <v>4</v>
      </c>
      <c r="AK367" s="5" t="s">
        <v>982</v>
      </c>
      <c r="AL367" s="5">
        <v>1</v>
      </c>
      <c r="AM367" s="5">
        <v>1</v>
      </c>
      <c r="AN367" s="5">
        <v>1</v>
      </c>
      <c r="AO367" s="5">
        <v>3</v>
      </c>
      <c r="AP367" s="5" t="s">
        <v>982</v>
      </c>
      <c r="AQ367" s="5">
        <v>0</v>
      </c>
      <c r="AR367" s="5">
        <v>0</v>
      </c>
      <c r="AS367" s="5">
        <v>1</v>
      </c>
      <c r="AT367" s="5">
        <v>1</v>
      </c>
      <c r="AU367" s="5">
        <v>0</v>
      </c>
      <c r="AV367" s="5">
        <v>0</v>
      </c>
      <c r="AW367" s="5">
        <v>0</v>
      </c>
      <c r="AX367" s="5">
        <v>2</v>
      </c>
      <c r="AY367" s="5" t="s">
        <v>982</v>
      </c>
      <c r="AZ367" s="1">
        <v>0</v>
      </c>
      <c r="BA367" s="1">
        <v>0</v>
      </c>
      <c r="BB367" s="1">
        <v>0</v>
      </c>
      <c r="BC367" s="1">
        <v>1</v>
      </c>
      <c r="BD367" s="1">
        <v>1</v>
      </c>
      <c r="BE367" s="1">
        <v>1</v>
      </c>
      <c r="BF367" s="1">
        <v>33</v>
      </c>
      <c r="BG367" s="1">
        <v>1</v>
      </c>
      <c r="BH367" s="1">
        <v>16</v>
      </c>
      <c r="BI367" s="1">
        <v>2</v>
      </c>
      <c r="BJ367" s="1">
        <v>0</v>
      </c>
      <c r="BK367" s="1">
        <v>1</v>
      </c>
    </row>
    <row r="368" spans="1:63" ht="12.75" customHeight="1" x14ac:dyDescent="0.15">
      <c r="A368" s="5" t="s">
        <v>330</v>
      </c>
      <c r="B368" s="5" t="s">
        <v>984</v>
      </c>
      <c r="C368" s="5">
        <v>2</v>
      </c>
      <c r="D368" s="5">
        <v>2</v>
      </c>
      <c r="E368" s="5">
        <v>2</v>
      </c>
      <c r="F368" s="5">
        <v>1</v>
      </c>
      <c r="G368" s="5">
        <v>1</v>
      </c>
      <c r="H368" s="5">
        <v>1</v>
      </c>
      <c r="I368" s="5">
        <v>1</v>
      </c>
      <c r="J368" s="5">
        <v>2</v>
      </c>
      <c r="K368" s="5">
        <v>2</v>
      </c>
      <c r="L368" s="5">
        <v>2</v>
      </c>
      <c r="M368" s="5">
        <v>2</v>
      </c>
      <c r="N368" s="5">
        <v>2</v>
      </c>
      <c r="O368" s="5">
        <v>20</v>
      </c>
      <c r="P368" s="5" t="s">
        <v>982</v>
      </c>
      <c r="Q368" s="5">
        <v>2</v>
      </c>
      <c r="R368" s="5">
        <v>2</v>
      </c>
      <c r="S368" s="5">
        <v>2</v>
      </c>
      <c r="T368" s="5">
        <v>6</v>
      </c>
      <c r="U368" s="5" t="s">
        <v>981</v>
      </c>
      <c r="V368" s="5">
        <v>1</v>
      </c>
      <c r="W368" s="5">
        <v>1</v>
      </c>
      <c r="X368" s="5">
        <v>1</v>
      </c>
      <c r="Y368" s="5">
        <v>3</v>
      </c>
      <c r="Z368" s="5" t="s">
        <v>982</v>
      </c>
      <c r="AA368" s="5">
        <v>1</v>
      </c>
      <c r="AB368" s="5">
        <v>1</v>
      </c>
      <c r="AC368" s="5">
        <v>1</v>
      </c>
      <c r="AD368" s="5">
        <v>1</v>
      </c>
      <c r="AE368" s="5">
        <v>4</v>
      </c>
      <c r="AF368" s="5" t="s">
        <v>982</v>
      </c>
      <c r="AG368" s="5">
        <v>1</v>
      </c>
      <c r="AH368" s="5">
        <v>1</v>
      </c>
      <c r="AI368" s="5">
        <v>1</v>
      </c>
      <c r="AJ368" s="5">
        <v>3</v>
      </c>
      <c r="AK368" s="5" t="s">
        <v>982</v>
      </c>
      <c r="AL368" s="5">
        <v>1</v>
      </c>
      <c r="AM368" s="5">
        <v>1</v>
      </c>
      <c r="AN368" s="5">
        <v>1</v>
      </c>
      <c r="AO368" s="5">
        <v>3</v>
      </c>
      <c r="AP368" s="5" t="s">
        <v>982</v>
      </c>
      <c r="AQ368" s="5">
        <v>0</v>
      </c>
      <c r="AR368" s="5">
        <v>0</v>
      </c>
      <c r="AS368" s="5">
        <v>0</v>
      </c>
      <c r="AT368" s="5">
        <v>0</v>
      </c>
      <c r="AU368" s="5">
        <v>0</v>
      </c>
      <c r="AV368" s="5">
        <v>0</v>
      </c>
      <c r="AW368" s="5">
        <v>0</v>
      </c>
      <c r="AX368" s="5">
        <v>0</v>
      </c>
      <c r="AY368" s="5" t="s">
        <v>983</v>
      </c>
      <c r="AZ368" s="1">
        <v>1</v>
      </c>
      <c r="BA368" s="1">
        <v>0</v>
      </c>
      <c r="BB368" s="1">
        <v>0</v>
      </c>
      <c r="BC368" s="1">
        <v>1</v>
      </c>
      <c r="BD368" s="1">
        <v>0</v>
      </c>
      <c r="BE368" s="1">
        <v>1</v>
      </c>
      <c r="BF368" s="1">
        <v>55</v>
      </c>
      <c r="BG368" s="1">
        <v>1</v>
      </c>
      <c r="BH368" s="1">
        <v>14</v>
      </c>
      <c r="BI368" s="1">
        <v>24</v>
      </c>
      <c r="BJ368" s="1">
        <v>250000</v>
      </c>
      <c r="BK368" s="1">
        <v>6</v>
      </c>
    </row>
    <row r="369" spans="1:63" ht="12.75" customHeight="1" x14ac:dyDescent="0.15">
      <c r="A369" s="5" t="s">
        <v>238</v>
      </c>
      <c r="B369" s="5" t="s">
        <v>238</v>
      </c>
      <c r="C369" s="5">
        <v>1</v>
      </c>
      <c r="D369" s="5">
        <v>3</v>
      </c>
      <c r="E369" s="5">
        <v>3</v>
      </c>
      <c r="F369" s="5">
        <v>3</v>
      </c>
      <c r="G369" s="5">
        <v>4</v>
      </c>
      <c r="H369" s="5">
        <v>1</v>
      </c>
      <c r="I369" s="5">
        <v>1</v>
      </c>
      <c r="J369" s="5">
        <v>1</v>
      </c>
      <c r="K369" s="5">
        <v>1</v>
      </c>
      <c r="L369" s="5">
        <v>2</v>
      </c>
      <c r="M369" s="5">
        <v>2</v>
      </c>
      <c r="N369" s="5">
        <v>2</v>
      </c>
      <c r="O369" s="5">
        <v>24</v>
      </c>
      <c r="P369" s="5" t="s">
        <v>981</v>
      </c>
      <c r="Q369" s="5">
        <v>3</v>
      </c>
      <c r="R369" s="5">
        <v>2</v>
      </c>
      <c r="S369" s="5">
        <v>2</v>
      </c>
      <c r="T369" s="5">
        <v>7</v>
      </c>
      <c r="U369" s="5" t="s">
        <v>981</v>
      </c>
      <c r="V369" s="5">
        <v>1</v>
      </c>
      <c r="W369" s="5">
        <v>3</v>
      </c>
      <c r="X369" s="5">
        <v>4</v>
      </c>
      <c r="Y369" s="5">
        <v>8</v>
      </c>
      <c r="Z369" s="5" t="s">
        <v>981</v>
      </c>
      <c r="AA369" s="5">
        <v>3</v>
      </c>
      <c r="AB369" s="5">
        <v>3</v>
      </c>
      <c r="AC369" s="5">
        <v>0</v>
      </c>
      <c r="AD369" s="5">
        <v>1</v>
      </c>
      <c r="AE369" s="5">
        <v>7</v>
      </c>
      <c r="AF369" s="5" t="s">
        <v>981</v>
      </c>
      <c r="AG369" s="5">
        <v>0</v>
      </c>
      <c r="AH369" s="5">
        <v>0</v>
      </c>
      <c r="AI369" s="5">
        <v>0</v>
      </c>
      <c r="AJ369" s="5">
        <v>0</v>
      </c>
      <c r="AK369" s="5" t="s">
        <v>983</v>
      </c>
      <c r="AL369" s="5">
        <v>2</v>
      </c>
      <c r="AM369" s="5">
        <v>2</v>
      </c>
      <c r="AN369" s="5">
        <v>2</v>
      </c>
      <c r="AO369" s="5">
        <v>6</v>
      </c>
      <c r="AP369" s="5" t="s">
        <v>981</v>
      </c>
      <c r="AQ369" s="5">
        <v>0</v>
      </c>
      <c r="AR369" s="5">
        <v>0</v>
      </c>
      <c r="AS369" s="5">
        <v>0</v>
      </c>
      <c r="AT369" s="5">
        <v>2</v>
      </c>
      <c r="AU369" s="5">
        <v>0</v>
      </c>
      <c r="AV369" s="5">
        <v>0</v>
      </c>
      <c r="AW369" s="5">
        <v>0</v>
      </c>
      <c r="AX369" s="5">
        <v>2</v>
      </c>
      <c r="AY369" s="5" t="s">
        <v>982</v>
      </c>
      <c r="AZ369" s="1">
        <v>0</v>
      </c>
      <c r="BA369" s="1">
        <v>0</v>
      </c>
      <c r="BB369" s="1">
        <v>0</v>
      </c>
      <c r="BC369" s="1">
        <v>1</v>
      </c>
      <c r="BD369" s="1">
        <v>0</v>
      </c>
      <c r="BE369" s="1">
        <v>1</v>
      </c>
      <c r="BF369" s="1">
        <v>34</v>
      </c>
      <c r="BG369" s="1">
        <v>0</v>
      </c>
      <c r="BH369" s="1">
        <v>17</v>
      </c>
      <c r="BI369" s="1">
        <v>2</v>
      </c>
      <c r="BJ369" s="1">
        <v>0</v>
      </c>
      <c r="BK369" s="1">
        <v>4</v>
      </c>
    </row>
    <row r="370" spans="1:63" ht="12.75" customHeight="1" x14ac:dyDescent="0.15">
      <c r="A370" s="5" t="s">
        <v>238</v>
      </c>
      <c r="B370" s="5" t="s">
        <v>238</v>
      </c>
      <c r="C370" s="5">
        <v>1</v>
      </c>
      <c r="D370" s="5">
        <v>3</v>
      </c>
      <c r="E370" s="5">
        <v>3</v>
      </c>
      <c r="F370" s="5">
        <v>3</v>
      </c>
      <c r="G370" s="5">
        <v>3</v>
      </c>
      <c r="H370" s="5">
        <v>3</v>
      </c>
      <c r="I370" s="5">
        <v>3</v>
      </c>
      <c r="J370" s="5">
        <v>2</v>
      </c>
      <c r="K370" s="5">
        <v>2</v>
      </c>
      <c r="L370" s="5">
        <v>2</v>
      </c>
      <c r="M370" s="5">
        <v>2</v>
      </c>
      <c r="N370" s="5">
        <v>2</v>
      </c>
      <c r="O370" s="5">
        <v>29</v>
      </c>
      <c r="P370" s="5" t="s">
        <v>981</v>
      </c>
      <c r="Q370" s="5">
        <v>3</v>
      </c>
      <c r="R370" s="5">
        <v>3</v>
      </c>
      <c r="S370" s="5">
        <v>3</v>
      </c>
      <c r="T370" s="5">
        <v>9</v>
      </c>
      <c r="U370" s="5" t="s">
        <v>981</v>
      </c>
      <c r="V370" s="5">
        <v>3</v>
      </c>
      <c r="W370" s="5">
        <v>3</v>
      </c>
      <c r="X370" s="5">
        <v>3</v>
      </c>
      <c r="Y370" s="5">
        <v>9</v>
      </c>
      <c r="Z370" s="5" t="s">
        <v>981</v>
      </c>
      <c r="AA370" s="5">
        <v>1</v>
      </c>
      <c r="AB370" s="5">
        <v>1</v>
      </c>
      <c r="AC370" s="5">
        <v>1</v>
      </c>
      <c r="AD370" s="5">
        <v>1</v>
      </c>
      <c r="AE370" s="5">
        <v>4</v>
      </c>
      <c r="AF370" s="5" t="s">
        <v>982</v>
      </c>
      <c r="AG370" s="5">
        <v>3</v>
      </c>
      <c r="AH370" s="5">
        <v>3</v>
      </c>
      <c r="AI370" s="5">
        <v>3</v>
      </c>
      <c r="AJ370" s="5">
        <v>9</v>
      </c>
      <c r="AK370" s="5" t="s">
        <v>981</v>
      </c>
      <c r="AL370" s="5">
        <v>2</v>
      </c>
      <c r="AM370" s="5">
        <v>2</v>
      </c>
      <c r="AN370" s="5">
        <v>2</v>
      </c>
      <c r="AO370" s="5">
        <v>6</v>
      </c>
      <c r="AP370" s="5" t="s">
        <v>981</v>
      </c>
      <c r="AQ370" s="5">
        <v>2</v>
      </c>
      <c r="AR370" s="5">
        <v>2</v>
      </c>
      <c r="AS370" s="5">
        <v>2</v>
      </c>
      <c r="AT370" s="5">
        <v>2</v>
      </c>
      <c r="AU370" s="5">
        <v>2</v>
      </c>
      <c r="AV370" s="5">
        <v>2</v>
      </c>
      <c r="AW370" s="5">
        <v>2</v>
      </c>
      <c r="AX370" s="5">
        <v>14</v>
      </c>
      <c r="AY370" s="5" t="s">
        <v>982</v>
      </c>
      <c r="AZ370" s="1">
        <v>0</v>
      </c>
      <c r="BA370" s="1">
        <v>0</v>
      </c>
      <c r="BB370" s="1">
        <v>0</v>
      </c>
      <c r="BC370" s="1">
        <v>1</v>
      </c>
      <c r="BD370" s="1">
        <v>0</v>
      </c>
      <c r="BE370" s="1">
        <v>1</v>
      </c>
      <c r="BF370" s="1">
        <v>51</v>
      </c>
      <c r="BG370" s="1">
        <v>0</v>
      </c>
      <c r="BH370" s="1">
        <v>10</v>
      </c>
      <c r="BI370" s="1">
        <v>2</v>
      </c>
      <c r="BJ370" s="1">
        <v>0</v>
      </c>
      <c r="BK370" s="1">
        <v>4</v>
      </c>
    </row>
    <row r="371" spans="1:63" ht="12.75" customHeight="1" x14ac:dyDescent="0.15">
      <c r="A371" s="5" t="s">
        <v>330</v>
      </c>
      <c r="B371" s="5" t="s">
        <v>984</v>
      </c>
      <c r="C371" s="5">
        <v>3</v>
      </c>
      <c r="D371" s="5">
        <v>2</v>
      </c>
      <c r="E371" s="5">
        <v>3</v>
      </c>
      <c r="F371" s="5">
        <v>2</v>
      </c>
      <c r="G371" s="5">
        <v>3</v>
      </c>
      <c r="H371" s="5">
        <v>1</v>
      </c>
      <c r="I371" s="5">
        <v>1</v>
      </c>
      <c r="J371" s="5">
        <v>2</v>
      </c>
      <c r="K371" s="5">
        <v>2</v>
      </c>
      <c r="L371" s="5">
        <v>2</v>
      </c>
      <c r="M371" s="5">
        <v>2</v>
      </c>
      <c r="N371" s="5">
        <v>2</v>
      </c>
      <c r="O371" s="5">
        <v>25</v>
      </c>
      <c r="P371" s="5" t="s">
        <v>981</v>
      </c>
      <c r="Q371" s="5">
        <v>0</v>
      </c>
      <c r="R371" s="5">
        <v>0</v>
      </c>
      <c r="S371" s="5">
        <v>1</v>
      </c>
      <c r="T371" s="5">
        <v>1</v>
      </c>
      <c r="U371" s="5" t="s">
        <v>983</v>
      </c>
      <c r="V371" s="5">
        <v>0</v>
      </c>
      <c r="W371" s="5">
        <v>4</v>
      </c>
      <c r="X371" s="5">
        <v>3</v>
      </c>
      <c r="Y371" s="5">
        <v>7</v>
      </c>
      <c r="Z371" s="5" t="s">
        <v>981</v>
      </c>
      <c r="AA371" s="5">
        <v>0</v>
      </c>
      <c r="AB371" s="5">
        <v>1</v>
      </c>
      <c r="AC371" s="5">
        <v>0</v>
      </c>
      <c r="AD371" s="5">
        <v>0</v>
      </c>
      <c r="AE371" s="5">
        <v>1</v>
      </c>
      <c r="AF371" s="5" t="s">
        <v>982</v>
      </c>
      <c r="AG371" s="5">
        <v>0</v>
      </c>
      <c r="AH371" s="5">
        <v>0</v>
      </c>
      <c r="AI371" s="5">
        <v>0</v>
      </c>
      <c r="AJ371" s="5">
        <v>0</v>
      </c>
      <c r="AK371" s="5" t="s">
        <v>983</v>
      </c>
      <c r="AL371" s="5">
        <v>1</v>
      </c>
      <c r="AM371" s="5">
        <v>1</v>
      </c>
      <c r="AN371" s="5">
        <v>1</v>
      </c>
      <c r="AO371" s="5">
        <v>3</v>
      </c>
      <c r="AP371" s="5" t="s">
        <v>982</v>
      </c>
      <c r="AQ371" s="5">
        <v>0</v>
      </c>
      <c r="AR371" s="5">
        <v>0</v>
      </c>
      <c r="AS371" s="5">
        <v>0</v>
      </c>
      <c r="AT371" s="5">
        <v>0</v>
      </c>
      <c r="AU371" s="5">
        <v>0</v>
      </c>
      <c r="AV371" s="5">
        <v>0</v>
      </c>
      <c r="AW371" s="5">
        <v>0</v>
      </c>
      <c r="AX371" s="5">
        <v>0</v>
      </c>
      <c r="AY371" s="5" t="s">
        <v>983</v>
      </c>
      <c r="AZ371" s="1">
        <v>1</v>
      </c>
      <c r="BA371" s="1">
        <v>0</v>
      </c>
      <c r="BB371" s="1">
        <v>1</v>
      </c>
      <c r="BC371" s="1">
        <v>1</v>
      </c>
      <c r="BD371" s="1">
        <v>1</v>
      </c>
      <c r="BE371" s="1">
        <v>1</v>
      </c>
      <c r="BF371" s="1">
        <v>51</v>
      </c>
      <c r="BG371" s="1">
        <v>0</v>
      </c>
      <c r="BH371" s="1">
        <v>10</v>
      </c>
      <c r="BI371" s="1">
        <v>2</v>
      </c>
      <c r="BJ371" s="1">
        <v>0</v>
      </c>
      <c r="BK371" s="1">
        <v>4</v>
      </c>
    </row>
    <row r="372" spans="1:63" ht="12.75" customHeight="1" x14ac:dyDescent="0.15">
      <c r="A372" s="5" t="s">
        <v>330</v>
      </c>
      <c r="B372" s="5" t="s">
        <v>984</v>
      </c>
      <c r="C372" s="5">
        <v>1</v>
      </c>
      <c r="D372" s="5">
        <v>1</v>
      </c>
      <c r="E372" s="5">
        <v>1</v>
      </c>
      <c r="F372" s="5">
        <v>1</v>
      </c>
      <c r="G372" s="5">
        <v>1</v>
      </c>
      <c r="H372" s="5">
        <v>1</v>
      </c>
      <c r="I372" s="5">
        <v>1</v>
      </c>
      <c r="J372" s="5">
        <v>1</v>
      </c>
      <c r="K372" s="5">
        <v>1</v>
      </c>
      <c r="L372" s="5">
        <v>1</v>
      </c>
      <c r="M372" s="5">
        <v>1</v>
      </c>
      <c r="N372" s="5">
        <v>1</v>
      </c>
      <c r="O372" s="5">
        <v>12</v>
      </c>
      <c r="P372" s="5" t="s">
        <v>983</v>
      </c>
      <c r="Q372" s="5">
        <v>0</v>
      </c>
      <c r="R372" s="5">
        <v>0</v>
      </c>
      <c r="S372" s="5">
        <v>0</v>
      </c>
      <c r="T372" s="5">
        <v>0</v>
      </c>
      <c r="U372" s="5" t="s">
        <v>983</v>
      </c>
      <c r="V372" s="5">
        <v>0</v>
      </c>
      <c r="W372" s="5">
        <v>0</v>
      </c>
      <c r="X372" s="5">
        <v>0</v>
      </c>
      <c r="Y372" s="5">
        <v>0</v>
      </c>
      <c r="Z372" s="5" t="s">
        <v>983</v>
      </c>
      <c r="AA372" s="5">
        <v>4</v>
      </c>
      <c r="AB372" s="5">
        <v>4</v>
      </c>
      <c r="AC372" s="5">
        <v>4</v>
      </c>
      <c r="AD372" s="5">
        <v>4</v>
      </c>
      <c r="AE372" s="5">
        <v>16</v>
      </c>
      <c r="AF372" s="5" t="s">
        <v>981</v>
      </c>
      <c r="AG372" s="5">
        <v>0</v>
      </c>
      <c r="AH372" s="5">
        <v>0</v>
      </c>
      <c r="AI372" s="5">
        <v>0</v>
      </c>
      <c r="AJ372" s="5">
        <v>0</v>
      </c>
      <c r="AK372" s="5" t="s">
        <v>983</v>
      </c>
      <c r="AL372" s="5">
        <v>0</v>
      </c>
      <c r="AM372" s="5">
        <v>0</v>
      </c>
      <c r="AN372" s="5">
        <v>0</v>
      </c>
      <c r="AO372" s="5">
        <v>0</v>
      </c>
      <c r="AP372" s="5" t="s">
        <v>983</v>
      </c>
      <c r="AQ372" s="5">
        <v>0</v>
      </c>
      <c r="AR372" s="5">
        <v>0</v>
      </c>
      <c r="AS372" s="5">
        <v>0</v>
      </c>
      <c r="AT372" s="5">
        <v>0</v>
      </c>
      <c r="AU372" s="5">
        <v>0</v>
      </c>
      <c r="AV372" s="5">
        <v>0</v>
      </c>
      <c r="AW372" s="5">
        <v>0</v>
      </c>
      <c r="AX372" s="5">
        <v>0</v>
      </c>
      <c r="AY372" s="5" t="s">
        <v>983</v>
      </c>
      <c r="AZ372" s="1">
        <v>1</v>
      </c>
      <c r="BA372" s="1">
        <v>0</v>
      </c>
      <c r="BB372" s="1">
        <v>0</v>
      </c>
      <c r="BC372" s="1">
        <v>1</v>
      </c>
      <c r="BD372" s="1">
        <v>1</v>
      </c>
      <c r="BE372" s="1">
        <v>1</v>
      </c>
      <c r="BF372" s="1">
        <v>35</v>
      </c>
      <c r="BG372" s="1">
        <v>0</v>
      </c>
      <c r="BH372" s="1">
        <v>14</v>
      </c>
      <c r="BI372" s="1">
        <v>34</v>
      </c>
      <c r="BJ372" s="1">
        <v>0</v>
      </c>
      <c r="BK372" s="1">
        <v>1</v>
      </c>
    </row>
    <row r="373" spans="1:63" ht="12.75" customHeight="1" x14ac:dyDescent="0.15">
      <c r="A373" s="5" t="s">
        <v>238</v>
      </c>
      <c r="B373" s="5" t="s">
        <v>238</v>
      </c>
      <c r="C373" s="5">
        <v>3</v>
      </c>
      <c r="D373" s="5">
        <v>3</v>
      </c>
      <c r="E373" s="5">
        <v>3</v>
      </c>
      <c r="F373" s="5">
        <v>3</v>
      </c>
      <c r="G373" s="5">
        <v>4</v>
      </c>
      <c r="H373" s="5">
        <v>2</v>
      </c>
      <c r="I373" s="5">
        <v>2</v>
      </c>
      <c r="J373" s="5">
        <v>2</v>
      </c>
      <c r="K373" s="5">
        <v>3</v>
      </c>
      <c r="L373" s="5">
        <v>3</v>
      </c>
      <c r="M373" s="5">
        <v>4</v>
      </c>
      <c r="N373" s="5">
        <v>3</v>
      </c>
      <c r="O373" s="5">
        <v>35</v>
      </c>
      <c r="P373" s="5" t="s">
        <v>981</v>
      </c>
      <c r="Q373" s="5">
        <v>2</v>
      </c>
      <c r="R373" s="5">
        <v>1</v>
      </c>
      <c r="S373" s="5">
        <v>0</v>
      </c>
      <c r="T373" s="5">
        <v>3</v>
      </c>
      <c r="U373" s="5" t="s">
        <v>982</v>
      </c>
      <c r="V373" s="5">
        <v>0</v>
      </c>
      <c r="W373" s="5">
        <v>0</v>
      </c>
      <c r="X373" s="5">
        <v>3</v>
      </c>
      <c r="Y373" s="5">
        <v>3</v>
      </c>
      <c r="Z373" s="5" t="s">
        <v>982</v>
      </c>
      <c r="AA373" s="5">
        <v>4</v>
      </c>
      <c r="AB373" s="5">
        <v>4</v>
      </c>
      <c r="AC373" s="5">
        <v>3</v>
      </c>
      <c r="AD373" s="5">
        <v>2</v>
      </c>
      <c r="AE373" s="5">
        <v>13</v>
      </c>
      <c r="AF373" s="5" t="s">
        <v>981</v>
      </c>
      <c r="AG373" s="5">
        <v>3</v>
      </c>
      <c r="AH373" s="5">
        <v>1</v>
      </c>
      <c r="AI373" s="5">
        <v>0</v>
      </c>
      <c r="AJ373" s="5">
        <v>4</v>
      </c>
      <c r="AK373" s="5" t="s">
        <v>982</v>
      </c>
      <c r="AL373" s="5">
        <v>0</v>
      </c>
      <c r="AM373" s="5">
        <v>0</v>
      </c>
      <c r="AN373" s="5">
        <v>1</v>
      </c>
      <c r="AO373" s="5">
        <v>1</v>
      </c>
      <c r="AP373" s="5" t="s">
        <v>983</v>
      </c>
      <c r="AQ373" s="5">
        <v>0</v>
      </c>
      <c r="AR373" s="5">
        <v>0</v>
      </c>
      <c r="AS373" s="5">
        <v>0</v>
      </c>
      <c r="AT373" s="5">
        <v>0</v>
      </c>
      <c r="AU373" s="5">
        <v>0</v>
      </c>
      <c r="AV373" s="5">
        <v>0</v>
      </c>
      <c r="AW373" s="5">
        <v>0</v>
      </c>
      <c r="AX373" s="5">
        <v>0</v>
      </c>
      <c r="AY373" s="5" t="s">
        <v>983</v>
      </c>
      <c r="AZ373" s="1">
        <v>0</v>
      </c>
      <c r="BA373" s="1">
        <v>0</v>
      </c>
      <c r="BB373" s="1">
        <v>0</v>
      </c>
      <c r="BC373" s="1">
        <v>1</v>
      </c>
      <c r="BD373" s="1">
        <v>1</v>
      </c>
      <c r="BE373" s="1">
        <v>1</v>
      </c>
      <c r="BF373" s="1">
        <v>0</v>
      </c>
      <c r="BG373" s="1">
        <v>0</v>
      </c>
      <c r="BH373" s="1">
        <v>4</v>
      </c>
      <c r="BI373" s="1">
        <v>32</v>
      </c>
      <c r="BJ373" s="1">
        <v>0</v>
      </c>
      <c r="BK373" s="1">
        <v>2</v>
      </c>
    </row>
    <row r="374" spans="1:63" ht="12.75" customHeight="1" x14ac:dyDescent="0.15">
      <c r="A374" s="5" t="s">
        <v>330</v>
      </c>
      <c r="B374" s="5" t="s">
        <v>984</v>
      </c>
      <c r="C374" s="5">
        <v>2</v>
      </c>
      <c r="D374" s="5">
        <v>2</v>
      </c>
      <c r="E374" s="5">
        <v>2</v>
      </c>
      <c r="F374" s="5">
        <v>2</v>
      </c>
      <c r="G374" s="5">
        <v>2</v>
      </c>
      <c r="H374" s="5">
        <v>2</v>
      </c>
      <c r="I374" s="5">
        <v>2</v>
      </c>
      <c r="J374" s="5">
        <v>2</v>
      </c>
      <c r="K374" s="5">
        <v>2</v>
      </c>
      <c r="L374" s="5">
        <v>2</v>
      </c>
      <c r="M374" s="5">
        <v>2</v>
      </c>
      <c r="N374" s="5">
        <v>2</v>
      </c>
      <c r="O374" s="5">
        <v>24</v>
      </c>
      <c r="P374" s="5" t="s">
        <v>981</v>
      </c>
      <c r="Q374" s="5">
        <v>1</v>
      </c>
      <c r="R374" s="5">
        <v>1</v>
      </c>
      <c r="S374" s="5">
        <v>1</v>
      </c>
      <c r="T374" s="5">
        <v>3</v>
      </c>
      <c r="U374" s="5" t="s">
        <v>982</v>
      </c>
      <c r="V374" s="5">
        <v>1</v>
      </c>
      <c r="W374" s="5">
        <v>1</v>
      </c>
      <c r="X374" s="5">
        <v>1</v>
      </c>
      <c r="Y374" s="5">
        <v>3</v>
      </c>
      <c r="Z374" s="5" t="s">
        <v>982</v>
      </c>
      <c r="AA374" s="5">
        <v>3</v>
      </c>
      <c r="AB374" s="5">
        <v>3</v>
      </c>
      <c r="AC374" s="5">
        <v>3</v>
      </c>
      <c r="AD374" s="5">
        <v>3</v>
      </c>
      <c r="AE374" s="5">
        <v>12</v>
      </c>
      <c r="AF374" s="5" t="s">
        <v>981</v>
      </c>
      <c r="AG374" s="5">
        <v>1</v>
      </c>
      <c r="AH374" s="5">
        <v>1</v>
      </c>
      <c r="AI374" s="5">
        <v>1</v>
      </c>
      <c r="AJ374" s="5">
        <v>3</v>
      </c>
      <c r="AK374" s="5" t="s">
        <v>982</v>
      </c>
      <c r="AL374" s="5">
        <v>1</v>
      </c>
      <c r="AM374" s="5">
        <v>1</v>
      </c>
      <c r="AN374" s="5">
        <v>1</v>
      </c>
      <c r="AO374" s="5">
        <v>3</v>
      </c>
      <c r="AP374" s="5" t="s">
        <v>982</v>
      </c>
      <c r="AQ374" s="5">
        <v>0</v>
      </c>
      <c r="AR374" s="5">
        <v>0</v>
      </c>
      <c r="AS374" s="5">
        <v>0</v>
      </c>
      <c r="AT374" s="5">
        <v>0</v>
      </c>
      <c r="AU374" s="5">
        <v>0</v>
      </c>
      <c r="AV374" s="5">
        <v>0</v>
      </c>
      <c r="AW374" s="5">
        <v>0</v>
      </c>
      <c r="AX374" s="5">
        <v>0</v>
      </c>
      <c r="AY374" s="5" t="s">
        <v>983</v>
      </c>
      <c r="AZ374" s="1">
        <v>1</v>
      </c>
      <c r="BA374" s="1">
        <v>0</v>
      </c>
      <c r="BB374" s="1">
        <v>1</v>
      </c>
      <c r="BC374" s="1">
        <v>1</v>
      </c>
      <c r="BD374" s="1">
        <v>1</v>
      </c>
      <c r="BE374" s="1">
        <v>1</v>
      </c>
      <c r="BF374" s="1">
        <v>40</v>
      </c>
      <c r="BG374" s="1">
        <v>1</v>
      </c>
      <c r="BH374" s="1">
        <v>2</v>
      </c>
      <c r="BI374" s="1">
        <v>24</v>
      </c>
      <c r="BJ374" s="1">
        <v>600000</v>
      </c>
      <c r="BK374" s="1">
        <v>3</v>
      </c>
    </row>
    <row r="375" spans="1:63" ht="12.75" customHeight="1" x14ac:dyDescent="0.15">
      <c r="A375" s="5" t="s">
        <v>238</v>
      </c>
      <c r="B375" s="5" t="s">
        <v>238</v>
      </c>
      <c r="C375" s="5">
        <v>2</v>
      </c>
      <c r="D375" s="5">
        <v>1</v>
      </c>
      <c r="E375" s="5">
        <v>1</v>
      </c>
      <c r="F375" s="5">
        <v>1</v>
      </c>
      <c r="G375" s="5">
        <v>1</v>
      </c>
      <c r="H375" s="5">
        <v>1</v>
      </c>
      <c r="I375" s="5">
        <v>1</v>
      </c>
      <c r="J375" s="5">
        <v>2</v>
      </c>
      <c r="K375" s="5">
        <v>2</v>
      </c>
      <c r="L375" s="5">
        <v>2</v>
      </c>
      <c r="M375" s="5">
        <v>2</v>
      </c>
      <c r="N375" s="5">
        <v>2</v>
      </c>
      <c r="O375" s="5">
        <v>18</v>
      </c>
      <c r="P375" s="5" t="s">
        <v>983</v>
      </c>
      <c r="Q375" s="5">
        <v>0</v>
      </c>
      <c r="R375" s="5">
        <v>0</v>
      </c>
      <c r="S375" s="5">
        <v>0</v>
      </c>
      <c r="T375" s="5">
        <v>0</v>
      </c>
      <c r="U375" s="5" t="s">
        <v>983</v>
      </c>
      <c r="V375" s="5">
        <v>2</v>
      </c>
      <c r="W375" s="5">
        <v>2</v>
      </c>
      <c r="X375" s="5">
        <v>4</v>
      </c>
      <c r="Y375" s="5">
        <v>8</v>
      </c>
      <c r="Z375" s="5" t="s">
        <v>981</v>
      </c>
      <c r="AA375" s="5">
        <v>3</v>
      </c>
      <c r="AB375" s="5">
        <v>3</v>
      </c>
      <c r="AC375" s="5">
        <v>0</v>
      </c>
      <c r="AD375" s="5">
        <v>0</v>
      </c>
      <c r="AE375" s="5">
        <v>6</v>
      </c>
      <c r="AF375" s="5" t="s">
        <v>981</v>
      </c>
      <c r="AG375" s="5">
        <v>0</v>
      </c>
      <c r="AH375" s="5">
        <v>1</v>
      </c>
      <c r="AI375" s="5">
        <v>0</v>
      </c>
      <c r="AJ375" s="5">
        <v>1</v>
      </c>
      <c r="AK375" s="5" t="s">
        <v>983</v>
      </c>
      <c r="AL375" s="5">
        <v>0</v>
      </c>
      <c r="AM375" s="5">
        <v>4</v>
      </c>
      <c r="AN375" s="5">
        <v>4</v>
      </c>
      <c r="AO375" s="5">
        <v>8</v>
      </c>
      <c r="AP375" s="5" t="s">
        <v>981</v>
      </c>
      <c r="AQ375" s="5">
        <v>0</v>
      </c>
      <c r="AR375" s="5">
        <v>0</v>
      </c>
      <c r="AS375" s="5">
        <v>0</v>
      </c>
      <c r="AT375" s="5">
        <v>0</v>
      </c>
      <c r="AU375" s="5">
        <v>0</v>
      </c>
      <c r="AV375" s="5">
        <v>0</v>
      </c>
      <c r="AW375" s="5">
        <v>0</v>
      </c>
      <c r="AX375" s="5">
        <v>0</v>
      </c>
      <c r="AY375" s="5" t="s">
        <v>983</v>
      </c>
      <c r="AZ375" s="1">
        <v>0</v>
      </c>
      <c r="BA375" s="1">
        <v>0</v>
      </c>
      <c r="BB375" s="1">
        <v>0</v>
      </c>
      <c r="BC375" s="1">
        <v>1</v>
      </c>
      <c r="BD375" s="1">
        <v>0</v>
      </c>
      <c r="BE375" s="1">
        <v>1</v>
      </c>
      <c r="BF375" s="1">
        <v>0</v>
      </c>
      <c r="BG375" s="1">
        <v>0</v>
      </c>
      <c r="BH375" s="1">
        <v>0</v>
      </c>
      <c r="BI375" s="1">
        <v>2</v>
      </c>
      <c r="BJ375" s="1">
        <v>0</v>
      </c>
      <c r="BK375" s="1">
        <v>1</v>
      </c>
    </row>
    <row r="376" spans="1:63" ht="12.75" customHeight="1" x14ac:dyDescent="0.15">
      <c r="A376" s="5" t="s">
        <v>238</v>
      </c>
      <c r="B376" s="5" t="s">
        <v>238</v>
      </c>
      <c r="C376" s="5">
        <v>2</v>
      </c>
      <c r="D376" s="5">
        <v>2</v>
      </c>
      <c r="E376" s="5">
        <v>3</v>
      </c>
      <c r="F376" s="5">
        <v>3</v>
      </c>
      <c r="G376" s="5">
        <v>3</v>
      </c>
      <c r="H376" s="5">
        <v>2</v>
      </c>
      <c r="I376" s="5">
        <v>1</v>
      </c>
      <c r="J376" s="5">
        <v>2</v>
      </c>
      <c r="K376" s="5">
        <v>2</v>
      </c>
      <c r="L376" s="5">
        <v>2</v>
      </c>
      <c r="M376" s="5">
        <v>2</v>
      </c>
      <c r="N376" s="5">
        <v>2</v>
      </c>
      <c r="O376" s="5">
        <v>26</v>
      </c>
      <c r="P376" s="5" t="s">
        <v>981</v>
      </c>
      <c r="Q376" s="5">
        <v>1</v>
      </c>
      <c r="R376" s="5">
        <v>1</v>
      </c>
      <c r="S376" s="5">
        <v>2</v>
      </c>
      <c r="T376" s="5">
        <v>4</v>
      </c>
      <c r="U376" s="5" t="s">
        <v>982</v>
      </c>
      <c r="V376" s="5">
        <v>0</v>
      </c>
      <c r="W376" s="5">
        <v>0</v>
      </c>
      <c r="X376" s="5">
        <v>0</v>
      </c>
      <c r="Y376" s="5">
        <v>0</v>
      </c>
      <c r="Z376" s="5" t="s">
        <v>983</v>
      </c>
      <c r="AA376" s="5">
        <v>4</v>
      </c>
      <c r="AB376" s="5">
        <v>2</v>
      </c>
      <c r="AC376" s="5">
        <v>0</v>
      </c>
      <c r="AD376" s="5">
        <v>2</v>
      </c>
      <c r="AE376" s="5">
        <v>8</v>
      </c>
      <c r="AF376" s="5" t="s">
        <v>981</v>
      </c>
      <c r="AG376" s="5">
        <v>0</v>
      </c>
      <c r="AH376" s="5">
        <v>0</v>
      </c>
      <c r="AI376" s="5">
        <v>0</v>
      </c>
      <c r="AJ376" s="5">
        <v>0</v>
      </c>
      <c r="AK376" s="5" t="s">
        <v>983</v>
      </c>
      <c r="AL376" s="5">
        <v>1</v>
      </c>
      <c r="AM376" s="5">
        <v>0</v>
      </c>
      <c r="AN376" s="5">
        <v>0</v>
      </c>
      <c r="AO376" s="5">
        <v>1</v>
      </c>
      <c r="AP376" s="5" t="s">
        <v>983</v>
      </c>
      <c r="AQ376" s="5">
        <v>0</v>
      </c>
      <c r="AR376" s="5">
        <v>0</v>
      </c>
      <c r="AS376" s="5">
        <v>0</v>
      </c>
      <c r="AT376" s="5">
        <v>0</v>
      </c>
      <c r="AU376" s="5">
        <v>0</v>
      </c>
      <c r="AV376" s="5">
        <v>0</v>
      </c>
      <c r="AW376" s="5">
        <v>0</v>
      </c>
      <c r="AX376" s="5">
        <v>0</v>
      </c>
      <c r="AY376" s="5" t="s">
        <v>983</v>
      </c>
      <c r="AZ376" s="1">
        <v>1</v>
      </c>
      <c r="BA376" s="1">
        <v>0</v>
      </c>
      <c r="BB376" s="1">
        <v>1</v>
      </c>
      <c r="BC376" s="1">
        <v>1</v>
      </c>
      <c r="BD376" s="1">
        <v>0</v>
      </c>
      <c r="BE376" s="1">
        <v>1</v>
      </c>
      <c r="BF376" s="1">
        <v>50</v>
      </c>
      <c r="BG376" s="1">
        <v>1</v>
      </c>
      <c r="BH376" s="1">
        <v>4</v>
      </c>
      <c r="BI376" s="1">
        <v>2</v>
      </c>
      <c r="BJ376" s="1">
        <v>0</v>
      </c>
      <c r="BK376" s="1">
        <v>3</v>
      </c>
    </row>
    <row r="377" spans="1:63" ht="12.75" customHeight="1" x14ac:dyDescent="0.15">
      <c r="A377" s="5" t="s">
        <v>337</v>
      </c>
      <c r="B377" s="5" t="s">
        <v>984</v>
      </c>
      <c r="C377" s="5">
        <v>1</v>
      </c>
      <c r="D377" s="5">
        <v>1</v>
      </c>
      <c r="E377" s="5">
        <v>1</v>
      </c>
      <c r="F377" s="5">
        <v>1</v>
      </c>
      <c r="G377" s="5">
        <v>1</v>
      </c>
      <c r="H377" s="5">
        <v>1</v>
      </c>
      <c r="I377" s="5">
        <v>1</v>
      </c>
      <c r="J377" s="5">
        <v>1</v>
      </c>
      <c r="K377" s="5">
        <v>1</v>
      </c>
      <c r="L377" s="5">
        <v>1</v>
      </c>
      <c r="M377" s="5">
        <v>1</v>
      </c>
      <c r="N377" s="5">
        <v>1</v>
      </c>
      <c r="O377" s="5">
        <v>12</v>
      </c>
      <c r="P377" s="5" t="s">
        <v>983</v>
      </c>
      <c r="Q377" s="5">
        <v>4</v>
      </c>
      <c r="R377" s="5">
        <v>4</v>
      </c>
      <c r="S377" s="5">
        <v>4</v>
      </c>
      <c r="T377" s="5">
        <v>12</v>
      </c>
      <c r="U377" s="5" t="s">
        <v>981</v>
      </c>
      <c r="V377" s="5">
        <v>4</v>
      </c>
      <c r="W377" s="5">
        <v>4</v>
      </c>
      <c r="X377" s="5">
        <v>4</v>
      </c>
      <c r="Y377" s="5">
        <v>12</v>
      </c>
      <c r="Z377" s="5" t="s">
        <v>981</v>
      </c>
      <c r="AA377" s="5">
        <v>0</v>
      </c>
      <c r="AB377" s="5">
        <v>0</v>
      </c>
      <c r="AC377" s="5">
        <v>0</v>
      </c>
      <c r="AD377" s="5">
        <v>0</v>
      </c>
      <c r="AE377" s="5">
        <v>0</v>
      </c>
      <c r="AF377" s="5" t="s">
        <v>983</v>
      </c>
      <c r="AG377" s="5">
        <v>4</v>
      </c>
      <c r="AH377" s="5">
        <v>4</v>
      </c>
      <c r="AI377" s="5">
        <v>4</v>
      </c>
      <c r="AJ377" s="5">
        <v>12</v>
      </c>
      <c r="AK377" s="5" t="s">
        <v>981</v>
      </c>
      <c r="AL377" s="5">
        <v>4</v>
      </c>
      <c r="AM377" s="5">
        <v>4</v>
      </c>
      <c r="AN377" s="5">
        <v>4</v>
      </c>
      <c r="AO377" s="5">
        <v>12</v>
      </c>
      <c r="AP377" s="5" t="s">
        <v>981</v>
      </c>
      <c r="AQ377" s="5">
        <v>0</v>
      </c>
      <c r="AR377" s="5">
        <v>0</v>
      </c>
      <c r="AS377" s="5">
        <v>0</v>
      </c>
      <c r="AT377" s="5">
        <v>0</v>
      </c>
      <c r="AU377" s="5">
        <v>0</v>
      </c>
      <c r="AV377" s="5">
        <v>0</v>
      </c>
      <c r="AW377" s="5">
        <v>0</v>
      </c>
      <c r="AX377" s="5">
        <v>0</v>
      </c>
      <c r="AY377" s="5" t="s">
        <v>983</v>
      </c>
      <c r="AZ377" s="1">
        <v>1</v>
      </c>
      <c r="BA377" s="1">
        <v>0</v>
      </c>
      <c r="BB377" s="1">
        <v>0</v>
      </c>
      <c r="BC377" s="1">
        <v>0</v>
      </c>
      <c r="BD377" s="1">
        <v>0</v>
      </c>
      <c r="BE377" s="1">
        <v>0</v>
      </c>
      <c r="BF377" s="1">
        <v>37</v>
      </c>
      <c r="BG377" s="1">
        <v>1</v>
      </c>
      <c r="BH377" s="1">
        <v>14</v>
      </c>
      <c r="BI377" s="1">
        <v>6</v>
      </c>
      <c r="BJ377" s="1">
        <v>500000</v>
      </c>
      <c r="BK377" s="1">
        <v>1</v>
      </c>
    </row>
    <row r="378" spans="1:63" ht="12.75" customHeight="1" x14ac:dyDescent="0.15">
      <c r="A378" s="5" t="s">
        <v>238</v>
      </c>
      <c r="B378" s="5" t="s">
        <v>238</v>
      </c>
      <c r="C378" s="5">
        <v>2</v>
      </c>
      <c r="D378" s="5">
        <v>2</v>
      </c>
      <c r="E378" s="5">
        <v>2</v>
      </c>
      <c r="F378" s="5">
        <v>2</v>
      </c>
      <c r="G378" s="5">
        <v>2</v>
      </c>
      <c r="H378" s="5">
        <v>2</v>
      </c>
      <c r="I378" s="5">
        <v>2</v>
      </c>
      <c r="J378" s="5">
        <v>2</v>
      </c>
      <c r="K378" s="5">
        <v>2</v>
      </c>
      <c r="L378" s="5">
        <v>2</v>
      </c>
      <c r="M378" s="5">
        <v>2</v>
      </c>
      <c r="N378" s="5">
        <v>2</v>
      </c>
      <c r="O378" s="5">
        <v>24</v>
      </c>
      <c r="P378" s="5" t="s">
        <v>981</v>
      </c>
      <c r="Q378" s="5">
        <v>3</v>
      </c>
      <c r="R378" s="5">
        <v>3</v>
      </c>
      <c r="S378" s="5">
        <v>3</v>
      </c>
      <c r="T378" s="5">
        <v>9</v>
      </c>
      <c r="U378" s="5" t="s">
        <v>981</v>
      </c>
      <c r="V378" s="5">
        <v>3</v>
      </c>
      <c r="W378" s="5">
        <v>3</v>
      </c>
      <c r="X378" s="5">
        <v>3</v>
      </c>
      <c r="Y378" s="5">
        <v>9</v>
      </c>
      <c r="Z378" s="5" t="s">
        <v>981</v>
      </c>
      <c r="AA378" s="5">
        <v>1</v>
      </c>
      <c r="AB378" s="5">
        <v>1</v>
      </c>
      <c r="AC378" s="5">
        <v>1</v>
      </c>
      <c r="AD378" s="5">
        <v>1</v>
      </c>
      <c r="AE378" s="5">
        <v>4</v>
      </c>
      <c r="AF378" s="5" t="s">
        <v>982</v>
      </c>
      <c r="AG378" s="5">
        <v>3</v>
      </c>
      <c r="AH378" s="5">
        <v>3</v>
      </c>
      <c r="AI378" s="5">
        <v>3</v>
      </c>
      <c r="AJ378" s="5">
        <v>9</v>
      </c>
      <c r="AK378" s="5" t="s">
        <v>981</v>
      </c>
      <c r="AL378" s="5">
        <v>3</v>
      </c>
      <c r="AM378" s="5">
        <v>3</v>
      </c>
      <c r="AN378" s="5">
        <v>3</v>
      </c>
      <c r="AO378" s="5">
        <v>9</v>
      </c>
      <c r="AP378" s="5" t="s">
        <v>981</v>
      </c>
      <c r="AQ378" s="5">
        <v>1</v>
      </c>
      <c r="AR378" s="5">
        <v>1</v>
      </c>
      <c r="AS378" s="5">
        <v>1</v>
      </c>
      <c r="AT378" s="5">
        <v>1</v>
      </c>
      <c r="AU378" s="5">
        <v>1</v>
      </c>
      <c r="AV378" s="5">
        <v>1</v>
      </c>
      <c r="AW378" s="5">
        <v>1</v>
      </c>
      <c r="AX378" s="5">
        <v>7</v>
      </c>
      <c r="AY378" s="5" t="s">
        <v>982</v>
      </c>
      <c r="AZ378" s="1">
        <v>1</v>
      </c>
      <c r="BA378" s="1">
        <v>0</v>
      </c>
      <c r="BB378" s="1">
        <v>1</v>
      </c>
      <c r="BC378" s="1">
        <v>1</v>
      </c>
      <c r="BD378" s="1">
        <v>1</v>
      </c>
      <c r="BE378" s="1">
        <v>1</v>
      </c>
      <c r="BF378" s="1">
        <v>47</v>
      </c>
      <c r="BG378" s="1">
        <v>0</v>
      </c>
      <c r="BH378" s="1">
        <v>14</v>
      </c>
      <c r="BI378" s="1">
        <v>24</v>
      </c>
      <c r="BJ378" s="1">
        <v>230000</v>
      </c>
      <c r="BK378" s="1">
        <v>3</v>
      </c>
    </row>
    <row r="379" spans="1:63" ht="12.75" customHeight="1" x14ac:dyDescent="0.15">
      <c r="A379" s="5" t="s">
        <v>238</v>
      </c>
      <c r="B379" s="5" t="s">
        <v>238</v>
      </c>
      <c r="C379" s="5">
        <v>1</v>
      </c>
      <c r="D379" s="5">
        <v>1</v>
      </c>
      <c r="E379" s="5">
        <v>1</v>
      </c>
      <c r="F379" s="5">
        <v>1</v>
      </c>
      <c r="G379" s="5">
        <v>1</v>
      </c>
      <c r="H379" s="5">
        <v>1</v>
      </c>
      <c r="I379" s="5">
        <v>1</v>
      </c>
      <c r="J379" s="5">
        <v>1</v>
      </c>
      <c r="K379" s="5">
        <v>1</v>
      </c>
      <c r="L379" s="5">
        <v>1</v>
      </c>
      <c r="M379" s="5">
        <v>1</v>
      </c>
      <c r="N379" s="5">
        <v>1</v>
      </c>
      <c r="O379" s="5">
        <v>12</v>
      </c>
      <c r="P379" s="5" t="s">
        <v>983</v>
      </c>
      <c r="Q379" s="5">
        <v>1</v>
      </c>
      <c r="R379" s="5">
        <v>2</v>
      </c>
      <c r="S379" s="5">
        <v>1</v>
      </c>
      <c r="T379" s="5">
        <v>4</v>
      </c>
      <c r="U379" s="5" t="s">
        <v>982</v>
      </c>
      <c r="V379" s="5">
        <v>1</v>
      </c>
      <c r="W379" s="5">
        <v>1</v>
      </c>
      <c r="X379" s="5">
        <v>1</v>
      </c>
      <c r="Y379" s="5">
        <v>3</v>
      </c>
      <c r="Z379" s="5" t="s">
        <v>982</v>
      </c>
      <c r="AA379" s="5">
        <v>4</v>
      </c>
      <c r="AB379" s="5">
        <v>4</v>
      </c>
      <c r="AC379" s="5">
        <v>3</v>
      </c>
      <c r="AD379" s="5">
        <v>4</v>
      </c>
      <c r="AE379" s="5">
        <v>15</v>
      </c>
      <c r="AF379" s="5" t="s">
        <v>981</v>
      </c>
      <c r="AG379" s="5">
        <v>2</v>
      </c>
      <c r="AH379" s="5">
        <v>1</v>
      </c>
      <c r="AI379" s="5">
        <v>1</v>
      </c>
      <c r="AJ379" s="5">
        <v>4</v>
      </c>
      <c r="AK379" s="5" t="s">
        <v>982</v>
      </c>
      <c r="AL379" s="5">
        <v>1</v>
      </c>
      <c r="AM379" s="5">
        <v>1</v>
      </c>
      <c r="AN379" s="5">
        <v>1</v>
      </c>
      <c r="AO379" s="5">
        <v>3</v>
      </c>
      <c r="AP379" s="5" t="s">
        <v>982</v>
      </c>
      <c r="AQ379" s="5">
        <v>0</v>
      </c>
      <c r="AR379" s="5">
        <v>0</v>
      </c>
      <c r="AS379" s="5">
        <v>0</v>
      </c>
      <c r="AT379" s="5">
        <v>0</v>
      </c>
      <c r="AU379" s="5">
        <v>0</v>
      </c>
      <c r="AV379" s="5">
        <v>0</v>
      </c>
      <c r="AW379" s="5">
        <v>0</v>
      </c>
      <c r="AX379" s="5">
        <v>0</v>
      </c>
      <c r="AY379" s="5" t="s">
        <v>983</v>
      </c>
      <c r="AZ379" s="1">
        <v>1</v>
      </c>
      <c r="BA379" s="1">
        <v>0</v>
      </c>
      <c r="BB379" s="1">
        <v>1</v>
      </c>
      <c r="BC379" s="1">
        <v>1</v>
      </c>
      <c r="BD379" s="1">
        <v>1</v>
      </c>
      <c r="BE379" s="1">
        <v>1</v>
      </c>
      <c r="BF379" s="1">
        <v>49</v>
      </c>
      <c r="BG379" s="1">
        <v>0</v>
      </c>
      <c r="BH379" s="1">
        <v>18</v>
      </c>
      <c r="BI379" s="1">
        <v>6</v>
      </c>
      <c r="BJ379" s="1">
        <v>500000</v>
      </c>
      <c r="BK379" s="1">
        <v>4</v>
      </c>
    </row>
    <row r="380" spans="1:63" ht="12.75" customHeight="1" x14ac:dyDescent="0.15">
      <c r="A380" s="5" t="s">
        <v>238</v>
      </c>
      <c r="B380" s="5" t="s">
        <v>238</v>
      </c>
      <c r="C380" s="5">
        <v>3</v>
      </c>
      <c r="D380" s="5">
        <v>3</v>
      </c>
      <c r="E380" s="5">
        <v>3</v>
      </c>
      <c r="F380" s="5">
        <v>2</v>
      </c>
      <c r="G380" s="5">
        <v>4</v>
      </c>
      <c r="H380" s="5">
        <v>3</v>
      </c>
      <c r="I380" s="5">
        <v>1</v>
      </c>
      <c r="J380" s="5">
        <v>1</v>
      </c>
      <c r="K380" s="5">
        <v>1</v>
      </c>
      <c r="L380" s="5">
        <v>3</v>
      </c>
      <c r="M380" s="5">
        <v>2</v>
      </c>
      <c r="N380" s="5">
        <v>3</v>
      </c>
      <c r="O380" s="5">
        <v>29</v>
      </c>
      <c r="P380" s="5" t="s">
        <v>981</v>
      </c>
      <c r="Q380" s="5">
        <v>0</v>
      </c>
      <c r="R380" s="5">
        <v>0</v>
      </c>
      <c r="S380" s="5">
        <v>0</v>
      </c>
      <c r="T380" s="5">
        <v>0</v>
      </c>
      <c r="U380" s="5" t="s">
        <v>983</v>
      </c>
      <c r="V380" s="5">
        <v>1</v>
      </c>
      <c r="W380" s="5">
        <v>1</v>
      </c>
      <c r="X380" s="5">
        <v>2</v>
      </c>
      <c r="Y380" s="5">
        <v>4</v>
      </c>
      <c r="Z380" s="5" t="s">
        <v>982</v>
      </c>
      <c r="AA380" s="5">
        <v>4</v>
      </c>
      <c r="AB380" s="5">
        <v>4</v>
      </c>
      <c r="AC380" s="5">
        <v>4</v>
      </c>
      <c r="AD380" s="5">
        <v>0</v>
      </c>
      <c r="AE380" s="5">
        <v>12</v>
      </c>
      <c r="AF380" s="5" t="s">
        <v>981</v>
      </c>
      <c r="AG380" s="5">
        <v>2</v>
      </c>
      <c r="AH380" s="5">
        <v>0</v>
      </c>
      <c r="AI380" s="5">
        <v>0</v>
      </c>
      <c r="AJ380" s="5">
        <v>2</v>
      </c>
      <c r="AK380" s="5" t="s">
        <v>983</v>
      </c>
      <c r="AL380" s="5">
        <v>1</v>
      </c>
      <c r="AM380" s="5">
        <v>1</v>
      </c>
      <c r="AN380" s="5">
        <v>1</v>
      </c>
      <c r="AO380" s="5">
        <v>3</v>
      </c>
      <c r="AP380" s="5" t="s">
        <v>982</v>
      </c>
      <c r="AQ380" s="5">
        <v>0</v>
      </c>
      <c r="AR380" s="5">
        <v>0</v>
      </c>
      <c r="AS380" s="5">
        <v>0</v>
      </c>
      <c r="AT380" s="5">
        <v>0</v>
      </c>
      <c r="AU380" s="5">
        <v>0</v>
      </c>
      <c r="AV380" s="5">
        <v>0</v>
      </c>
      <c r="AW380" s="5">
        <v>0</v>
      </c>
      <c r="AX380" s="5">
        <v>0</v>
      </c>
      <c r="AY380" s="5" t="s">
        <v>983</v>
      </c>
      <c r="AZ380" s="1">
        <v>0</v>
      </c>
      <c r="BA380" s="1">
        <v>1</v>
      </c>
      <c r="BB380" s="1">
        <v>1</v>
      </c>
      <c r="BC380" s="1">
        <v>1</v>
      </c>
      <c r="BD380" s="1">
        <v>1</v>
      </c>
      <c r="BE380" s="1">
        <v>1</v>
      </c>
      <c r="BF380" s="1">
        <v>67</v>
      </c>
      <c r="BG380" s="1">
        <v>0</v>
      </c>
      <c r="BH380" s="1">
        <v>6</v>
      </c>
      <c r="BI380" s="1">
        <v>3</v>
      </c>
      <c r="BJ380" s="1">
        <v>0</v>
      </c>
      <c r="BK380" s="1">
        <v>1</v>
      </c>
    </row>
    <row r="381" spans="1:63" ht="12.75" customHeight="1" x14ac:dyDescent="0.15">
      <c r="A381" s="5" t="s">
        <v>330</v>
      </c>
      <c r="B381" s="5" t="s">
        <v>984</v>
      </c>
      <c r="C381" s="5">
        <v>2</v>
      </c>
      <c r="D381" s="5">
        <v>2</v>
      </c>
      <c r="E381" s="5">
        <v>2</v>
      </c>
      <c r="F381" s="5">
        <v>2</v>
      </c>
      <c r="G381" s="5">
        <v>1</v>
      </c>
      <c r="H381" s="5">
        <v>1</v>
      </c>
      <c r="I381" s="5">
        <v>1</v>
      </c>
      <c r="J381" s="5">
        <v>1</v>
      </c>
      <c r="K381" s="5">
        <v>1</v>
      </c>
      <c r="L381" s="5">
        <v>1</v>
      </c>
      <c r="M381" s="5">
        <v>1</v>
      </c>
      <c r="N381" s="5">
        <v>1</v>
      </c>
      <c r="O381" s="5">
        <v>16</v>
      </c>
      <c r="P381" s="5" t="s">
        <v>983</v>
      </c>
      <c r="Q381" s="5">
        <v>1</v>
      </c>
      <c r="R381" s="5">
        <v>0</v>
      </c>
      <c r="S381" s="5">
        <v>0</v>
      </c>
      <c r="T381" s="5">
        <v>1</v>
      </c>
      <c r="U381" s="5" t="s">
        <v>983</v>
      </c>
      <c r="V381" s="5">
        <v>0</v>
      </c>
      <c r="W381" s="5">
        <v>0</v>
      </c>
      <c r="X381" s="5">
        <v>0</v>
      </c>
      <c r="Y381" s="5">
        <v>0</v>
      </c>
      <c r="Z381" s="5" t="s">
        <v>983</v>
      </c>
      <c r="AA381" s="5">
        <v>0</v>
      </c>
      <c r="AB381" s="5">
        <v>0</v>
      </c>
      <c r="AC381" s="5">
        <v>0</v>
      </c>
      <c r="AD381" s="5">
        <v>0</v>
      </c>
      <c r="AE381" s="5">
        <v>0</v>
      </c>
      <c r="AF381" s="5" t="s">
        <v>983</v>
      </c>
      <c r="AG381" s="5">
        <v>0</v>
      </c>
      <c r="AH381" s="5">
        <v>0</v>
      </c>
      <c r="AI381" s="5">
        <v>0</v>
      </c>
      <c r="AJ381" s="5">
        <v>0</v>
      </c>
      <c r="AK381" s="5" t="s">
        <v>983</v>
      </c>
      <c r="AL381" s="5">
        <v>0</v>
      </c>
      <c r="AM381" s="5">
        <v>0</v>
      </c>
      <c r="AN381" s="5">
        <v>0</v>
      </c>
      <c r="AO381" s="5">
        <v>0</v>
      </c>
      <c r="AP381" s="5" t="s">
        <v>983</v>
      </c>
      <c r="AQ381" s="5">
        <v>0</v>
      </c>
      <c r="AR381" s="5">
        <v>0</v>
      </c>
      <c r="AS381" s="5">
        <v>0</v>
      </c>
      <c r="AT381" s="5">
        <v>0</v>
      </c>
      <c r="AU381" s="5">
        <v>0</v>
      </c>
      <c r="AV381" s="5">
        <v>0</v>
      </c>
      <c r="AW381" s="5">
        <v>0</v>
      </c>
      <c r="AX381" s="5">
        <v>0</v>
      </c>
      <c r="AY381" s="5" t="s">
        <v>983</v>
      </c>
      <c r="AZ381" s="1">
        <v>1</v>
      </c>
      <c r="BA381" s="1">
        <v>0</v>
      </c>
      <c r="BB381" s="1">
        <v>1</v>
      </c>
      <c r="BC381" s="1">
        <v>1</v>
      </c>
      <c r="BD381" s="1">
        <v>1</v>
      </c>
      <c r="BE381" s="1">
        <v>1</v>
      </c>
      <c r="BF381" s="1">
        <v>44</v>
      </c>
      <c r="BG381" s="1">
        <v>0</v>
      </c>
      <c r="BH381" s="1">
        <v>18</v>
      </c>
      <c r="BI381" s="1">
        <v>2</v>
      </c>
      <c r="BJ381" s="1">
        <v>500000</v>
      </c>
      <c r="BK381" s="1">
        <v>2</v>
      </c>
    </row>
    <row r="382" spans="1:63" ht="12.75" customHeight="1" x14ac:dyDescent="0.15">
      <c r="A382" s="5" t="s">
        <v>238</v>
      </c>
      <c r="B382" s="5" t="s">
        <v>238</v>
      </c>
      <c r="C382" s="5">
        <v>1</v>
      </c>
      <c r="D382" s="5">
        <v>3</v>
      </c>
      <c r="E382" s="5">
        <v>2</v>
      </c>
      <c r="F382" s="5">
        <v>1</v>
      </c>
      <c r="G382" s="5">
        <v>2</v>
      </c>
      <c r="H382" s="5">
        <v>1</v>
      </c>
      <c r="I382" s="5">
        <v>1</v>
      </c>
      <c r="J382" s="5">
        <v>1</v>
      </c>
      <c r="K382" s="5">
        <v>1</v>
      </c>
      <c r="L382" s="5">
        <v>1</v>
      </c>
      <c r="M382" s="5">
        <v>1</v>
      </c>
      <c r="N382" s="5">
        <v>1</v>
      </c>
      <c r="O382" s="5">
        <v>16</v>
      </c>
      <c r="P382" s="5" t="s">
        <v>983</v>
      </c>
      <c r="Q382" s="5">
        <v>1</v>
      </c>
      <c r="R382" s="5">
        <v>1</v>
      </c>
      <c r="S382" s="5">
        <v>0</v>
      </c>
      <c r="T382" s="5">
        <v>2</v>
      </c>
      <c r="U382" s="5" t="s">
        <v>982</v>
      </c>
      <c r="V382" s="5">
        <v>0</v>
      </c>
      <c r="W382" s="5">
        <v>2</v>
      </c>
      <c r="X382" s="5">
        <v>1</v>
      </c>
      <c r="Y382" s="5">
        <v>3</v>
      </c>
      <c r="Z382" s="5" t="s">
        <v>982</v>
      </c>
      <c r="AA382" s="5">
        <v>4</v>
      </c>
      <c r="AB382" s="5">
        <v>4</v>
      </c>
      <c r="AC382" s="5">
        <v>0</v>
      </c>
      <c r="AD382" s="5">
        <v>0</v>
      </c>
      <c r="AE382" s="5">
        <v>8</v>
      </c>
      <c r="AF382" s="5" t="s">
        <v>981</v>
      </c>
      <c r="AG382" s="5">
        <v>4</v>
      </c>
      <c r="AH382" s="5">
        <v>2</v>
      </c>
      <c r="AI382" s="5">
        <v>0</v>
      </c>
      <c r="AJ382" s="5">
        <v>6</v>
      </c>
      <c r="AK382" s="5" t="s">
        <v>981</v>
      </c>
      <c r="AL382" s="5">
        <v>0</v>
      </c>
      <c r="AM382" s="5">
        <v>0</v>
      </c>
      <c r="AN382" s="5">
        <v>0</v>
      </c>
      <c r="AO382" s="5">
        <v>0</v>
      </c>
      <c r="AP382" s="5" t="s">
        <v>983</v>
      </c>
      <c r="AQ382" s="5">
        <v>0</v>
      </c>
      <c r="AR382" s="5">
        <v>0</v>
      </c>
      <c r="AS382" s="5">
        <v>0</v>
      </c>
      <c r="AT382" s="5">
        <v>0</v>
      </c>
      <c r="AU382" s="5">
        <v>0</v>
      </c>
      <c r="AV382" s="5">
        <v>0</v>
      </c>
      <c r="AW382" s="5">
        <v>0</v>
      </c>
      <c r="AX382" s="5">
        <v>0</v>
      </c>
      <c r="AY382" s="5" t="s">
        <v>983</v>
      </c>
      <c r="AZ382" s="1">
        <v>1</v>
      </c>
      <c r="BA382" s="1">
        <v>1</v>
      </c>
      <c r="BB382" s="1">
        <v>1</v>
      </c>
      <c r="BC382" s="1">
        <v>1</v>
      </c>
      <c r="BD382" s="1">
        <v>1</v>
      </c>
      <c r="BE382" s="1">
        <v>1</v>
      </c>
      <c r="BF382" s="1">
        <v>46</v>
      </c>
      <c r="BG382" s="1">
        <v>1</v>
      </c>
      <c r="BH382" s="1">
        <v>2</v>
      </c>
      <c r="BI382" s="1">
        <v>17</v>
      </c>
      <c r="BJ382" s="1">
        <v>0</v>
      </c>
      <c r="BK382" s="1">
        <v>3</v>
      </c>
    </row>
    <row r="383" spans="1:63" ht="12.75" customHeight="1" x14ac:dyDescent="0.15">
      <c r="A383" s="5" t="s">
        <v>337</v>
      </c>
      <c r="B383" s="5" t="s">
        <v>984</v>
      </c>
      <c r="C383" s="5">
        <v>1</v>
      </c>
      <c r="D383" s="5">
        <v>1</v>
      </c>
      <c r="E383" s="5">
        <v>1</v>
      </c>
      <c r="F383" s="5">
        <v>1</v>
      </c>
      <c r="G383" s="5">
        <v>1</v>
      </c>
      <c r="H383" s="5">
        <v>1</v>
      </c>
      <c r="I383" s="5">
        <v>1</v>
      </c>
      <c r="J383" s="5">
        <v>1</v>
      </c>
      <c r="K383" s="5">
        <v>1</v>
      </c>
      <c r="L383" s="5">
        <v>1</v>
      </c>
      <c r="M383" s="5">
        <v>1</v>
      </c>
      <c r="N383" s="5">
        <v>1</v>
      </c>
      <c r="O383" s="5">
        <v>12</v>
      </c>
      <c r="P383" s="5" t="s">
        <v>983</v>
      </c>
      <c r="Q383" s="5">
        <v>4</v>
      </c>
      <c r="R383" s="5">
        <v>4</v>
      </c>
      <c r="S383" s="5">
        <v>4</v>
      </c>
      <c r="T383" s="5">
        <v>12</v>
      </c>
      <c r="U383" s="5" t="s">
        <v>981</v>
      </c>
      <c r="V383" s="5">
        <v>4</v>
      </c>
      <c r="W383" s="5">
        <v>4</v>
      </c>
      <c r="X383" s="5">
        <v>4</v>
      </c>
      <c r="Y383" s="5">
        <v>12</v>
      </c>
      <c r="Z383" s="5" t="s">
        <v>981</v>
      </c>
      <c r="AA383" s="5">
        <v>0</v>
      </c>
      <c r="AB383" s="5">
        <v>0</v>
      </c>
      <c r="AC383" s="5">
        <v>0</v>
      </c>
      <c r="AD383" s="5">
        <v>0</v>
      </c>
      <c r="AE383" s="5">
        <v>0</v>
      </c>
      <c r="AF383" s="5" t="s">
        <v>983</v>
      </c>
      <c r="AG383" s="5">
        <v>4</v>
      </c>
      <c r="AH383" s="5">
        <v>4</v>
      </c>
      <c r="AI383" s="5">
        <v>4</v>
      </c>
      <c r="AJ383" s="5">
        <v>12</v>
      </c>
      <c r="AK383" s="5" t="s">
        <v>981</v>
      </c>
      <c r="AL383" s="5">
        <v>4</v>
      </c>
      <c r="AM383" s="5">
        <v>4</v>
      </c>
      <c r="AN383" s="5">
        <v>4</v>
      </c>
      <c r="AO383" s="5">
        <v>12</v>
      </c>
      <c r="AP383" s="5" t="s">
        <v>981</v>
      </c>
      <c r="AQ383" s="5">
        <v>0</v>
      </c>
      <c r="AR383" s="5">
        <v>0</v>
      </c>
      <c r="AS383" s="5">
        <v>0</v>
      </c>
      <c r="AT383" s="5">
        <v>0</v>
      </c>
      <c r="AU383" s="5">
        <v>0</v>
      </c>
      <c r="AV383" s="5">
        <v>0</v>
      </c>
      <c r="AW383" s="5">
        <v>0</v>
      </c>
      <c r="AX383" s="5">
        <v>0</v>
      </c>
      <c r="AY383" s="5" t="s">
        <v>983</v>
      </c>
      <c r="AZ383" s="1">
        <v>0</v>
      </c>
      <c r="BA383" s="1">
        <v>0</v>
      </c>
      <c r="BB383" s="1">
        <v>0</v>
      </c>
      <c r="BC383" s="1">
        <v>1</v>
      </c>
      <c r="BD383" s="1">
        <v>0</v>
      </c>
      <c r="BE383" s="1">
        <v>0</v>
      </c>
      <c r="BF383" s="1">
        <v>30</v>
      </c>
      <c r="BG383" s="1">
        <v>1</v>
      </c>
      <c r="BH383" s="1">
        <v>13</v>
      </c>
      <c r="BI383" s="1">
        <v>2</v>
      </c>
      <c r="BJ383" s="1">
        <v>350000</v>
      </c>
      <c r="BK383" s="1">
        <v>3</v>
      </c>
    </row>
    <row r="384" spans="1:63" ht="12.75" customHeight="1" x14ac:dyDescent="0.15">
      <c r="A384" s="5" t="s">
        <v>238</v>
      </c>
      <c r="B384" s="5" t="s">
        <v>238</v>
      </c>
      <c r="C384" s="5">
        <v>3</v>
      </c>
      <c r="D384" s="5">
        <v>2</v>
      </c>
      <c r="E384" s="5">
        <v>4</v>
      </c>
      <c r="F384" s="5">
        <v>4</v>
      </c>
      <c r="G384" s="5">
        <v>4</v>
      </c>
      <c r="H384" s="5">
        <v>4</v>
      </c>
      <c r="I384" s="5">
        <v>4</v>
      </c>
      <c r="J384" s="5">
        <v>2</v>
      </c>
      <c r="K384" s="5">
        <v>2</v>
      </c>
      <c r="L384" s="5">
        <v>2</v>
      </c>
      <c r="M384" s="5">
        <v>2</v>
      </c>
      <c r="N384" s="5">
        <v>2</v>
      </c>
      <c r="O384" s="5">
        <v>35</v>
      </c>
      <c r="P384" s="5" t="s">
        <v>981</v>
      </c>
      <c r="Q384" s="5">
        <v>2</v>
      </c>
      <c r="R384" s="5">
        <v>2</v>
      </c>
      <c r="S384" s="5">
        <v>2</v>
      </c>
      <c r="T384" s="5">
        <v>6</v>
      </c>
      <c r="U384" s="5" t="s">
        <v>981</v>
      </c>
      <c r="V384" s="5">
        <v>2</v>
      </c>
      <c r="W384" s="5">
        <v>2</v>
      </c>
      <c r="X384" s="5">
        <v>2</v>
      </c>
      <c r="Y384" s="5">
        <v>6</v>
      </c>
      <c r="Z384" s="5" t="s">
        <v>981</v>
      </c>
      <c r="AA384" s="5">
        <v>2</v>
      </c>
      <c r="AB384" s="5">
        <v>2</v>
      </c>
      <c r="AC384" s="5">
        <v>2</v>
      </c>
      <c r="AD384" s="5">
        <v>2</v>
      </c>
      <c r="AE384" s="5">
        <v>8</v>
      </c>
      <c r="AF384" s="5" t="s">
        <v>981</v>
      </c>
      <c r="AG384" s="5">
        <v>2</v>
      </c>
      <c r="AH384" s="5">
        <v>2</v>
      </c>
      <c r="AI384" s="5">
        <v>2</v>
      </c>
      <c r="AJ384" s="5">
        <v>6</v>
      </c>
      <c r="AK384" s="5" t="s">
        <v>981</v>
      </c>
      <c r="AL384" s="5">
        <v>2</v>
      </c>
      <c r="AM384" s="5">
        <v>2</v>
      </c>
      <c r="AN384" s="5">
        <v>2</v>
      </c>
      <c r="AO384" s="5">
        <v>6</v>
      </c>
      <c r="AP384" s="5" t="s">
        <v>981</v>
      </c>
      <c r="AQ384" s="5">
        <v>0</v>
      </c>
      <c r="AR384" s="5">
        <v>1</v>
      </c>
      <c r="AS384" s="5">
        <v>0</v>
      </c>
      <c r="AT384" s="5">
        <v>0</v>
      </c>
      <c r="AU384" s="5">
        <v>0</v>
      </c>
      <c r="AV384" s="5">
        <v>0</v>
      </c>
      <c r="AW384" s="5">
        <v>0</v>
      </c>
      <c r="AX384" s="5">
        <v>1</v>
      </c>
      <c r="AY384" s="5" t="s">
        <v>982</v>
      </c>
      <c r="AZ384" s="1">
        <v>0</v>
      </c>
      <c r="BA384" s="1">
        <v>0</v>
      </c>
      <c r="BB384" s="1">
        <v>0</v>
      </c>
      <c r="BC384" s="1">
        <v>1</v>
      </c>
      <c r="BD384" s="1">
        <v>1</v>
      </c>
      <c r="BE384" s="1">
        <v>1</v>
      </c>
      <c r="BF384" s="1">
        <v>32</v>
      </c>
      <c r="BG384" s="1">
        <v>1</v>
      </c>
      <c r="BH384" s="1">
        <v>4</v>
      </c>
      <c r="BI384" s="1">
        <v>34</v>
      </c>
      <c r="BJ384" s="1">
        <v>103000</v>
      </c>
      <c r="BK384" s="1">
        <v>2</v>
      </c>
    </row>
    <row r="385" spans="1:63" ht="12.75" customHeight="1" x14ac:dyDescent="0.15">
      <c r="A385" s="5" t="s">
        <v>238</v>
      </c>
      <c r="B385" s="5" t="s">
        <v>238</v>
      </c>
      <c r="C385" s="5">
        <v>4</v>
      </c>
      <c r="D385" s="5">
        <v>3</v>
      </c>
      <c r="E385" s="5">
        <v>4</v>
      </c>
      <c r="F385" s="5">
        <v>3</v>
      </c>
      <c r="G385" s="5">
        <v>3</v>
      </c>
      <c r="H385" s="5">
        <v>3</v>
      </c>
      <c r="I385" s="5">
        <v>1</v>
      </c>
      <c r="J385" s="5">
        <v>2</v>
      </c>
      <c r="K385" s="5">
        <v>1</v>
      </c>
      <c r="L385" s="5">
        <v>3</v>
      </c>
      <c r="M385" s="5">
        <v>2</v>
      </c>
      <c r="N385" s="5">
        <v>1</v>
      </c>
      <c r="O385" s="5">
        <v>30</v>
      </c>
      <c r="P385" s="5" t="s">
        <v>981</v>
      </c>
      <c r="Q385" s="5">
        <v>3</v>
      </c>
      <c r="R385" s="5">
        <v>2</v>
      </c>
      <c r="S385" s="5">
        <v>2</v>
      </c>
      <c r="T385" s="5">
        <v>7</v>
      </c>
      <c r="U385" s="5" t="s">
        <v>981</v>
      </c>
      <c r="V385" s="5">
        <v>2</v>
      </c>
      <c r="W385" s="5">
        <v>1</v>
      </c>
      <c r="X385" s="5">
        <v>3</v>
      </c>
      <c r="Y385" s="5">
        <v>6</v>
      </c>
      <c r="Z385" s="5" t="s">
        <v>981</v>
      </c>
      <c r="AA385" s="5">
        <v>3</v>
      </c>
      <c r="AB385" s="5">
        <v>3</v>
      </c>
      <c r="AC385" s="5">
        <v>2</v>
      </c>
      <c r="AD385" s="5">
        <v>2</v>
      </c>
      <c r="AE385" s="5">
        <v>10</v>
      </c>
      <c r="AF385" s="5" t="s">
        <v>981</v>
      </c>
      <c r="AG385" s="5">
        <v>1</v>
      </c>
      <c r="AH385" s="5">
        <v>3</v>
      </c>
      <c r="AI385" s="5">
        <v>3</v>
      </c>
      <c r="AJ385" s="5">
        <v>7</v>
      </c>
      <c r="AK385" s="5" t="s">
        <v>981</v>
      </c>
      <c r="AL385" s="5">
        <v>2</v>
      </c>
      <c r="AM385" s="5">
        <v>1</v>
      </c>
      <c r="AN385" s="5">
        <v>2</v>
      </c>
      <c r="AO385" s="5">
        <v>5</v>
      </c>
      <c r="AP385" s="5" t="s">
        <v>982</v>
      </c>
      <c r="AQ385" s="5">
        <v>0</v>
      </c>
      <c r="AR385" s="5">
        <v>0</v>
      </c>
      <c r="AS385" s="5">
        <v>0</v>
      </c>
      <c r="AT385" s="5">
        <v>0</v>
      </c>
      <c r="AU385" s="5">
        <v>0</v>
      </c>
      <c r="AV385" s="5">
        <v>0</v>
      </c>
      <c r="AW385" s="5">
        <v>0</v>
      </c>
      <c r="AX385" s="5">
        <v>0</v>
      </c>
      <c r="AY385" s="5" t="s">
        <v>983</v>
      </c>
      <c r="AZ385" s="1">
        <v>1</v>
      </c>
      <c r="BA385" s="1">
        <v>0</v>
      </c>
      <c r="BB385" s="1">
        <v>1</v>
      </c>
      <c r="BC385" s="1">
        <v>1</v>
      </c>
      <c r="BD385" s="1">
        <v>1</v>
      </c>
      <c r="BE385" s="1">
        <v>1</v>
      </c>
      <c r="BF385" s="1">
        <v>38</v>
      </c>
      <c r="BG385" s="1">
        <v>1</v>
      </c>
      <c r="BH385" s="1">
        <v>14</v>
      </c>
      <c r="BI385" s="1">
        <v>1</v>
      </c>
      <c r="BJ385" s="1">
        <v>200000</v>
      </c>
      <c r="BK385" s="1">
        <v>2</v>
      </c>
    </row>
    <row r="386" spans="1:63" ht="12.75" customHeight="1" x14ac:dyDescent="0.15">
      <c r="A386" s="5" t="s">
        <v>330</v>
      </c>
      <c r="B386" s="5" t="s">
        <v>984</v>
      </c>
      <c r="C386" s="5">
        <v>3</v>
      </c>
      <c r="D386" s="5">
        <v>3</v>
      </c>
      <c r="E386" s="5">
        <v>3</v>
      </c>
      <c r="F386" s="5">
        <v>3</v>
      </c>
      <c r="G386" s="5">
        <v>4</v>
      </c>
      <c r="H386" s="5">
        <v>3</v>
      </c>
      <c r="I386" s="5">
        <v>4</v>
      </c>
      <c r="J386" s="5">
        <v>3</v>
      </c>
      <c r="K386" s="5">
        <v>2</v>
      </c>
      <c r="L386" s="5">
        <v>2</v>
      </c>
      <c r="M386" s="5">
        <v>2</v>
      </c>
      <c r="N386" s="5">
        <v>2</v>
      </c>
      <c r="O386" s="5">
        <v>34</v>
      </c>
      <c r="P386" s="5" t="s">
        <v>981</v>
      </c>
      <c r="Q386" s="5">
        <v>2</v>
      </c>
      <c r="R386" s="5">
        <v>2</v>
      </c>
      <c r="S386" s="5">
        <v>1</v>
      </c>
      <c r="T386" s="5">
        <v>5</v>
      </c>
      <c r="U386" s="5" t="s">
        <v>981</v>
      </c>
      <c r="V386" s="5">
        <v>4</v>
      </c>
      <c r="W386" s="5">
        <v>3</v>
      </c>
      <c r="X386" s="5">
        <v>4</v>
      </c>
      <c r="Y386" s="5">
        <v>11</v>
      </c>
      <c r="Z386" s="5" t="s">
        <v>981</v>
      </c>
      <c r="AA386" s="5">
        <v>4</v>
      </c>
      <c r="AB386" s="5">
        <v>3</v>
      </c>
      <c r="AC386" s="5">
        <v>4</v>
      </c>
      <c r="AD386" s="5">
        <v>4</v>
      </c>
      <c r="AE386" s="5">
        <v>15</v>
      </c>
      <c r="AF386" s="5" t="s">
        <v>981</v>
      </c>
      <c r="AG386" s="5">
        <v>2</v>
      </c>
      <c r="AH386" s="5">
        <v>2</v>
      </c>
      <c r="AI386" s="5">
        <v>2</v>
      </c>
      <c r="AJ386" s="5">
        <v>6</v>
      </c>
      <c r="AK386" s="5" t="s">
        <v>981</v>
      </c>
      <c r="AL386" s="5">
        <v>4</v>
      </c>
      <c r="AM386" s="5">
        <v>4</v>
      </c>
      <c r="AN386" s="5">
        <v>3</v>
      </c>
      <c r="AO386" s="5">
        <v>11</v>
      </c>
      <c r="AP386" s="5" t="s">
        <v>981</v>
      </c>
      <c r="AQ386" s="5">
        <v>2</v>
      </c>
      <c r="AR386" s="5">
        <v>1</v>
      </c>
      <c r="AS386" s="5">
        <v>3</v>
      </c>
      <c r="AT386" s="5">
        <v>0</v>
      </c>
      <c r="AU386" s="5">
        <v>0</v>
      </c>
      <c r="AV386" s="5">
        <v>3</v>
      </c>
      <c r="AW386" s="5">
        <v>2</v>
      </c>
      <c r="AX386" s="5">
        <v>11</v>
      </c>
      <c r="AY386" s="5" t="s">
        <v>982</v>
      </c>
      <c r="AZ386" s="1">
        <v>1</v>
      </c>
      <c r="BA386" s="1">
        <v>0</v>
      </c>
      <c r="BB386" s="1">
        <v>1</v>
      </c>
      <c r="BC386" s="1">
        <v>1</v>
      </c>
      <c r="BD386" s="1">
        <v>1</v>
      </c>
      <c r="BE386" s="1">
        <v>1</v>
      </c>
      <c r="BF386" s="1">
        <v>0</v>
      </c>
      <c r="BG386" s="1">
        <v>1</v>
      </c>
      <c r="BI386" s="1">
        <v>4</v>
      </c>
      <c r="BJ386" s="1">
        <v>0</v>
      </c>
      <c r="BK386" s="1">
        <v>7</v>
      </c>
    </row>
    <row r="387" spans="1:63" ht="12.75" customHeight="1" x14ac:dyDescent="0.15">
      <c r="A387" s="5" t="s">
        <v>337</v>
      </c>
      <c r="B387" s="5" t="s">
        <v>984</v>
      </c>
      <c r="C387" s="5">
        <v>2</v>
      </c>
      <c r="D387" s="5">
        <v>1</v>
      </c>
      <c r="E387" s="5">
        <v>1</v>
      </c>
      <c r="F387" s="5">
        <v>1</v>
      </c>
      <c r="G387" s="5">
        <v>1</v>
      </c>
      <c r="H387" s="5">
        <v>1</v>
      </c>
      <c r="I387" s="5">
        <v>1</v>
      </c>
      <c r="J387" s="5">
        <v>2</v>
      </c>
      <c r="K387" s="5">
        <v>2</v>
      </c>
      <c r="L387" s="5">
        <v>2</v>
      </c>
      <c r="M387" s="5">
        <v>2</v>
      </c>
      <c r="N387" s="5">
        <v>2</v>
      </c>
      <c r="O387" s="5">
        <v>18</v>
      </c>
      <c r="P387" s="5" t="s">
        <v>983</v>
      </c>
      <c r="Q387" s="5">
        <v>0</v>
      </c>
      <c r="R387" s="5">
        <v>0</v>
      </c>
      <c r="S387" s="5">
        <v>0</v>
      </c>
      <c r="T387" s="5">
        <v>0</v>
      </c>
      <c r="U387" s="5" t="s">
        <v>983</v>
      </c>
      <c r="V387" s="5">
        <v>0</v>
      </c>
      <c r="W387" s="5">
        <v>0</v>
      </c>
      <c r="X387" s="5">
        <v>0</v>
      </c>
      <c r="Y387" s="5">
        <v>0</v>
      </c>
      <c r="Z387" s="5" t="s">
        <v>983</v>
      </c>
      <c r="AA387" s="5">
        <v>4</v>
      </c>
      <c r="AB387" s="5">
        <v>4</v>
      </c>
      <c r="AC387" s="5">
        <v>4</v>
      </c>
      <c r="AD387" s="5">
        <v>4</v>
      </c>
      <c r="AE387" s="5">
        <v>16</v>
      </c>
      <c r="AF387" s="5" t="s">
        <v>981</v>
      </c>
      <c r="AG387" s="5">
        <v>0</v>
      </c>
      <c r="AH387" s="5">
        <v>0</v>
      </c>
      <c r="AI387" s="5">
        <v>0</v>
      </c>
      <c r="AJ387" s="5">
        <v>0</v>
      </c>
      <c r="AK387" s="5" t="s">
        <v>983</v>
      </c>
      <c r="AL387" s="5">
        <v>0</v>
      </c>
      <c r="AM387" s="5">
        <v>0</v>
      </c>
      <c r="AN387" s="5">
        <v>0</v>
      </c>
      <c r="AO387" s="5">
        <v>0</v>
      </c>
      <c r="AP387" s="5" t="s">
        <v>983</v>
      </c>
      <c r="AQ387" s="5">
        <v>0</v>
      </c>
      <c r="AR387" s="5">
        <v>0</v>
      </c>
      <c r="AS387" s="5">
        <v>0</v>
      </c>
      <c r="AT387" s="5">
        <v>0</v>
      </c>
      <c r="AU387" s="5">
        <v>0</v>
      </c>
      <c r="AV387" s="5">
        <v>0</v>
      </c>
      <c r="AW387" s="5">
        <v>0</v>
      </c>
      <c r="AX387" s="5">
        <v>0</v>
      </c>
      <c r="AY387" s="5" t="s">
        <v>983</v>
      </c>
      <c r="AZ387" s="1">
        <v>1</v>
      </c>
      <c r="BA387" s="1">
        <v>0</v>
      </c>
      <c r="BB387" s="1">
        <v>0</v>
      </c>
      <c r="BC387" s="1">
        <v>1</v>
      </c>
      <c r="BD387" s="1">
        <v>1</v>
      </c>
      <c r="BE387" s="1">
        <v>1</v>
      </c>
      <c r="BF387" s="1">
        <v>0</v>
      </c>
      <c r="BG387" s="1">
        <v>1</v>
      </c>
      <c r="BI387" s="1">
        <v>3</v>
      </c>
      <c r="BJ387" s="1">
        <v>0</v>
      </c>
      <c r="BK387" s="1">
        <v>3</v>
      </c>
    </row>
    <row r="388" spans="1:63" ht="12.75" customHeight="1" x14ac:dyDescent="0.15">
      <c r="A388" s="5" t="s">
        <v>330</v>
      </c>
      <c r="B388" s="5" t="s">
        <v>984</v>
      </c>
      <c r="C388" s="5">
        <v>1</v>
      </c>
      <c r="D388" s="5">
        <v>1</v>
      </c>
      <c r="E388" s="5">
        <v>1</v>
      </c>
      <c r="F388" s="5">
        <v>2</v>
      </c>
      <c r="G388" s="5">
        <v>1</v>
      </c>
      <c r="H388" s="5">
        <v>1</v>
      </c>
      <c r="I388" s="5">
        <v>1</v>
      </c>
      <c r="J388" s="5">
        <v>1</v>
      </c>
      <c r="K388" s="5">
        <v>1</v>
      </c>
      <c r="L388" s="5">
        <v>3</v>
      </c>
      <c r="M388" s="5">
        <v>1</v>
      </c>
      <c r="N388" s="5">
        <v>1</v>
      </c>
      <c r="O388" s="5">
        <v>15</v>
      </c>
      <c r="P388" s="5" t="s">
        <v>983</v>
      </c>
      <c r="Q388" s="5">
        <v>4</v>
      </c>
      <c r="R388" s="5">
        <v>4</v>
      </c>
      <c r="S388" s="5">
        <v>0</v>
      </c>
      <c r="T388" s="5">
        <v>8</v>
      </c>
      <c r="U388" s="5" t="s">
        <v>981</v>
      </c>
      <c r="V388" s="5">
        <v>1</v>
      </c>
      <c r="W388" s="5">
        <v>1</v>
      </c>
      <c r="X388" s="5">
        <v>0</v>
      </c>
      <c r="Y388" s="5">
        <v>2</v>
      </c>
      <c r="Z388" s="5" t="s">
        <v>982</v>
      </c>
      <c r="AA388" s="5">
        <v>0</v>
      </c>
      <c r="AB388" s="5">
        <v>4</v>
      </c>
      <c r="AC388" s="5">
        <v>0</v>
      </c>
      <c r="AD388" s="5">
        <v>0</v>
      </c>
      <c r="AE388" s="5">
        <v>4</v>
      </c>
      <c r="AF388" s="5" t="s">
        <v>982</v>
      </c>
      <c r="AG388" s="5">
        <v>0</v>
      </c>
      <c r="AH388" s="5">
        <v>0</v>
      </c>
      <c r="AI388" s="5">
        <v>0</v>
      </c>
      <c r="AJ388" s="5">
        <v>0</v>
      </c>
      <c r="AK388" s="5" t="s">
        <v>983</v>
      </c>
      <c r="AL388" s="5">
        <v>4</v>
      </c>
      <c r="AM388" s="5">
        <v>2</v>
      </c>
      <c r="AN388" s="5">
        <v>0</v>
      </c>
      <c r="AO388" s="5">
        <v>6</v>
      </c>
      <c r="AP388" s="5" t="s">
        <v>981</v>
      </c>
      <c r="AQ388" s="5">
        <v>0</v>
      </c>
      <c r="AR388" s="5">
        <v>0</v>
      </c>
      <c r="AS388" s="5">
        <v>0</v>
      </c>
      <c r="AT388" s="5">
        <v>0</v>
      </c>
      <c r="AU388" s="5">
        <v>0</v>
      </c>
      <c r="AV388" s="5">
        <v>0</v>
      </c>
      <c r="AW388" s="5">
        <v>0</v>
      </c>
      <c r="AX388" s="5">
        <v>0</v>
      </c>
      <c r="AY388" s="5" t="s">
        <v>983</v>
      </c>
      <c r="AZ388" s="1">
        <v>1</v>
      </c>
      <c r="BA388" s="1">
        <v>0</v>
      </c>
      <c r="BB388" s="1">
        <v>1</v>
      </c>
      <c r="BC388" s="1">
        <v>0</v>
      </c>
      <c r="BD388" s="1">
        <v>0</v>
      </c>
      <c r="BE388" s="1">
        <v>0</v>
      </c>
      <c r="BF388" s="1">
        <v>41</v>
      </c>
      <c r="BG388" s="1">
        <v>1</v>
      </c>
      <c r="BH388" s="1">
        <v>2</v>
      </c>
      <c r="BI388" s="1">
        <v>9</v>
      </c>
      <c r="BJ388" s="1">
        <v>650000</v>
      </c>
      <c r="BK388" s="1">
        <v>4</v>
      </c>
    </row>
    <row r="389" spans="1:63" ht="12.75" customHeight="1" x14ac:dyDescent="0.15">
      <c r="A389" s="5" t="s">
        <v>238</v>
      </c>
      <c r="B389" s="5" t="s">
        <v>238</v>
      </c>
      <c r="C389" s="5">
        <v>2</v>
      </c>
      <c r="D389" s="5">
        <v>2</v>
      </c>
      <c r="E389" s="5">
        <v>2</v>
      </c>
      <c r="F389" s="5">
        <v>2</v>
      </c>
      <c r="G389" s="5">
        <v>1</v>
      </c>
      <c r="H389" s="5">
        <v>1</v>
      </c>
      <c r="I389" s="5">
        <v>1</v>
      </c>
      <c r="J389" s="5">
        <v>2</v>
      </c>
      <c r="K389" s="5">
        <v>2</v>
      </c>
      <c r="L389" s="5">
        <v>2</v>
      </c>
      <c r="M389" s="5">
        <v>2</v>
      </c>
      <c r="N389" s="5">
        <v>1</v>
      </c>
      <c r="O389" s="5">
        <v>20</v>
      </c>
      <c r="P389" s="5" t="s">
        <v>982</v>
      </c>
      <c r="Q389" s="5">
        <v>1</v>
      </c>
      <c r="R389" s="5">
        <v>2</v>
      </c>
      <c r="S389" s="5">
        <v>1</v>
      </c>
      <c r="T389" s="5">
        <v>4</v>
      </c>
      <c r="U389" s="5" t="s">
        <v>982</v>
      </c>
      <c r="V389" s="5">
        <v>0</v>
      </c>
      <c r="W389" s="5">
        <v>1</v>
      </c>
      <c r="X389" s="5">
        <v>1</v>
      </c>
      <c r="Y389" s="5">
        <v>2</v>
      </c>
      <c r="Z389" s="5" t="s">
        <v>982</v>
      </c>
      <c r="AA389" s="5">
        <v>3</v>
      </c>
      <c r="AB389" s="5">
        <v>0</v>
      </c>
      <c r="AC389" s="5">
        <v>1</v>
      </c>
      <c r="AD389" s="5">
        <v>0</v>
      </c>
      <c r="AE389" s="5">
        <v>4</v>
      </c>
      <c r="AF389" s="5" t="s">
        <v>982</v>
      </c>
      <c r="AG389" s="5">
        <v>2</v>
      </c>
      <c r="AH389" s="5">
        <v>2</v>
      </c>
      <c r="AI389" s="5">
        <v>1</v>
      </c>
      <c r="AJ389" s="5">
        <v>5</v>
      </c>
      <c r="AK389" s="5" t="s">
        <v>982</v>
      </c>
      <c r="AL389" s="5">
        <v>2</v>
      </c>
      <c r="AM389" s="5">
        <v>2</v>
      </c>
      <c r="AN389" s="5">
        <v>2</v>
      </c>
      <c r="AO389" s="5">
        <v>6</v>
      </c>
      <c r="AP389" s="5" t="s">
        <v>981</v>
      </c>
      <c r="AQ389" s="5">
        <v>0</v>
      </c>
      <c r="AR389" s="5">
        <v>0</v>
      </c>
      <c r="AS389" s="5">
        <v>0</v>
      </c>
      <c r="AT389" s="5">
        <v>0</v>
      </c>
      <c r="AU389" s="5">
        <v>0</v>
      </c>
      <c r="AV389" s="5">
        <v>0</v>
      </c>
      <c r="AW389" s="5">
        <v>0</v>
      </c>
      <c r="AX389" s="5">
        <v>0</v>
      </c>
      <c r="AY389" s="5" t="s">
        <v>983</v>
      </c>
      <c r="AZ389" s="1">
        <v>1</v>
      </c>
      <c r="BA389" s="1">
        <v>0</v>
      </c>
      <c r="BB389" s="1">
        <v>1</v>
      </c>
      <c r="BC389" s="1">
        <v>1</v>
      </c>
      <c r="BD389" s="1">
        <v>1</v>
      </c>
      <c r="BE389" s="1">
        <v>1</v>
      </c>
      <c r="BF389" s="1">
        <v>31</v>
      </c>
      <c r="BG389" s="1">
        <v>0</v>
      </c>
      <c r="BH389" s="1">
        <v>17</v>
      </c>
      <c r="BI389" s="1">
        <v>24</v>
      </c>
      <c r="BJ389" s="1">
        <v>500000</v>
      </c>
      <c r="BK389" s="1">
        <v>3</v>
      </c>
    </row>
    <row r="390" spans="1:63" ht="12.75" customHeight="1" x14ac:dyDescent="0.15">
      <c r="A390" s="5" t="s">
        <v>238</v>
      </c>
      <c r="B390" s="5" t="s">
        <v>238</v>
      </c>
      <c r="C390" s="5">
        <v>1</v>
      </c>
      <c r="D390" s="5">
        <v>3</v>
      </c>
      <c r="E390" s="5">
        <v>2</v>
      </c>
      <c r="F390" s="5">
        <v>2</v>
      </c>
      <c r="G390" s="5">
        <v>1</v>
      </c>
      <c r="H390" s="5">
        <v>2</v>
      </c>
      <c r="I390" s="5">
        <v>1</v>
      </c>
      <c r="J390" s="5">
        <v>2</v>
      </c>
      <c r="K390" s="5">
        <v>2</v>
      </c>
      <c r="L390" s="5">
        <v>1</v>
      </c>
      <c r="M390" s="5">
        <v>2</v>
      </c>
      <c r="N390" s="5">
        <v>1</v>
      </c>
      <c r="O390" s="5">
        <v>20</v>
      </c>
      <c r="P390" s="5" t="s">
        <v>982</v>
      </c>
      <c r="Q390" s="5">
        <v>1</v>
      </c>
      <c r="R390" s="5">
        <v>2</v>
      </c>
      <c r="S390" s="5">
        <v>1</v>
      </c>
      <c r="T390" s="5">
        <v>4</v>
      </c>
      <c r="U390" s="5" t="s">
        <v>982</v>
      </c>
      <c r="V390" s="5">
        <v>0</v>
      </c>
      <c r="W390" s="5">
        <v>2</v>
      </c>
      <c r="X390" s="5">
        <v>1</v>
      </c>
      <c r="Y390" s="5">
        <v>3</v>
      </c>
      <c r="Z390" s="5" t="s">
        <v>982</v>
      </c>
      <c r="AA390" s="5">
        <v>1</v>
      </c>
      <c r="AB390" s="5">
        <v>2</v>
      </c>
      <c r="AC390" s="5">
        <v>3</v>
      </c>
      <c r="AD390" s="5">
        <v>1</v>
      </c>
      <c r="AE390" s="5">
        <v>7</v>
      </c>
      <c r="AF390" s="5" t="s">
        <v>981</v>
      </c>
      <c r="AG390" s="5">
        <v>1</v>
      </c>
      <c r="AH390" s="5">
        <v>4</v>
      </c>
      <c r="AI390" s="5">
        <v>3</v>
      </c>
      <c r="AJ390" s="5">
        <v>8</v>
      </c>
      <c r="AK390" s="5" t="s">
        <v>981</v>
      </c>
      <c r="AL390" s="5">
        <v>2</v>
      </c>
      <c r="AM390" s="5">
        <v>3</v>
      </c>
      <c r="AN390" s="5">
        <v>2</v>
      </c>
      <c r="AO390" s="5">
        <v>7</v>
      </c>
      <c r="AP390" s="5" t="s">
        <v>981</v>
      </c>
      <c r="AQ390" s="5">
        <v>0</v>
      </c>
      <c r="AR390" s="5">
        <v>0</v>
      </c>
      <c r="AS390" s="5">
        <v>0</v>
      </c>
      <c r="AT390" s="5">
        <v>0</v>
      </c>
      <c r="AU390" s="5">
        <v>0</v>
      </c>
      <c r="AV390" s="5">
        <v>0</v>
      </c>
      <c r="AW390" s="5">
        <v>0</v>
      </c>
      <c r="AX390" s="5">
        <v>0</v>
      </c>
      <c r="AY390" s="5" t="s">
        <v>983</v>
      </c>
      <c r="AZ390" s="1">
        <v>1</v>
      </c>
      <c r="BA390" s="1">
        <v>0</v>
      </c>
      <c r="BB390" s="1">
        <v>0</v>
      </c>
      <c r="BC390" s="1">
        <v>1</v>
      </c>
      <c r="BD390" s="1">
        <v>1</v>
      </c>
      <c r="BE390" s="1">
        <v>1</v>
      </c>
      <c r="BF390" s="1">
        <v>55</v>
      </c>
      <c r="BG390" s="1">
        <v>0</v>
      </c>
      <c r="BH390" s="1">
        <v>14</v>
      </c>
      <c r="BI390" s="1">
        <v>7</v>
      </c>
      <c r="BJ390" s="1">
        <v>500000</v>
      </c>
      <c r="BK390" s="1">
        <v>3</v>
      </c>
    </row>
    <row r="391" spans="1:63" ht="12.75" customHeight="1" x14ac:dyDescent="0.15">
      <c r="A391" s="5" t="s">
        <v>330</v>
      </c>
      <c r="B391" s="5" t="s">
        <v>984</v>
      </c>
      <c r="C391" s="5">
        <v>3</v>
      </c>
      <c r="D391" s="5">
        <v>3</v>
      </c>
      <c r="E391" s="5">
        <v>3</v>
      </c>
      <c r="F391" s="5">
        <v>3</v>
      </c>
      <c r="G391" s="5">
        <v>3</v>
      </c>
      <c r="H391" s="5">
        <v>3</v>
      </c>
      <c r="I391" s="5">
        <v>1</v>
      </c>
      <c r="J391" s="5">
        <v>2</v>
      </c>
      <c r="K391" s="5">
        <v>2</v>
      </c>
      <c r="L391" s="5">
        <v>3</v>
      </c>
      <c r="M391" s="5">
        <v>2</v>
      </c>
      <c r="N391" s="5">
        <v>2</v>
      </c>
      <c r="O391" s="5">
        <v>30</v>
      </c>
      <c r="P391" s="5" t="s">
        <v>981</v>
      </c>
      <c r="Q391" s="5">
        <v>0</v>
      </c>
      <c r="R391" s="5">
        <v>2</v>
      </c>
      <c r="S391" s="5">
        <v>1</v>
      </c>
      <c r="T391" s="5">
        <v>3</v>
      </c>
      <c r="U391" s="5" t="s">
        <v>982</v>
      </c>
      <c r="V391" s="5">
        <v>0</v>
      </c>
      <c r="W391" s="5">
        <v>2</v>
      </c>
      <c r="X391" s="5">
        <v>2</v>
      </c>
      <c r="Y391" s="5">
        <v>4</v>
      </c>
      <c r="Z391" s="5" t="s">
        <v>982</v>
      </c>
      <c r="AA391" s="5">
        <v>3</v>
      </c>
      <c r="AB391" s="5">
        <v>3</v>
      </c>
      <c r="AC391" s="5">
        <v>0</v>
      </c>
      <c r="AD391" s="5">
        <v>1</v>
      </c>
      <c r="AE391" s="5">
        <v>7</v>
      </c>
      <c r="AF391" s="5" t="s">
        <v>981</v>
      </c>
      <c r="AG391" s="5">
        <v>0</v>
      </c>
      <c r="AH391" s="5">
        <v>0</v>
      </c>
      <c r="AI391" s="5">
        <v>0</v>
      </c>
      <c r="AJ391" s="5">
        <v>0</v>
      </c>
      <c r="AK391" s="5" t="s">
        <v>983</v>
      </c>
      <c r="AL391" s="5">
        <v>0</v>
      </c>
      <c r="AM391" s="5">
        <v>0</v>
      </c>
      <c r="AN391" s="5">
        <v>0</v>
      </c>
      <c r="AO391" s="5">
        <v>0</v>
      </c>
      <c r="AP391" s="5" t="s">
        <v>983</v>
      </c>
      <c r="AQ391" s="5">
        <v>1</v>
      </c>
      <c r="AR391" s="5">
        <v>0</v>
      </c>
      <c r="AS391" s="5">
        <v>0</v>
      </c>
      <c r="AT391" s="5">
        <v>1</v>
      </c>
      <c r="AU391" s="5">
        <v>0</v>
      </c>
      <c r="AV391" s="5">
        <v>0</v>
      </c>
      <c r="AW391" s="5">
        <v>0</v>
      </c>
      <c r="AX391" s="5">
        <v>2</v>
      </c>
      <c r="AY391" s="5" t="s">
        <v>982</v>
      </c>
      <c r="AZ391" s="1">
        <v>0</v>
      </c>
      <c r="BA391" s="1">
        <v>0</v>
      </c>
      <c r="BB391" s="1">
        <v>0</v>
      </c>
      <c r="BC391" s="1">
        <v>1</v>
      </c>
      <c r="BD391" s="1">
        <v>1</v>
      </c>
      <c r="BE391" s="1">
        <v>1</v>
      </c>
      <c r="BF391" s="1">
        <v>47</v>
      </c>
      <c r="BG391" s="1">
        <v>0</v>
      </c>
      <c r="BH391" s="1">
        <v>5</v>
      </c>
      <c r="BI391" s="1">
        <v>1</v>
      </c>
      <c r="BJ391" s="1">
        <v>200000</v>
      </c>
      <c r="BK391" s="1">
        <v>4</v>
      </c>
    </row>
    <row r="392" spans="1:63" ht="12.75" customHeight="1" x14ac:dyDescent="0.15">
      <c r="A392" s="5" t="s">
        <v>238</v>
      </c>
      <c r="B392" s="5" t="s">
        <v>238</v>
      </c>
      <c r="C392" s="5">
        <v>2</v>
      </c>
      <c r="D392" s="5">
        <v>1</v>
      </c>
      <c r="E392" s="5">
        <v>1</v>
      </c>
      <c r="F392" s="5">
        <v>1</v>
      </c>
      <c r="G392" s="5">
        <v>1</v>
      </c>
      <c r="H392" s="5">
        <v>1</v>
      </c>
      <c r="I392" s="5">
        <v>1</v>
      </c>
      <c r="J392" s="5">
        <v>1</v>
      </c>
      <c r="K392" s="5">
        <v>1</v>
      </c>
      <c r="L392" s="5">
        <v>1</v>
      </c>
      <c r="M392" s="5">
        <v>1</v>
      </c>
      <c r="N392" s="5">
        <v>1</v>
      </c>
      <c r="O392" s="5">
        <v>13</v>
      </c>
      <c r="P392" s="5" t="s">
        <v>983</v>
      </c>
      <c r="Q392" s="5">
        <v>1</v>
      </c>
      <c r="R392" s="5">
        <v>0</v>
      </c>
      <c r="S392" s="5">
        <v>0</v>
      </c>
      <c r="T392" s="5">
        <v>1</v>
      </c>
      <c r="U392" s="5" t="s">
        <v>983</v>
      </c>
      <c r="V392" s="5">
        <v>0</v>
      </c>
      <c r="W392" s="5">
        <v>0</v>
      </c>
      <c r="X392" s="5">
        <v>0</v>
      </c>
      <c r="Y392" s="5">
        <v>0</v>
      </c>
      <c r="Z392" s="5" t="s">
        <v>983</v>
      </c>
      <c r="AA392" s="5">
        <v>0</v>
      </c>
      <c r="AB392" s="5">
        <v>0</v>
      </c>
      <c r="AC392" s="5">
        <v>0</v>
      </c>
      <c r="AD392" s="5">
        <v>0</v>
      </c>
      <c r="AE392" s="5">
        <v>0</v>
      </c>
      <c r="AF392" s="5" t="s">
        <v>983</v>
      </c>
      <c r="AG392" s="5">
        <v>0</v>
      </c>
      <c r="AH392" s="5">
        <v>0</v>
      </c>
      <c r="AI392" s="5">
        <v>0</v>
      </c>
      <c r="AJ392" s="5">
        <v>0</v>
      </c>
      <c r="AK392" s="5" t="s">
        <v>983</v>
      </c>
      <c r="AL392" s="5">
        <v>0</v>
      </c>
      <c r="AM392" s="5">
        <v>0</v>
      </c>
      <c r="AN392" s="5">
        <v>0</v>
      </c>
      <c r="AO392" s="5">
        <v>0</v>
      </c>
      <c r="AP392" s="5" t="s">
        <v>983</v>
      </c>
      <c r="AQ392" s="5">
        <v>0</v>
      </c>
      <c r="AR392" s="5">
        <v>0</v>
      </c>
      <c r="AS392" s="5">
        <v>0</v>
      </c>
      <c r="AT392" s="5">
        <v>0</v>
      </c>
      <c r="AU392" s="5">
        <v>0</v>
      </c>
      <c r="AV392" s="5">
        <v>0</v>
      </c>
      <c r="AW392" s="5">
        <v>0</v>
      </c>
      <c r="AX392" s="5">
        <v>0</v>
      </c>
      <c r="AY392" s="5" t="s">
        <v>983</v>
      </c>
      <c r="AZ392" s="1">
        <v>0</v>
      </c>
      <c r="BA392" s="1">
        <v>0</v>
      </c>
      <c r="BB392" s="1">
        <v>1</v>
      </c>
      <c r="BC392" s="1">
        <v>1</v>
      </c>
      <c r="BD392" s="1">
        <v>1</v>
      </c>
      <c r="BE392" s="1">
        <v>1</v>
      </c>
      <c r="BF392" s="1">
        <v>43</v>
      </c>
      <c r="BG392" s="1">
        <v>0</v>
      </c>
      <c r="BH392" s="1">
        <v>6</v>
      </c>
      <c r="BI392" s="1">
        <v>1</v>
      </c>
      <c r="BJ392" s="1">
        <v>0</v>
      </c>
      <c r="BK392" s="1">
        <v>2</v>
      </c>
    </row>
    <row r="393" spans="1:63" ht="12.75" customHeight="1" x14ac:dyDescent="0.15">
      <c r="A393" s="5" t="s">
        <v>238</v>
      </c>
      <c r="B393" s="5" t="s">
        <v>238</v>
      </c>
      <c r="C393" s="5">
        <v>2</v>
      </c>
      <c r="D393" s="5">
        <v>4</v>
      </c>
      <c r="E393" s="5">
        <v>4</v>
      </c>
      <c r="F393" s="5">
        <v>2</v>
      </c>
      <c r="G393" s="5">
        <v>4</v>
      </c>
      <c r="H393" s="5">
        <v>2</v>
      </c>
      <c r="I393" s="5">
        <v>4</v>
      </c>
      <c r="J393" s="5">
        <v>4</v>
      </c>
      <c r="K393" s="5">
        <v>4</v>
      </c>
      <c r="L393" s="5">
        <v>3</v>
      </c>
      <c r="M393" s="5">
        <v>4</v>
      </c>
      <c r="N393" s="5">
        <v>3</v>
      </c>
      <c r="O393" s="5">
        <v>40</v>
      </c>
      <c r="P393" s="5" t="s">
        <v>981</v>
      </c>
      <c r="Q393" s="5">
        <v>0</v>
      </c>
      <c r="R393" s="5">
        <v>1</v>
      </c>
      <c r="S393" s="5">
        <v>1</v>
      </c>
      <c r="T393" s="5">
        <v>2</v>
      </c>
      <c r="U393" s="5" t="s">
        <v>982</v>
      </c>
      <c r="V393" s="5">
        <v>1</v>
      </c>
      <c r="W393" s="5">
        <v>0</v>
      </c>
      <c r="X393" s="5">
        <v>4</v>
      </c>
      <c r="Y393" s="5">
        <v>5</v>
      </c>
      <c r="Z393" s="5" t="s">
        <v>982</v>
      </c>
      <c r="AA393" s="5">
        <v>1</v>
      </c>
      <c r="AB393" s="5">
        <v>1</v>
      </c>
      <c r="AC393" s="5">
        <v>1</v>
      </c>
      <c r="AD393" s="5">
        <v>1</v>
      </c>
      <c r="AE393" s="5">
        <v>4</v>
      </c>
      <c r="AF393" s="5" t="s">
        <v>982</v>
      </c>
      <c r="AG393" s="5">
        <v>0</v>
      </c>
      <c r="AH393" s="5">
        <v>0</v>
      </c>
      <c r="AI393" s="5">
        <v>0</v>
      </c>
      <c r="AJ393" s="5">
        <v>0</v>
      </c>
      <c r="AK393" s="5" t="s">
        <v>983</v>
      </c>
      <c r="AL393" s="5">
        <v>1</v>
      </c>
      <c r="AM393" s="5">
        <v>1</v>
      </c>
      <c r="AN393" s="5">
        <v>1</v>
      </c>
      <c r="AO393" s="5">
        <v>3</v>
      </c>
      <c r="AP393" s="5" t="s">
        <v>982</v>
      </c>
      <c r="AQ393" s="5">
        <v>0</v>
      </c>
      <c r="AR393" s="5">
        <v>0</v>
      </c>
      <c r="AS393" s="5">
        <v>0</v>
      </c>
      <c r="AT393" s="5">
        <v>0</v>
      </c>
      <c r="AU393" s="5">
        <v>0</v>
      </c>
      <c r="AV393" s="5">
        <v>0</v>
      </c>
      <c r="AW393" s="5">
        <v>0</v>
      </c>
      <c r="AX393" s="5">
        <v>0</v>
      </c>
      <c r="AY393" s="5" t="s">
        <v>983</v>
      </c>
      <c r="AZ393" s="1">
        <v>1</v>
      </c>
      <c r="BA393" s="1">
        <v>0</v>
      </c>
      <c r="BB393" s="1">
        <v>1</v>
      </c>
      <c r="BC393" s="1">
        <v>1</v>
      </c>
      <c r="BD393" s="1">
        <v>0</v>
      </c>
      <c r="BE393" s="1">
        <v>1</v>
      </c>
      <c r="BF393" s="1">
        <v>64</v>
      </c>
      <c r="BG393" s="1">
        <v>1</v>
      </c>
      <c r="BH393" s="1">
        <v>14</v>
      </c>
      <c r="BI393" s="1">
        <v>34</v>
      </c>
      <c r="BJ393" s="1">
        <v>500000</v>
      </c>
      <c r="BK393" s="1">
        <v>1</v>
      </c>
    </row>
    <row r="394" spans="1:63" ht="12.75" customHeight="1" x14ac:dyDescent="0.15">
      <c r="A394" s="5" t="s">
        <v>238</v>
      </c>
      <c r="B394" s="5" t="s">
        <v>238</v>
      </c>
      <c r="C394" s="5">
        <v>1</v>
      </c>
      <c r="D394" s="5">
        <v>1</v>
      </c>
      <c r="E394" s="5">
        <v>1</v>
      </c>
      <c r="F394" s="5">
        <v>1</v>
      </c>
      <c r="G394" s="5">
        <v>1</v>
      </c>
      <c r="H394" s="5">
        <v>1</v>
      </c>
      <c r="I394" s="5">
        <v>1</v>
      </c>
      <c r="J394" s="5">
        <v>1</v>
      </c>
      <c r="K394" s="5">
        <v>1</v>
      </c>
      <c r="L394" s="5">
        <v>1</v>
      </c>
      <c r="M394" s="5">
        <v>1</v>
      </c>
      <c r="N394" s="5">
        <v>1</v>
      </c>
      <c r="O394" s="5">
        <v>12</v>
      </c>
      <c r="P394" s="5" t="s">
        <v>983</v>
      </c>
      <c r="Q394" s="5">
        <v>1</v>
      </c>
      <c r="R394" s="5">
        <v>1</v>
      </c>
      <c r="S394" s="5">
        <v>1</v>
      </c>
      <c r="T394" s="5">
        <v>3</v>
      </c>
      <c r="U394" s="5" t="s">
        <v>982</v>
      </c>
      <c r="V394" s="5">
        <v>1</v>
      </c>
      <c r="W394" s="5">
        <v>1</v>
      </c>
      <c r="X394" s="5">
        <v>1</v>
      </c>
      <c r="Y394" s="5">
        <v>3</v>
      </c>
      <c r="Z394" s="5" t="s">
        <v>982</v>
      </c>
      <c r="AA394" s="5">
        <v>3</v>
      </c>
      <c r="AB394" s="5">
        <v>3</v>
      </c>
      <c r="AC394" s="5">
        <v>3</v>
      </c>
      <c r="AD394" s="5">
        <v>3</v>
      </c>
      <c r="AE394" s="5">
        <v>12</v>
      </c>
      <c r="AF394" s="5" t="s">
        <v>981</v>
      </c>
      <c r="AG394" s="5">
        <v>1</v>
      </c>
      <c r="AH394" s="5">
        <v>1</v>
      </c>
      <c r="AI394" s="5">
        <v>1</v>
      </c>
      <c r="AJ394" s="5">
        <v>3</v>
      </c>
      <c r="AK394" s="5" t="s">
        <v>982</v>
      </c>
      <c r="AL394" s="5">
        <v>1</v>
      </c>
      <c r="AM394" s="5">
        <v>1</v>
      </c>
      <c r="AN394" s="5">
        <v>1</v>
      </c>
      <c r="AO394" s="5">
        <v>3</v>
      </c>
      <c r="AP394" s="5" t="s">
        <v>982</v>
      </c>
      <c r="AQ394" s="5">
        <v>0</v>
      </c>
      <c r="AR394" s="5">
        <v>0</v>
      </c>
      <c r="AS394" s="5">
        <v>0</v>
      </c>
      <c r="AT394" s="5">
        <v>0</v>
      </c>
      <c r="AU394" s="5">
        <v>0</v>
      </c>
      <c r="AV394" s="5">
        <v>0</v>
      </c>
      <c r="AW394" s="5">
        <v>0</v>
      </c>
      <c r="AX394" s="5">
        <v>0</v>
      </c>
      <c r="AY394" s="5" t="s">
        <v>983</v>
      </c>
      <c r="AZ394" s="1">
        <v>0</v>
      </c>
      <c r="BA394" s="1">
        <v>1</v>
      </c>
      <c r="BB394" s="1">
        <v>0</v>
      </c>
      <c r="BC394" s="1">
        <v>1</v>
      </c>
      <c r="BD394" s="1">
        <v>1</v>
      </c>
      <c r="BE394" s="1">
        <v>1</v>
      </c>
      <c r="BF394" s="1">
        <v>36</v>
      </c>
      <c r="BG394" s="1">
        <v>0</v>
      </c>
      <c r="BH394" s="1">
        <v>14</v>
      </c>
      <c r="BI394" s="1">
        <v>7</v>
      </c>
      <c r="BJ394" s="1">
        <v>800000</v>
      </c>
      <c r="BK394" s="1">
        <v>2</v>
      </c>
    </row>
    <row r="395" spans="1:63" ht="12.75" customHeight="1" x14ac:dyDescent="0.15">
      <c r="A395" s="5" t="s">
        <v>330</v>
      </c>
      <c r="B395" s="5" t="s">
        <v>984</v>
      </c>
      <c r="C395" s="5">
        <v>2</v>
      </c>
      <c r="D395" s="5">
        <v>2</v>
      </c>
      <c r="E395" s="5">
        <v>2</v>
      </c>
      <c r="F395" s="5">
        <v>2</v>
      </c>
      <c r="G395" s="5">
        <v>1</v>
      </c>
      <c r="H395" s="5">
        <v>1</v>
      </c>
      <c r="I395" s="5">
        <v>1</v>
      </c>
      <c r="J395" s="5">
        <v>2</v>
      </c>
      <c r="K395" s="5">
        <v>2</v>
      </c>
      <c r="L395" s="5">
        <v>2</v>
      </c>
      <c r="M395" s="5">
        <v>2</v>
      </c>
      <c r="N395" s="5">
        <v>2</v>
      </c>
      <c r="O395" s="5">
        <v>21</v>
      </c>
      <c r="P395" s="5" t="s">
        <v>982</v>
      </c>
      <c r="Q395" s="5">
        <v>0</v>
      </c>
      <c r="R395" s="5">
        <v>1</v>
      </c>
      <c r="S395" s="5">
        <v>0</v>
      </c>
      <c r="T395" s="5">
        <v>1</v>
      </c>
      <c r="U395" s="5" t="s">
        <v>983</v>
      </c>
      <c r="V395" s="5">
        <v>0</v>
      </c>
      <c r="W395" s="5">
        <v>0</v>
      </c>
      <c r="X395" s="5">
        <v>0</v>
      </c>
      <c r="Y395" s="5">
        <v>0</v>
      </c>
      <c r="Z395" s="5" t="s">
        <v>983</v>
      </c>
      <c r="AA395" s="5">
        <v>0</v>
      </c>
      <c r="AB395" s="5">
        <v>0</v>
      </c>
      <c r="AC395" s="5">
        <v>0</v>
      </c>
      <c r="AD395" s="5">
        <v>0</v>
      </c>
      <c r="AE395" s="5">
        <v>0</v>
      </c>
      <c r="AF395" s="5" t="s">
        <v>983</v>
      </c>
      <c r="AG395" s="5">
        <v>0</v>
      </c>
      <c r="AH395" s="5">
        <v>0</v>
      </c>
      <c r="AI395" s="5">
        <v>0</v>
      </c>
      <c r="AJ395" s="5">
        <v>0</v>
      </c>
      <c r="AK395" s="5" t="s">
        <v>983</v>
      </c>
      <c r="AL395" s="5">
        <v>0</v>
      </c>
      <c r="AM395" s="5">
        <v>0</v>
      </c>
      <c r="AN395" s="5">
        <v>0</v>
      </c>
      <c r="AO395" s="5">
        <v>0</v>
      </c>
      <c r="AP395" s="5" t="s">
        <v>983</v>
      </c>
      <c r="AQ395" s="5">
        <v>0</v>
      </c>
      <c r="AR395" s="5">
        <v>0</v>
      </c>
      <c r="AS395" s="5">
        <v>0</v>
      </c>
      <c r="AT395" s="5">
        <v>0</v>
      </c>
      <c r="AU395" s="5">
        <v>0</v>
      </c>
      <c r="AV395" s="5">
        <v>0</v>
      </c>
      <c r="AW395" s="5">
        <v>0</v>
      </c>
      <c r="AX395" s="5">
        <v>0</v>
      </c>
      <c r="AY395" s="5" t="s">
        <v>983</v>
      </c>
      <c r="AZ395" s="1">
        <v>1</v>
      </c>
      <c r="BA395" s="1">
        <v>0</v>
      </c>
      <c r="BB395" s="1">
        <v>1</v>
      </c>
      <c r="BC395" s="1">
        <v>1</v>
      </c>
      <c r="BD395" s="1">
        <v>1</v>
      </c>
      <c r="BE395" s="1">
        <v>1</v>
      </c>
      <c r="BF395" s="1">
        <v>36</v>
      </c>
      <c r="BG395" s="1">
        <v>0</v>
      </c>
      <c r="BH395" s="1">
        <v>14</v>
      </c>
      <c r="BI395" s="1">
        <v>7</v>
      </c>
      <c r="BJ395" s="1">
        <v>800000</v>
      </c>
      <c r="BK395" s="1">
        <v>2</v>
      </c>
    </row>
    <row r="396" spans="1:63" ht="12.75" customHeight="1" x14ac:dyDescent="0.15">
      <c r="A396" s="5" t="s">
        <v>238</v>
      </c>
      <c r="B396" s="5" t="s">
        <v>238</v>
      </c>
      <c r="C396" s="5">
        <v>2</v>
      </c>
      <c r="D396" s="5">
        <v>4</v>
      </c>
      <c r="E396" s="5">
        <v>4</v>
      </c>
      <c r="F396" s="5">
        <v>4</v>
      </c>
      <c r="G396" s="5">
        <v>3</v>
      </c>
      <c r="H396" s="5">
        <v>3</v>
      </c>
      <c r="I396" s="5">
        <v>2</v>
      </c>
      <c r="J396" s="5">
        <v>2</v>
      </c>
      <c r="K396" s="5">
        <v>2</v>
      </c>
      <c r="L396" s="5">
        <v>3</v>
      </c>
      <c r="M396" s="5">
        <v>2</v>
      </c>
      <c r="N396" s="5">
        <v>2</v>
      </c>
      <c r="O396" s="5">
        <v>33</v>
      </c>
      <c r="P396" s="5" t="s">
        <v>981</v>
      </c>
      <c r="Q396" s="5">
        <v>3</v>
      </c>
      <c r="R396" s="5">
        <v>3</v>
      </c>
      <c r="S396" s="5">
        <v>1</v>
      </c>
      <c r="T396" s="5">
        <v>7</v>
      </c>
      <c r="U396" s="5" t="s">
        <v>981</v>
      </c>
      <c r="V396" s="5">
        <v>1</v>
      </c>
      <c r="W396" s="5">
        <v>1</v>
      </c>
      <c r="X396" s="5">
        <v>1</v>
      </c>
      <c r="Y396" s="5">
        <v>3</v>
      </c>
      <c r="Z396" s="5" t="s">
        <v>982</v>
      </c>
      <c r="AA396" s="5">
        <v>3</v>
      </c>
      <c r="AB396" s="5">
        <v>3</v>
      </c>
      <c r="AC396" s="5">
        <v>2</v>
      </c>
      <c r="AD396" s="5">
        <v>2</v>
      </c>
      <c r="AE396" s="5">
        <v>10</v>
      </c>
      <c r="AF396" s="5" t="s">
        <v>981</v>
      </c>
      <c r="AG396" s="5">
        <v>2</v>
      </c>
      <c r="AH396" s="5">
        <v>2</v>
      </c>
      <c r="AI396" s="5">
        <v>1</v>
      </c>
      <c r="AJ396" s="5">
        <v>5</v>
      </c>
      <c r="AK396" s="5" t="s">
        <v>982</v>
      </c>
      <c r="AL396" s="5">
        <v>3</v>
      </c>
      <c r="AM396" s="5">
        <v>2</v>
      </c>
      <c r="AN396" s="5">
        <v>2</v>
      </c>
      <c r="AO396" s="5">
        <v>7</v>
      </c>
      <c r="AP396" s="5" t="s">
        <v>981</v>
      </c>
      <c r="AQ396" s="5">
        <v>0</v>
      </c>
      <c r="AR396" s="5">
        <v>0</v>
      </c>
      <c r="AS396" s="5">
        <v>0</v>
      </c>
      <c r="AT396" s="5">
        <v>0</v>
      </c>
      <c r="AU396" s="5">
        <v>0</v>
      </c>
      <c r="AV396" s="5">
        <v>0</v>
      </c>
      <c r="AW396" s="5">
        <v>0</v>
      </c>
      <c r="AX396" s="5">
        <v>0</v>
      </c>
      <c r="AY396" s="5" t="s">
        <v>983</v>
      </c>
      <c r="AZ396" s="1">
        <v>1</v>
      </c>
      <c r="BA396" s="1">
        <v>0</v>
      </c>
      <c r="BB396" s="1">
        <v>1</v>
      </c>
      <c r="BC396" s="1">
        <v>1</v>
      </c>
      <c r="BD396" s="1">
        <v>1</v>
      </c>
      <c r="BE396" s="1">
        <v>1</v>
      </c>
      <c r="BF396" s="1">
        <v>54</v>
      </c>
      <c r="BG396" s="1">
        <v>0</v>
      </c>
      <c r="BH396" s="1">
        <v>2</v>
      </c>
      <c r="BI396" s="1">
        <v>9</v>
      </c>
      <c r="BJ396" s="1">
        <v>600000</v>
      </c>
      <c r="BK396" s="1">
        <v>1</v>
      </c>
    </row>
    <row r="397" spans="1:63" ht="12.75" customHeight="1" x14ac:dyDescent="0.15">
      <c r="A397" s="5" t="s">
        <v>238</v>
      </c>
      <c r="B397" s="5" t="s">
        <v>238</v>
      </c>
      <c r="C397" s="5">
        <v>2</v>
      </c>
      <c r="D397" s="5">
        <v>1</v>
      </c>
      <c r="E397" s="5">
        <v>2</v>
      </c>
      <c r="F397" s="5">
        <v>1</v>
      </c>
      <c r="G397" s="5">
        <v>2</v>
      </c>
      <c r="H397" s="5">
        <v>1</v>
      </c>
      <c r="I397" s="5">
        <v>1</v>
      </c>
      <c r="J397" s="5">
        <v>1</v>
      </c>
      <c r="K397" s="5">
        <v>1</v>
      </c>
      <c r="L397" s="5">
        <v>1</v>
      </c>
      <c r="M397" s="5">
        <v>1</v>
      </c>
      <c r="N397" s="5">
        <v>1</v>
      </c>
      <c r="O397" s="5">
        <v>15</v>
      </c>
      <c r="P397" s="5" t="s">
        <v>983</v>
      </c>
      <c r="Q397" s="5">
        <v>1</v>
      </c>
      <c r="R397" s="5">
        <v>1</v>
      </c>
      <c r="S397" s="5">
        <v>1</v>
      </c>
      <c r="T397" s="5">
        <v>3</v>
      </c>
      <c r="U397" s="5" t="s">
        <v>982</v>
      </c>
      <c r="V397" s="5">
        <v>1</v>
      </c>
      <c r="W397" s="5">
        <v>1</v>
      </c>
      <c r="X397" s="5">
        <v>1</v>
      </c>
      <c r="Y397" s="5">
        <v>3</v>
      </c>
      <c r="Z397" s="5" t="s">
        <v>982</v>
      </c>
      <c r="AA397" s="5">
        <v>3</v>
      </c>
      <c r="AB397" s="5">
        <v>4</v>
      </c>
      <c r="AC397" s="5">
        <v>4</v>
      </c>
      <c r="AD397" s="5">
        <v>4</v>
      </c>
      <c r="AE397" s="5">
        <v>15</v>
      </c>
      <c r="AF397" s="5" t="s">
        <v>981</v>
      </c>
      <c r="AG397" s="5">
        <v>0</v>
      </c>
      <c r="AH397" s="5">
        <v>0</v>
      </c>
      <c r="AI397" s="5">
        <v>0</v>
      </c>
      <c r="AJ397" s="5">
        <v>0</v>
      </c>
      <c r="AK397" s="5" t="s">
        <v>983</v>
      </c>
      <c r="AL397" s="5">
        <v>0</v>
      </c>
      <c r="AM397" s="5">
        <v>0</v>
      </c>
      <c r="AN397" s="5">
        <v>0</v>
      </c>
      <c r="AO397" s="5">
        <v>0</v>
      </c>
      <c r="AP397" s="5" t="s">
        <v>983</v>
      </c>
      <c r="AQ397" s="5">
        <v>0</v>
      </c>
      <c r="AR397" s="5">
        <v>0</v>
      </c>
      <c r="AS397" s="5">
        <v>0</v>
      </c>
      <c r="AT397" s="5">
        <v>0</v>
      </c>
      <c r="AU397" s="5">
        <v>0</v>
      </c>
      <c r="AV397" s="5">
        <v>0</v>
      </c>
      <c r="AW397" s="5">
        <v>0</v>
      </c>
      <c r="AX397" s="5">
        <v>0</v>
      </c>
      <c r="AY397" s="5" t="s">
        <v>983</v>
      </c>
      <c r="AZ397" s="1">
        <v>1</v>
      </c>
      <c r="BA397" s="1">
        <v>0</v>
      </c>
      <c r="BB397" s="1">
        <v>1</v>
      </c>
      <c r="BC397" s="1">
        <v>1</v>
      </c>
      <c r="BD397" s="1">
        <v>1</v>
      </c>
      <c r="BE397" s="1">
        <v>1</v>
      </c>
      <c r="BF397" s="1">
        <v>0</v>
      </c>
      <c r="BG397" s="1">
        <v>1</v>
      </c>
      <c r="BI397" s="1">
        <v>2</v>
      </c>
      <c r="BJ397" s="1">
        <v>0</v>
      </c>
      <c r="BK397" s="1">
        <v>3</v>
      </c>
    </row>
    <row r="398" spans="1:63" ht="12.75" customHeight="1" x14ac:dyDescent="0.15">
      <c r="A398" s="5" t="s">
        <v>238</v>
      </c>
      <c r="B398" s="5" t="s">
        <v>238</v>
      </c>
      <c r="C398" s="5">
        <v>1</v>
      </c>
      <c r="D398" s="5">
        <v>1</v>
      </c>
      <c r="E398" s="5">
        <v>2</v>
      </c>
      <c r="F398" s="5">
        <v>4</v>
      </c>
      <c r="G398" s="5">
        <v>1</v>
      </c>
      <c r="H398" s="5">
        <v>1</v>
      </c>
      <c r="I398" s="5">
        <v>1</v>
      </c>
      <c r="J398" s="5">
        <v>4</v>
      </c>
      <c r="K398" s="5">
        <v>4</v>
      </c>
      <c r="L398" s="5">
        <v>4</v>
      </c>
      <c r="M398" s="5">
        <v>4</v>
      </c>
      <c r="N398" s="5">
        <v>4</v>
      </c>
      <c r="O398" s="5">
        <v>31</v>
      </c>
      <c r="P398" s="5" t="s">
        <v>981</v>
      </c>
      <c r="Q398" s="5">
        <v>2</v>
      </c>
      <c r="R398" s="5">
        <v>1</v>
      </c>
      <c r="S398" s="5">
        <v>0</v>
      </c>
      <c r="T398" s="5">
        <v>3</v>
      </c>
      <c r="U398" s="5" t="s">
        <v>982</v>
      </c>
      <c r="V398" s="5">
        <v>0</v>
      </c>
      <c r="W398" s="5">
        <v>0</v>
      </c>
      <c r="X398" s="5">
        <v>0</v>
      </c>
      <c r="Y398" s="5">
        <v>0</v>
      </c>
      <c r="Z398" s="5" t="s">
        <v>983</v>
      </c>
      <c r="AA398" s="5">
        <v>4</v>
      </c>
      <c r="AB398" s="5">
        <v>4</v>
      </c>
      <c r="AC398" s="5">
        <v>1</v>
      </c>
      <c r="AD398" s="5">
        <v>1</v>
      </c>
      <c r="AE398" s="5">
        <v>10</v>
      </c>
      <c r="AF398" s="5" t="s">
        <v>981</v>
      </c>
      <c r="AG398" s="5">
        <v>0</v>
      </c>
      <c r="AH398" s="5">
        <v>0</v>
      </c>
      <c r="AI398" s="5">
        <v>0</v>
      </c>
      <c r="AJ398" s="5">
        <v>0</v>
      </c>
      <c r="AK398" s="5" t="s">
        <v>983</v>
      </c>
      <c r="AL398" s="5">
        <v>0</v>
      </c>
      <c r="AM398" s="5">
        <v>0</v>
      </c>
      <c r="AN398" s="5">
        <v>0</v>
      </c>
      <c r="AO398" s="5">
        <v>0</v>
      </c>
      <c r="AP398" s="5" t="s">
        <v>983</v>
      </c>
      <c r="AQ398" s="5">
        <v>0</v>
      </c>
      <c r="AR398" s="5">
        <v>0</v>
      </c>
      <c r="AS398" s="5">
        <v>0</v>
      </c>
      <c r="AT398" s="5">
        <v>0</v>
      </c>
      <c r="AU398" s="5">
        <v>0</v>
      </c>
      <c r="AV398" s="5">
        <v>0</v>
      </c>
      <c r="AW398" s="5">
        <v>0</v>
      </c>
      <c r="AX398" s="5">
        <v>0</v>
      </c>
      <c r="AY398" s="5" t="s">
        <v>983</v>
      </c>
      <c r="AZ398" s="1">
        <v>1</v>
      </c>
      <c r="BA398" s="1">
        <v>0</v>
      </c>
      <c r="BB398" s="1">
        <v>1</v>
      </c>
      <c r="BC398" s="1">
        <v>1</v>
      </c>
      <c r="BD398" s="1">
        <v>0</v>
      </c>
      <c r="BE398" s="1">
        <v>1</v>
      </c>
      <c r="BF398" s="1">
        <v>31</v>
      </c>
      <c r="BG398" s="1">
        <v>1</v>
      </c>
      <c r="BH398" s="1">
        <v>6</v>
      </c>
      <c r="BI398" s="1">
        <v>6</v>
      </c>
      <c r="BJ398" s="1">
        <v>500000</v>
      </c>
      <c r="BK398" s="1">
        <v>2</v>
      </c>
    </row>
    <row r="399" spans="1:63" ht="12.75" customHeight="1" x14ac:dyDescent="0.15">
      <c r="A399" s="5" t="s">
        <v>330</v>
      </c>
      <c r="B399" s="5" t="s">
        <v>984</v>
      </c>
      <c r="C399" s="5">
        <v>2</v>
      </c>
      <c r="D399" s="5">
        <v>3</v>
      </c>
      <c r="E399" s="5">
        <v>3</v>
      </c>
      <c r="F399" s="5">
        <v>3</v>
      </c>
      <c r="G399" s="5">
        <v>2</v>
      </c>
      <c r="H399" s="5">
        <v>2</v>
      </c>
      <c r="I399" s="5">
        <v>3</v>
      </c>
      <c r="J399" s="5">
        <v>2</v>
      </c>
      <c r="K399" s="5">
        <v>2</v>
      </c>
      <c r="L399" s="5">
        <v>3</v>
      </c>
      <c r="M399" s="5">
        <v>2</v>
      </c>
      <c r="N399" s="5">
        <v>2</v>
      </c>
      <c r="O399" s="5">
        <v>29</v>
      </c>
      <c r="P399" s="5" t="s">
        <v>981</v>
      </c>
      <c r="Q399" s="5">
        <v>2</v>
      </c>
      <c r="R399" s="5">
        <v>2</v>
      </c>
      <c r="S399" s="5">
        <v>2</v>
      </c>
      <c r="T399" s="5">
        <v>6</v>
      </c>
      <c r="U399" s="5" t="s">
        <v>981</v>
      </c>
      <c r="V399" s="5">
        <v>3</v>
      </c>
      <c r="W399" s="5">
        <v>2</v>
      </c>
      <c r="X399" s="5">
        <v>3</v>
      </c>
      <c r="Y399" s="5">
        <v>8</v>
      </c>
      <c r="Z399" s="5" t="s">
        <v>981</v>
      </c>
      <c r="AA399" s="5">
        <v>1</v>
      </c>
      <c r="AB399" s="5">
        <v>1</v>
      </c>
      <c r="AC399" s="5">
        <v>2</v>
      </c>
      <c r="AD399" s="5">
        <v>1</v>
      </c>
      <c r="AE399" s="5">
        <v>5</v>
      </c>
      <c r="AF399" s="5" t="s">
        <v>981</v>
      </c>
      <c r="AG399" s="5">
        <v>2</v>
      </c>
      <c r="AH399" s="5">
        <v>2</v>
      </c>
      <c r="AI399" s="5">
        <v>3</v>
      </c>
      <c r="AJ399" s="5">
        <v>7</v>
      </c>
      <c r="AK399" s="5" t="s">
        <v>981</v>
      </c>
      <c r="AL399" s="5">
        <v>3</v>
      </c>
      <c r="AM399" s="5">
        <v>3</v>
      </c>
      <c r="AN399" s="5">
        <v>3</v>
      </c>
      <c r="AO399" s="5">
        <v>9</v>
      </c>
      <c r="AP399" s="5" t="s">
        <v>981</v>
      </c>
      <c r="AQ399" s="5">
        <v>0</v>
      </c>
      <c r="AR399" s="5">
        <v>0</v>
      </c>
      <c r="AS399" s="5">
        <v>0</v>
      </c>
      <c r="AT399" s="5">
        <v>0</v>
      </c>
      <c r="AU399" s="5">
        <v>0</v>
      </c>
      <c r="AV399" s="5">
        <v>0</v>
      </c>
      <c r="AW399" s="5">
        <v>0</v>
      </c>
      <c r="AX399" s="5">
        <v>0</v>
      </c>
      <c r="AY399" s="5" t="s">
        <v>983</v>
      </c>
      <c r="AZ399" s="1">
        <v>1</v>
      </c>
      <c r="BA399" s="1">
        <v>0</v>
      </c>
      <c r="BB399" s="1">
        <v>0</v>
      </c>
      <c r="BC399" s="1">
        <v>1</v>
      </c>
      <c r="BD399" s="1">
        <v>0</v>
      </c>
      <c r="BE399" s="1">
        <v>1</v>
      </c>
      <c r="BF399" s="1">
        <v>0</v>
      </c>
      <c r="BG399" s="1">
        <v>1</v>
      </c>
      <c r="BI399" s="1">
        <v>1</v>
      </c>
      <c r="BJ399" s="1">
        <v>0</v>
      </c>
      <c r="BK399" s="1">
        <v>2</v>
      </c>
    </row>
    <row r="400" spans="1:63" ht="12.75" customHeight="1" x14ac:dyDescent="0.15">
      <c r="A400" s="5" t="s">
        <v>238</v>
      </c>
      <c r="B400" s="5" t="s">
        <v>238</v>
      </c>
      <c r="C400" s="5">
        <v>1</v>
      </c>
      <c r="D400" s="5">
        <v>3</v>
      </c>
      <c r="E400" s="5">
        <v>2</v>
      </c>
      <c r="F400" s="5">
        <v>1</v>
      </c>
      <c r="G400" s="5">
        <v>1</v>
      </c>
      <c r="H400" s="5">
        <v>1</v>
      </c>
      <c r="I400" s="5">
        <v>1</v>
      </c>
      <c r="J400" s="5">
        <v>1</v>
      </c>
      <c r="K400" s="5">
        <v>1</v>
      </c>
      <c r="L400" s="5">
        <v>1</v>
      </c>
      <c r="M400" s="5">
        <v>1</v>
      </c>
      <c r="N400" s="5">
        <v>1</v>
      </c>
      <c r="O400" s="5">
        <v>15</v>
      </c>
      <c r="P400" s="5" t="s">
        <v>983</v>
      </c>
      <c r="Q400" s="5">
        <v>2</v>
      </c>
      <c r="R400" s="5">
        <v>2</v>
      </c>
      <c r="S400" s="5">
        <v>2</v>
      </c>
      <c r="T400" s="5">
        <v>6</v>
      </c>
      <c r="U400" s="5" t="s">
        <v>981</v>
      </c>
      <c r="V400" s="5">
        <v>2</v>
      </c>
      <c r="W400" s="5">
        <v>2</v>
      </c>
      <c r="X400" s="5">
        <v>2</v>
      </c>
      <c r="Y400" s="5">
        <v>6</v>
      </c>
      <c r="Z400" s="5" t="s">
        <v>981</v>
      </c>
      <c r="AA400" s="5">
        <v>2</v>
      </c>
      <c r="AB400" s="5">
        <v>2</v>
      </c>
      <c r="AC400" s="5">
        <v>2</v>
      </c>
      <c r="AD400" s="5">
        <v>2</v>
      </c>
      <c r="AE400" s="5">
        <v>8</v>
      </c>
      <c r="AF400" s="5" t="s">
        <v>981</v>
      </c>
      <c r="AG400" s="5">
        <v>2</v>
      </c>
      <c r="AH400" s="5">
        <v>2</v>
      </c>
      <c r="AI400" s="5">
        <v>2</v>
      </c>
      <c r="AJ400" s="5">
        <v>6</v>
      </c>
      <c r="AK400" s="5" t="s">
        <v>981</v>
      </c>
      <c r="AL400" s="5">
        <v>2</v>
      </c>
      <c r="AM400" s="5">
        <v>2</v>
      </c>
      <c r="AN400" s="5">
        <v>2</v>
      </c>
      <c r="AO400" s="5">
        <v>6</v>
      </c>
      <c r="AP400" s="5" t="s">
        <v>981</v>
      </c>
      <c r="AQ400" s="5">
        <v>0</v>
      </c>
      <c r="AR400" s="5">
        <v>0</v>
      </c>
      <c r="AS400" s="5">
        <v>0</v>
      </c>
      <c r="AT400" s="5">
        <v>0</v>
      </c>
      <c r="AU400" s="5">
        <v>0</v>
      </c>
      <c r="AV400" s="5">
        <v>0</v>
      </c>
      <c r="AW400" s="5">
        <v>0</v>
      </c>
      <c r="AX400" s="5">
        <v>0</v>
      </c>
      <c r="AY400" s="5" t="s">
        <v>983</v>
      </c>
      <c r="AZ400" s="1">
        <v>1</v>
      </c>
      <c r="BA400" s="1">
        <v>0</v>
      </c>
      <c r="BB400" s="1">
        <v>0</v>
      </c>
      <c r="BC400" s="1">
        <v>1</v>
      </c>
      <c r="BD400" s="1">
        <v>1</v>
      </c>
      <c r="BE400" s="1">
        <v>1</v>
      </c>
      <c r="BF400" s="1">
        <v>38</v>
      </c>
      <c r="BG400" s="1">
        <v>0</v>
      </c>
      <c r="BH400" s="1">
        <v>2</v>
      </c>
      <c r="BI400" s="1">
        <v>2</v>
      </c>
      <c r="BJ400" s="1">
        <v>100000</v>
      </c>
      <c r="BK400" s="1">
        <v>6</v>
      </c>
    </row>
    <row r="401" spans="1:63" ht="12.75" customHeight="1" x14ac:dyDescent="0.15">
      <c r="A401" s="5" t="s">
        <v>330</v>
      </c>
      <c r="B401" s="5" t="s">
        <v>984</v>
      </c>
      <c r="C401" s="5">
        <v>2</v>
      </c>
      <c r="D401" s="5">
        <v>3</v>
      </c>
      <c r="E401" s="5">
        <v>3</v>
      </c>
      <c r="F401" s="5">
        <v>3</v>
      </c>
      <c r="G401" s="5">
        <v>1</v>
      </c>
      <c r="H401" s="5">
        <v>2</v>
      </c>
      <c r="I401" s="5">
        <v>1</v>
      </c>
      <c r="J401" s="5">
        <v>2</v>
      </c>
      <c r="K401" s="5">
        <v>1</v>
      </c>
      <c r="L401" s="5">
        <v>2</v>
      </c>
      <c r="M401" s="5">
        <v>2</v>
      </c>
      <c r="N401" s="5">
        <v>2</v>
      </c>
      <c r="O401" s="5">
        <v>24</v>
      </c>
      <c r="P401" s="5" t="s">
        <v>981</v>
      </c>
      <c r="Q401" s="5">
        <v>2</v>
      </c>
      <c r="R401" s="5">
        <v>2</v>
      </c>
      <c r="S401" s="5">
        <v>2</v>
      </c>
      <c r="T401" s="5">
        <v>6</v>
      </c>
      <c r="U401" s="5" t="s">
        <v>981</v>
      </c>
      <c r="V401" s="5">
        <v>1</v>
      </c>
      <c r="W401" s="5">
        <v>1</v>
      </c>
      <c r="X401" s="5">
        <v>1</v>
      </c>
      <c r="Y401" s="5">
        <v>3</v>
      </c>
      <c r="Z401" s="5" t="s">
        <v>982</v>
      </c>
      <c r="AA401" s="5">
        <v>3</v>
      </c>
      <c r="AB401" s="5">
        <v>3</v>
      </c>
      <c r="AC401" s="5">
        <v>3</v>
      </c>
      <c r="AD401" s="5">
        <v>3</v>
      </c>
      <c r="AE401" s="5">
        <v>12</v>
      </c>
      <c r="AF401" s="5" t="s">
        <v>981</v>
      </c>
      <c r="AG401" s="5">
        <v>1</v>
      </c>
      <c r="AH401" s="5">
        <v>1</v>
      </c>
      <c r="AI401" s="5">
        <v>1</v>
      </c>
      <c r="AJ401" s="5">
        <v>3</v>
      </c>
      <c r="AK401" s="5" t="s">
        <v>982</v>
      </c>
      <c r="AL401" s="5">
        <v>1</v>
      </c>
      <c r="AM401" s="5">
        <v>1</v>
      </c>
      <c r="AN401" s="5">
        <v>1</v>
      </c>
      <c r="AO401" s="5">
        <v>3</v>
      </c>
      <c r="AP401" s="5" t="s">
        <v>982</v>
      </c>
      <c r="AQ401" s="5">
        <v>1</v>
      </c>
      <c r="AR401" s="5">
        <v>1</v>
      </c>
      <c r="AS401" s="5">
        <v>1</v>
      </c>
      <c r="AT401" s="5">
        <v>1</v>
      </c>
      <c r="AU401" s="5">
        <v>1</v>
      </c>
      <c r="AV401" s="5">
        <v>1</v>
      </c>
      <c r="AW401" s="5">
        <v>1</v>
      </c>
      <c r="AX401" s="5">
        <v>7</v>
      </c>
      <c r="AY401" s="5" t="s">
        <v>982</v>
      </c>
      <c r="AZ401" s="1">
        <v>1</v>
      </c>
      <c r="BA401" s="1">
        <v>0</v>
      </c>
      <c r="BB401" s="1">
        <v>1</v>
      </c>
      <c r="BC401" s="1">
        <v>1</v>
      </c>
      <c r="BD401" s="1">
        <v>1</v>
      </c>
      <c r="BE401" s="1">
        <v>1</v>
      </c>
      <c r="BF401" s="1">
        <v>41</v>
      </c>
      <c r="BG401" s="1">
        <v>0</v>
      </c>
      <c r="BH401" s="1">
        <v>6</v>
      </c>
      <c r="BI401" s="1">
        <v>6</v>
      </c>
      <c r="BJ401" s="1">
        <v>800000</v>
      </c>
      <c r="BK401" s="1">
        <v>3</v>
      </c>
    </row>
    <row r="402" spans="1:63" ht="12.75" customHeight="1" x14ac:dyDescent="0.15">
      <c r="A402" s="5" t="s">
        <v>238</v>
      </c>
      <c r="B402" s="5" t="s">
        <v>238</v>
      </c>
      <c r="C402" s="5">
        <v>2</v>
      </c>
      <c r="D402" s="5">
        <v>2</v>
      </c>
      <c r="E402" s="5">
        <v>1</v>
      </c>
      <c r="F402" s="5">
        <v>1</v>
      </c>
      <c r="G402" s="5">
        <v>1</v>
      </c>
      <c r="H402" s="5">
        <v>1</v>
      </c>
      <c r="I402" s="5">
        <v>1</v>
      </c>
      <c r="J402" s="5">
        <v>1</v>
      </c>
      <c r="K402" s="5">
        <v>1</v>
      </c>
      <c r="L402" s="5">
        <v>1</v>
      </c>
      <c r="M402" s="5">
        <v>1</v>
      </c>
      <c r="N402" s="5">
        <v>1</v>
      </c>
      <c r="O402" s="5">
        <v>14</v>
      </c>
      <c r="P402" s="5" t="s">
        <v>983</v>
      </c>
      <c r="Q402" s="5">
        <v>1</v>
      </c>
      <c r="R402" s="5">
        <v>0</v>
      </c>
      <c r="S402" s="5">
        <v>0</v>
      </c>
      <c r="T402" s="5">
        <v>1</v>
      </c>
      <c r="U402" s="5" t="s">
        <v>983</v>
      </c>
      <c r="V402" s="5">
        <v>0</v>
      </c>
      <c r="W402" s="5">
        <v>1</v>
      </c>
      <c r="X402" s="5">
        <v>1</v>
      </c>
      <c r="Y402" s="5">
        <v>2</v>
      </c>
      <c r="Z402" s="5" t="s">
        <v>982</v>
      </c>
      <c r="AA402" s="5">
        <v>0</v>
      </c>
      <c r="AB402" s="5">
        <v>0</v>
      </c>
      <c r="AC402" s="5">
        <v>0</v>
      </c>
      <c r="AD402" s="5">
        <v>0</v>
      </c>
      <c r="AE402" s="5">
        <v>0</v>
      </c>
      <c r="AF402" s="5" t="s">
        <v>983</v>
      </c>
      <c r="AG402" s="5">
        <v>0</v>
      </c>
      <c r="AH402" s="5">
        <v>0</v>
      </c>
      <c r="AI402" s="5">
        <v>0</v>
      </c>
      <c r="AJ402" s="5">
        <v>0</v>
      </c>
      <c r="AK402" s="5" t="s">
        <v>983</v>
      </c>
      <c r="AL402" s="5">
        <v>0</v>
      </c>
      <c r="AM402" s="5">
        <v>0</v>
      </c>
      <c r="AN402" s="5">
        <v>0</v>
      </c>
      <c r="AO402" s="5">
        <v>0</v>
      </c>
      <c r="AP402" s="5" t="s">
        <v>983</v>
      </c>
      <c r="AQ402" s="5">
        <v>0</v>
      </c>
      <c r="AR402" s="5">
        <v>0</v>
      </c>
      <c r="AS402" s="5">
        <v>0</v>
      </c>
      <c r="AT402" s="5">
        <v>0</v>
      </c>
      <c r="AU402" s="5">
        <v>0</v>
      </c>
      <c r="AV402" s="5">
        <v>0</v>
      </c>
      <c r="AW402" s="5">
        <v>0</v>
      </c>
      <c r="AX402" s="5">
        <v>0</v>
      </c>
      <c r="AY402" s="5" t="s">
        <v>983</v>
      </c>
      <c r="AZ402" s="1">
        <v>1</v>
      </c>
      <c r="BA402" s="1">
        <v>0</v>
      </c>
      <c r="BB402" s="1">
        <v>1</v>
      </c>
      <c r="BC402" s="1">
        <v>1</v>
      </c>
      <c r="BD402" s="1">
        <v>1</v>
      </c>
      <c r="BE402" s="1">
        <v>1</v>
      </c>
      <c r="BF402" s="1">
        <v>59</v>
      </c>
      <c r="BG402" s="1">
        <v>0</v>
      </c>
      <c r="BH402" s="1">
        <v>1</v>
      </c>
      <c r="BI402" s="1">
        <v>5</v>
      </c>
      <c r="BJ402" s="1">
        <v>500000</v>
      </c>
      <c r="BK402" s="1">
        <v>1</v>
      </c>
    </row>
    <row r="403" spans="1:63" ht="12.75" customHeight="1" x14ac:dyDescent="0.15">
      <c r="A403" s="5" t="s">
        <v>238</v>
      </c>
      <c r="B403" s="5" t="s">
        <v>238</v>
      </c>
      <c r="C403" s="5">
        <v>2</v>
      </c>
      <c r="D403" s="5">
        <v>3</v>
      </c>
      <c r="E403" s="5">
        <v>3</v>
      </c>
      <c r="F403" s="5">
        <v>3</v>
      </c>
      <c r="G403" s="5">
        <v>3</v>
      </c>
      <c r="H403" s="5">
        <v>1</v>
      </c>
      <c r="I403" s="5">
        <v>1</v>
      </c>
      <c r="J403" s="5">
        <v>1</v>
      </c>
      <c r="K403" s="5">
        <v>2</v>
      </c>
      <c r="L403" s="5">
        <v>3</v>
      </c>
      <c r="M403" s="5">
        <v>2</v>
      </c>
      <c r="N403" s="5">
        <v>3</v>
      </c>
      <c r="O403" s="5">
        <v>27</v>
      </c>
      <c r="P403" s="5" t="s">
        <v>981</v>
      </c>
      <c r="Q403" s="5">
        <v>3</v>
      </c>
      <c r="R403" s="5">
        <v>3</v>
      </c>
      <c r="S403" s="5">
        <v>0</v>
      </c>
      <c r="T403" s="5">
        <v>6</v>
      </c>
      <c r="U403" s="5" t="s">
        <v>981</v>
      </c>
      <c r="V403" s="5">
        <v>3</v>
      </c>
      <c r="W403" s="5">
        <v>2</v>
      </c>
      <c r="X403" s="5">
        <v>3</v>
      </c>
      <c r="Y403" s="5">
        <v>8</v>
      </c>
      <c r="Z403" s="5" t="s">
        <v>981</v>
      </c>
      <c r="AA403" s="5">
        <v>0</v>
      </c>
      <c r="AB403" s="5">
        <v>0</v>
      </c>
      <c r="AC403" s="5">
        <v>0</v>
      </c>
      <c r="AD403" s="5">
        <v>0</v>
      </c>
      <c r="AE403" s="5">
        <v>0</v>
      </c>
      <c r="AF403" s="5" t="s">
        <v>983</v>
      </c>
      <c r="AG403" s="5">
        <v>3</v>
      </c>
      <c r="AH403" s="5">
        <v>2</v>
      </c>
      <c r="AI403" s="5">
        <v>2</v>
      </c>
      <c r="AJ403" s="5">
        <v>7</v>
      </c>
      <c r="AK403" s="5" t="s">
        <v>981</v>
      </c>
      <c r="AL403" s="5">
        <v>3</v>
      </c>
      <c r="AM403" s="5">
        <v>3</v>
      </c>
      <c r="AN403" s="5">
        <v>3</v>
      </c>
      <c r="AO403" s="5">
        <v>9</v>
      </c>
      <c r="AP403" s="5" t="s">
        <v>981</v>
      </c>
      <c r="AQ403" s="5">
        <v>1</v>
      </c>
      <c r="AR403" s="5">
        <v>0</v>
      </c>
      <c r="AS403" s="5">
        <v>0</v>
      </c>
      <c r="AT403" s="5">
        <v>0</v>
      </c>
      <c r="AU403" s="5">
        <v>0</v>
      </c>
      <c r="AV403" s="5">
        <v>0</v>
      </c>
      <c r="AW403" s="5">
        <v>0</v>
      </c>
      <c r="AX403" s="5">
        <v>1</v>
      </c>
      <c r="AY403" s="5" t="s">
        <v>982</v>
      </c>
      <c r="AZ403" s="1">
        <v>1</v>
      </c>
      <c r="BA403" s="1">
        <v>0</v>
      </c>
      <c r="BB403" s="1">
        <v>1</v>
      </c>
      <c r="BC403" s="1">
        <v>1</v>
      </c>
      <c r="BD403" s="1">
        <v>1</v>
      </c>
      <c r="BE403" s="1">
        <v>1</v>
      </c>
      <c r="BF403" s="1">
        <v>41</v>
      </c>
      <c r="BG403" s="1">
        <v>0</v>
      </c>
      <c r="BH403" s="1">
        <v>14</v>
      </c>
      <c r="BI403" s="1">
        <v>4</v>
      </c>
      <c r="BJ403" s="1">
        <v>350000</v>
      </c>
      <c r="BK403" s="1">
        <v>5</v>
      </c>
    </row>
    <row r="404" spans="1:63" ht="12.75" customHeight="1" x14ac:dyDescent="0.15">
      <c r="A404" s="5" t="s">
        <v>337</v>
      </c>
      <c r="B404" s="5" t="s">
        <v>984</v>
      </c>
      <c r="C404" s="5">
        <v>2</v>
      </c>
      <c r="D404" s="5">
        <v>4</v>
      </c>
      <c r="E404" s="5">
        <v>3</v>
      </c>
      <c r="F404" s="5">
        <v>2</v>
      </c>
      <c r="G404" s="5">
        <v>3</v>
      </c>
      <c r="H404" s="5">
        <v>1</v>
      </c>
      <c r="I404" s="5">
        <v>1</v>
      </c>
      <c r="J404" s="5">
        <v>1</v>
      </c>
      <c r="K404" s="5">
        <v>1</v>
      </c>
      <c r="L404" s="5">
        <v>3</v>
      </c>
      <c r="M404" s="5">
        <v>2</v>
      </c>
      <c r="N404" s="5">
        <v>2</v>
      </c>
      <c r="O404" s="5">
        <v>25</v>
      </c>
      <c r="P404" s="5" t="s">
        <v>981</v>
      </c>
      <c r="Q404" s="5">
        <v>4</v>
      </c>
      <c r="R404" s="5">
        <v>0</v>
      </c>
      <c r="S404" s="5">
        <v>0</v>
      </c>
      <c r="T404" s="5">
        <v>4</v>
      </c>
      <c r="U404" s="5" t="s">
        <v>982</v>
      </c>
      <c r="V404" s="5">
        <v>2</v>
      </c>
      <c r="W404" s="5">
        <v>4</v>
      </c>
      <c r="X404" s="5">
        <v>4</v>
      </c>
      <c r="Y404" s="5">
        <v>10</v>
      </c>
      <c r="Z404" s="5" t="s">
        <v>981</v>
      </c>
      <c r="AA404" s="5">
        <v>2</v>
      </c>
      <c r="AB404" s="5">
        <v>2</v>
      </c>
      <c r="AC404" s="5">
        <v>1</v>
      </c>
      <c r="AD404" s="5">
        <v>2</v>
      </c>
      <c r="AE404" s="5">
        <v>7</v>
      </c>
      <c r="AF404" s="5" t="s">
        <v>981</v>
      </c>
      <c r="AG404" s="5">
        <v>3</v>
      </c>
      <c r="AH404" s="5">
        <v>3</v>
      </c>
      <c r="AI404" s="5">
        <v>3</v>
      </c>
      <c r="AJ404" s="5">
        <v>9</v>
      </c>
      <c r="AK404" s="5" t="s">
        <v>981</v>
      </c>
      <c r="AL404" s="5">
        <v>4</v>
      </c>
      <c r="AM404" s="5">
        <v>4</v>
      </c>
      <c r="AN404" s="5">
        <v>2</v>
      </c>
      <c r="AO404" s="5">
        <v>10</v>
      </c>
      <c r="AP404" s="5" t="s">
        <v>981</v>
      </c>
      <c r="AQ404" s="5">
        <v>1</v>
      </c>
      <c r="AR404" s="5">
        <v>1</v>
      </c>
      <c r="AS404" s="5">
        <v>0</v>
      </c>
      <c r="AT404" s="5">
        <v>0</v>
      </c>
      <c r="AU404" s="5">
        <v>1</v>
      </c>
      <c r="AV404" s="5">
        <v>0</v>
      </c>
      <c r="AW404" s="5">
        <v>0</v>
      </c>
      <c r="AX404" s="5">
        <v>3</v>
      </c>
      <c r="AY404" s="5" t="s">
        <v>982</v>
      </c>
      <c r="AZ404" s="1">
        <v>0</v>
      </c>
      <c r="BA404" s="1">
        <v>0</v>
      </c>
      <c r="BB404" s="1">
        <v>0</v>
      </c>
      <c r="BC404" s="1">
        <v>1</v>
      </c>
      <c r="BD404" s="1">
        <v>1</v>
      </c>
      <c r="BE404" s="1">
        <v>1</v>
      </c>
      <c r="BF404" s="1">
        <v>0</v>
      </c>
      <c r="BG404" s="1">
        <v>1</v>
      </c>
      <c r="BI404" s="1">
        <v>32</v>
      </c>
      <c r="BJ404" s="1">
        <v>0</v>
      </c>
      <c r="BK404" s="1">
        <v>2</v>
      </c>
    </row>
    <row r="405" spans="1:63" ht="12.75" customHeight="1" x14ac:dyDescent="0.15">
      <c r="A405" s="5" t="s">
        <v>238</v>
      </c>
      <c r="B405" s="5" t="s">
        <v>238</v>
      </c>
      <c r="C405" s="5">
        <v>3</v>
      </c>
      <c r="D405" s="5">
        <v>3</v>
      </c>
      <c r="E405" s="5">
        <v>3</v>
      </c>
      <c r="F405" s="5">
        <v>2</v>
      </c>
      <c r="G405" s="5">
        <v>2</v>
      </c>
      <c r="H405" s="5">
        <v>1</v>
      </c>
      <c r="I405" s="5">
        <v>1</v>
      </c>
      <c r="J405" s="5">
        <v>1</v>
      </c>
      <c r="K405" s="5">
        <v>1</v>
      </c>
      <c r="L405" s="5">
        <v>1</v>
      </c>
      <c r="M405" s="5">
        <v>1</v>
      </c>
      <c r="N405" s="5">
        <v>1</v>
      </c>
      <c r="O405" s="5">
        <v>20</v>
      </c>
      <c r="P405" s="5" t="s">
        <v>982</v>
      </c>
      <c r="Q405" s="5">
        <v>2</v>
      </c>
      <c r="R405" s="5">
        <v>1</v>
      </c>
      <c r="S405" s="5">
        <v>1</v>
      </c>
      <c r="T405" s="5">
        <v>4</v>
      </c>
      <c r="U405" s="5" t="s">
        <v>982</v>
      </c>
      <c r="V405" s="5">
        <v>0</v>
      </c>
      <c r="W405" s="5">
        <v>2</v>
      </c>
      <c r="X405" s="5">
        <v>2</v>
      </c>
      <c r="Y405" s="5">
        <v>4</v>
      </c>
      <c r="Z405" s="5" t="s">
        <v>982</v>
      </c>
      <c r="AA405" s="5">
        <v>2</v>
      </c>
      <c r="AB405" s="5">
        <v>1</v>
      </c>
      <c r="AC405" s="5">
        <v>0</v>
      </c>
      <c r="AD405" s="5">
        <v>0</v>
      </c>
      <c r="AE405" s="5">
        <v>3</v>
      </c>
      <c r="AF405" s="5" t="s">
        <v>982</v>
      </c>
      <c r="AG405" s="5">
        <v>1</v>
      </c>
      <c r="AH405" s="5">
        <v>0</v>
      </c>
      <c r="AI405" s="5">
        <v>0</v>
      </c>
      <c r="AJ405" s="5">
        <v>1</v>
      </c>
      <c r="AK405" s="5" t="s">
        <v>983</v>
      </c>
      <c r="AL405" s="5">
        <v>1</v>
      </c>
      <c r="AM405" s="5">
        <v>1</v>
      </c>
      <c r="AN405" s="5">
        <v>1</v>
      </c>
      <c r="AO405" s="5">
        <v>3</v>
      </c>
      <c r="AP405" s="5" t="s">
        <v>982</v>
      </c>
      <c r="AQ405" s="5">
        <v>0</v>
      </c>
      <c r="AR405" s="5">
        <v>0</v>
      </c>
      <c r="AS405" s="5">
        <v>1</v>
      </c>
      <c r="AT405" s="5">
        <v>0</v>
      </c>
      <c r="AU405" s="5">
        <v>0</v>
      </c>
      <c r="AV405" s="5">
        <v>0</v>
      </c>
      <c r="AW405" s="5">
        <v>0</v>
      </c>
      <c r="AX405" s="5">
        <v>1</v>
      </c>
      <c r="AY405" s="5" t="s">
        <v>982</v>
      </c>
      <c r="AZ405" s="1">
        <v>1</v>
      </c>
      <c r="BA405" s="1">
        <v>0</v>
      </c>
      <c r="BB405" s="1">
        <v>1</v>
      </c>
      <c r="BC405" s="1">
        <v>1</v>
      </c>
      <c r="BD405" s="1">
        <v>1</v>
      </c>
      <c r="BE405" s="1">
        <v>1</v>
      </c>
      <c r="BF405" s="1">
        <v>0</v>
      </c>
      <c r="BG405" s="1">
        <v>1</v>
      </c>
      <c r="BI405" s="1">
        <v>32</v>
      </c>
      <c r="BJ405" s="1">
        <v>0</v>
      </c>
      <c r="BK405" s="1">
        <v>2</v>
      </c>
    </row>
    <row r="406" spans="1:63" ht="12.75" customHeight="1" x14ac:dyDescent="0.15">
      <c r="A406" s="5" t="s">
        <v>330</v>
      </c>
      <c r="B406" s="5" t="s">
        <v>984</v>
      </c>
      <c r="C406" s="5">
        <v>3</v>
      </c>
      <c r="D406" s="5">
        <v>2</v>
      </c>
      <c r="E406" s="5">
        <v>2</v>
      </c>
      <c r="F406" s="5">
        <v>2</v>
      </c>
      <c r="G406" s="5">
        <v>2</v>
      </c>
      <c r="H406" s="5">
        <v>2</v>
      </c>
      <c r="I406" s="5">
        <v>3</v>
      </c>
      <c r="J406" s="5">
        <v>2</v>
      </c>
      <c r="K406" s="5">
        <v>2</v>
      </c>
      <c r="L406" s="5">
        <v>2</v>
      </c>
      <c r="M406" s="5">
        <v>2</v>
      </c>
      <c r="N406" s="5">
        <v>2</v>
      </c>
      <c r="O406" s="5">
        <v>26</v>
      </c>
      <c r="P406" s="5" t="s">
        <v>981</v>
      </c>
      <c r="Q406" s="5">
        <v>3</v>
      </c>
      <c r="R406" s="5">
        <v>3</v>
      </c>
      <c r="S406" s="5">
        <v>3</v>
      </c>
      <c r="T406" s="5">
        <v>9</v>
      </c>
      <c r="U406" s="5" t="s">
        <v>981</v>
      </c>
      <c r="V406" s="5">
        <v>3</v>
      </c>
      <c r="W406" s="5">
        <v>3</v>
      </c>
      <c r="X406" s="5">
        <v>3</v>
      </c>
      <c r="Y406" s="5">
        <v>9</v>
      </c>
      <c r="Z406" s="5" t="s">
        <v>981</v>
      </c>
      <c r="AA406" s="5">
        <v>1</v>
      </c>
      <c r="AB406" s="5">
        <v>1</v>
      </c>
      <c r="AC406" s="5">
        <v>0</v>
      </c>
      <c r="AD406" s="5">
        <v>1</v>
      </c>
      <c r="AE406" s="5">
        <v>3</v>
      </c>
      <c r="AF406" s="5" t="s">
        <v>982</v>
      </c>
      <c r="AG406" s="5">
        <v>3</v>
      </c>
      <c r="AH406" s="5">
        <v>3</v>
      </c>
      <c r="AI406" s="5">
        <v>3</v>
      </c>
      <c r="AJ406" s="5">
        <v>9</v>
      </c>
      <c r="AK406" s="5" t="s">
        <v>981</v>
      </c>
      <c r="AL406" s="5">
        <v>3</v>
      </c>
      <c r="AM406" s="5">
        <v>3</v>
      </c>
      <c r="AN406" s="5">
        <v>3</v>
      </c>
      <c r="AO406" s="5">
        <v>9</v>
      </c>
      <c r="AP406" s="5" t="s">
        <v>981</v>
      </c>
      <c r="AQ406" s="5">
        <v>0</v>
      </c>
      <c r="AR406" s="5">
        <v>0</v>
      </c>
      <c r="AS406" s="5">
        <v>0</v>
      </c>
      <c r="AT406" s="5">
        <v>0</v>
      </c>
      <c r="AU406" s="5">
        <v>0</v>
      </c>
      <c r="AV406" s="5">
        <v>0</v>
      </c>
      <c r="AW406" s="5">
        <v>0</v>
      </c>
      <c r="AX406" s="5">
        <v>0</v>
      </c>
      <c r="AY406" s="5" t="s">
        <v>983</v>
      </c>
      <c r="AZ406" s="1">
        <v>0</v>
      </c>
      <c r="BA406" s="1">
        <v>0</v>
      </c>
      <c r="BB406" s="1">
        <v>0</v>
      </c>
      <c r="BC406" s="1">
        <v>0</v>
      </c>
      <c r="BD406" s="1">
        <v>0</v>
      </c>
      <c r="BE406" s="1">
        <v>0</v>
      </c>
      <c r="BF406" s="1">
        <v>33</v>
      </c>
      <c r="BG406" s="1">
        <v>0</v>
      </c>
      <c r="BH406" s="1">
        <v>16</v>
      </c>
      <c r="BI406" s="1">
        <v>34</v>
      </c>
      <c r="BJ406" s="1">
        <v>120000</v>
      </c>
      <c r="BK406" s="1">
        <v>2</v>
      </c>
    </row>
    <row r="407" spans="1:63" ht="12.75" customHeight="1" x14ac:dyDescent="0.15">
      <c r="A407" s="5" t="s">
        <v>330</v>
      </c>
      <c r="B407" s="5" t="s">
        <v>984</v>
      </c>
      <c r="C407" s="5">
        <v>2</v>
      </c>
      <c r="D407" s="5">
        <v>3</v>
      </c>
      <c r="E407" s="5">
        <v>3</v>
      </c>
      <c r="F407" s="5">
        <v>3</v>
      </c>
      <c r="G407" s="5">
        <v>4</v>
      </c>
      <c r="H407" s="5">
        <v>4</v>
      </c>
      <c r="I407" s="5">
        <v>3</v>
      </c>
      <c r="J407" s="5">
        <v>1</v>
      </c>
      <c r="K407" s="5">
        <v>2</v>
      </c>
      <c r="L407" s="5">
        <v>3</v>
      </c>
      <c r="M407" s="5">
        <v>2</v>
      </c>
      <c r="N407" s="5">
        <v>3</v>
      </c>
      <c r="O407" s="5">
        <v>33</v>
      </c>
      <c r="P407" s="5" t="s">
        <v>981</v>
      </c>
      <c r="Q407" s="5">
        <v>2</v>
      </c>
      <c r="R407" s="5">
        <v>1</v>
      </c>
      <c r="S407" s="5">
        <v>1</v>
      </c>
      <c r="T407" s="5">
        <v>4</v>
      </c>
      <c r="U407" s="5" t="s">
        <v>982</v>
      </c>
      <c r="V407" s="5">
        <v>1</v>
      </c>
      <c r="W407" s="5">
        <v>1</v>
      </c>
      <c r="X407" s="5">
        <v>1</v>
      </c>
      <c r="Y407" s="5">
        <v>3</v>
      </c>
      <c r="Z407" s="5" t="s">
        <v>982</v>
      </c>
      <c r="AA407" s="5">
        <v>3</v>
      </c>
      <c r="AB407" s="5">
        <v>3</v>
      </c>
      <c r="AC407" s="5">
        <v>3</v>
      </c>
      <c r="AD407" s="5">
        <v>3</v>
      </c>
      <c r="AE407" s="5">
        <v>12</v>
      </c>
      <c r="AF407" s="5" t="s">
        <v>981</v>
      </c>
      <c r="AG407" s="5">
        <v>2</v>
      </c>
      <c r="AH407" s="5">
        <v>2</v>
      </c>
      <c r="AI407" s="5">
        <v>1</v>
      </c>
      <c r="AJ407" s="5">
        <v>5</v>
      </c>
      <c r="AK407" s="5" t="s">
        <v>982</v>
      </c>
      <c r="AL407" s="5">
        <v>1</v>
      </c>
      <c r="AM407" s="5">
        <v>2</v>
      </c>
      <c r="AN407" s="5">
        <v>1</v>
      </c>
      <c r="AO407" s="5">
        <v>4</v>
      </c>
      <c r="AP407" s="5" t="s">
        <v>982</v>
      </c>
      <c r="AQ407" s="5">
        <v>0</v>
      </c>
      <c r="AR407" s="5">
        <v>1</v>
      </c>
      <c r="AS407" s="5">
        <v>1</v>
      </c>
      <c r="AT407" s="5">
        <v>0</v>
      </c>
      <c r="AU407" s="5">
        <v>0</v>
      </c>
      <c r="AV407" s="5">
        <v>1</v>
      </c>
      <c r="AW407" s="5">
        <v>1</v>
      </c>
      <c r="AX407" s="5">
        <v>4</v>
      </c>
      <c r="AY407" s="5" t="s">
        <v>982</v>
      </c>
      <c r="AZ407" s="1">
        <v>0</v>
      </c>
      <c r="BA407" s="1">
        <v>0</v>
      </c>
      <c r="BB407" s="1">
        <v>0</v>
      </c>
      <c r="BC407" s="1">
        <v>1</v>
      </c>
      <c r="BD407" s="1">
        <v>1</v>
      </c>
      <c r="BE407" s="1">
        <v>1</v>
      </c>
      <c r="BF407" s="1">
        <v>33</v>
      </c>
      <c r="BG407" s="1">
        <v>0</v>
      </c>
      <c r="BH407" s="1">
        <v>16</v>
      </c>
      <c r="BI407" s="1">
        <v>34</v>
      </c>
      <c r="BJ407" s="1">
        <v>120000</v>
      </c>
      <c r="BK407" s="1">
        <v>2</v>
      </c>
    </row>
    <row r="408" spans="1:63" ht="12.75" customHeight="1" x14ac:dyDescent="0.15">
      <c r="A408" s="5" t="s">
        <v>330</v>
      </c>
      <c r="B408" s="5" t="s">
        <v>984</v>
      </c>
      <c r="C408" s="5">
        <v>2</v>
      </c>
      <c r="D408" s="5">
        <v>1</v>
      </c>
      <c r="E408" s="5">
        <v>1</v>
      </c>
      <c r="F408" s="5">
        <v>1</v>
      </c>
      <c r="G408" s="5">
        <v>1</v>
      </c>
      <c r="H408" s="5">
        <v>1</v>
      </c>
      <c r="I408" s="5">
        <v>1</v>
      </c>
      <c r="J408" s="5">
        <v>2</v>
      </c>
      <c r="K408" s="5">
        <v>2</v>
      </c>
      <c r="L408" s="5">
        <v>2</v>
      </c>
      <c r="M408" s="5">
        <v>2</v>
      </c>
      <c r="N408" s="5">
        <v>2</v>
      </c>
      <c r="O408" s="5">
        <v>18</v>
      </c>
      <c r="P408" s="5" t="s">
        <v>983</v>
      </c>
      <c r="Q408" s="5">
        <v>2</v>
      </c>
      <c r="R408" s="5">
        <v>0</v>
      </c>
      <c r="S408" s="5">
        <v>0</v>
      </c>
      <c r="T408" s="5">
        <v>2</v>
      </c>
      <c r="U408" s="5" t="s">
        <v>982</v>
      </c>
      <c r="V408" s="5">
        <v>0</v>
      </c>
      <c r="W408" s="5">
        <v>0</v>
      </c>
      <c r="X408" s="5">
        <v>0</v>
      </c>
      <c r="Y408" s="5">
        <v>0</v>
      </c>
      <c r="Z408" s="5" t="s">
        <v>983</v>
      </c>
      <c r="AA408" s="5">
        <v>0</v>
      </c>
      <c r="AB408" s="5">
        <v>0</v>
      </c>
      <c r="AC408" s="5">
        <v>0</v>
      </c>
      <c r="AD408" s="5">
        <v>0</v>
      </c>
      <c r="AE408" s="5">
        <v>0</v>
      </c>
      <c r="AF408" s="5" t="s">
        <v>983</v>
      </c>
      <c r="AG408" s="5">
        <v>0</v>
      </c>
      <c r="AH408" s="5">
        <v>0</v>
      </c>
      <c r="AI408" s="5">
        <v>0</v>
      </c>
      <c r="AJ408" s="5">
        <v>0</v>
      </c>
      <c r="AK408" s="5" t="s">
        <v>983</v>
      </c>
      <c r="AL408" s="5">
        <v>0</v>
      </c>
      <c r="AM408" s="5">
        <v>0</v>
      </c>
      <c r="AN408" s="5">
        <v>0</v>
      </c>
      <c r="AO408" s="5">
        <v>0</v>
      </c>
      <c r="AP408" s="5" t="s">
        <v>983</v>
      </c>
      <c r="AQ408" s="5">
        <v>0</v>
      </c>
      <c r="AR408" s="5">
        <v>0</v>
      </c>
      <c r="AS408" s="5">
        <v>0</v>
      </c>
      <c r="AT408" s="5">
        <v>0</v>
      </c>
      <c r="AU408" s="5">
        <v>0</v>
      </c>
      <c r="AV408" s="5">
        <v>0</v>
      </c>
      <c r="AW408" s="5">
        <v>0</v>
      </c>
      <c r="AX408" s="5">
        <v>0</v>
      </c>
      <c r="AY408" s="5" t="s">
        <v>983</v>
      </c>
      <c r="AZ408" s="1">
        <v>0</v>
      </c>
      <c r="BA408" s="1">
        <v>0</v>
      </c>
      <c r="BB408" s="1">
        <v>0</v>
      </c>
      <c r="BC408" s="1">
        <v>1</v>
      </c>
      <c r="BD408" s="1">
        <v>1</v>
      </c>
      <c r="BE408" s="1">
        <v>1</v>
      </c>
      <c r="BF408" s="1">
        <v>42</v>
      </c>
      <c r="BG408" s="1">
        <v>0</v>
      </c>
      <c r="BH408" s="1">
        <v>16</v>
      </c>
      <c r="BI408" s="1">
        <v>2</v>
      </c>
      <c r="BJ408" s="1">
        <v>800000</v>
      </c>
      <c r="BK408" s="1">
        <v>3</v>
      </c>
    </row>
    <row r="409" spans="1:63" ht="12.75" customHeight="1" x14ac:dyDescent="0.15">
      <c r="A409" s="5" t="s">
        <v>238</v>
      </c>
      <c r="B409" s="5" t="s">
        <v>238</v>
      </c>
      <c r="C409" s="5">
        <v>3</v>
      </c>
      <c r="D409" s="5">
        <v>2</v>
      </c>
      <c r="E409" s="5">
        <v>1</v>
      </c>
      <c r="F409" s="5">
        <v>1</v>
      </c>
      <c r="G409" s="5">
        <v>2</v>
      </c>
      <c r="H409" s="5">
        <v>2</v>
      </c>
      <c r="I409" s="5">
        <v>1</v>
      </c>
      <c r="J409" s="5">
        <v>2</v>
      </c>
      <c r="K409" s="5">
        <v>2</v>
      </c>
      <c r="L409" s="5">
        <v>2</v>
      </c>
      <c r="M409" s="5">
        <v>2</v>
      </c>
      <c r="N409" s="5">
        <v>2</v>
      </c>
      <c r="O409" s="5">
        <v>22</v>
      </c>
      <c r="P409" s="5" t="s">
        <v>982</v>
      </c>
      <c r="Q409" s="5">
        <v>2</v>
      </c>
      <c r="R409" s="5">
        <v>2</v>
      </c>
      <c r="S409" s="5">
        <v>1</v>
      </c>
      <c r="T409" s="5">
        <v>5</v>
      </c>
      <c r="U409" s="5" t="s">
        <v>981</v>
      </c>
      <c r="V409" s="5">
        <v>1</v>
      </c>
      <c r="W409" s="5">
        <v>0</v>
      </c>
      <c r="X409" s="5">
        <v>2</v>
      </c>
      <c r="Y409" s="5">
        <v>3</v>
      </c>
      <c r="Z409" s="5" t="s">
        <v>982</v>
      </c>
      <c r="AA409" s="5">
        <v>1</v>
      </c>
      <c r="AB409" s="5">
        <v>1</v>
      </c>
      <c r="AC409" s="5">
        <v>1</v>
      </c>
      <c r="AD409" s="5">
        <v>1</v>
      </c>
      <c r="AE409" s="5">
        <v>4</v>
      </c>
      <c r="AF409" s="5" t="s">
        <v>982</v>
      </c>
      <c r="AG409" s="5">
        <v>2</v>
      </c>
      <c r="AH409" s="5">
        <v>2</v>
      </c>
      <c r="AI409" s="5">
        <v>3</v>
      </c>
      <c r="AJ409" s="5">
        <v>7</v>
      </c>
      <c r="AK409" s="5" t="s">
        <v>981</v>
      </c>
      <c r="AL409" s="5">
        <v>2</v>
      </c>
      <c r="AM409" s="5">
        <v>1</v>
      </c>
      <c r="AN409" s="5">
        <v>1</v>
      </c>
      <c r="AO409" s="5">
        <v>4</v>
      </c>
      <c r="AP409" s="5" t="s">
        <v>982</v>
      </c>
      <c r="AQ409" s="5">
        <v>0</v>
      </c>
      <c r="AR409" s="5">
        <v>1</v>
      </c>
      <c r="AS409" s="5">
        <v>0</v>
      </c>
      <c r="AT409" s="5">
        <v>0</v>
      </c>
      <c r="AU409" s="5">
        <v>0</v>
      </c>
      <c r="AV409" s="5">
        <v>0</v>
      </c>
      <c r="AW409" s="5">
        <v>0</v>
      </c>
      <c r="AX409" s="5">
        <v>1</v>
      </c>
      <c r="AY409" s="5" t="s">
        <v>982</v>
      </c>
      <c r="AZ409" s="1">
        <v>1</v>
      </c>
      <c r="BA409" s="1">
        <v>0</v>
      </c>
      <c r="BB409" s="1">
        <v>1</v>
      </c>
      <c r="BC409" s="1">
        <v>1</v>
      </c>
      <c r="BD409" s="1">
        <v>1</v>
      </c>
      <c r="BE409" s="1">
        <v>1</v>
      </c>
      <c r="BF409" s="1">
        <v>50</v>
      </c>
      <c r="BG409" s="1">
        <v>0</v>
      </c>
      <c r="BH409" s="1">
        <v>18</v>
      </c>
      <c r="BI409" s="1">
        <v>27</v>
      </c>
      <c r="BJ409" s="1">
        <v>900000</v>
      </c>
      <c r="BK409" s="1">
        <v>2</v>
      </c>
    </row>
    <row r="410" spans="1:63" ht="12.75" customHeight="1" x14ac:dyDescent="0.15">
      <c r="A410" s="5" t="s">
        <v>238</v>
      </c>
      <c r="B410" s="5" t="s">
        <v>238</v>
      </c>
      <c r="C410" s="5">
        <v>2</v>
      </c>
      <c r="D410" s="5">
        <v>3</v>
      </c>
      <c r="E410" s="5">
        <v>2</v>
      </c>
      <c r="F410" s="5">
        <v>1</v>
      </c>
      <c r="G410" s="5">
        <v>1</v>
      </c>
      <c r="H410" s="5">
        <v>1</v>
      </c>
      <c r="I410" s="5">
        <v>1</v>
      </c>
      <c r="J410" s="5">
        <v>1</v>
      </c>
      <c r="K410" s="5">
        <v>1</v>
      </c>
      <c r="L410" s="5">
        <v>1</v>
      </c>
      <c r="M410" s="5">
        <v>1</v>
      </c>
      <c r="N410" s="5">
        <v>1</v>
      </c>
      <c r="O410" s="5">
        <v>16</v>
      </c>
      <c r="P410" s="5" t="s">
        <v>983</v>
      </c>
      <c r="Q410" s="5">
        <v>1</v>
      </c>
      <c r="R410" s="5">
        <v>2</v>
      </c>
      <c r="S410" s="5">
        <v>2</v>
      </c>
      <c r="T410" s="5">
        <v>5</v>
      </c>
      <c r="U410" s="5" t="s">
        <v>981</v>
      </c>
      <c r="V410" s="5">
        <v>2</v>
      </c>
      <c r="W410" s="5">
        <v>2</v>
      </c>
      <c r="X410" s="5">
        <v>1</v>
      </c>
      <c r="Y410" s="5">
        <v>5</v>
      </c>
      <c r="Z410" s="5" t="s">
        <v>982</v>
      </c>
      <c r="AA410" s="5">
        <v>4</v>
      </c>
      <c r="AB410" s="5">
        <v>4</v>
      </c>
      <c r="AC410" s="5">
        <v>0</v>
      </c>
      <c r="AD410" s="5">
        <v>0</v>
      </c>
      <c r="AE410" s="5">
        <v>8</v>
      </c>
      <c r="AF410" s="5" t="s">
        <v>981</v>
      </c>
      <c r="AG410" s="5">
        <v>2</v>
      </c>
      <c r="AH410" s="5">
        <v>0</v>
      </c>
      <c r="AI410" s="5">
        <v>0</v>
      </c>
      <c r="AJ410" s="5">
        <v>2</v>
      </c>
      <c r="AK410" s="5" t="s">
        <v>983</v>
      </c>
      <c r="AL410" s="5">
        <v>0</v>
      </c>
      <c r="AM410" s="5">
        <v>1</v>
      </c>
      <c r="AN410" s="5">
        <v>1</v>
      </c>
      <c r="AO410" s="5">
        <v>2</v>
      </c>
      <c r="AP410" s="5" t="s">
        <v>983</v>
      </c>
      <c r="AQ410" s="5">
        <v>0</v>
      </c>
      <c r="AR410" s="5">
        <v>0</v>
      </c>
      <c r="AS410" s="5">
        <v>0</v>
      </c>
      <c r="AT410" s="5">
        <v>0</v>
      </c>
      <c r="AU410" s="5">
        <v>0</v>
      </c>
      <c r="AV410" s="5">
        <v>1</v>
      </c>
      <c r="AW410" s="5">
        <v>0</v>
      </c>
      <c r="AX410" s="5">
        <v>1</v>
      </c>
      <c r="AY410" s="5" t="s">
        <v>982</v>
      </c>
      <c r="AZ410" s="1">
        <v>0</v>
      </c>
      <c r="BA410" s="1">
        <v>1</v>
      </c>
      <c r="BB410" s="1">
        <v>0</v>
      </c>
      <c r="BC410" s="1">
        <v>1</v>
      </c>
      <c r="BD410" s="1">
        <v>1</v>
      </c>
      <c r="BE410" s="1">
        <v>1</v>
      </c>
      <c r="BF410" s="1">
        <v>25</v>
      </c>
      <c r="BG410" s="1">
        <v>0</v>
      </c>
      <c r="BH410" s="1">
        <v>18</v>
      </c>
      <c r="BI410" s="1">
        <v>24</v>
      </c>
      <c r="BJ410" s="1">
        <v>450000</v>
      </c>
      <c r="BK410" s="1">
        <v>2</v>
      </c>
    </row>
    <row r="411" spans="1:63" ht="12.75" customHeight="1" x14ac:dyDescent="0.15">
      <c r="A411" s="5" t="s">
        <v>238</v>
      </c>
      <c r="B411" s="5" t="s">
        <v>238</v>
      </c>
      <c r="C411" s="5">
        <v>2</v>
      </c>
      <c r="D411" s="5">
        <v>3</v>
      </c>
      <c r="E411" s="5">
        <v>3</v>
      </c>
      <c r="F411" s="5">
        <v>2</v>
      </c>
      <c r="G411" s="5">
        <v>3</v>
      </c>
      <c r="H411" s="5">
        <v>3</v>
      </c>
      <c r="I411" s="5">
        <v>3</v>
      </c>
      <c r="J411" s="5">
        <v>3</v>
      </c>
      <c r="K411" s="5">
        <v>1</v>
      </c>
      <c r="L411" s="5">
        <v>2</v>
      </c>
      <c r="M411" s="5">
        <v>1</v>
      </c>
      <c r="N411" s="5">
        <v>1</v>
      </c>
      <c r="O411" s="5">
        <v>27</v>
      </c>
      <c r="P411" s="5" t="s">
        <v>981</v>
      </c>
      <c r="Q411" s="5">
        <v>3</v>
      </c>
      <c r="R411" s="5">
        <v>3</v>
      </c>
      <c r="S411" s="5">
        <v>0</v>
      </c>
      <c r="T411" s="5">
        <v>6</v>
      </c>
      <c r="U411" s="5" t="s">
        <v>981</v>
      </c>
      <c r="V411" s="5">
        <v>0</v>
      </c>
      <c r="W411" s="5">
        <v>0</v>
      </c>
      <c r="X411" s="5">
        <v>0</v>
      </c>
      <c r="Y411" s="5">
        <v>0</v>
      </c>
      <c r="Z411" s="5" t="s">
        <v>983</v>
      </c>
      <c r="AA411" s="5">
        <v>4</v>
      </c>
      <c r="AB411" s="5">
        <v>4</v>
      </c>
      <c r="AC411" s="5">
        <v>1</v>
      </c>
      <c r="AD411" s="5">
        <v>1</v>
      </c>
      <c r="AE411" s="5">
        <v>10</v>
      </c>
      <c r="AF411" s="5" t="s">
        <v>981</v>
      </c>
      <c r="AG411" s="5">
        <v>3</v>
      </c>
      <c r="AH411" s="5">
        <v>0</v>
      </c>
      <c r="AI411" s="5">
        <v>0</v>
      </c>
      <c r="AJ411" s="5">
        <v>3</v>
      </c>
      <c r="AK411" s="5" t="s">
        <v>982</v>
      </c>
      <c r="AL411" s="5">
        <v>3</v>
      </c>
      <c r="AM411" s="5">
        <v>3</v>
      </c>
      <c r="AN411" s="5">
        <v>1</v>
      </c>
      <c r="AO411" s="5">
        <v>7</v>
      </c>
      <c r="AP411" s="5" t="s">
        <v>981</v>
      </c>
      <c r="AQ411" s="5">
        <v>0</v>
      </c>
      <c r="AR411" s="5">
        <v>0</v>
      </c>
      <c r="AS411" s="5">
        <v>0</v>
      </c>
      <c r="AT411" s="5">
        <v>0</v>
      </c>
      <c r="AU411" s="5">
        <v>0</v>
      </c>
      <c r="AV411" s="5">
        <v>0</v>
      </c>
      <c r="AW411" s="5">
        <v>0</v>
      </c>
      <c r="AX411" s="5">
        <v>0</v>
      </c>
      <c r="AY411" s="5" t="s">
        <v>983</v>
      </c>
      <c r="AZ411" s="1">
        <v>0</v>
      </c>
      <c r="BA411" s="1">
        <v>1</v>
      </c>
      <c r="BB411" s="1">
        <v>1</v>
      </c>
      <c r="BC411" s="1">
        <v>1</v>
      </c>
      <c r="BD411" s="1">
        <v>1</v>
      </c>
      <c r="BE411" s="1">
        <v>1</v>
      </c>
      <c r="BF411" s="1">
        <v>0</v>
      </c>
      <c r="BG411" s="1">
        <v>1</v>
      </c>
      <c r="BI411" s="1">
        <v>28</v>
      </c>
      <c r="BJ411" s="1">
        <v>0</v>
      </c>
      <c r="BK411" s="1">
        <v>3</v>
      </c>
    </row>
    <row r="412" spans="1:63" ht="12.75" customHeight="1" x14ac:dyDescent="0.15">
      <c r="A412" s="5" t="s">
        <v>238</v>
      </c>
      <c r="B412" s="5" t="s">
        <v>238</v>
      </c>
      <c r="C412" s="5">
        <v>1</v>
      </c>
      <c r="D412" s="5">
        <v>1</v>
      </c>
      <c r="E412" s="5">
        <v>1</v>
      </c>
      <c r="F412" s="5">
        <v>1</v>
      </c>
      <c r="G412" s="5">
        <v>1</v>
      </c>
      <c r="H412" s="5">
        <v>1</v>
      </c>
      <c r="I412" s="5">
        <v>1</v>
      </c>
      <c r="J412" s="5">
        <v>1</v>
      </c>
      <c r="K412" s="5">
        <v>1</v>
      </c>
      <c r="L412" s="5">
        <v>1</v>
      </c>
      <c r="M412" s="5">
        <v>1</v>
      </c>
      <c r="N412" s="5">
        <v>1</v>
      </c>
      <c r="O412" s="5">
        <v>12</v>
      </c>
      <c r="P412" s="5" t="s">
        <v>983</v>
      </c>
      <c r="Q412" s="5">
        <v>0</v>
      </c>
      <c r="R412" s="5">
        <v>0</v>
      </c>
      <c r="S412" s="5">
        <v>0</v>
      </c>
      <c r="T412" s="5">
        <v>0</v>
      </c>
      <c r="U412" s="5" t="s">
        <v>983</v>
      </c>
      <c r="V412" s="5">
        <v>0</v>
      </c>
      <c r="W412" s="5">
        <v>0</v>
      </c>
      <c r="X412" s="5">
        <v>0</v>
      </c>
      <c r="Y412" s="5">
        <v>0</v>
      </c>
      <c r="Z412" s="5" t="s">
        <v>983</v>
      </c>
      <c r="AA412" s="5">
        <v>4</v>
      </c>
      <c r="AB412" s="5">
        <v>4</v>
      </c>
      <c r="AC412" s="5">
        <v>4</v>
      </c>
      <c r="AD412" s="5">
        <v>4</v>
      </c>
      <c r="AE412" s="5">
        <v>16</v>
      </c>
      <c r="AF412" s="5" t="s">
        <v>981</v>
      </c>
      <c r="AG412" s="5">
        <v>0</v>
      </c>
      <c r="AH412" s="5">
        <v>0</v>
      </c>
      <c r="AI412" s="5">
        <v>0</v>
      </c>
      <c r="AJ412" s="5">
        <v>0</v>
      </c>
      <c r="AK412" s="5" t="s">
        <v>983</v>
      </c>
      <c r="AL412" s="5">
        <v>0</v>
      </c>
      <c r="AM412" s="5">
        <v>0</v>
      </c>
      <c r="AN412" s="5">
        <v>0</v>
      </c>
      <c r="AO412" s="5">
        <v>0</v>
      </c>
      <c r="AP412" s="5" t="s">
        <v>983</v>
      </c>
      <c r="AQ412" s="5">
        <v>0</v>
      </c>
      <c r="AR412" s="5">
        <v>0</v>
      </c>
      <c r="AS412" s="5">
        <v>0</v>
      </c>
      <c r="AT412" s="5">
        <v>0</v>
      </c>
      <c r="AU412" s="5">
        <v>0</v>
      </c>
      <c r="AV412" s="5">
        <v>0</v>
      </c>
      <c r="AW412" s="5">
        <v>0</v>
      </c>
      <c r="AX412" s="5">
        <v>0</v>
      </c>
      <c r="AY412" s="5" t="s">
        <v>983</v>
      </c>
      <c r="AZ412" s="1">
        <v>1</v>
      </c>
      <c r="BA412" s="1">
        <v>0</v>
      </c>
      <c r="BB412" s="1">
        <v>1</v>
      </c>
      <c r="BC412" s="1">
        <v>1</v>
      </c>
      <c r="BD412" s="1">
        <v>1</v>
      </c>
      <c r="BE412" s="1">
        <v>1</v>
      </c>
      <c r="BF412" s="1">
        <v>34</v>
      </c>
      <c r="BG412" s="1">
        <v>0</v>
      </c>
      <c r="BH412" s="1">
        <v>4</v>
      </c>
      <c r="BI412" s="1">
        <v>34</v>
      </c>
      <c r="BJ412" s="1">
        <v>500000</v>
      </c>
      <c r="BK412" s="1">
        <v>1</v>
      </c>
    </row>
    <row r="413" spans="1:63" ht="12.75" customHeight="1" x14ac:dyDescent="0.15">
      <c r="A413" s="5" t="s">
        <v>330</v>
      </c>
      <c r="B413" s="5" t="s">
        <v>984</v>
      </c>
      <c r="C413" s="5">
        <v>2</v>
      </c>
      <c r="D413" s="5">
        <v>1</v>
      </c>
      <c r="E413" s="5">
        <v>1</v>
      </c>
      <c r="F413" s="5">
        <v>1</v>
      </c>
      <c r="G413" s="5">
        <v>1</v>
      </c>
      <c r="H413" s="5">
        <v>1</v>
      </c>
      <c r="I413" s="5">
        <v>1</v>
      </c>
      <c r="J413" s="5">
        <v>2</v>
      </c>
      <c r="K413" s="5">
        <v>2</v>
      </c>
      <c r="L413" s="5">
        <v>2</v>
      </c>
      <c r="M413" s="5">
        <v>2</v>
      </c>
      <c r="N413" s="5">
        <v>2</v>
      </c>
      <c r="O413" s="5">
        <v>18</v>
      </c>
      <c r="P413" s="5" t="s">
        <v>983</v>
      </c>
      <c r="Q413" s="5">
        <v>0</v>
      </c>
      <c r="R413" s="5">
        <v>0</v>
      </c>
      <c r="S413" s="5">
        <v>0</v>
      </c>
      <c r="T413" s="5">
        <v>0</v>
      </c>
      <c r="U413" s="5" t="s">
        <v>983</v>
      </c>
      <c r="V413" s="5">
        <v>0</v>
      </c>
      <c r="W413" s="5">
        <v>0</v>
      </c>
      <c r="X413" s="5">
        <v>0</v>
      </c>
      <c r="Y413" s="5">
        <v>0</v>
      </c>
      <c r="Z413" s="5" t="s">
        <v>983</v>
      </c>
      <c r="AA413" s="5">
        <v>4</v>
      </c>
      <c r="AB413" s="5">
        <v>4</v>
      </c>
      <c r="AC413" s="5">
        <v>0</v>
      </c>
      <c r="AD413" s="5">
        <v>2</v>
      </c>
      <c r="AE413" s="5">
        <v>10</v>
      </c>
      <c r="AF413" s="5" t="s">
        <v>981</v>
      </c>
      <c r="AG413" s="5">
        <v>0</v>
      </c>
      <c r="AH413" s="5">
        <v>0</v>
      </c>
      <c r="AI413" s="5">
        <v>0</v>
      </c>
      <c r="AJ413" s="5">
        <v>0</v>
      </c>
      <c r="AK413" s="5" t="s">
        <v>983</v>
      </c>
      <c r="AL413" s="5">
        <v>0</v>
      </c>
      <c r="AM413" s="5">
        <v>0</v>
      </c>
      <c r="AN413" s="5">
        <v>0</v>
      </c>
      <c r="AO413" s="5">
        <v>0</v>
      </c>
      <c r="AP413" s="5" t="s">
        <v>983</v>
      </c>
      <c r="AQ413" s="5">
        <v>0</v>
      </c>
      <c r="AR413" s="5">
        <v>0</v>
      </c>
      <c r="AS413" s="5">
        <v>0</v>
      </c>
      <c r="AT413" s="5">
        <v>0</v>
      </c>
      <c r="AU413" s="5">
        <v>0</v>
      </c>
      <c r="AV413" s="5">
        <v>0</v>
      </c>
      <c r="AW413" s="5">
        <v>0</v>
      </c>
      <c r="AX413" s="5">
        <v>0</v>
      </c>
      <c r="AY413" s="5" t="s">
        <v>983</v>
      </c>
      <c r="AZ413" s="1">
        <v>0</v>
      </c>
      <c r="BA413" s="1">
        <v>1</v>
      </c>
      <c r="BB413" s="1">
        <v>0</v>
      </c>
      <c r="BC413" s="1">
        <v>1</v>
      </c>
      <c r="BD413" s="1">
        <v>0</v>
      </c>
      <c r="BE413" s="1">
        <v>1</v>
      </c>
      <c r="BF413" s="1">
        <v>48</v>
      </c>
      <c r="BG413" s="1">
        <v>0</v>
      </c>
      <c r="BH413" s="1">
        <v>14</v>
      </c>
      <c r="BI413" s="1">
        <v>5</v>
      </c>
      <c r="BJ413" s="1">
        <v>450000</v>
      </c>
      <c r="BK413" s="1">
        <v>3</v>
      </c>
    </row>
    <row r="414" spans="1:63" ht="12.75" customHeight="1" x14ac:dyDescent="0.15">
      <c r="A414" s="5" t="s">
        <v>238</v>
      </c>
      <c r="B414" s="5" t="s">
        <v>238</v>
      </c>
      <c r="C414" s="5">
        <v>2</v>
      </c>
      <c r="D414" s="5">
        <v>2</v>
      </c>
      <c r="E414" s="5">
        <v>2</v>
      </c>
      <c r="F414" s="5">
        <v>2</v>
      </c>
      <c r="G414" s="5">
        <v>1</v>
      </c>
      <c r="H414" s="5">
        <v>1</v>
      </c>
      <c r="I414" s="5">
        <v>1</v>
      </c>
      <c r="J414" s="5">
        <v>1</v>
      </c>
      <c r="K414" s="5">
        <v>2</v>
      </c>
      <c r="L414" s="5">
        <v>1</v>
      </c>
      <c r="M414" s="5">
        <v>1</v>
      </c>
      <c r="N414" s="5">
        <v>2</v>
      </c>
      <c r="O414" s="5">
        <v>18</v>
      </c>
      <c r="P414" s="5" t="s">
        <v>983</v>
      </c>
      <c r="Q414" s="5">
        <v>1</v>
      </c>
      <c r="R414" s="5">
        <v>1</v>
      </c>
      <c r="S414" s="5">
        <v>0</v>
      </c>
      <c r="T414" s="5">
        <v>2</v>
      </c>
      <c r="U414" s="5" t="s">
        <v>982</v>
      </c>
      <c r="V414" s="5">
        <v>0</v>
      </c>
      <c r="W414" s="5">
        <v>2</v>
      </c>
      <c r="X414" s="5">
        <v>1</v>
      </c>
      <c r="Y414" s="5">
        <v>3</v>
      </c>
      <c r="Z414" s="5" t="s">
        <v>982</v>
      </c>
      <c r="AA414" s="5">
        <v>3</v>
      </c>
      <c r="AB414" s="5">
        <v>4</v>
      </c>
      <c r="AC414" s="5">
        <v>2</v>
      </c>
      <c r="AD414" s="5">
        <v>1</v>
      </c>
      <c r="AE414" s="5">
        <v>10</v>
      </c>
      <c r="AF414" s="5" t="s">
        <v>981</v>
      </c>
      <c r="AG414" s="5">
        <v>2</v>
      </c>
      <c r="AH414" s="5">
        <v>2</v>
      </c>
      <c r="AI414" s="5">
        <v>3</v>
      </c>
      <c r="AJ414" s="5">
        <v>7</v>
      </c>
      <c r="AK414" s="5" t="s">
        <v>981</v>
      </c>
      <c r="AL414" s="5">
        <v>2</v>
      </c>
      <c r="AM414" s="5">
        <v>2</v>
      </c>
      <c r="AN414" s="5">
        <v>2</v>
      </c>
      <c r="AO414" s="5">
        <v>6</v>
      </c>
      <c r="AP414" s="5" t="s">
        <v>981</v>
      </c>
      <c r="AQ414" s="5">
        <v>0</v>
      </c>
      <c r="AR414" s="5">
        <v>0</v>
      </c>
      <c r="AS414" s="5">
        <v>0</v>
      </c>
      <c r="AT414" s="5">
        <v>0</v>
      </c>
      <c r="AU414" s="5">
        <v>0</v>
      </c>
      <c r="AV414" s="5">
        <v>0</v>
      </c>
      <c r="AW414" s="5">
        <v>0</v>
      </c>
      <c r="AX414" s="5">
        <v>0</v>
      </c>
      <c r="AY414" s="5" t="s">
        <v>983</v>
      </c>
      <c r="AZ414" s="1">
        <v>1</v>
      </c>
      <c r="BA414" s="1">
        <v>0</v>
      </c>
      <c r="BB414" s="1">
        <v>0</v>
      </c>
      <c r="BC414" s="1">
        <v>1</v>
      </c>
      <c r="BD414" s="1">
        <v>1</v>
      </c>
      <c r="BE414" s="1">
        <v>1</v>
      </c>
      <c r="BF414" s="1">
        <v>44</v>
      </c>
      <c r="BG414" s="1">
        <v>1</v>
      </c>
      <c r="BH414" s="1">
        <v>14</v>
      </c>
      <c r="BI414" s="1">
        <v>24</v>
      </c>
      <c r="BJ414" s="1">
        <v>0</v>
      </c>
      <c r="BK414" s="1">
        <v>3</v>
      </c>
    </row>
    <row r="415" spans="1:63" ht="12.75" customHeight="1" x14ac:dyDescent="0.15">
      <c r="A415" s="5" t="s">
        <v>330</v>
      </c>
      <c r="B415" s="5" t="s">
        <v>984</v>
      </c>
      <c r="C415" s="5">
        <v>1</v>
      </c>
      <c r="D415" s="5">
        <v>1</v>
      </c>
      <c r="E415" s="5">
        <v>1</v>
      </c>
      <c r="F415" s="5">
        <v>1</v>
      </c>
      <c r="G415" s="5">
        <v>1</v>
      </c>
      <c r="H415" s="5">
        <v>1</v>
      </c>
      <c r="I415" s="5">
        <v>1</v>
      </c>
      <c r="J415" s="5">
        <v>1</v>
      </c>
      <c r="K415" s="5">
        <v>1</v>
      </c>
      <c r="L415" s="5">
        <v>1</v>
      </c>
      <c r="M415" s="5">
        <v>1</v>
      </c>
      <c r="N415" s="5">
        <v>1</v>
      </c>
      <c r="O415" s="5">
        <v>12</v>
      </c>
      <c r="P415" s="5" t="s">
        <v>983</v>
      </c>
      <c r="Q415" s="5">
        <v>0</v>
      </c>
      <c r="R415" s="5">
        <v>0</v>
      </c>
      <c r="S415" s="5">
        <v>0</v>
      </c>
      <c r="T415" s="5">
        <v>0</v>
      </c>
      <c r="U415" s="5" t="s">
        <v>983</v>
      </c>
      <c r="V415" s="5">
        <v>0</v>
      </c>
      <c r="W415" s="5">
        <v>0</v>
      </c>
      <c r="X415" s="5">
        <v>0</v>
      </c>
      <c r="Y415" s="5">
        <v>0</v>
      </c>
      <c r="Z415" s="5" t="s">
        <v>983</v>
      </c>
      <c r="AA415" s="5">
        <v>4</v>
      </c>
      <c r="AB415" s="5">
        <v>4</v>
      </c>
      <c r="AC415" s="5">
        <v>4</v>
      </c>
      <c r="AD415" s="5">
        <v>4</v>
      </c>
      <c r="AE415" s="5">
        <v>16</v>
      </c>
      <c r="AF415" s="5" t="s">
        <v>981</v>
      </c>
      <c r="AG415" s="5">
        <v>0</v>
      </c>
      <c r="AH415" s="5">
        <v>0</v>
      </c>
      <c r="AI415" s="5">
        <v>0</v>
      </c>
      <c r="AJ415" s="5">
        <v>0</v>
      </c>
      <c r="AK415" s="5" t="s">
        <v>983</v>
      </c>
      <c r="AL415" s="5">
        <v>0</v>
      </c>
      <c r="AM415" s="5">
        <v>0</v>
      </c>
      <c r="AN415" s="5">
        <v>0</v>
      </c>
      <c r="AO415" s="5">
        <v>0</v>
      </c>
      <c r="AP415" s="5" t="s">
        <v>983</v>
      </c>
      <c r="AQ415" s="5">
        <v>0</v>
      </c>
      <c r="AR415" s="5">
        <v>0</v>
      </c>
      <c r="AS415" s="5">
        <v>0</v>
      </c>
      <c r="AT415" s="5">
        <v>0</v>
      </c>
      <c r="AU415" s="5">
        <v>0</v>
      </c>
      <c r="AV415" s="5">
        <v>0</v>
      </c>
      <c r="AW415" s="5">
        <v>0</v>
      </c>
      <c r="AX415" s="5">
        <v>0</v>
      </c>
      <c r="AY415" s="5" t="s">
        <v>983</v>
      </c>
      <c r="AZ415" s="1">
        <v>0</v>
      </c>
      <c r="BA415" s="1">
        <v>0</v>
      </c>
      <c r="BB415" s="1">
        <v>0</v>
      </c>
      <c r="BC415" s="1">
        <v>1</v>
      </c>
      <c r="BD415" s="1">
        <v>0</v>
      </c>
      <c r="BE415" s="1">
        <v>0</v>
      </c>
      <c r="BF415" s="1">
        <v>25</v>
      </c>
      <c r="BG415" s="1">
        <v>1</v>
      </c>
      <c r="BH415" s="1">
        <v>2</v>
      </c>
      <c r="BI415" s="1">
        <v>34</v>
      </c>
      <c r="BJ415" s="1">
        <v>1200000</v>
      </c>
      <c r="BK415" s="1">
        <v>1</v>
      </c>
    </row>
    <row r="416" spans="1:63" ht="12.75" customHeight="1" x14ac:dyDescent="0.15">
      <c r="A416" s="5" t="s">
        <v>330</v>
      </c>
      <c r="B416" s="5" t="s">
        <v>984</v>
      </c>
      <c r="C416" s="5">
        <v>1</v>
      </c>
      <c r="D416" s="5">
        <v>2</v>
      </c>
      <c r="E416" s="5">
        <v>2</v>
      </c>
      <c r="F416" s="5">
        <v>2</v>
      </c>
      <c r="G416" s="5">
        <v>2</v>
      </c>
      <c r="H416" s="5">
        <v>1</v>
      </c>
      <c r="I416" s="5">
        <v>1</v>
      </c>
      <c r="J416" s="5">
        <v>2</v>
      </c>
      <c r="K416" s="5">
        <v>2</v>
      </c>
      <c r="L416" s="5">
        <v>1</v>
      </c>
      <c r="M416" s="5">
        <v>1</v>
      </c>
      <c r="N416" s="5">
        <v>1</v>
      </c>
      <c r="O416" s="5">
        <v>18</v>
      </c>
      <c r="P416" s="5" t="s">
        <v>983</v>
      </c>
      <c r="Q416" s="5">
        <v>0</v>
      </c>
      <c r="R416" s="5">
        <v>0</v>
      </c>
      <c r="S416" s="5">
        <v>0</v>
      </c>
      <c r="T416" s="5">
        <v>0</v>
      </c>
      <c r="U416" s="5" t="s">
        <v>983</v>
      </c>
      <c r="V416" s="5">
        <v>0</v>
      </c>
      <c r="W416" s="5">
        <v>1</v>
      </c>
      <c r="X416" s="5">
        <v>4</v>
      </c>
      <c r="Y416" s="5">
        <v>5</v>
      </c>
      <c r="Z416" s="5" t="s">
        <v>982</v>
      </c>
      <c r="AA416" s="5">
        <v>0</v>
      </c>
      <c r="AB416" s="5">
        <v>0</v>
      </c>
      <c r="AC416" s="5">
        <v>0</v>
      </c>
      <c r="AD416" s="5">
        <v>0</v>
      </c>
      <c r="AE416" s="5">
        <v>0</v>
      </c>
      <c r="AF416" s="5" t="s">
        <v>983</v>
      </c>
      <c r="AG416" s="5">
        <v>0</v>
      </c>
      <c r="AH416" s="5">
        <v>0</v>
      </c>
      <c r="AI416" s="5">
        <v>0</v>
      </c>
      <c r="AJ416" s="5">
        <v>0</v>
      </c>
      <c r="AK416" s="5" t="s">
        <v>983</v>
      </c>
      <c r="AL416" s="5">
        <v>0</v>
      </c>
      <c r="AM416" s="5">
        <v>0</v>
      </c>
      <c r="AN416" s="5">
        <v>0</v>
      </c>
      <c r="AO416" s="5">
        <v>0</v>
      </c>
      <c r="AP416" s="5" t="s">
        <v>983</v>
      </c>
      <c r="AQ416" s="5">
        <v>0</v>
      </c>
      <c r="AR416" s="5">
        <v>0</v>
      </c>
      <c r="AS416" s="5">
        <v>0</v>
      </c>
      <c r="AT416" s="5">
        <v>0</v>
      </c>
      <c r="AU416" s="5">
        <v>0</v>
      </c>
      <c r="AV416" s="5">
        <v>0</v>
      </c>
      <c r="AW416" s="5">
        <v>0</v>
      </c>
      <c r="AX416" s="5">
        <v>0</v>
      </c>
      <c r="AY416" s="5" t="s">
        <v>983</v>
      </c>
      <c r="AZ416" s="1">
        <v>0</v>
      </c>
      <c r="BA416" s="1">
        <v>0</v>
      </c>
      <c r="BB416" s="1">
        <v>0</v>
      </c>
      <c r="BC416" s="1">
        <v>1</v>
      </c>
      <c r="BD416" s="1">
        <v>1</v>
      </c>
      <c r="BE416" s="1">
        <v>1</v>
      </c>
      <c r="BF416" s="1">
        <v>44</v>
      </c>
      <c r="BG416" s="1">
        <v>0</v>
      </c>
      <c r="BH416" s="1">
        <v>8</v>
      </c>
      <c r="BI416" s="1">
        <v>28</v>
      </c>
      <c r="BJ416" s="1">
        <v>0</v>
      </c>
      <c r="BK416" s="1">
        <v>2</v>
      </c>
    </row>
    <row r="417" spans="1:63" ht="12.75" customHeight="1" x14ac:dyDescent="0.15">
      <c r="A417" s="5" t="s">
        <v>330</v>
      </c>
      <c r="B417" s="5" t="s">
        <v>984</v>
      </c>
      <c r="C417" s="5">
        <v>2</v>
      </c>
      <c r="D417" s="5">
        <v>1</v>
      </c>
      <c r="E417" s="5">
        <v>1</v>
      </c>
      <c r="F417" s="5">
        <v>1</v>
      </c>
      <c r="G417" s="5">
        <v>1</v>
      </c>
      <c r="H417" s="5">
        <v>1</v>
      </c>
      <c r="I417" s="5">
        <v>1</v>
      </c>
      <c r="J417" s="5">
        <v>1</v>
      </c>
      <c r="K417" s="5">
        <v>2</v>
      </c>
      <c r="L417" s="5">
        <v>1</v>
      </c>
      <c r="M417" s="5">
        <v>1</v>
      </c>
      <c r="N417" s="5">
        <v>1</v>
      </c>
      <c r="O417" s="5">
        <v>14</v>
      </c>
      <c r="P417" s="5" t="s">
        <v>983</v>
      </c>
      <c r="Q417" s="5">
        <v>0</v>
      </c>
      <c r="R417" s="5">
        <v>0</v>
      </c>
      <c r="S417" s="5">
        <v>0</v>
      </c>
      <c r="T417" s="5">
        <v>0</v>
      </c>
      <c r="U417" s="5" t="s">
        <v>983</v>
      </c>
      <c r="V417" s="5">
        <v>0</v>
      </c>
      <c r="W417" s="5">
        <v>1</v>
      </c>
      <c r="X417" s="5">
        <v>0</v>
      </c>
      <c r="Y417" s="5">
        <v>1</v>
      </c>
      <c r="Z417" s="5" t="s">
        <v>983</v>
      </c>
      <c r="AA417" s="5">
        <v>0</v>
      </c>
      <c r="AB417" s="5">
        <v>0</v>
      </c>
      <c r="AC417" s="5">
        <v>0</v>
      </c>
      <c r="AD417" s="5">
        <v>0</v>
      </c>
      <c r="AE417" s="5">
        <v>0</v>
      </c>
      <c r="AF417" s="5" t="s">
        <v>983</v>
      </c>
      <c r="AG417" s="5">
        <v>0</v>
      </c>
      <c r="AH417" s="5">
        <v>0</v>
      </c>
      <c r="AI417" s="5">
        <v>0</v>
      </c>
      <c r="AJ417" s="5">
        <v>0</v>
      </c>
      <c r="AK417" s="5" t="s">
        <v>983</v>
      </c>
      <c r="AL417" s="5">
        <v>0</v>
      </c>
      <c r="AM417" s="5">
        <v>0</v>
      </c>
      <c r="AN417" s="5">
        <v>0</v>
      </c>
      <c r="AO417" s="5">
        <v>0</v>
      </c>
      <c r="AP417" s="5" t="s">
        <v>983</v>
      </c>
      <c r="AQ417" s="5">
        <v>0</v>
      </c>
      <c r="AR417" s="5">
        <v>0</v>
      </c>
      <c r="AS417" s="5">
        <v>0</v>
      </c>
      <c r="AT417" s="5">
        <v>0</v>
      </c>
      <c r="AU417" s="5">
        <v>0</v>
      </c>
      <c r="AV417" s="5">
        <v>0</v>
      </c>
      <c r="AW417" s="5">
        <v>0</v>
      </c>
      <c r="AX417" s="5">
        <v>0</v>
      </c>
      <c r="AY417" s="5" t="s">
        <v>983</v>
      </c>
      <c r="AZ417" s="1">
        <v>1</v>
      </c>
      <c r="BA417" s="1">
        <v>0</v>
      </c>
      <c r="BB417" s="1">
        <v>1</v>
      </c>
      <c r="BC417" s="1">
        <v>1</v>
      </c>
      <c r="BD417" s="1">
        <v>1</v>
      </c>
      <c r="BE417" s="1">
        <v>1</v>
      </c>
      <c r="BF417" s="1">
        <v>0</v>
      </c>
      <c r="BG417" s="1">
        <v>0</v>
      </c>
      <c r="BH417" s="1">
        <v>14</v>
      </c>
      <c r="BI417" s="1">
        <v>2</v>
      </c>
      <c r="BJ417" s="1">
        <v>0</v>
      </c>
      <c r="BK417" s="1">
        <v>1</v>
      </c>
    </row>
    <row r="418" spans="1:63" ht="12.75" customHeight="1" x14ac:dyDescent="0.15">
      <c r="A418" s="5" t="s">
        <v>238</v>
      </c>
      <c r="B418" s="5" t="s">
        <v>238</v>
      </c>
      <c r="C418" s="5">
        <v>1</v>
      </c>
      <c r="D418" s="5">
        <v>1</v>
      </c>
      <c r="E418" s="5">
        <v>1</v>
      </c>
      <c r="F418" s="5">
        <v>1</v>
      </c>
      <c r="G418" s="5">
        <v>1</v>
      </c>
      <c r="H418" s="5">
        <v>1</v>
      </c>
      <c r="I418" s="5">
        <v>1</v>
      </c>
      <c r="J418" s="5">
        <v>1</v>
      </c>
      <c r="K418" s="5">
        <v>1</v>
      </c>
      <c r="L418" s="5">
        <v>1</v>
      </c>
      <c r="M418" s="5">
        <v>1</v>
      </c>
      <c r="N418" s="5">
        <v>1</v>
      </c>
      <c r="O418" s="5">
        <v>12</v>
      </c>
      <c r="P418" s="5" t="s">
        <v>983</v>
      </c>
      <c r="Q418" s="5">
        <v>0</v>
      </c>
      <c r="R418" s="5">
        <v>0</v>
      </c>
      <c r="S418" s="5">
        <v>0</v>
      </c>
      <c r="T418" s="5">
        <v>0</v>
      </c>
      <c r="U418" s="5" t="s">
        <v>983</v>
      </c>
      <c r="V418" s="5">
        <v>0</v>
      </c>
      <c r="W418" s="5">
        <v>0</v>
      </c>
      <c r="X418" s="5">
        <v>0</v>
      </c>
      <c r="Y418" s="5">
        <v>0</v>
      </c>
      <c r="Z418" s="5" t="s">
        <v>983</v>
      </c>
      <c r="AA418" s="5">
        <v>4</v>
      </c>
      <c r="AB418" s="5">
        <v>4</v>
      </c>
      <c r="AC418" s="5">
        <v>4</v>
      </c>
      <c r="AD418" s="5">
        <v>4</v>
      </c>
      <c r="AE418" s="5">
        <v>16</v>
      </c>
      <c r="AF418" s="5" t="s">
        <v>981</v>
      </c>
      <c r="AG418" s="5">
        <v>0</v>
      </c>
      <c r="AH418" s="5">
        <v>0</v>
      </c>
      <c r="AI418" s="5">
        <v>0</v>
      </c>
      <c r="AJ418" s="5">
        <v>0</v>
      </c>
      <c r="AK418" s="5" t="s">
        <v>983</v>
      </c>
      <c r="AL418" s="5">
        <v>0</v>
      </c>
      <c r="AM418" s="5">
        <v>0</v>
      </c>
      <c r="AN418" s="5">
        <v>0</v>
      </c>
      <c r="AO418" s="5">
        <v>0</v>
      </c>
      <c r="AP418" s="5" t="s">
        <v>983</v>
      </c>
      <c r="AQ418" s="5">
        <v>0</v>
      </c>
      <c r="AR418" s="5">
        <v>0</v>
      </c>
      <c r="AS418" s="5">
        <v>0</v>
      </c>
      <c r="AT418" s="5">
        <v>0</v>
      </c>
      <c r="AU418" s="5">
        <v>0</v>
      </c>
      <c r="AV418" s="5">
        <v>0</v>
      </c>
      <c r="AW418" s="5">
        <v>0</v>
      </c>
      <c r="AX418" s="5">
        <v>0</v>
      </c>
      <c r="AY418" s="5" t="s">
        <v>983</v>
      </c>
      <c r="AZ418" s="1">
        <v>1</v>
      </c>
      <c r="BA418" s="1">
        <v>0</v>
      </c>
      <c r="BB418" s="1">
        <v>0</v>
      </c>
      <c r="BC418" s="1">
        <v>0</v>
      </c>
      <c r="BD418" s="1">
        <v>0</v>
      </c>
      <c r="BE418" s="1">
        <v>0</v>
      </c>
      <c r="BF418" s="1">
        <v>41</v>
      </c>
      <c r="BG418" s="1">
        <v>0</v>
      </c>
      <c r="BH418" s="1">
        <v>14</v>
      </c>
      <c r="BI418" s="1">
        <v>1</v>
      </c>
      <c r="BJ418" s="1">
        <v>600000</v>
      </c>
      <c r="BK418" s="1">
        <v>2</v>
      </c>
    </row>
    <row r="419" spans="1:63" ht="12.75" customHeight="1" x14ac:dyDescent="0.15">
      <c r="A419" s="5" t="s">
        <v>238</v>
      </c>
      <c r="B419" s="5" t="s">
        <v>238</v>
      </c>
      <c r="C419" s="5">
        <v>3</v>
      </c>
      <c r="D419" s="5">
        <v>4</v>
      </c>
      <c r="E419" s="5">
        <v>3</v>
      </c>
      <c r="F419" s="5">
        <v>1</v>
      </c>
      <c r="G419" s="5">
        <v>1</v>
      </c>
      <c r="H419" s="5">
        <v>1</v>
      </c>
      <c r="I419" s="5">
        <v>1</v>
      </c>
      <c r="J419" s="5">
        <v>4</v>
      </c>
      <c r="K419" s="5">
        <v>4</v>
      </c>
      <c r="L419" s="5">
        <v>4</v>
      </c>
      <c r="M419" s="5">
        <v>4</v>
      </c>
      <c r="N419" s="5">
        <v>4</v>
      </c>
      <c r="O419" s="5">
        <v>34</v>
      </c>
      <c r="P419" s="5" t="s">
        <v>981</v>
      </c>
      <c r="Q419" s="5">
        <v>0</v>
      </c>
      <c r="R419" s="5">
        <v>0</v>
      </c>
      <c r="S419" s="5">
        <v>0</v>
      </c>
      <c r="T419" s="5">
        <v>0</v>
      </c>
      <c r="U419" s="5" t="s">
        <v>983</v>
      </c>
      <c r="V419" s="5">
        <v>4</v>
      </c>
      <c r="W419" s="5">
        <v>4</v>
      </c>
      <c r="X419" s="5">
        <v>4</v>
      </c>
      <c r="Y419" s="5">
        <v>12</v>
      </c>
      <c r="Z419" s="5" t="s">
        <v>981</v>
      </c>
      <c r="AA419" s="5">
        <v>4</v>
      </c>
      <c r="AB419" s="5">
        <v>4</v>
      </c>
      <c r="AC419" s="5">
        <v>4</v>
      </c>
      <c r="AD419" s="5">
        <v>4</v>
      </c>
      <c r="AE419" s="5">
        <v>16</v>
      </c>
      <c r="AF419" s="5" t="s">
        <v>981</v>
      </c>
      <c r="AG419" s="5">
        <v>4</v>
      </c>
      <c r="AH419" s="5">
        <v>4</v>
      </c>
      <c r="AI419" s="5">
        <v>4</v>
      </c>
      <c r="AJ419" s="5">
        <v>12</v>
      </c>
      <c r="AK419" s="5" t="s">
        <v>981</v>
      </c>
      <c r="AL419" s="5">
        <v>4</v>
      </c>
      <c r="AM419" s="5">
        <v>2</v>
      </c>
      <c r="AN419" s="5">
        <v>2</v>
      </c>
      <c r="AO419" s="5">
        <v>8</v>
      </c>
      <c r="AP419" s="5" t="s">
        <v>981</v>
      </c>
      <c r="AQ419" s="5">
        <v>1</v>
      </c>
      <c r="AR419" s="5">
        <v>0</v>
      </c>
      <c r="AS419" s="5">
        <v>0</v>
      </c>
      <c r="AT419" s="5">
        <v>0</v>
      </c>
      <c r="AU419" s="5">
        <v>0</v>
      </c>
      <c r="AV419" s="5">
        <v>0</v>
      </c>
      <c r="AW419" s="5">
        <v>0</v>
      </c>
      <c r="AX419" s="5">
        <v>1</v>
      </c>
      <c r="AY419" s="5" t="s">
        <v>982</v>
      </c>
      <c r="AZ419" s="1">
        <v>1</v>
      </c>
      <c r="BA419" s="1">
        <v>0</v>
      </c>
      <c r="BB419" s="1">
        <v>0</v>
      </c>
      <c r="BC419" s="1">
        <v>1</v>
      </c>
      <c r="BD419" s="1">
        <v>0</v>
      </c>
      <c r="BE419" s="1">
        <v>1</v>
      </c>
      <c r="BF419" s="1">
        <v>59</v>
      </c>
      <c r="BG419" s="1">
        <v>1</v>
      </c>
      <c r="BH419" s="1">
        <v>10</v>
      </c>
      <c r="BI419" s="1">
        <v>24</v>
      </c>
      <c r="BJ419" s="1">
        <v>1000000</v>
      </c>
      <c r="BK419" s="1">
        <v>1</v>
      </c>
    </row>
    <row r="420" spans="1:63" ht="12.75" customHeight="1" x14ac:dyDescent="0.15">
      <c r="A420" s="5" t="s">
        <v>330</v>
      </c>
      <c r="B420" s="5" t="s">
        <v>984</v>
      </c>
      <c r="C420" s="5">
        <v>2</v>
      </c>
      <c r="D420" s="5">
        <v>2</v>
      </c>
      <c r="E420" s="5">
        <v>2</v>
      </c>
      <c r="F420" s="5">
        <v>2</v>
      </c>
      <c r="G420" s="5">
        <v>1</v>
      </c>
      <c r="H420" s="5">
        <v>1</v>
      </c>
      <c r="I420" s="5">
        <v>1</v>
      </c>
      <c r="J420" s="5">
        <v>2</v>
      </c>
      <c r="K420" s="5">
        <v>2</v>
      </c>
      <c r="L420" s="5">
        <v>2</v>
      </c>
      <c r="M420" s="5">
        <v>2</v>
      </c>
      <c r="N420" s="5">
        <v>2</v>
      </c>
      <c r="O420" s="5">
        <v>21</v>
      </c>
      <c r="P420" s="5" t="s">
        <v>982</v>
      </c>
      <c r="Q420" s="5">
        <v>2</v>
      </c>
      <c r="R420" s="5">
        <v>2</v>
      </c>
      <c r="S420" s="5">
        <v>1</v>
      </c>
      <c r="T420" s="5">
        <v>5</v>
      </c>
      <c r="U420" s="5" t="s">
        <v>981</v>
      </c>
      <c r="V420" s="5">
        <v>1</v>
      </c>
      <c r="W420" s="5">
        <v>3</v>
      </c>
      <c r="X420" s="5">
        <v>2</v>
      </c>
      <c r="Y420" s="5">
        <v>6</v>
      </c>
      <c r="Z420" s="5" t="s">
        <v>981</v>
      </c>
      <c r="AA420" s="5">
        <v>1</v>
      </c>
      <c r="AB420" s="5">
        <v>0</v>
      </c>
      <c r="AC420" s="5">
        <v>0</v>
      </c>
      <c r="AD420" s="5">
        <v>0</v>
      </c>
      <c r="AE420" s="5">
        <v>1</v>
      </c>
      <c r="AF420" s="5" t="s">
        <v>982</v>
      </c>
      <c r="AG420" s="5">
        <v>1</v>
      </c>
      <c r="AH420" s="5">
        <v>0</v>
      </c>
      <c r="AI420" s="5">
        <v>0</v>
      </c>
      <c r="AJ420" s="5">
        <v>1</v>
      </c>
      <c r="AK420" s="5" t="s">
        <v>983</v>
      </c>
      <c r="AL420" s="5">
        <v>2</v>
      </c>
      <c r="AM420" s="5">
        <v>1</v>
      </c>
      <c r="AN420" s="5">
        <v>1</v>
      </c>
      <c r="AO420" s="5">
        <v>4</v>
      </c>
      <c r="AP420" s="5" t="s">
        <v>982</v>
      </c>
      <c r="AQ420" s="5">
        <v>0</v>
      </c>
      <c r="AR420" s="5">
        <v>0</v>
      </c>
      <c r="AS420" s="5">
        <v>0</v>
      </c>
      <c r="AT420" s="5">
        <v>0</v>
      </c>
      <c r="AU420" s="5">
        <v>0</v>
      </c>
      <c r="AV420" s="5">
        <v>0</v>
      </c>
      <c r="AW420" s="5">
        <v>0</v>
      </c>
      <c r="AX420" s="5">
        <v>0</v>
      </c>
      <c r="AY420" s="5" t="s">
        <v>983</v>
      </c>
      <c r="AZ420" s="1">
        <v>0</v>
      </c>
      <c r="BA420" s="1">
        <v>0</v>
      </c>
      <c r="BB420" s="1">
        <v>0</v>
      </c>
      <c r="BC420" s="1">
        <v>1</v>
      </c>
      <c r="BD420" s="1">
        <v>1</v>
      </c>
      <c r="BE420" s="1">
        <v>1</v>
      </c>
      <c r="BF420" s="1">
        <v>0</v>
      </c>
      <c r="BG420" s="1">
        <v>0</v>
      </c>
      <c r="BI420" s="1">
        <v>13</v>
      </c>
      <c r="BJ420" s="1">
        <v>0</v>
      </c>
      <c r="BK420" s="1">
        <v>4</v>
      </c>
    </row>
    <row r="421" spans="1:63" ht="12.75" customHeight="1" x14ac:dyDescent="0.15">
      <c r="A421" s="5" t="s">
        <v>238</v>
      </c>
      <c r="B421" s="5" t="s">
        <v>238</v>
      </c>
      <c r="C421" s="5">
        <v>3</v>
      </c>
      <c r="D421" s="5">
        <v>2</v>
      </c>
      <c r="E421" s="5">
        <v>2</v>
      </c>
      <c r="F421" s="5">
        <v>2</v>
      </c>
      <c r="G421" s="5">
        <v>2</v>
      </c>
      <c r="H421" s="5">
        <v>2</v>
      </c>
      <c r="I421" s="5">
        <v>2</v>
      </c>
      <c r="J421" s="5">
        <v>2</v>
      </c>
      <c r="K421" s="5">
        <v>2</v>
      </c>
      <c r="L421" s="5">
        <v>2</v>
      </c>
      <c r="M421" s="5">
        <v>2</v>
      </c>
      <c r="N421" s="5">
        <v>2</v>
      </c>
      <c r="O421" s="5">
        <v>25</v>
      </c>
      <c r="P421" s="5" t="s">
        <v>981</v>
      </c>
      <c r="Q421" s="5">
        <v>2</v>
      </c>
      <c r="R421" s="5">
        <v>2</v>
      </c>
      <c r="S421" s="5">
        <v>2</v>
      </c>
      <c r="T421" s="5">
        <v>6</v>
      </c>
      <c r="U421" s="5" t="s">
        <v>981</v>
      </c>
      <c r="V421" s="5">
        <v>2</v>
      </c>
      <c r="W421" s="5">
        <v>2</v>
      </c>
      <c r="X421" s="5">
        <v>2</v>
      </c>
      <c r="Y421" s="5">
        <v>6</v>
      </c>
      <c r="Z421" s="5" t="s">
        <v>981</v>
      </c>
      <c r="AA421" s="5">
        <v>2</v>
      </c>
      <c r="AB421" s="5">
        <v>2</v>
      </c>
      <c r="AC421" s="5">
        <v>2</v>
      </c>
      <c r="AD421" s="5">
        <v>2</v>
      </c>
      <c r="AE421" s="5">
        <v>8</v>
      </c>
      <c r="AF421" s="5" t="s">
        <v>981</v>
      </c>
      <c r="AG421" s="5">
        <v>2</v>
      </c>
      <c r="AH421" s="5">
        <v>2</v>
      </c>
      <c r="AI421" s="5">
        <v>2</v>
      </c>
      <c r="AJ421" s="5">
        <v>6</v>
      </c>
      <c r="AK421" s="5" t="s">
        <v>981</v>
      </c>
      <c r="AL421" s="5">
        <v>2</v>
      </c>
      <c r="AM421" s="5">
        <v>2</v>
      </c>
      <c r="AN421" s="5">
        <v>2</v>
      </c>
      <c r="AO421" s="5">
        <v>6</v>
      </c>
      <c r="AP421" s="5" t="s">
        <v>981</v>
      </c>
      <c r="AQ421" s="5">
        <v>0</v>
      </c>
      <c r="AR421" s="5">
        <v>0</v>
      </c>
      <c r="AS421" s="5">
        <v>0</v>
      </c>
      <c r="AT421" s="5">
        <v>0</v>
      </c>
      <c r="AU421" s="5">
        <v>0</v>
      </c>
      <c r="AV421" s="5">
        <v>0</v>
      </c>
      <c r="AW421" s="5">
        <v>0</v>
      </c>
      <c r="AX421" s="5">
        <v>0</v>
      </c>
      <c r="AY421" s="5" t="s">
        <v>983</v>
      </c>
      <c r="AZ421" s="1">
        <v>1</v>
      </c>
      <c r="BA421" s="1">
        <v>0</v>
      </c>
      <c r="BB421" s="1">
        <v>0</v>
      </c>
      <c r="BC421" s="1">
        <v>1</v>
      </c>
      <c r="BD421" s="1">
        <v>0</v>
      </c>
      <c r="BE421" s="1">
        <v>1</v>
      </c>
      <c r="BF421" s="1">
        <v>0</v>
      </c>
      <c r="BG421" s="1">
        <v>0</v>
      </c>
      <c r="BI421" s="1">
        <v>13</v>
      </c>
      <c r="BJ421" s="1">
        <v>0</v>
      </c>
      <c r="BK421" s="1">
        <v>4</v>
      </c>
    </row>
    <row r="422" spans="1:63" ht="12.75" customHeight="1" x14ac:dyDescent="0.15">
      <c r="A422" s="5" t="s">
        <v>238</v>
      </c>
      <c r="B422" s="5" t="s">
        <v>238</v>
      </c>
      <c r="C422" s="5">
        <v>2</v>
      </c>
      <c r="D422" s="5">
        <v>1</v>
      </c>
      <c r="E422" s="5">
        <v>1</v>
      </c>
      <c r="F422" s="5">
        <v>1</v>
      </c>
      <c r="G422" s="5">
        <v>1</v>
      </c>
      <c r="H422" s="5">
        <v>1</v>
      </c>
      <c r="I422" s="5">
        <v>1</v>
      </c>
      <c r="J422" s="5">
        <v>2</v>
      </c>
      <c r="K422" s="5">
        <v>2</v>
      </c>
      <c r="L422" s="5">
        <v>2</v>
      </c>
      <c r="M422" s="5">
        <v>2</v>
      </c>
      <c r="N422" s="5">
        <v>2</v>
      </c>
      <c r="O422" s="5">
        <v>18</v>
      </c>
      <c r="P422" s="5" t="s">
        <v>983</v>
      </c>
      <c r="Q422" s="5">
        <v>0</v>
      </c>
      <c r="R422" s="5">
        <v>1</v>
      </c>
      <c r="S422" s="5">
        <v>0</v>
      </c>
      <c r="T422" s="5">
        <v>1</v>
      </c>
      <c r="U422" s="5" t="s">
        <v>983</v>
      </c>
      <c r="V422" s="5">
        <v>0</v>
      </c>
      <c r="W422" s="5">
        <v>1</v>
      </c>
      <c r="X422" s="5">
        <v>0</v>
      </c>
      <c r="Y422" s="5">
        <v>1</v>
      </c>
      <c r="Z422" s="5" t="s">
        <v>983</v>
      </c>
      <c r="AA422" s="5">
        <v>2</v>
      </c>
      <c r="AB422" s="5">
        <v>3</v>
      </c>
      <c r="AC422" s="5">
        <v>0</v>
      </c>
      <c r="AD422" s="5">
        <v>0</v>
      </c>
      <c r="AE422" s="5">
        <v>5</v>
      </c>
      <c r="AF422" s="5" t="s">
        <v>981</v>
      </c>
      <c r="AG422" s="5">
        <v>0</v>
      </c>
      <c r="AH422" s="5">
        <v>0</v>
      </c>
      <c r="AI422" s="5">
        <v>0</v>
      </c>
      <c r="AJ422" s="5">
        <v>0</v>
      </c>
      <c r="AK422" s="5" t="s">
        <v>983</v>
      </c>
      <c r="AL422" s="5">
        <v>0</v>
      </c>
      <c r="AM422" s="5">
        <v>0</v>
      </c>
      <c r="AN422" s="5">
        <v>0</v>
      </c>
      <c r="AO422" s="5">
        <v>0</v>
      </c>
      <c r="AP422" s="5" t="s">
        <v>983</v>
      </c>
      <c r="AQ422" s="5">
        <v>0</v>
      </c>
      <c r="AR422" s="5">
        <v>0</v>
      </c>
      <c r="AS422" s="5">
        <v>0</v>
      </c>
      <c r="AT422" s="5">
        <v>0</v>
      </c>
      <c r="AU422" s="5">
        <v>0</v>
      </c>
      <c r="AV422" s="5">
        <v>0</v>
      </c>
      <c r="AW422" s="5">
        <v>0</v>
      </c>
      <c r="AX422" s="5">
        <v>0</v>
      </c>
      <c r="AY422" s="5" t="s">
        <v>983</v>
      </c>
      <c r="AZ422" s="1">
        <v>1</v>
      </c>
      <c r="BA422" s="1">
        <v>0</v>
      </c>
      <c r="BB422" s="1">
        <v>1</v>
      </c>
      <c r="BC422" s="1">
        <v>1</v>
      </c>
      <c r="BD422" s="1">
        <v>0</v>
      </c>
      <c r="BE422" s="1">
        <v>1</v>
      </c>
      <c r="BF422" s="1">
        <v>45</v>
      </c>
      <c r="BG422" s="1">
        <v>1</v>
      </c>
      <c r="BH422" s="1">
        <v>14</v>
      </c>
      <c r="BI422" s="1">
        <v>34</v>
      </c>
      <c r="BJ422" s="1">
        <v>500000</v>
      </c>
      <c r="BK422" s="1">
        <v>2</v>
      </c>
    </row>
    <row r="423" spans="1:63" ht="12.75" customHeight="1" x14ac:dyDescent="0.15">
      <c r="A423" s="5" t="s">
        <v>238</v>
      </c>
      <c r="B423" s="5" t="s">
        <v>238</v>
      </c>
      <c r="C423" s="5">
        <v>2</v>
      </c>
      <c r="D423" s="5">
        <v>3</v>
      </c>
      <c r="E423" s="5">
        <v>2</v>
      </c>
      <c r="F423" s="5">
        <v>1</v>
      </c>
      <c r="G423" s="5">
        <v>2</v>
      </c>
      <c r="H423" s="5">
        <v>2</v>
      </c>
      <c r="I423" s="5">
        <v>2</v>
      </c>
      <c r="J423" s="5">
        <v>2</v>
      </c>
      <c r="K423" s="5">
        <v>2</v>
      </c>
      <c r="L423" s="5">
        <v>2</v>
      </c>
      <c r="M423" s="5">
        <v>1</v>
      </c>
      <c r="N423" s="5">
        <v>1</v>
      </c>
      <c r="O423" s="5">
        <v>22</v>
      </c>
      <c r="P423" s="5" t="s">
        <v>982</v>
      </c>
      <c r="Q423" s="5">
        <v>2</v>
      </c>
      <c r="R423" s="5">
        <v>3</v>
      </c>
      <c r="S423" s="5">
        <v>0</v>
      </c>
      <c r="T423" s="5">
        <v>5</v>
      </c>
      <c r="U423" s="5" t="s">
        <v>981</v>
      </c>
      <c r="V423" s="5">
        <v>0</v>
      </c>
      <c r="W423" s="5">
        <v>0</v>
      </c>
      <c r="X423" s="5">
        <v>0</v>
      </c>
      <c r="Y423" s="5">
        <v>0</v>
      </c>
      <c r="Z423" s="5" t="s">
        <v>983</v>
      </c>
      <c r="AA423" s="5">
        <v>2</v>
      </c>
      <c r="AB423" s="5">
        <v>2</v>
      </c>
      <c r="AC423" s="5">
        <v>1</v>
      </c>
      <c r="AD423" s="5">
        <v>1</v>
      </c>
      <c r="AE423" s="5">
        <v>6</v>
      </c>
      <c r="AF423" s="5" t="s">
        <v>981</v>
      </c>
      <c r="AG423" s="5">
        <v>3</v>
      </c>
      <c r="AH423" s="5">
        <v>0</v>
      </c>
      <c r="AI423" s="5">
        <v>0</v>
      </c>
      <c r="AJ423" s="5">
        <v>3</v>
      </c>
      <c r="AK423" s="5" t="s">
        <v>982</v>
      </c>
      <c r="AL423" s="5">
        <v>2</v>
      </c>
      <c r="AM423" s="5">
        <v>2</v>
      </c>
      <c r="AN423" s="5">
        <v>0</v>
      </c>
      <c r="AO423" s="5">
        <v>4</v>
      </c>
      <c r="AP423" s="5" t="s">
        <v>982</v>
      </c>
      <c r="AQ423" s="5">
        <v>0</v>
      </c>
      <c r="AR423" s="5">
        <v>0</v>
      </c>
      <c r="AS423" s="5">
        <v>0</v>
      </c>
      <c r="AT423" s="5">
        <v>0</v>
      </c>
      <c r="AU423" s="5">
        <v>0</v>
      </c>
      <c r="AV423" s="5">
        <v>0</v>
      </c>
      <c r="AW423" s="5">
        <v>0</v>
      </c>
      <c r="AX423" s="5">
        <v>0</v>
      </c>
      <c r="AY423" s="5" t="s">
        <v>983</v>
      </c>
      <c r="AZ423" s="1">
        <v>1</v>
      </c>
      <c r="BA423" s="1">
        <v>0</v>
      </c>
      <c r="BB423" s="1">
        <v>1</v>
      </c>
      <c r="BC423" s="1">
        <v>1</v>
      </c>
      <c r="BD423" s="1">
        <v>1</v>
      </c>
      <c r="BE423" s="1">
        <v>1</v>
      </c>
      <c r="BF423" s="1">
        <v>0</v>
      </c>
      <c r="BG423" s="1">
        <v>0</v>
      </c>
      <c r="BI423" s="1">
        <v>10</v>
      </c>
      <c r="BJ423" s="1">
        <v>0</v>
      </c>
      <c r="BK423" s="1">
        <v>2</v>
      </c>
    </row>
    <row r="424" spans="1:63" ht="12.75" customHeight="1" x14ac:dyDescent="0.15">
      <c r="A424" s="5" t="s">
        <v>238</v>
      </c>
      <c r="B424" s="5" t="s">
        <v>238</v>
      </c>
      <c r="C424" s="5">
        <v>3</v>
      </c>
      <c r="D424" s="5">
        <v>3</v>
      </c>
      <c r="E424" s="5">
        <v>3</v>
      </c>
      <c r="F424" s="5">
        <v>3</v>
      </c>
      <c r="G424" s="5">
        <v>3</v>
      </c>
      <c r="H424" s="5">
        <v>3</v>
      </c>
      <c r="I424" s="5">
        <v>3</v>
      </c>
      <c r="J424" s="5">
        <v>4</v>
      </c>
      <c r="K424" s="5">
        <v>4</v>
      </c>
      <c r="L424" s="5">
        <v>3</v>
      </c>
      <c r="M424" s="5">
        <v>3</v>
      </c>
      <c r="N424" s="5">
        <v>4</v>
      </c>
      <c r="O424" s="5">
        <v>39</v>
      </c>
      <c r="P424" s="5" t="s">
        <v>981</v>
      </c>
      <c r="Q424" s="5">
        <v>1</v>
      </c>
      <c r="R424" s="5">
        <v>1</v>
      </c>
      <c r="S424" s="5">
        <v>1</v>
      </c>
      <c r="T424" s="5">
        <v>3</v>
      </c>
      <c r="U424" s="5" t="s">
        <v>982</v>
      </c>
      <c r="V424" s="5">
        <v>0</v>
      </c>
      <c r="W424" s="5">
        <v>3</v>
      </c>
      <c r="X424" s="5">
        <v>3</v>
      </c>
      <c r="Y424" s="5">
        <v>6</v>
      </c>
      <c r="Z424" s="5" t="s">
        <v>981</v>
      </c>
      <c r="AA424" s="5">
        <v>3</v>
      </c>
      <c r="AB424" s="5">
        <v>4</v>
      </c>
      <c r="AC424" s="5">
        <v>1</v>
      </c>
      <c r="AD424" s="5">
        <v>2</v>
      </c>
      <c r="AE424" s="5">
        <v>10</v>
      </c>
      <c r="AF424" s="5" t="s">
        <v>981</v>
      </c>
      <c r="AG424" s="5">
        <v>3</v>
      </c>
      <c r="AH424" s="5">
        <v>3</v>
      </c>
      <c r="AI424" s="5">
        <v>3</v>
      </c>
      <c r="AJ424" s="5">
        <v>9</v>
      </c>
      <c r="AK424" s="5" t="s">
        <v>981</v>
      </c>
      <c r="AL424" s="5">
        <v>1</v>
      </c>
      <c r="AM424" s="5">
        <v>2</v>
      </c>
      <c r="AN424" s="5">
        <v>2</v>
      </c>
      <c r="AO424" s="5">
        <v>5</v>
      </c>
      <c r="AP424" s="5" t="s">
        <v>982</v>
      </c>
      <c r="AQ424" s="5">
        <v>0</v>
      </c>
      <c r="AR424" s="5">
        <v>0</v>
      </c>
      <c r="AS424" s="5">
        <v>0</v>
      </c>
      <c r="AT424" s="5">
        <v>0</v>
      </c>
      <c r="AU424" s="5">
        <v>0</v>
      </c>
      <c r="AV424" s="5">
        <v>0</v>
      </c>
      <c r="AW424" s="5">
        <v>0</v>
      </c>
      <c r="AX424" s="5">
        <v>0</v>
      </c>
      <c r="AY424" s="5" t="s">
        <v>983</v>
      </c>
      <c r="AZ424" s="1">
        <v>0</v>
      </c>
      <c r="BA424" s="1">
        <v>0</v>
      </c>
      <c r="BB424" s="1">
        <v>0</v>
      </c>
      <c r="BC424" s="1">
        <v>1</v>
      </c>
      <c r="BD424" s="1">
        <v>1</v>
      </c>
      <c r="BE424" s="1">
        <v>1</v>
      </c>
      <c r="BF424" s="1">
        <v>39</v>
      </c>
      <c r="BG424" s="1">
        <v>1</v>
      </c>
      <c r="BH424" s="1">
        <v>14</v>
      </c>
      <c r="BI424" s="1">
        <v>2</v>
      </c>
      <c r="BJ424" s="1">
        <v>600000</v>
      </c>
      <c r="BK424" s="1">
        <v>4</v>
      </c>
    </row>
    <row r="425" spans="1:63" ht="12.75" customHeight="1" x14ac:dyDescent="0.15">
      <c r="A425" s="5" t="s">
        <v>337</v>
      </c>
      <c r="B425" s="5" t="s">
        <v>984</v>
      </c>
      <c r="C425" s="5">
        <v>4</v>
      </c>
      <c r="D425" s="5">
        <v>4</v>
      </c>
      <c r="E425" s="5">
        <v>4</v>
      </c>
      <c r="F425" s="5">
        <v>4</v>
      </c>
      <c r="G425" s="5">
        <v>4</v>
      </c>
      <c r="H425" s="5">
        <v>3</v>
      </c>
      <c r="I425" s="5">
        <v>4</v>
      </c>
      <c r="J425" s="5">
        <v>3</v>
      </c>
      <c r="K425" s="5">
        <v>3</v>
      </c>
      <c r="L425" s="5">
        <v>3</v>
      </c>
      <c r="M425" s="5">
        <v>3</v>
      </c>
      <c r="N425" s="5">
        <v>3</v>
      </c>
      <c r="O425" s="5">
        <v>42</v>
      </c>
      <c r="P425" s="5" t="s">
        <v>981</v>
      </c>
      <c r="Q425" s="5">
        <v>1</v>
      </c>
      <c r="R425" s="5">
        <v>0</v>
      </c>
      <c r="S425" s="5">
        <v>1</v>
      </c>
      <c r="T425" s="5">
        <v>2</v>
      </c>
      <c r="U425" s="5" t="s">
        <v>982</v>
      </c>
      <c r="V425" s="5">
        <v>0</v>
      </c>
      <c r="W425" s="5">
        <v>1</v>
      </c>
      <c r="X425" s="5">
        <v>0</v>
      </c>
      <c r="Y425" s="5">
        <v>1</v>
      </c>
      <c r="Z425" s="5" t="s">
        <v>983</v>
      </c>
      <c r="AA425" s="5">
        <v>3</v>
      </c>
      <c r="AB425" s="5">
        <v>4</v>
      </c>
      <c r="AC425" s="5">
        <v>3</v>
      </c>
      <c r="AD425" s="5">
        <v>4</v>
      </c>
      <c r="AE425" s="5">
        <v>14</v>
      </c>
      <c r="AF425" s="5" t="s">
        <v>981</v>
      </c>
      <c r="AG425" s="5">
        <v>0</v>
      </c>
      <c r="AH425" s="5">
        <v>0</v>
      </c>
      <c r="AI425" s="5">
        <v>0</v>
      </c>
      <c r="AJ425" s="5">
        <v>0</v>
      </c>
      <c r="AK425" s="5" t="s">
        <v>983</v>
      </c>
      <c r="AL425" s="5">
        <v>1</v>
      </c>
      <c r="AM425" s="5">
        <v>0</v>
      </c>
      <c r="AN425" s="5">
        <v>0</v>
      </c>
      <c r="AO425" s="5">
        <v>1</v>
      </c>
      <c r="AP425" s="5" t="s">
        <v>983</v>
      </c>
      <c r="AQ425" s="5">
        <v>0</v>
      </c>
      <c r="AR425" s="5">
        <v>0</v>
      </c>
      <c r="AS425" s="5">
        <v>0</v>
      </c>
      <c r="AT425" s="5">
        <v>0</v>
      </c>
      <c r="AU425" s="5">
        <v>0</v>
      </c>
      <c r="AV425" s="5">
        <v>0</v>
      </c>
      <c r="AW425" s="5">
        <v>0</v>
      </c>
      <c r="AX425" s="5">
        <v>0</v>
      </c>
      <c r="AY425" s="5" t="s">
        <v>983</v>
      </c>
      <c r="AZ425" s="1">
        <v>1</v>
      </c>
      <c r="BA425" s="1">
        <v>0</v>
      </c>
      <c r="BB425" s="1">
        <v>1</v>
      </c>
      <c r="BC425" s="1">
        <v>1</v>
      </c>
      <c r="BD425" s="1">
        <v>1</v>
      </c>
      <c r="BE425" s="1">
        <v>1</v>
      </c>
      <c r="BF425" s="1">
        <v>38</v>
      </c>
      <c r="BG425" s="1">
        <v>1</v>
      </c>
      <c r="BH425" s="1">
        <v>14</v>
      </c>
      <c r="BI425" s="1">
        <v>2</v>
      </c>
      <c r="BJ425" s="1">
        <v>400000</v>
      </c>
      <c r="BK425" s="1">
        <v>4</v>
      </c>
    </row>
    <row r="426" spans="1:63" ht="12.75" customHeight="1" x14ac:dyDescent="0.15">
      <c r="A426" s="5" t="s">
        <v>238</v>
      </c>
      <c r="B426" s="5" t="s">
        <v>238</v>
      </c>
      <c r="C426" s="5">
        <v>2</v>
      </c>
      <c r="D426" s="5">
        <v>2</v>
      </c>
      <c r="E426" s="5">
        <v>2</v>
      </c>
      <c r="F426" s="5">
        <v>1</v>
      </c>
      <c r="G426" s="5">
        <v>1</v>
      </c>
      <c r="H426" s="5">
        <v>1</v>
      </c>
      <c r="I426" s="5">
        <v>1</v>
      </c>
      <c r="J426" s="5">
        <v>2</v>
      </c>
      <c r="K426" s="5">
        <v>2</v>
      </c>
      <c r="L426" s="5">
        <v>2</v>
      </c>
      <c r="M426" s="5">
        <v>1</v>
      </c>
      <c r="N426" s="5">
        <v>2</v>
      </c>
      <c r="O426" s="5">
        <v>19</v>
      </c>
      <c r="P426" s="5" t="s">
        <v>982</v>
      </c>
      <c r="Q426" s="5">
        <v>0</v>
      </c>
      <c r="R426" s="5">
        <v>0</v>
      </c>
      <c r="S426" s="5">
        <v>0</v>
      </c>
      <c r="T426" s="5">
        <v>0</v>
      </c>
      <c r="U426" s="5" t="s">
        <v>983</v>
      </c>
      <c r="V426" s="5">
        <v>0</v>
      </c>
      <c r="W426" s="5">
        <v>1</v>
      </c>
      <c r="X426" s="5">
        <v>1</v>
      </c>
      <c r="Y426" s="5">
        <v>2</v>
      </c>
      <c r="Z426" s="5" t="s">
        <v>982</v>
      </c>
      <c r="AA426" s="5">
        <v>4</v>
      </c>
      <c r="AB426" s="5">
        <v>4</v>
      </c>
      <c r="AC426" s="5">
        <v>0</v>
      </c>
      <c r="AD426" s="5">
        <v>0</v>
      </c>
      <c r="AE426" s="5">
        <v>8</v>
      </c>
      <c r="AF426" s="5" t="s">
        <v>981</v>
      </c>
      <c r="AG426" s="5">
        <v>0</v>
      </c>
      <c r="AH426" s="5">
        <v>0</v>
      </c>
      <c r="AI426" s="5">
        <v>0</v>
      </c>
      <c r="AJ426" s="5">
        <v>0</v>
      </c>
      <c r="AK426" s="5" t="s">
        <v>983</v>
      </c>
      <c r="AL426" s="5">
        <v>0</v>
      </c>
      <c r="AM426" s="5">
        <v>0</v>
      </c>
      <c r="AN426" s="5">
        <v>0</v>
      </c>
      <c r="AO426" s="5">
        <v>0</v>
      </c>
      <c r="AP426" s="5" t="s">
        <v>983</v>
      </c>
      <c r="AQ426" s="5">
        <v>0</v>
      </c>
      <c r="AR426" s="5">
        <v>0</v>
      </c>
      <c r="AS426" s="5">
        <v>0</v>
      </c>
      <c r="AT426" s="5">
        <v>0</v>
      </c>
      <c r="AU426" s="5">
        <v>0</v>
      </c>
      <c r="AV426" s="5">
        <v>0</v>
      </c>
      <c r="AW426" s="5">
        <v>0</v>
      </c>
      <c r="AX426" s="5">
        <v>0</v>
      </c>
      <c r="AY426" s="5" t="s">
        <v>983</v>
      </c>
      <c r="AZ426" s="1">
        <v>1</v>
      </c>
      <c r="BA426" s="1">
        <v>0</v>
      </c>
      <c r="BB426" s="1">
        <v>1</v>
      </c>
      <c r="BC426" s="1">
        <v>1</v>
      </c>
      <c r="BD426" s="1">
        <v>1</v>
      </c>
      <c r="BE426" s="1">
        <v>1</v>
      </c>
      <c r="BF426" s="1">
        <v>38</v>
      </c>
      <c r="BG426" s="1">
        <v>1</v>
      </c>
      <c r="BH426" s="1">
        <v>1</v>
      </c>
      <c r="BI426" s="1">
        <v>34</v>
      </c>
      <c r="BJ426" s="1">
        <v>200000</v>
      </c>
      <c r="BK426" s="1">
        <v>4</v>
      </c>
    </row>
    <row r="427" spans="1:63" ht="12.75" customHeight="1" x14ac:dyDescent="0.15">
      <c r="A427" s="5" t="s">
        <v>238</v>
      </c>
      <c r="B427" s="5" t="s">
        <v>238</v>
      </c>
      <c r="C427" s="5">
        <v>2</v>
      </c>
      <c r="D427" s="5">
        <v>2</v>
      </c>
      <c r="E427" s="5">
        <v>2</v>
      </c>
      <c r="F427" s="5">
        <v>2</v>
      </c>
      <c r="G427" s="5">
        <v>1</v>
      </c>
      <c r="H427" s="5">
        <v>1</v>
      </c>
      <c r="I427" s="5">
        <v>1</v>
      </c>
      <c r="J427" s="5">
        <v>1</v>
      </c>
      <c r="K427" s="5">
        <v>1</v>
      </c>
      <c r="L427" s="5">
        <v>2</v>
      </c>
      <c r="M427" s="5">
        <v>1</v>
      </c>
      <c r="N427" s="5">
        <v>1</v>
      </c>
      <c r="O427" s="5">
        <v>17</v>
      </c>
      <c r="P427" s="5" t="s">
        <v>983</v>
      </c>
      <c r="Q427" s="5">
        <v>0</v>
      </c>
      <c r="R427" s="5">
        <v>2</v>
      </c>
      <c r="S427" s="5">
        <v>0</v>
      </c>
      <c r="T427" s="5">
        <v>2</v>
      </c>
      <c r="U427" s="5" t="s">
        <v>982</v>
      </c>
      <c r="V427" s="5">
        <v>1</v>
      </c>
      <c r="W427" s="5">
        <v>0</v>
      </c>
      <c r="X427" s="5">
        <v>0</v>
      </c>
      <c r="Y427" s="5">
        <v>1</v>
      </c>
      <c r="Z427" s="5" t="s">
        <v>983</v>
      </c>
      <c r="AA427" s="5">
        <v>1</v>
      </c>
      <c r="AB427" s="5">
        <v>0</v>
      </c>
      <c r="AC427" s="5">
        <v>0</v>
      </c>
      <c r="AD427" s="5">
        <v>0</v>
      </c>
      <c r="AE427" s="5">
        <v>1</v>
      </c>
      <c r="AF427" s="5" t="s">
        <v>982</v>
      </c>
      <c r="AG427" s="5">
        <v>0</v>
      </c>
      <c r="AH427" s="5">
        <v>0</v>
      </c>
      <c r="AI427" s="5">
        <v>0</v>
      </c>
      <c r="AJ427" s="5">
        <v>0</v>
      </c>
      <c r="AK427" s="5" t="s">
        <v>983</v>
      </c>
      <c r="AL427" s="5">
        <v>1</v>
      </c>
      <c r="AM427" s="5">
        <v>1</v>
      </c>
      <c r="AN427" s="5">
        <v>0</v>
      </c>
      <c r="AO427" s="5">
        <v>2</v>
      </c>
      <c r="AP427" s="5" t="s">
        <v>983</v>
      </c>
      <c r="AQ427" s="5">
        <v>0</v>
      </c>
      <c r="AR427" s="5">
        <v>0</v>
      </c>
      <c r="AS427" s="5">
        <v>0</v>
      </c>
      <c r="AT427" s="5">
        <v>0</v>
      </c>
      <c r="AU427" s="5">
        <v>0</v>
      </c>
      <c r="AV427" s="5">
        <v>0</v>
      </c>
      <c r="AW427" s="5">
        <v>0</v>
      </c>
      <c r="AX427" s="5">
        <v>0</v>
      </c>
      <c r="AY427" s="5" t="s">
        <v>983</v>
      </c>
      <c r="AZ427" s="1">
        <v>0</v>
      </c>
      <c r="BA427" s="1">
        <v>0</v>
      </c>
      <c r="BB427" s="1">
        <v>0</v>
      </c>
      <c r="BC427" s="1">
        <v>1</v>
      </c>
      <c r="BD427" s="1">
        <v>1</v>
      </c>
      <c r="BE427" s="1">
        <v>1</v>
      </c>
      <c r="BF427" s="1">
        <v>53</v>
      </c>
      <c r="BG427" s="1">
        <v>1</v>
      </c>
      <c r="BH427" s="1">
        <v>14</v>
      </c>
      <c r="BI427" s="1">
        <v>34</v>
      </c>
      <c r="BJ427" s="1">
        <v>300000</v>
      </c>
      <c r="BK427" s="1">
        <v>5</v>
      </c>
    </row>
    <row r="428" spans="1:63" ht="12.75" customHeight="1" x14ac:dyDescent="0.15">
      <c r="A428" s="5" t="s">
        <v>337</v>
      </c>
      <c r="B428" s="5" t="s">
        <v>984</v>
      </c>
      <c r="C428" s="5">
        <v>3</v>
      </c>
      <c r="D428" s="5">
        <v>1</v>
      </c>
      <c r="E428" s="5">
        <v>3</v>
      </c>
      <c r="F428" s="5">
        <v>2</v>
      </c>
      <c r="G428" s="5">
        <v>1</v>
      </c>
      <c r="H428" s="5">
        <v>1</v>
      </c>
      <c r="I428" s="5">
        <v>1</v>
      </c>
      <c r="J428" s="5">
        <v>1</v>
      </c>
      <c r="K428" s="5">
        <v>1</v>
      </c>
      <c r="L428" s="5">
        <v>1</v>
      </c>
      <c r="M428" s="5">
        <v>1</v>
      </c>
      <c r="N428" s="5">
        <v>1</v>
      </c>
      <c r="O428" s="5">
        <v>17</v>
      </c>
      <c r="P428" s="5" t="s">
        <v>983</v>
      </c>
      <c r="Q428" s="5">
        <v>3</v>
      </c>
      <c r="R428" s="5">
        <v>4</v>
      </c>
      <c r="S428" s="5">
        <v>2</v>
      </c>
      <c r="T428" s="5">
        <v>9</v>
      </c>
      <c r="U428" s="5" t="s">
        <v>981</v>
      </c>
      <c r="V428" s="5">
        <v>3</v>
      </c>
      <c r="W428" s="5">
        <v>3</v>
      </c>
      <c r="X428" s="5">
        <v>2</v>
      </c>
      <c r="Y428" s="5">
        <v>8</v>
      </c>
      <c r="Z428" s="5" t="s">
        <v>981</v>
      </c>
      <c r="AA428" s="5">
        <v>0</v>
      </c>
      <c r="AB428" s="5">
        <v>0</v>
      </c>
      <c r="AC428" s="5">
        <v>0</v>
      </c>
      <c r="AD428" s="5">
        <v>0</v>
      </c>
      <c r="AE428" s="5">
        <v>0</v>
      </c>
      <c r="AF428" s="5" t="s">
        <v>983</v>
      </c>
      <c r="AG428" s="5">
        <v>4</v>
      </c>
      <c r="AH428" s="5">
        <v>4</v>
      </c>
      <c r="AI428" s="5">
        <v>1</v>
      </c>
      <c r="AJ428" s="5">
        <v>9</v>
      </c>
      <c r="AK428" s="5" t="s">
        <v>981</v>
      </c>
      <c r="AL428" s="5">
        <v>4</v>
      </c>
      <c r="AM428" s="5">
        <v>4</v>
      </c>
      <c r="AN428" s="5">
        <v>4</v>
      </c>
      <c r="AO428" s="5">
        <v>12</v>
      </c>
      <c r="AP428" s="5" t="s">
        <v>981</v>
      </c>
      <c r="AQ428" s="5">
        <v>1</v>
      </c>
      <c r="AR428" s="5">
        <v>0</v>
      </c>
      <c r="AS428" s="5">
        <v>0</v>
      </c>
      <c r="AT428" s="5">
        <v>0</v>
      </c>
      <c r="AU428" s="5">
        <v>0</v>
      </c>
      <c r="AV428" s="5">
        <v>0</v>
      </c>
      <c r="AW428" s="5">
        <v>0</v>
      </c>
      <c r="AX428" s="5">
        <v>1</v>
      </c>
      <c r="AY428" s="5" t="s">
        <v>982</v>
      </c>
      <c r="AZ428" s="1">
        <v>1</v>
      </c>
      <c r="BA428" s="1">
        <v>0</v>
      </c>
      <c r="BB428" s="1">
        <v>1</v>
      </c>
      <c r="BC428" s="1">
        <v>1</v>
      </c>
      <c r="BD428" s="1">
        <v>1</v>
      </c>
      <c r="BE428" s="1">
        <v>1</v>
      </c>
      <c r="BF428" s="1">
        <v>53</v>
      </c>
      <c r="BG428" s="1">
        <v>1</v>
      </c>
      <c r="BH428" s="1">
        <v>14</v>
      </c>
      <c r="BI428" s="1">
        <v>34</v>
      </c>
      <c r="BJ428" s="1">
        <v>300000</v>
      </c>
      <c r="BK428" s="1">
        <v>5</v>
      </c>
    </row>
    <row r="429" spans="1:63" ht="12.75" customHeight="1" x14ac:dyDescent="0.15">
      <c r="A429" s="5" t="s">
        <v>238</v>
      </c>
      <c r="B429" s="5" t="s">
        <v>238</v>
      </c>
      <c r="C429" s="5">
        <v>2</v>
      </c>
      <c r="D429" s="5">
        <v>1</v>
      </c>
      <c r="E429" s="5">
        <v>2</v>
      </c>
      <c r="F429" s="5">
        <v>1</v>
      </c>
      <c r="G429" s="5">
        <v>1</v>
      </c>
      <c r="H429" s="5">
        <v>1</v>
      </c>
      <c r="I429" s="5">
        <v>1</v>
      </c>
      <c r="J429" s="5">
        <v>2</v>
      </c>
      <c r="K429" s="5">
        <v>1</v>
      </c>
      <c r="L429" s="5">
        <v>2</v>
      </c>
      <c r="M429" s="5">
        <v>1</v>
      </c>
      <c r="N429" s="5">
        <v>1</v>
      </c>
      <c r="O429" s="5">
        <v>16</v>
      </c>
      <c r="P429" s="5" t="s">
        <v>983</v>
      </c>
      <c r="Q429" s="5">
        <v>2</v>
      </c>
      <c r="R429" s="5">
        <v>3</v>
      </c>
      <c r="S429" s="5">
        <v>2</v>
      </c>
      <c r="T429" s="5">
        <v>7</v>
      </c>
      <c r="U429" s="5" t="s">
        <v>981</v>
      </c>
      <c r="V429" s="5">
        <v>1</v>
      </c>
      <c r="W429" s="5">
        <v>2</v>
      </c>
      <c r="X429" s="5">
        <v>1</v>
      </c>
      <c r="Y429" s="5">
        <v>4</v>
      </c>
      <c r="Z429" s="5" t="s">
        <v>982</v>
      </c>
      <c r="AA429" s="5">
        <v>4</v>
      </c>
      <c r="AB429" s="5">
        <v>4</v>
      </c>
      <c r="AC429" s="5">
        <v>0</v>
      </c>
      <c r="AD429" s="5">
        <v>0</v>
      </c>
      <c r="AE429" s="5">
        <v>8</v>
      </c>
      <c r="AF429" s="5" t="s">
        <v>981</v>
      </c>
      <c r="AG429" s="5">
        <v>0</v>
      </c>
      <c r="AH429" s="5">
        <v>0</v>
      </c>
      <c r="AI429" s="5">
        <v>0</v>
      </c>
      <c r="AJ429" s="5">
        <v>0</v>
      </c>
      <c r="AK429" s="5" t="s">
        <v>983</v>
      </c>
      <c r="AL429" s="5">
        <v>1</v>
      </c>
      <c r="AM429" s="5">
        <v>0</v>
      </c>
      <c r="AN429" s="5">
        <v>0</v>
      </c>
      <c r="AO429" s="5">
        <v>1</v>
      </c>
      <c r="AP429" s="5" t="s">
        <v>983</v>
      </c>
      <c r="AQ429" s="5">
        <v>0</v>
      </c>
      <c r="AR429" s="5">
        <v>0</v>
      </c>
      <c r="AS429" s="5">
        <v>0</v>
      </c>
      <c r="AT429" s="5">
        <v>0</v>
      </c>
      <c r="AU429" s="5">
        <v>0</v>
      </c>
      <c r="AV429" s="5">
        <v>0</v>
      </c>
      <c r="AW429" s="5">
        <v>0</v>
      </c>
      <c r="AX429" s="5">
        <v>0</v>
      </c>
      <c r="AY429" s="5" t="s">
        <v>983</v>
      </c>
      <c r="AZ429" s="1">
        <v>1</v>
      </c>
      <c r="BA429" s="1">
        <v>0</v>
      </c>
      <c r="BB429" s="1">
        <v>0</v>
      </c>
      <c r="BC429" s="1">
        <v>0</v>
      </c>
      <c r="BD429" s="1">
        <v>0</v>
      </c>
      <c r="BE429" s="1">
        <v>0</v>
      </c>
      <c r="BF429" s="1">
        <v>32</v>
      </c>
      <c r="BG429" s="1">
        <v>0</v>
      </c>
      <c r="BH429" s="1">
        <v>14</v>
      </c>
      <c r="BI429" s="1">
        <v>34</v>
      </c>
      <c r="BJ429" s="1">
        <v>500000</v>
      </c>
      <c r="BK429" s="1">
        <v>4</v>
      </c>
    </row>
    <row r="430" spans="1:63" ht="12.75" customHeight="1" x14ac:dyDescent="0.15">
      <c r="A430" s="5" t="s">
        <v>337</v>
      </c>
      <c r="B430" s="5" t="s">
        <v>984</v>
      </c>
      <c r="C430" s="5">
        <v>4</v>
      </c>
      <c r="D430" s="5">
        <v>4</v>
      </c>
      <c r="E430" s="5">
        <v>4</v>
      </c>
      <c r="F430" s="5">
        <v>4</v>
      </c>
      <c r="G430" s="5">
        <v>4</v>
      </c>
      <c r="H430" s="5">
        <v>4</v>
      </c>
      <c r="I430" s="5">
        <v>4</v>
      </c>
      <c r="J430" s="5">
        <v>4</v>
      </c>
      <c r="K430" s="5">
        <v>3</v>
      </c>
      <c r="L430" s="5">
        <v>4</v>
      </c>
      <c r="M430" s="5">
        <v>4</v>
      </c>
      <c r="N430" s="5">
        <v>3</v>
      </c>
      <c r="O430" s="5">
        <v>46</v>
      </c>
      <c r="P430" s="5" t="s">
        <v>981</v>
      </c>
      <c r="Q430" s="5">
        <v>3</v>
      </c>
      <c r="R430" s="5">
        <v>3</v>
      </c>
      <c r="S430" s="5">
        <v>0</v>
      </c>
      <c r="T430" s="5">
        <v>6</v>
      </c>
      <c r="U430" s="5" t="s">
        <v>981</v>
      </c>
      <c r="V430" s="5">
        <v>4</v>
      </c>
      <c r="W430" s="5">
        <v>2</v>
      </c>
      <c r="X430" s="5">
        <v>1</v>
      </c>
      <c r="Y430" s="5">
        <v>7</v>
      </c>
      <c r="Z430" s="5" t="s">
        <v>981</v>
      </c>
      <c r="AA430" s="5">
        <v>2</v>
      </c>
      <c r="AB430" s="5">
        <v>1</v>
      </c>
      <c r="AC430" s="5">
        <v>4</v>
      </c>
      <c r="AD430" s="5">
        <v>3</v>
      </c>
      <c r="AE430" s="5">
        <v>10</v>
      </c>
      <c r="AF430" s="5" t="s">
        <v>981</v>
      </c>
      <c r="AG430" s="5">
        <v>1</v>
      </c>
      <c r="AH430" s="5">
        <v>0</v>
      </c>
      <c r="AI430" s="5">
        <v>0</v>
      </c>
      <c r="AJ430" s="5">
        <v>1</v>
      </c>
      <c r="AK430" s="5" t="s">
        <v>983</v>
      </c>
      <c r="AL430" s="5">
        <v>4</v>
      </c>
      <c r="AM430" s="5">
        <v>4</v>
      </c>
      <c r="AN430" s="5">
        <v>4</v>
      </c>
      <c r="AO430" s="5">
        <v>12</v>
      </c>
      <c r="AP430" s="5" t="s">
        <v>981</v>
      </c>
      <c r="AQ430" s="5">
        <v>0</v>
      </c>
      <c r="AR430" s="5">
        <v>0</v>
      </c>
      <c r="AS430" s="5">
        <v>0</v>
      </c>
      <c r="AT430" s="5">
        <v>0</v>
      </c>
      <c r="AU430" s="5">
        <v>0</v>
      </c>
      <c r="AV430" s="5">
        <v>0</v>
      </c>
      <c r="AW430" s="5">
        <v>1</v>
      </c>
      <c r="AX430" s="5">
        <v>1</v>
      </c>
      <c r="AY430" s="5" t="s">
        <v>982</v>
      </c>
      <c r="AZ430" s="1">
        <v>0</v>
      </c>
      <c r="BA430" s="1">
        <v>0</v>
      </c>
      <c r="BB430" s="1">
        <v>0</v>
      </c>
      <c r="BC430" s="1">
        <v>1</v>
      </c>
      <c r="BD430" s="1">
        <v>1</v>
      </c>
      <c r="BE430" s="1">
        <v>1</v>
      </c>
      <c r="BF430" s="1">
        <v>44</v>
      </c>
      <c r="BG430" s="1">
        <v>0</v>
      </c>
      <c r="BH430" s="1">
        <v>17</v>
      </c>
      <c r="BI430" s="1">
        <v>24</v>
      </c>
      <c r="BJ430" s="1">
        <v>500000</v>
      </c>
      <c r="BK430" s="1">
        <v>3</v>
      </c>
    </row>
    <row r="431" spans="1:63" ht="12.75" customHeight="1" x14ac:dyDescent="0.15">
      <c r="A431" s="5" t="s">
        <v>238</v>
      </c>
      <c r="B431" s="5" t="s">
        <v>238</v>
      </c>
      <c r="C431" s="5">
        <v>2</v>
      </c>
      <c r="D431" s="5">
        <v>1</v>
      </c>
      <c r="E431" s="5">
        <v>1</v>
      </c>
      <c r="F431" s="5">
        <v>1</v>
      </c>
      <c r="G431" s="5">
        <v>1</v>
      </c>
      <c r="H431" s="5">
        <v>1</v>
      </c>
      <c r="I431" s="5">
        <v>1</v>
      </c>
      <c r="J431" s="5">
        <v>1</v>
      </c>
      <c r="K431" s="5">
        <v>1</v>
      </c>
      <c r="L431" s="5">
        <v>1</v>
      </c>
      <c r="M431" s="5">
        <v>1</v>
      </c>
      <c r="N431" s="5">
        <v>1</v>
      </c>
      <c r="O431" s="5">
        <v>13</v>
      </c>
      <c r="P431" s="5" t="s">
        <v>983</v>
      </c>
      <c r="Q431" s="5">
        <v>1</v>
      </c>
      <c r="R431" s="5">
        <v>1</v>
      </c>
      <c r="S431" s="5">
        <v>1</v>
      </c>
      <c r="T431" s="5">
        <v>3</v>
      </c>
      <c r="U431" s="5" t="s">
        <v>982</v>
      </c>
      <c r="V431" s="5">
        <v>0</v>
      </c>
      <c r="W431" s="5">
        <v>0</v>
      </c>
      <c r="X431" s="5">
        <v>0</v>
      </c>
      <c r="Y431" s="5">
        <v>0</v>
      </c>
      <c r="Z431" s="5" t="s">
        <v>983</v>
      </c>
      <c r="AA431" s="5">
        <v>3</v>
      </c>
      <c r="AB431" s="5">
        <v>0</v>
      </c>
      <c r="AC431" s="5">
        <v>0</v>
      </c>
      <c r="AD431" s="5">
        <v>4</v>
      </c>
      <c r="AE431" s="5">
        <v>7</v>
      </c>
      <c r="AF431" s="5" t="s">
        <v>981</v>
      </c>
      <c r="AG431" s="5">
        <v>0</v>
      </c>
      <c r="AH431" s="5">
        <v>0</v>
      </c>
      <c r="AI431" s="5">
        <v>2</v>
      </c>
      <c r="AJ431" s="5">
        <v>2</v>
      </c>
      <c r="AK431" s="5" t="s">
        <v>983</v>
      </c>
      <c r="AL431" s="5">
        <v>2</v>
      </c>
      <c r="AM431" s="5">
        <v>2</v>
      </c>
      <c r="AN431" s="5">
        <v>0</v>
      </c>
      <c r="AO431" s="5">
        <v>4</v>
      </c>
      <c r="AP431" s="5" t="s">
        <v>982</v>
      </c>
      <c r="AQ431" s="5">
        <v>0</v>
      </c>
      <c r="AR431" s="5">
        <v>0</v>
      </c>
      <c r="AS431" s="5">
        <v>0</v>
      </c>
      <c r="AT431" s="5">
        <v>0</v>
      </c>
      <c r="AU431" s="5">
        <v>0</v>
      </c>
      <c r="AV431" s="5">
        <v>0</v>
      </c>
      <c r="AW431" s="5">
        <v>0</v>
      </c>
      <c r="AX431" s="5">
        <v>0</v>
      </c>
      <c r="AY431" s="5" t="s">
        <v>983</v>
      </c>
      <c r="AZ431" s="1">
        <v>1</v>
      </c>
      <c r="BA431" s="1">
        <v>0</v>
      </c>
      <c r="BB431" s="1">
        <v>0</v>
      </c>
      <c r="BC431" s="1">
        <v>1</v>
      </c>
      <c r="BD431" s="1">
        <v>0</v>
      </c>
      <c r="BE431" s="1">
        <v>1</v>
      </c>
      <c r="BF431" s="1">
        <v>44</v>
      </c>
      <c r="BG431" s="1">
        <v>0</v>
      </c>
      <c r="BH431" s="1">
        <v>17</v>
      </c>
      <c r="BI431" s="1">
        <v>24</v>
      </c>
      <c r="BJ431" s="1">
        <v>500000</v>
      </c>
      <c r="BK431" s="1">
        <v>3</v>
      </c>
    </row>
    <row r="432" spans="1:63" ht="12.75" customHeight="1" x14ac:dyDescent="0.15">
      <c r="A432" s="5" t="s">
        <v>238</v>
      </c>
      <c r="B432" s="5" t="s">
        <v>238</v>
      </c>
      <c r="C432" s="5">
        <v>1</v>
      </c>
      <c r="D432" s="5">
        <v>2</v>
      </c>
      <c r="E432" s="5">
        <v>2</v>
      </c>
      <c r="F432" s="5">
        <v>2</v>
      </c>
      <c r="G432" s="5">
        <v>2</v>
      </c>
      <c r="H432" s="5">
        <v>2</v>
      </c>
      <c r="I432" s="5">
        <v>2</v>
      </c>
      <c r="J432" s="5">
        <v>3</v>
      </c>
      <c r="K432" s="5">
        <v>3</v>
      </c>
      <c r="L432" s="5">
        <v>3</v>
      </c>
      <c r="M432" s="5">
        <v>3</v>
      </c>
      <c r="N432" s="5">
        <v>3</v>
      </c>
      <c r="O432" s="5">
        <v>28</v>
      </c>
      <c r="P432" s="5" t="s">
        <v>981</v>
      </c>
      <c r="Q432" s="5">
        <v>2</v>
      </c>
      <c r="R432" s="5">
        <v>2</v>
      </c>
      <c r="S432" s="5">
        <v>2</v>
      </c>
      <c r="T432" s="5">
        <v>6</v>
      </c>
      <c r="U432" s="5" t="s">
        <v>981</v>
      </c>
      <c r="V432" s="5">
        <v>2</v>
      </c>
      <c r="W432" s="5">
        <v>2</v>
      </c>
      <c r="X432" s="5">
        <v>2</v>
      </c>
      <c r="Y432" s="5">
        <v>6</v>
      </c>
      <c r="Z432" s="5" t="s">
        <v>981</v>
      </c>
      <c r="AA432" s="5">
        <v>2</v>
      </c>
      <c r="AB432" s="5">
        <v>2</v>
      </c>
      <c r="AC432" s="5">
        <v>2</v>
      </c>
      <c r="AD432" s="5">
        <v>2</v>
      </c>
      <c r="AE432" s="5">
        <v>8</v>
      </c>
      <c r="AF432" s="5" t="s">
        <v>981</v>
      </c>
      <c r="AG432" s="5">
        <v>2</v>
      </c>
      <c r="AH432" s="5">
        <v>2</v>
      </c>
      <c r="AI432" s="5">
        <v>2</v>
      </c>
      <c r="AJ432" s="5">
        <v>6</v>
      </c>
      <c r="AK432" s="5" t="s">
        <v>981</v>
      </c>
      <c r="AL432" s="5">
        <v>2</v>
      </c>
      <c r="AM432" s="5">
        <v>2</v>
      </c>
      <c r="AN432" s="5">
        <v>2</v>
      </c>
      <c r="AO432" s="5">
        <v>6</v>
      </c>
      <c r="AP432" s="5" t="s">
        <v>981</v>
      </c>
      <c r="AQ432" s="5">
        <v>0</v>
      </c>
      <c r="AR432" s="5">
        <v>0</v>
      </c>
      <c r="AS432" s="5">
        <v>0</v>
      </c>
      <c r="AT432" s="5">
        <v>0</v>
      </c>
      <c r="AU432" s="5">
        <v>0</v>
      </c>
      <c r="AV432" s="5">
        <v>0</v>
      </c>
      <c r="AW432" s="5">
        <v>0</v>
      </c>
      <c r="AX432" s="5">
        <v>0</v>
      </c>
      <c r="AY432" s="5" t="s">
        <v>983</v>
      </c>
      <c r="AZ432" s="1">
        <v>1</v>
      </c>
      <c r="BA432" s="1">
        <v>0</v>
      </c>
      <c r="BB432" s="1">
        <v>1</v>
      </c>
      <c r="BC432" s="1">
        <v>1</v>
      </c>
      <c r="BD432" s="1">
        <v>1</v>
      </c>
      <c r="BE432" s="1">
        <v>1</v>
      </c>
      <c r="BF432" s="1">
        <v>40</v>
      </c>
      <c r="BG432" s="1">
        <v>0</v>
      </c>
      <c r="BH432" s="1">
        <v>4</v>
      </c>
      <c r="BI432" s="1">
        <v>34</v>
      </c>
      <c r="BJ432" s="1">
        <v>200000</v>
      </c>
      <c r="BK432" s="1">
        <v>1</v>
      </c>
    </row>
    <row r="433" spans="1:63" ht="12.75" customHeight="1" x14ac:dyDescent="0.15">
      <c r="A433" s="5" t="s">
        <v>238</v>
      </c>
      <c r="B433" s="5" t="s">
        <v>238</v>
      </c>
      <c r="C433" s="5">
        <v>3</v>
      </c>
      <c r="D433" s="5">
        <v>3</v>
      </c>
      <c r="E433" s="5">
        <v>3</v>
      </c>
      <c r="F433" s="5">
        <v>3</v>
      </c>
      <c r="G433" s="5">
        <v>2</v>
      </c>
      <c r="H433" s="5">
        <v>3</v>
      </c>
      <c r="I433" s="5">
        <v>2</v>
      </c>
      <c r="J433" s="5">
        <v>1</v>
      </c>
      <c r="K433" s="5">
        <v>2</v>
      </c>
      <c r="L433" s="5">
        <v>3</v>
      </c>
      <c r="M433" s="5">
        <v>2</v>
      </c>
      <c r="N433" s="5">
        <v>2</v>
      </c>
      <c r="O433" s="5">
        <v>29</v>
      </c>
      <c r="P433" s="5" t="s">
        <v>981</v>
      </c>
      <c r="Q433" s="5">
        <v>3</v>
      </c>
      <c r="R433" s="5">
        <v>2</v>
      </c>
      <c r="S433" s="5">
        <v>1</v>
      </c>
      <c r="T433" s="5">
        <v>6</v>
      </c>
      <c r="U433" s="5" t="s">
        <v>981</v>
      </c>
      <c r="V433" s="5">
        <v>4</v>
      </c>
      <c r="W433" s="5">
        <v>3</v>
      </c>
      <c r="X433" s="5">
        <v>2</v>
      </c>
      <c r="Y433" s="5">
        <v>9</v>
      </c>
      <c r="Z433" s="5" t="s">
        <v>981</v>
      </c>
      <c r="AA433" s="5">
        <v>1</v>
      </c>
      <c r="AB433" s="5">
        <v>1</v>
      </c>
      <c r="AC433" s="5">
        <v>2</v>
      </c>
      <c r="AD433" s="5">
        <v>0</v>
      </c>
      <c r="AE433" s="5">
        <v>4</v>
      </c>
      <c r="AF433" s="5" t="s">
        <v>982</v>
      </c>
      <c r="AG433" s="5">
        <v>2</v>
      </c>
      <c r="AH433" s="5">
        <v>3</v>
      </c>
      <c r="AI433" s="5">
        <v>4</v>
      </c>
      <c r="AJ433" s="5">
        <v>9</v>
      </c>
      <c r="AK433" s="5" t="s">
        <v>981</v>
      </c>
      <c r="AL433" s="5">
        <v>3</v>
      </c>
      <c r="AM433" s="5">
        <v>3</v>
      </c>
      <c r="AN433" s="5">
        <v>3</v>
      </c>
      <c r="AO433" s="5">
        <v>9</v>
      </c>
      <c r="AP433" s="5" t="s">
        <v>981</v>
      </c>
      <c r="AQ433" s="5">
        <v>3</v>
      </c>
      <c r="AR433" s="5">
        <v>2</v>
      </c>
      <c r="AS433" s="5">
        <v>2</v>
      </c>
      <c r="AT433" s="5">
        <v>1</v>
      </c>
      <c r="AU433" s="5">
        <v>2</v>
      </c>
      <c r="AV433" s="5">
        <v>2</v>
      </c>
      <c r="AW433" s="5">
        <v>0</v>
      </c>
      <c r="AX433" s="5">
        <v>12</v>
      </c>
      <c r="AY433" s="5" t="s">
        <v>982</v>
      </c>
      <c r="AZ433" s="1">
        <v>1</v>
      </c>
      <c r="BA433" s="1">
        <v>0</v>
      </c>
      <c r="BB433" s="1">
        <v>1</v>
      </c>
      <c r="BC433" s="1">
        <v>1</v>
      </c>
      <c r="BD433" s="1">
        <v>0</v>
      </c>
      <c r="BE433" s="1">
        <v>1</v>
      </c>
      <c r="BF433" s="1">
        <v>41</v>
      </c>
      <c r="BG433" s="1">
        <v>1</v>
      </c>
      <c r="BH433" s="1">
        <v>6</v>
      </c>
      <c r="BI433" s="1">
        <v>34</v>
      </c>
      <c r="BJ433" s="1">
        <v>540000</v>
      </c>
      <c r="BK433" s="1">
        <v>4</v>
      </c>
    </row>
    <row r="434" spans="1:63" ht="12.75" customHeight="1" x14ac:dyDescent="0.15">
      <c r="A434" s="5" t="s">
        <v>238</v>
      </c>
      <c r="B434" s="5" t="s">
        <v>238</v>
      </c>
      <c r="C434" s="5">
        <v>2</v>
      </c>
      <c r="D434" s="5">
        <v>2</v>
      </c>
      <c r="E434" s="5">
        <v>3</v>
      </c>
      <c r="F434" s="5">
        <v>4</v>
      </c>
      <c r="G434" s="5">
        <v>4</v>
      </c>
      <c r="H434" s="5">
        <v>4</v>
      </c>
      <c r="I434" s="5">
        <v>2</v>
      </c>
      <c r="J434" s="5">
        <v>1</v>
      </c>
      <c r="K434" s="5">
        <v>1</v>
      </c>
      <c r="L434" s="5">
        <v>2</v>
      </c>
      <c r="M434" s="5">
        <v>3</v>
      </c>
      <c r="N434" s="5">
        <v>2</v>
      </c>
      <c r="O434" s="5">
        <v>30</v>
      </c>
      <c r="P434" s="5" t="s">
        <v>981</v>
      </c>
      <c r="Q434" s="5">
        <v>1</v>
      </c>
      <c r="R434" s="5">
        <v>0</v>
      </c>
      <c r="S434" s="5">
        <v>1</v>
      </c>
      <c r="T434" s="5">
        <v>2</v>
      </c>
      <c r="U434" s="5" t="s">
        <v>982</v>
      </c>
      <c r="V434" s="5">
        <v>0</v>
      </c>
      <c r="W434" s="5">
        <v>4</v>
      </c>
      <c r="X434" s="5">
        <v>2</v>
      </c>
      <c r="Y434" s="5">
        <v>6</v>
      </c>
      <c r="Z434" s="5" t="s">
        <v>981</v>
      </c>
      <c r="AA434" s="5">
        <v>4</v>
      </c>
      <c r="AB434" s="5">
        <v>4</v>
      </c>
      <c r="AC434" s="5">
        <v>0</v>
      </c>
      <c r="AD434" s="5">
        <v>0</v>
      </c>
      <c r="AE434" s="5">
        <v>8</v>
      </c>
      <c r="AF434" s="5" t="s">
        <v>981</v>
      </c>
      <c r="AG434" s="5">
        <v>3</v>
      </c>
      <c r="AH434" s="5">
        <v>0</v>
      </c>
      <c r="AI434" s="5">
        <v>0</v>
      </c>
      <c r="AJ434" s="5">
        <v>3</v>
      </c>
      <c r="AK434" s="5" t="s">
        <v>982</v>
      </c>
      <c r="AL434" s="5">
        <v>0</v>
      </c>
      <c r="AM434" s="5">
        <v>0</v>
      </c>
      <c r="AN434" s="5">
        <v>0</v>
      </c>
      <c r="AO434" s="5">
        <v>0</v>
      </c>
      <c r="AP434" s="5" t="s">
        <v>983</v>
      </c>
      <c r="AQ434" s="5">
        <v>0</v>
      </c>
      <c r="AR434" s="5">
        <v>0</v>
      </c>
      <c r="AS434" s="5">
        <v>0</v>
      </c>
      <c r="AT434" s="5">
        <v>0</v>
      </c>
      <c r="AU434" s="5">
        <v>0</v>
      </c>
      <c r="AV434" s="5">
        <v>0</v>
      </c>
      <c r="AW434" s="5">
        <v>0</v>
      </c>
      <c r="AX434" s="5">
        <v>0</v>
      </c>
      <c r="AY434" s="5" t="s">
        <v>983</v>
      </c>
      <c r="AZ434" s="1">
        <v>0</v>
      </c>
      <c r="BA434" s="1">
        <v>0</v>
      </c>
      <c r="BB434" s="1">
        <v>0</v>
      </c>
      <c r="BC434" s="1">
        <v>1</v>
      </c>
      <c r="BD434" s="1">
        <v>0</v>
      </c>
      <c r="BE434" s="1">
        <v>1</v>
      </c>
      <c r="BF434" s="1">
        <v>59</v>
      </c>
      <c r="BG434" s="1">
        <v>0</v>
      </c>
      <c r="BH434" s="1">
        <v>14</v>
      </c>
      <c r="BI434" s="1">
        <v>34</v>
      </c>
      <c r="BJ434" s="1">
        <v>150000</v>
      </c>
      <c r="BK434" s="1">
        <v>3</v>
      </c>
    </row>
    <row r="435" spans="1:63" ht="12.75" customHeight="1" x14ac:dyDescent="0.15">
      <c r="A435" s="5" t="s">
        <v>238</v>
      </c>
      <c r="B435" s="5" t="s">
        <v>238</v>
      </c>
      <c r="C435" s="5">
        <v>2</v>
      </c>
      <c r="D435" s="5">
        <v>3</v>
      </c>
      <c r="E435" s="5">
        <v>3</v>
      </c>
      <c r="F435" s="5">
        <v>3</v>
      </c>
      <c r="G435" s="5">
        <v>3</v>
      </c>
      <c r="H435" s="5">
        <v>3</v>
      </c>
      <c r="I435" s="5">
        <v>3</v>
      </c>
      <c r="J435" s="5">
        <v>1</v>
      </c>
      <c r="K435" s="5">
        <v>1</v>
      </c>
      <c r="L435" s="5">
        <v>1</v>
      </c>
      <c r="M435" s="5">
        <v>1</v>
      </c>
      <c r="N435" s="5">
        <v>1</v>
      </c>
      <c r="O435" s="5">
        <v>25</v>
      </c>
      <c r="P435" s="5" t="s">
        <v>981</v>
      </c>
      <c r="Q435" s="5">
        <v>2</v>
      </c>
      <c r="R435" s="5">
        <v>2</v>
      </c>
      <c r="S435" s="5">
        <v>2</v>
      </c>
      <c r="T435" s="5">
        <v>6</v>
      </c>
      <c r="U435" s="5" t="s">
        <v>981</v>
      </c>
      <c r="V435" s="5">
        <v>2</v>
      </c>
      <c r="W435" s="5">
        <v>2</v>
      </c>
      <c r="X435" s="5">
        <v>2</v>
      </c>
      <c r="Y435" s="5">
        <v>6</v>
      </c>
      <c r="Z435" s="5" t="s">
        <v>981</v>
      </c>
      <c r="AA435" s="5">
        <v>2</v>
      </c>
      <c r="AB435" s="5">
        <v>2</v>
      </c>
      <c r="AC435" s="5">
        <v>2</v>
      </c>
      <c r="AD435" s="5">
        <v>2</v>
      </c>
      <c r="AE435" s="5">
        <v>8</v>
      </c>
      <c r="AF435" s="5" t="s">
        <v>981</v>
      </c>
      <c r="AG435" s="5">
        <v>2</v>
      </c>
      <c r="AH435" s="5">
        <v>2</v>
      </c>
      <c r="AI435" s="5">
        <v>2</v>
      </c>
      <c r="AJ435" s="5">
        <v>6</v>
      </c>
      <c r="AK435" s="5" t="s">
        <v>981</v>
      </c>
      <c r="AL435" s="5">
        <v>2</v>
      </c>
      <c r="AM435" s="5">
        <v>2</v>
      </c>
      <c r="AN435" s="5">
        <v>2</v>
      </c>
      <c r="AO435" s="5">
        <v>6</v>
      </c>
      <c r="AP435" s="5" t="s">
        <v>981</v>
      </c>
      <c r="AQ435" s="5">
        <v>0</v>
      </c>
      <c r="AR435" s="5">
        <v>0</v>
      </c>
      <c r="AS435" s="5">
        <v>0</v>
      </c>
      <c r="AT435" s="5">
        <v>0</v>
      </c>
      <c r="AU435" s="5">
        <v>0</v>
      </c>
      <c r="AV435" s="5">
        <v>0</v>
      </c>
      <c r="AW435" s="5">
        <v>0</v>
      </c>
      <c r="AX435" s="5">
        <v>0</v>
      </c>
      <c r="AY435" s="5" t="s">
        <v>983</v>
      </c>
      <c r="AZ435" s="1">
        <v>0</v>
      </c>
      <c r="BA435" s="1">
        <v>0</v>
      </c>
      <c r="BB435" s="1">
        <v>0</v>
      </c>
      <c r="BC435" s="1">
        <v>1</v>
      </c>
      <c r="BD435" s="1">
        <v>1</v>
      </c>
      <c r="BE435" s="1">
        <v>1</v>
      </c>
      <c r="BF435" s="1">
        <v>44</v>
      </c>
      <c r="BG435" s="1">
        <v>0</v>
      </c>
      <c r="BH435" s="1">
        <v>6</v>
      </c>
      <c r="BI435" s="1">
        <v>2</v>
      </c>
      <c r="BJ435" s="1">
        <v>1000000</v>
      </c>
      <c r="BK435" s="1">
        <v>2</v>
      </c>
    </row>
    <row r="436" spans="1:63" ht="12.75" customHeight="1" x14ac:dyDescent="0.15">
      <c r="A436" s="5" t="s">
        <v>238</v>
      </c>
      <c r="B436" s="5" t="s">
        <v>238</v>
      </c>
      <c r="C436" s="5">
        <v>1</v>
      </c>
      <c r="D436" s="5">
        <v>2</v>
      </c>
      <c r="E436" s="5">
        <v>1</v>
      </c>
      <c r="F436" s="5">
        <v>1</v>
      </c>
      <c r="G436" s="5">
        <v>1</v>
      </c>
      <c r="H436" s="5">
        <v>1</v>
      </c>
      <c r="I436" s="5">
        <v>1</v>
      </c>
      <c r="J436" s="5">
        <v>1</v>
      </c>
      <c r="K436" s="5">
        <v>1</v>
      </c>
      <c r="L436" s="5">
        <v>1</v>
      </c>
      <c r="M436" s="5">
        <v>1</v>
      </c>
      <c r="N436" s="5">
        <v>1</v>
      </c>
      <c r="O436" s="5">
        <v>13</v>
      </c>
      <c r="P436" s="5" t="s">
        <v>983</v>
      </c>
      <c r="Q436" s="5">
        <v>1</v>
      </c>
      <c r="R436" s="5">
        <v>1</v>
      </c>
      <c r="S436" s="5">
        <v>1</v>
      </c>
      <c r="T436" s="5">
        <v>3</v>
      </c>
      <c r="U436" s="5" t="s">
        <v>982</v>
      </c>
      <c r="V436" s="5">
        <v>0</v>
      </c>
      <c r="W436" s="5">
        <v>0</v>
      </c>
      <c r="X436" s="5">
        <v>1</v>
      </c>
      <c r="Y436" s="5">
        <v>1</v>
      </c>
      <c r="Z436" s="5" t="s">
        <v>983</v>
      </c>
      <c r="AA436" s="5">
        <v>3</v>
      </c>
      <c r="AB436" s="5">
        <v>4</v>
      </c>
      <c r="AC436" s="5">
        <v>2</v>
      </c>
      <c r="AD436" s="5">
        <v>2</v>
      </c>
      <c r="AE436" s="5">
        <v>11</v>
      </c>
      <c r="AF436" s="5" t="s">
        <v>981</v>
      </c>
      <c r="AG436" s="5">
        <v>1</v>
      </c>
      <c r="AH436" s="5">
        <v>1</v>
      </c>
      <c r="AI436" s="5">
        <v>1</v>
      </c>
      <c r="AJ436" s="5">
        <v>3</v>
      </c>
      <c r="AK436" s="5" t="s">
        <v>982</v>
      </c>
      <c r="AL436" s="5">
        <v>1</v>
      </c>
      <c r="AM436" s="5">
        <v>1</v>
      </c>
      <c r="AN436" s="5">
        <v>1</v>
      </c>
      <c r="AO436" s="5">
        <v>3</v>
      </c>
      <c r="AP436" s="5" t="s">
        <v>982</v>
      </c>
      <c r="AQ436" s="5">
        <v>0</v>
      </c>
      <c r="AR436" s="5">
        <v>0</v>
      </c>
      <c r="AS436" s="5">
        <v>0</v>
      </c>
      <c r="AT436" s="5">
        <v>0</v>
      </c>
      <c r="AU436" s="5">
        <v>0</v>
      </c>
      <c r="AV436" s="5">
        <v>0</v>
      </c>
      <c r="AW436" s="5">
        <v>0</v>
      </c>
      <c r="AX436" s="5">
        <v>0</v>
      </c>
      <c r="AY436" s="5" t="s">
        <v>983</v>
      </c>
      <c r="AZ436" s="1">
        <v>1</v>
      </c>
      <c r="BA436" s="1">
        <v>1</v>
      </c>
      <c r="BB436" s="1">
        <v>1</v>
      </c>
      <c r="BC436" s="1">
        <v>1</v>
      </c>
      <c r="BD436" s="1">
        <v>1</v>
      </c>
      <c r="BE436" s="1">
        <v>1</v>
      </c>
      <c r="BF436" s="1">
        <v>63</v>
      </c>
      <c r="BG436" s="1">
        <v>1</v>
      </c>
      <c r="BH436" s="1">
        <v>14</v>
      </c>
      <c r="BI436" s="1">
        <v>34</v>
      </c>
      <c r="BJ436" s="1">
        <v>0</v>
      </c>
      <c r="BK436" s="1">
        <v>1</v>
      </c>
    </row>
    <row r="437" spans="1:63" ht="12.75" customHeight="1" x14ac:dyDescent="0.15">
      <c r="A437" s="5" t="s">
        <v>238</v>
      </c>
      <c r="B437" s="5" t="s">
        <v>238</v>
      </c>
      <c r="C437" s="5">
        <v>2</v>
      </c>
      <c r="D437" s="5">
        <v>2</v>
      </c>
      <c r="E437" s="5">
        <v>1</v>
      </c>
      <c r="F437" s="5">
        <v>1</v>
      </c>
      <c r="G437" s="5">
        <v>1</v>
      </c>
      <c r="H437" s="5">
        <v>1</v>
      </c>
      <c r="I437" s="5">
        <v>1</v>
      </c>
      <c r="J437" s="5">
        <v>2</v>
      </c>
      <c r="K437" s="5">
        <v>1</v>
      </c>
      <c r="L437" s="5">
        <v>2</v>
      </c>
      <c r="M437" s="5">
        <v>1</v>
      </c>
      <c r="N437" s="5">
        <v>1</v>
      </c>
      <c r="O437" s="5">
        <v>16</v>
      </c>
      <c r="P437" s="5" t="s">
        <v>983</v>
      </c>
      <c r="Q437" s="5">
        <v>2</v>
      </c>
      <c r="R437" s="5">
        <v>1</v>
      </c>
      <c r="S437" s="5">
        <v>0</v>
      </c>
      <c r="T437" s="5">
        <v>3</v>
      </c>
      <c r="U437" s="5" t="s">
        <v>982</v>
      </c>
      <c r="V437" s="5">
        <v>0</v>
      </c>
      <c r="W437" s="5">
        <v>1</v>
      </c>
      <c r="X437" s="5">
        <v>4</v>
      </c>
      <c r="Y437" s="5">
        <v>5</v>
      </c>
      <c r="Z437" s="5" t="s">
        <v>982</v>
      </c>
      <c r="AA437" s="5">
        <v>4</v>
      </c>
      <c r="AB437" s="5">
        <v>0</v>
      </c>
      <c r="AC437" s="5">
        <v>0</v>
      </c>
      <c r="AD437" s="5">
        <v>0</v>
      </c>
      <c r="AE437" s="5">
        <v>4</v>
      </c>
      <c r="AF437" s="5" t="s">
        <v>982</v>
      </c>
      <c r="AG437" s="5">
        <v>1</v>
      </c>
      <c r="AH437" s="5">
        <v>0</v>
      </c>
      <c r="AI437" s="5">
        <v>0</v>
      </c>
      <c r="AJ437" s="5">
        <v>1</v>
      </c>
      <c r="AK437" s="5" t="s">
        <v>983</v>
      </c>
      <c r="AL437" s="5">
        <v>0</v>
      </c>
      <c r="AM437" s="5">
        <v>0</v>
      </c>
      <c r="AN437" s="5">
        <v>0</v>
      </c>
      <c r="AO437" s="5">
        <v>0</v>
      </c>
      <c r="AP437" s="5" t="s">
        <v>983</v>
      </c>
      <c r="AQ437" s="5">
        <v>0</v>
      </c>
      <c r="AR437" s="5">
        <v>0</v>
      </c>
      <c r="AS437" s="5">
        <v>0</v>
      </c>
      <c r="AT437" s="5">
        <v>0</v>
      </c>
      <c r="AU437" s="5">
        <v>0</v>
      </c>
      <c r="AV437" s="5">
        <v>0</v>
      </c>
      <c r="AW437" s="5">
        <v>0</v>
      </c>
      <c r="AX437" s="5">
        <v>0</v>
      </c>
      <c r="AY437" s="5" t="s">
        <v>983</v>
      </c>
      <c r="AZ437" s="1">
        <v>1</v>
      </c>
      <c r="BA437" s="1">
        <v>0</v>
      </c>
      <c r="BB437" s="1">
        <v>0</v>
      </c>
      <c r="BC437" s="1">
        <v>1</v>
      </c>
      <c r="BD437" s="1">
        <v>0</v>
      </c>
      <c r="BE437" s="1">
        <v>1</v>
      </c>
      <c r="BF437" s="1">
        <v>33</v>
      </c>
      <c r="BG437" s="1">
        <v>0</v>
      </c>
      <c r="BH437" s="1">
        <v>10</v>
      </c>
      <c r="BI437" s="1">
        <v>34</v>
      </c>
      <c r="BJ437" s="1">
        <v>400000</v>
      </c>
      <c r="BK437" s="1">
        <v>7</v>
      </c>
    </row>
    <row r="438" spans="1:63" ht="12.75" customHeight="1" x14ac:dyDescent="0.15">
      <c r="A438" s="5" t="s">
        <v>238</v>
      </c>
      <c r="B438" s="5" t="s">
        <v>238</v>
      </c>
      <c r="C438" s="5">
        <v>3</v>
      </c>
      <c r="D438" s="5">
        <v>2</v>
      </c>
      <c r="E438" s="5">
        <v>2</v>
      </c>
      <c r="F438" s="5">
        <v>2</v>
      </c>
      <c r="G438" s="5">
        <v>2</v>
      </c>
      <c r="H438" s="5">
        <v>2</v>
      </c>
      <c r="I438" s="5">
        <v>1</v>
      </c>
      <c r="J438" s="5">
        <v>2</v>
      </c>
      <c r="K438" s="5">
        <v>1</v>
      </c>
      <c r="L438" s="5">
        <v>2</v>
      </c>
      <c r="M438" s="5">
        <v>2</v>
      </c>
      <c r="N438" s="5">
        <v>2</v>
      </c>
      <c r="O438" s="5">
        <v>23</v>
      </c>
      <c r="P438" s="5" t="s">
        <v>982</v>
      </c>
      <c r="Q438" s="5">
        <v>4</v>
      </c>
      <c r="R438" s="5">
        <v>4</v>
      </c>
      <c r="S438" s="5">
        <v>4</v>
      </c>
      <c r="T438" s="5">
        <v>12</v>
      </c>
      <c r="U438" s="5" t="s">
        <v>981</v>
      </c>
      <c r="V438" s="5">
        <v>2</v>
      </c>
      <c r="W438" s="5">
        <v>2</v>
      </c>
      <c r="X438" s="5">
        <v>2</v>
      </c>
      <c r="Y438" s="5">
        <v>6</v>
      </c>
      <c r="Z438" s="5" t="s">
        <v>981</v>
      </c>
      <c r="AA438" s="5">
        <v>4</v>
      </c>
      <c r="AB438" s="5">
        <v>2</v>
      </c>
      <c r="AC438" s="5">
        <v>1</v>
      </c>
      <c r="AD438" s="5">
        <v>4</v>
      </c>
      <c r="AE438" s="5">
        <v>11</v>
      </c>
      <c r="AF438" s="5" t="s">
        <v>981</v>
      </c>
      <c r="AG438" s="5">
        <v>0</v>
      </c>
      <c r="AH438" s="5">
        <v>0</v>
      </c>
      <c r="AI438" s="5">
        <v>1</v>
      </c>
      <c r="AJ438" s="5">
        <v>1</v>
      </c>
      <c r="AK438" s="5" t="s">
        <v>983</v>
      </c>
      <c r="AL438" s="5">
        <v>4</v>
      </c>
      <c r="AM438" s="5">
        <v>3</v>
      </c>
      <c r="AN438" s="5">
        <v>4</v>
      </c>
      <c r="AO438" s="5">
        <v>11</v>
      </c>
      <c r="AP438" s="5" t="s">
        <v>981</v>
      </c>
      <c r="AQ438" s="5">
        <v>0</v>
      </c>
      <c r="AR438" s="5">
        <v>0</v>
      </c>
      <c r="AS438" s="5">
        <v>0</v>
      </c>
      <c r="AT438" s="5">
        <v>0</v>
      </c>
      <c r="AU438" s="5">
        <v>0</v>
      </c>
      <c r="AV438" s="5">
        <v>0</v>
      </c>
      <c r="AW438" s="5">
        <v>0</v>
      </c>
      <c r="AX438" s="5">
        <v>0</v>
      </c>
      <c r="AY438" s="5" t="s">
        <v>983</v>
      </c>
      <c r="AZ438" s="1">
        <v>1</v>
      </c>
      <c r="BA438" s="1">
        <v>0</v>
      </c>
      <c r="BB438" s="1">
        <v>1</v>
      </c>
      <c r="BC438" s="1">
        <v>1</v>
      </c>
      <c r="BD438" s="1">
        <v>1</v>
      </c>
      <c r="BE438" s="1">
        <v>1</v>
      </c>
      <c r="BF438" s="1">
        <v>32</v>
      </c>
      <c r="BG438" s="1">
        <v>0</v>
      </c>
      <c r="BH438" s="1">
        <v>16</v>
      </c>
      <c r="BI438" s="1">
        <v>34</v>
      </c>
      <c r="BJ438" s="1">
        <v>750000</v>
      </c>
      <c r="BK438" s="1">
        <v>4</v>
      </c>
    </row>
    <row r="439" spans="1:63" ht="12.75" customHeight="1" x14ac:dyDescent="0.15">
      <c r="A439" s="5" t="s">
        <v>238</v>
      </c>
      <c r="B439" s="5" t="s">
        <v>238</v>
      </c>
      <c r="C439" s="5">
        <v>2</v>
      </c>
      <c r="D439" s="5">
        <v>2</v>
      </c>
      <c r="E439" s="5">
        <v>2</v>
      </c>
      <c r="F439" s="5">
        <v>2</v>
      </c>
      <c r="G439" s="5">
        <v>2</v>
      </c>
      <c r="H439" s="5">
        <v>1</v>
      </c>
      <c r="I439" s="5">
        <v>1</v>
      </c>
      <c r="J439" s="5">
        <v>2</v>
      </c>
      <c r="K439" s="5">
        <v>2</v>
      </c>
      <c r="L439" s="5">
        <v>2</v>
      </c>
      <c r="M439" s="5">
        <v>2</v>
      </c>
      <c r="N439" s="5">
        <v>2</v>
      </c>
      <c r="O439" s="5">
        <v>22</v>
      </c>
      <c r="P439" s="5" t="s">
        <v>982</v>
      </c>
      <c r="Q439" s="5">
        <v>2</v>
      </c>
      <c r="R439" s="5">
        <v>2</v>
      </c>
      <c r="S439" s="5">
        <v>2</v>
      </c>
      <c r="T439" s="5">
        <v>6</v>
      </c>
      <c r="U439" s="5" t="s">
        <v>981</v>
      </c>
      <c r="V439" s="5">
        <v>2</v>
      </c>
      <c r="W439" s="5">
        <v>2</v>
      </c>
      <c r="X439" s="5">
        <v>2</v>
      </c>
      <c r="Y439" s="5">
        <v>6</v>
      </c>
      <c r="Z439" s="5" t="s">
        <v>981</v>
      </c>
      <c r="AA439" s="5">
        <v>2</v>
      </c>
      <c r="AB439" s="5">
        <v>2</v>
      </c>
      <c r="AC439" s="5">
        <v>2</v>
      </c>
      <c r="AD439" s="5">
        <v>2</v>
      </c>
      <c r="AE439" s="5">
        <v>8</v>
      </c>
      <c r="AF439" s="5" t="s">
        <v>981</v>
      </c>
      <c r="AG439" s="5">
        <v>2</v>
      </c>
      <c r="AH439" s="5">
        <v>2</v>
      </c>
      <c r="AI439" s="5">
        <v>2</v>
      </c>
      <c r="AJ439" s="5">
        <v>6</v>
      </c>
      <c r="AK439" s="5" t="s">
        <v>981</v>
      </c>
      <c r="AL439" s="5">
        <v>2</v>
      </c>
      <c r="AM439" s="5">
        <v>2</v>
      </c>
      <c r="AN439" s="5">
        <v>2</v>
      </c>
      <c r="AO439" s="5">
        <v>6</v>
      </c>
      <c r="AP439" s="5" t="s">
        <v>981</v>
      </c>
      <c r="AQ439" s="5">
        <v>0</v>
      </c>
      <c r="AR439" s="5">
        <v>0</v>
      </c>
      <c r="AS439" s="5">
        <v>0</v>
      </c>
      <c r="AT439" s="5">
        <v>0</v>
      </c>
      <c r="AU439" s="5">
        <v>0</v>
      </c>
      <c r="AV439" s="5">
        <v>0</v>
      </c>
      <c r="AW439" s="5">
        <v>0</v>
      </c>
      <c r="AX439" s="5">
        <v>0</v>
      </c>
      <c r="AY439" s="5" t="s">
        <v>983</v>
      </c>
      <c r="AZ439" s="1">
        <v>1</v>
      </c>
      <c r="BA439" s="1">
        <v>0</v>
      </c>
      <c r="BB439" s="1">
        <v>0</v>
      </c>
      <c r="BC439" s="1">
        <v>1</v>
      </c>
      <c r="BD439" s="1">
        <v>1</v>
      </c>
      <c r="BE439" s="1">
        <v>1</v>
      </c>
      <c r="BF439" s="1">
        <v>0</v>
      </c>
      <c r="BG439" s="1">
        <v>1</v>
      </c>
      <c r="BI439" s="1">
        <v>3</v>
      </c>
      <c r="BJ439" s="1">
        <v>0</v>
      </c>
      <c r="BK439" s="1">
        <v>3</v>
      </c>
    </row>
    <row r="440" spans="1:63" ht="12.75" customHeight="1" x14ac:dyDescent="0.15">
      <c r="A440" s="5" t="s">
        <v>238</v>
      </c>
      <c r="B440" s="5" t="s">
        <v>238</v>
      </c>
      <c r="C440" s="5">
        <v>2</v>
      </c>
      <c r="D440" s="5">
        <v>1</v>
      </c>
      <c r="E440" s="5">
        <v>1</v>
      </c>
      <c r="F440" s="5">
        <v>1</v>
      </c>
      <c r="G440" s="5">
        <v>1</v>
      </c>
      <c r="H440" s="5">
        <v>1</v>
      </c>
      <c r="I440" s="5">
        <v>1</v>
      </c>
      <c r="J440" s="5">
        <v>1</v>
      </c>
      <c r="K440" s="5">
        <v>2</v>
      </c>
      <c r="L440" s="5">
        <v>2</v>
      </c>
      <c r="M440" s="5">
        <v>2</v>
      </c>
      <c r="N440" s="5">
        <v>2</v>
      </c>
      <c r="O440" s="5">
        <v>17</v>
      </c>
      <c r="P440" s="5" t="s">
        <v>983</v>
      </c>
      <c r="Q440" s="5">
        <v>1</v>
      </c>
      <c r="R440" s="5">
        <v>1</v>
      </c>
      <c r="S440" s="5">
        <v>1</v>
      </c>
      <c r="T440" s="5">
        <v>3</v>
      </c>
      <c r="U440" s="5" t="s">
        <v>982</v>
      </c>
      <c r="V440" s="5">
        <v>1</v>
      </c>
      <c r="W440" s="5">
        <v>2</v>
      </c>
      <c r="X440" s="5">
        <v>1</v>
      </c>
      <c r="Y440" s="5">
        <v>4</v>
      </c>
      <c r="Z440" s="5" t="s">
        <v>982</v>
      </c>
      <c r="AA440" s="5">
        <v>2</v>
      </c>
      <c r="AB440" s="5">
        <v>1</v>
      </c>
      <c r="AC440" s="5">
        <v>0</v>
      </c>
      <c r="AD440" s="5">
        <v>0</v>
      </c>
      <c r="AE440" s="5">
        <v>3</v>
      </c>
      <c r="AF440" s="5" t="s">
        <v>982</v>
      </c>
      <c r="AG440" s="5">
        <v>1</v>
      </c>
      <c r="AH440" s="5">
        <v>0</v>
      </c>
      <c r="AI440" s="5">
        <v>0</v>
      </c>
      <c r="AJ440" s="5">
        <v>1</v>
      </c>
      <c r="AK440" s="5" t="s">
        <v>983</v>
      </c>
      <c r="AL440" s="5">
        <v>0</v>
      </c>
      <c r="AM440" s="5">
        <v>0</v>
      </c>
      <c r="AN440" s="5">
        <v>0</v>
      </c>
      <c r="AO440" s="5">
        <v>0</v>
      </c>
      <c r="AP440" s="5" t="s">
        <v>983</v>
      </c>
      <c r="AQ440" s="5">
        <v>0</v>
      </c>
      <c r="AR440" s="5">
        <v>0</v>
      </c>
      <c r="AS440" s="5">
        <v>0</v>
      </c>
      <c r="AT440" s="5">
        <v>0</v>
      </c>
      <c r="AU440" s="5">
        <v>0</v>
      </c>
      <c r="AV440" s="5">
        <v>0</v>
      </c>
      <c r="AW440" s="5">
        <v>0</v>
      </c>
      <c r="AX440" s="5">
        <v>0</v>
      </c>
      <c r="AY440" s="5" t="s">
        <v>983</v>
      </c>
      <c r="AZ440" s="1">
        <v>0</v>
      </c>
      <c r="BA440" s="1">
        <v>0</v>
      </c>
      <c r="BB440" s="1">
        <v>1</v>
      </c>
      <c r="BC440" s="1">
        <v>1</v>
      </c>
      <c r="BD440" s="1">
        <v>0</v>
      </c>
      <c r="BE440" s="1">
        <v>1</v>
      </c>
      <c r="BF440" s="1">
        <v>38</v>
      </c>
      <c r="BG440" s="1">
        <v>1</v>
      </c>
      <c r="BH440" s="1">
        <v>14</v>
      </c>
      <c r="BI440" s="1">
        <v>34</v>
      </c>
      <c r="BJ440" s="1">
        <v>300000</v>
      </c>
      <c r="BK440" s="1">
        <v>5</v>
      </c>
    </row>
    <row r="441" spans="1:63" ht="12.75" customHeight="1" x14ac:dyDescent="0.15">
      <c r="A441" s="5" t="s">
        <v>337</v>
      </c>
      <c r="B441" s="5" t="s">
        <v>984</v>
      </c>
      <c r="C441" s="5">
        <v>3</v>
      </c>
      <c r="D441" s="5">
        <v>3</v>
      </c>
      <c r="E441" s="5">
        <v>3</v>
      </c>
      <c r="F441" s="5">
        <v>4</v>
      </c>
      <c r="G441" s="5">
        <v>4</v>
      </c>
      <c r="H441" s="5">
        <v>3</v>
      </c>
      <c r="I441" s="5">
        <v>1</v>
      </c>
      <c r="J441" s="5">
        <v>2</v>
      </c>
      <c r="K441" s="5">
        <v>1</v>
      </c>
      <c r="L441" s="5">
        <v>2</v>
      </c>
      <c r="M441" s="5">
        <v>1</v>
      </c>
      <c r="N441" s="5">
        <v>2</v>
      </c>
      <c r="O441" s="5">
        <v>29</v>
      </c>
      <c r="P441" s="5" t="s">
        <v>981</v>
      </c>
      <c r="Q441" s="5">
        <v>0</v>
      </c>
      <c r="R441" s="5">
        <v>0</v>
      </c>
      <c r="S441" s="5">
        <v>0</v>
      </c>
      <c r="T441" s="5">
        <v>0</v>
      </c>
      <c r="U441" s="5" t="s">
        <v>983</v>
      </c>
      <c r="V441" s="5">
        <v>1</v>
      </c>
      <c r="W441" s="5">
        <v>0</v>
      </c>
      <c r="X441" s="5">
        <v>4</v>
      </c>
      <c r="Y441" s="5">
        <v>5</v>
      </c>
      <c r="Z441" s="5" t="s">
        <v>982</v>
      </c>
      <c r="AA441" s="5">
        <v>3</v>
      </c>
      <c r="AB441" s="5">
        <v>3</v>
      </c>
      <c r="AC441" s="5">
        <v>0</v>
      </c>
      <c r="AD441" s="5">
        <v>3</v>
      </c>
      <c r="AE441" s="5">
        <v>9</v>
      </c>
      <c r="AF441" s="5" t="s">
        <v>981</v>
      </c>
      <c r="AG441" s="5">
        <v>0</v>
      </c>
      <c r="AH441" s="5">
        <v>4</v>
      </c>
      <c r="AI441" s="5">
        <v>4</v>
      </c>
      <c r="AJ441" s="5">
        <v>8</v>
      </c>
      <c r="AK441" s="5" t="s">
        <v>981</v>
      </c>
      <c r="AL441" s="5">
        <v>1</v>
      </c>
      <c r="AM441" s="5">
        <v>1</v>
      </c>
      <c r="AN441" s="5">
        <v>2</v>
      </c>
      <c r="AO441" s="5">
        <v>4</v>
      </c>
      <c r="AP441" s="5" t="s">
        <v>982</v>
      </c>
      <c r="AQ441" s="5">
        <v>1</v>
      </c>
      <c r="AR441" s="5">
        <v>0</v>
      </c>
      <c r="AS441" s="5">
        <v>1</v>
      </c>
      <c r="AT441" s="5">
        <v>0</v>
      </c>
      <c r="AU441" s="5">
        <v>1</v>
      </c>
      <c r="AV441" s="5">
        <v>1</v>
      </c>
      <c r="AW441" s="5">
        <v>1</v>
      </c>
      <c r="AX441" s="5">
        <v>5</v>
      </c>
      <c r="AY441" s="5" t="s">
        <v>982</v>
      </c>
      <c r="AZ441" s="1">
        <v>0</v>
      </c>
      <c r="BA441" s="1">
        <v>0</v>
      </c>
      <c r="BB441" s="1">
        <v>0</v>
      </c>
      <c r="BC441" s="1">
        <v>1</v>
      </c>
      <c r="BD441" s="1">
        <v>0</v>
      </c>
      <c r="BE441" s="1">
        <v>1</v>
      </c>
      <c r="BF441" s="1">
        <v>59</v>
      </c>
      <c r="BG441" s="1">
        <v>0</v>
      </c>
      <c r="BH441" s="1">
        <v>14</v>
      </c>
      <c r="BI441" s="1">
        <v>34</v>
      </c>
      <c r="BJ441" s="1">
        <v>200000</v>
      </c>
      <c r="BK441" s="1">
        <v>5</v>
      </c>
    </row>
    <row r="442" spans="1:63" ht="12.75" customHeight="1" x14ac:dyDescent="0.15">
      <c r="A442" s="5" t="s">
        <v>238</v>
      </c>
      <c r="B442" s="5" t="s">
        <v>238</v>
      </c>
      <c r="C442" s="5">
        <v>1</v>
      </c>
      <c r="D442" s="5">
        <v>2</v>
      </c>
      <c r="E442" s="5">
        <v>2</v>
      </c>
      <c r="F442" s="5">
        <v>1</v>
      </c>
      <c r="G442" s="5">
        <v>1</v>
      </c>
      <c r="H442" s="5">
        <v>1</v>
      </c>
      <c r="I442" s="5">
        <v>1</v>
      </c>
      <c r="J442" s="5">
        <v>1</v>
      </c>
      <c r="K442" s="5">
        <v>1</v>
      </c>
      <c r="L442" s="5">
        <v>1</v>
      </c>
      <c r="M442" s="5">
        <v>1</v>
      </c>
      <c r="N442" s="5">
        <v>1</v>
      </c>
      <c r="O442" s="5">
        <v>14</v>
      </c>
      <c r="P442" s="5" t="s">
        <v>983</v>
      </c>
      <c r="Q442" s="5">
        <v>2</v>
      </c>
      <c r="R442" s="5">
        <v>2</v>
      </c>
      <c r="S442" s="5">
        <v>2</v>
      </c>
      <c r="T442" s="5">
        <v>6</v>
      </c>
      <c r="U442" s="5" t="s">
        <v>981</v>
      </c>
      <c r="V442" s="5">
        <v>1</v>
      </c>
      <c r="W442" s="5">
        <v>1</v>
      </c>
      <c r="X442" s="5">
        <v>1</v>
      </c>
      <c r="Y442" s="5">
        <v>3</v>
      </c>
      <c r="Z442" s="5" t="s">
        <v>982</v>
      </c>
      <c r="AA442" s="5">
        <v>3</v>
      </c>
      <c r="AB442" s="5">
        <v>3</v>
      </c>
      <c r="AC442" s="5">
        <v>3</v>
      </c>
      <c r="AD442" s="5">
        <v>2</v>
      </c>
      <c r="AE442" s="5">
        <v>11</v>
      </c>
      <c r="AF442" s="5" t="s">
        <v>981</v>
      </c>
      <c r="AG442" s="5">
        <v>2</v>
      </c>
      <c r="AH442" s="5">
        <v>2</v>
      </c>
      <c r="AI442" s="5">
        <v>2</v>
      </c>
      <c r="AJ442" s="5">
        <v>6</v>
      </c>
      <c r="AK442" s="5" t="s">
        <v>981</v>
      </c>
      <c r="AL442" s="5">
        <v>1</v>
      </c>
      <c r="AM442" s="5">
        <v>1</v>
      </c>
      <c r="AN442" s="5">
        <v>1</v>
      </c>
      <c r="AO442" s="5">
        <v>3</v>
      </c>
      <c r="AP442" s="5" t="s">
        <v>982</v>
      </c>
      <c r="AQ442" s="5">
        <v>0</v>
      </c>
      <c r="AR442" s="5">
        <v>0</v>
      </c>
      <c r="AS442" s="5">
        <v>0</v>
      </c>
      <c r="AT442" s="5">
        <v>0</v>
      </c>
      <c r="AU442" s="5">
        <v>0</v>
      </c>
      <c r="AV442" s="5">
        <v>0</v>
      </c>
      <c r="AW442" s="5">
        <v>0</v>
      </c>
      <c r="AX442" s="5">
        <v>0</v>
      </c>
      <c r="AY442" s="5" t="s">
        <v>983</v>
      </c>
      <c r="AZ442" s="1">
        <v>0</v>
      </c>
      <c r="BA442" s="1">
        <v>0</v>
      </c>
      <c r="BB442" s="1">
        <v>0</v>
      </c>
      <c r="BC442" s="1">
        <v>1</v>
      </c>
      <c r="BD442" s="1">
        <v>1</v>
      </c>
      <c r="BE442" s="1">
        <v>1</v>
      </c>
      <c r="BF442" s="1">
        <v>53</v>
      </c>
      <c r="BG442" s="1">
        <v>0</v>
      </c>
      <c r="BH442" s="1">
        <v>14</v>
      </c>
      <c r="BI442" s="1">
        <v>24</v>
      </c>
      <c r="BJ442" s="1">
        <v>550000</v>
      </c>
      <c r="BK442" s="1">
        <v>2</v>
      </c>
    </row>
    <row r="443" spans="1:63" ht="12.75" customHeight="1" x14ac:dyDescent="0.15">
      <c r="A443" s="5" t="s">
        <v>330</v>
      </c>
      <c r="B443" s="5" t="s">
        <v>984</v>
      </c>
      <c r="C443" s="5">
        <v>2</v>
      </c>
      <c r="D443" s="5">
        <v>4</v>
      </c>
      <c r="E443" s="5">
        <v>2</v>
      </c>
      <c r="F443" s="5">
        <v>1</v>
      </c>
      <c r="G443" s="5">
        <v>1</v>
      </c>
      <c r="H443" s="5">
        <v>1</v>
      </c>
      <c r="I443" s="5">
        <v>1</v>
      </c>
      <c r="J443" s="5">
        <v>1</v>
      </c>
      <c r="K443" s="5">
        <v>2</v>
      </c>
      <c r="L443" s="5">
        <v>3</v>
      </c>
      <c r="M443" s="5">
        <v>2</v>
      </c>
      <c r="N443" s="5">
        <v>1</v>
      </c>
      <c r="O443" s="5">
        <v>21</v>
      </c>
      <c r="P443" s="5" t="s">
        <v>982</v>
      </c>
      <c r="Q443" s="5">
        <v>0</v>
      </c>
      <c r="R443" s="5">
        <v>1</v>
      </c>
      <c r="S443" s="5">
        <v>0</v>
      </c>
      <c r="T443" s="5">
        <v>1</v>
      </c>
      <c r="U443" s="5" t="s">
        <v>983</v>
      </c>
      <c r="V443" s="5">
        <v>4</v>
      </c>
      <c r="W443" s="5">
        <v>4</v>
      </c>
      <c r="X443" s="5">
        <v>4</v>
      </c>
      <c r="Y443" s="5">
        <v>12</v>
      </c>
      <c r="Z443" s="5" t="s">
        <v>981</v>
      </c>
      <c r="AA443" s="5">
        <v>1</v>
      </c>
      <c r="AB443" s="5">
        <v>0</v>
      </c>
      <c r="AC443" s="5">
        <v>1</v>
      </c>
      <c r="AD443" s="5">
        <v>0</v>
      </c>
      <c r="AE443" s="5">
        <v>2</v>
      </c>
      <c r="AF443" s="5" t="s">
        <v>982</v>
      </c>
      <c r="AG443" s="5">
        <v>2</v>
      </c>
      <c r="AH443" s="5">
        <v>4</v>
      </c>
      <c r="AI443" s="5">
        <v>4</v>
      </c>
      <c r="AJ443" s="5">
        <v>10</v>
      </c>
      <c r="AK443" s="5" t="s">
        <v>981</v>
      </c>
      <c r="AL443" s="5">
        <v>2</v>
      </c>
      <c r="AM443" s="5">
        <v>2</v>
      </c>
      <c r="AN443" s="5">
        <v>0</v>
      </c>
      <c r="AO443" s="5">
        <v>4</v>
      </c>
      <c r="AP443" s="5" t="s">
        <v>982</v>
      </c>
      <c r="AQ443" s="5">
        <v>4</v>
      </c>
      <c r="AR443" s="5">
        <v>1</v>
      </c>
      <c r="AS443" s="5">
        <v>0</v>
      </c>
      <c r="AT443" s="5">
        <v>0</v>
      </c>
      <c r="AU443" s="5">
        <v>0</v>
      </c>
      <c r="AV443" s="5">
        <v>0</v>
      </c>
      <c r="AW443" s="5">
        <v>0</v>
      </c>
      <c r="AX443" s="5">
        <v>5</v>
      </c>
      <c r="AY443" s="5" t="s">
        <v>982</v>
      </c>
      <c r="AZ443" s="1">
        <v>0</v>
      </c>
      <c r="BA443" s="1">
        <v>0</v>
      </c>
      <c r="BB443" s="1">
        <v>0</v>
      </c>
      <c r="BC443" s="1">
        <v>1</v>
      </c>
      <c r="BD443" s="1">
        <v>0</v>
      </c>
      <c r="BE443" s="1">
        <v>1</v>
      </c>
      <c r="BF443" s="1">
        <v>53</v>
      </c>
      <c r="BG443" s="1">
        <v>0</v>
      </c>
      <c r="BH443" s="1">
        <v>14</v>
      </c>
      <c r="BI443" s="1">
        <v>24</v>
      </c>
      <c r="BJ443" s="1">
        <v>550000</v>
      </c>
      <c r="BK443" s="1">
        <v>2</v>
      </c>
    </row>
    <row r="444" spans="1:63" ht="12.75" customHeight="1" x14ac:dyDescent="0.15">
      <c r="A444" s="5" t="s">
        <v>238</v>
      </c>
      <c r="B444" s="5" t="s">
        <v>238</v>
      </c>
      <c r="C444" s="5">
        <v>3</v>
      </c>
      <c r="D444" s="5">
        <v>2</v>
      </c>
      <c r="E444" s="5">
        <v>2</v>
      </c>
      <c r="F444" s="5">
        <v>2</v>
      </c>
      <c r="G444" s="5">
        <v>2</v>
      </c>
      <c r="H444" s="5">
        <v>2</v>
      </c>
      <c r="I444" s="5">
        <v>1</v>
      </c>
      <c r="J444" s="5">
        <v>1</v>
      </c>
      <c r="K444" s="5">
        <v>2</v>
      </c>
      <c r="L444" s="5">
        <v>2</v>
      </c>
      <c r="M444" s="5">
        <v>2</v>
      </c>
      <c r="N444" s="5">
        <v>1</v>
      </c>
      <c r="O444" s="5">
        <v>22</v>
      </c>
      <c r="P444" s="5" t="s">
        <v>982</v>
      </c>
      <c r="Q444" s="5">
        <v>2</v>
      </c>
      <c r="R444" s="5">
        <v>2</v>
      </c>
      <c r="S444" s="5">
        <v>2</v>
      </c>
      <c r="T444" s="5">
        <v>6</v>
      </c>
      <c r="U444" s="5" t="s">
        <v>981</v>
      </c>
      <c r="V444" s="5">
        <v>2</v>
      </c>
      <c r="W444" s="5">
        <v>2</v>
      </c>
      <c r="X444" s="5">
        <v>2</v>
      </c>
      <c r="Y444" s="5">
        <v>6</v>
      </c>
      <c r="Z444" s="5" t="s">
        <v>981</v>
      </c>
      <c r="AA444" s="5">
        <v>2</v>
      </c>
      <c r="AB444" s="5">
        <v>2</v>
      </c>
      <c r="AC444" s="5">
        <v>2</v>
      </c>
      <c r="AD444" s="5">
        <v>2</v>
      </c>
      <c r="AE444" s="5">
        <v>8</v>
      </c>
      <c r="AF444" s="5" t="s">
        <v>981</v>
      </c>
      <c r="AG444" s="5">
        <v>2</v>
      </c>
      <c r="AH444" s="5">
        <v>3</v>
      </c>
      <c r="AI444" s="5">
        <v>2</v>
      </c>
      <c r="AJ444" s="5">
        <v>7</v>
      </c>
      <c r="AK444" s="5" t="s">
        <v>981</v>
      </c>
      <c r="AL444" s="5">
        <v>3</v>
      </c>
      <c r="AM444" s="5">
        <v>2</v>
      </c>
      <c r="AN444" s="5">
        <v>2</v>
      </c>
      <c r="AO444" s="5">
        <v>7</v>
      </c>
      <c r="AP444" s="5" t="s">
        <v>981</v>
      </c>
      <c r="AQ444" s="5">
        <v>0</v>
      </c>
      <c r="AR444" s="5">
        <v>0</v>
      </c>
      <c r="AS444" s="5">
        <v>0</v>
      </c>
      <c r="AT444" s="5">
        <v>0</v>
      </c>
      <c r="AU444" s="5">
        <v>0</v>
      </c>
      <c r="AV444" s="5">
        <v>0</v>
      </c>
      <c r="AW444" s="5">
        <v>0</v>
      </c>
      <c r="AX444" s="5">
        <v>0</v>
      </c>
      <c r="AY444" s="5" t="s">
        <v>983</v>
      </c>
      <c r="AZ444" s="1">
        <v>1</v>
      </c>
      <c r="BA444" s="1">
        <v>0</v>
      </c>
      <c r="BB444" s="1">
        <v>0</v>
      </c>
      <c r="BC444" s="1">
        <v>1</v>
      </c>
      <c r="BD444" s="1">
        <v>1</v>
      </c>
      <c r="BE444" s="1">
        <v>1</v>
      </c>
      <c r="BF444" s="1">
        <v>26</v>
      </c>
      <c r="BG444" s="1">
        <v>0</v>
      </c>
      <c r="BH444" s="1">
        <v>2</v>
      </c>
      <c r="BI444" s="1">
        <v>24</v>
      </c>
      <c r="BJ444" s="1">
        <v>0</v>
      </c>
      <c r="BK444" s="1">
        <v>1</v>
      </c>
    </row>
    <row r="445" spans="1:63" ht="12.75" customHeight="1" x14ac:dyDescent="0.15">
      <c r="A445" s="5" t="s">
        <v>330</v>
      </c>
      <c r="B445" s="5" t="s">
        <v>984</v>
      </c>
      <c r="C445" s="5">
        <v>3</v>
      </c>
      <c r="D445" s="5">
        <v>3</v>
      </c>
      <c r="E445" s="5">
        <v>3</v>
      </c>
      <c r="F445" s="5">
        <v>2</v>
      </c>
      <c r="G445" s="5">
        <v>1</v>
      </c>
      <c r="H445" s="5">
        <v>1</v>
      </c>
      <c r="I445" s="5">
        <v>1</v>
      </c>
      <c r="J445" s="5">
        <v>2</v>
      </c>
      <c r="K445" s="5">
        <v>2</v>
      </c>
      <c r="L445" s="5">
        <v>3</v>
      </c>
      <c r="M445" s="5">
        <v>3</v>
      </c>
      <c r="N445" s="5">
        <v>2</v>
      </c>
      <c r="O445" s="5">
        <v>26</v>
      </c>
      <c r="P445" s="5" t="s">
        <v>981</v>
      </c>
      <c r="Q445" s="5">
        <v>1</v>
      </c>
      <c r="R445" s="5">
        <v>1</v>
      </c>
      <c r="S445" s="5">
        <v>1</v>
      </c>
      <c r="T445" s="5">
        <v>3</v>
      </c>
      <c r="U445" s="5" t="s">
        <v>982</v>
      </c>
      <c r="V445" s="5">
        <v>2</v>
      </c>
      <c r="W445" s="5">
        <v>0</v>
      </c>
      <c r="X445" s="5">
        <v>1</v>
      </c>
      <c r="Y445" s="5">
        <v>3</v>
      </c>
      <c r="Z445" s="5" t="s">
        <v>982</v>
      </c>
      <c r="AA445" s="5">
        <v>2</v>
      </c>
      <c r="AB445" s="5">
        <v>2</v>
      </c>
      <c r="AC445" s="5">
        <v>2</v>
      </c>
      <c r="AD445" s="5">
        <v>1</v>
      </c>
      <c r="AE445" s="5">
        <v>7</v>
      </c>
      <c r="AF445" s="5" t="s">
        <v>981</v>
      </c>
      <c r="AG445" s="5">
        <v>1</v>
      </c>
      <c r="AH445" s="5">
        <v>1</v>
      </c>
      <c r="AI445" s="5">
        <v>1</v>
      </c>
      <c r="AJ445" s="5">
        <v>3</v>
      </c>
      <c r="AK445" s="5" t="s">
        <v>982</v>
      </c>
      <c r="AL445" s="5">
        <v>1</v>
      </c>
      <c r="AM445" s="5">
        <v>1</v>
      </c>
      <c r="AN445" s="5">
        <v>1</v>
      </c>
      <c r="AO445" s="5">
        <v>3</v>
      </c>
      <c r="AP445" s="5" t="s">
        <v>982</v>
      </c>
      <c r="AQ445" s="5">
        <v>0</v>
      </c>
      <c r="AR445" s="5">
        <v>0</v>
      </c>
      <c r="AS445" s="5">
        <v>0</v>
      </c>
      <c r="AT445" s="5">
        <v>0</v>
      </c>
      <c r="AU445" s="5">
        <v>0</v>
      </c>
      <c r="AV445" s="5">
        <v>0</v>
      </c>
      <c r="AW445" s="5">
        <v>0</v>
      </c>
      <c r="AX445" s="5">
        <v>0</v>
      </c>
      <c r="AY445" s="5" t="s">
        <v>983</v>
      </c>
      <c r="AZ445" s="1">
        <v>0</v>
      </c>
      <c r="BA445" s="1">
        <v>0</v>
      </c>
      <c r="BB445" s="1">
        <v>0</v>
      </c>
      <c r="BC445" s="1">
        <v>1</v>
      </c>
      <c r="BD445" s="1">
        <v>0</v>
      </c>
      <c r="BE445" s="1">
        <v>1</v>
      </c>
      <c r="BF445" s="1">
        <v>0</v>
      </c>
      <c r="BG445" s="1">
        <v>0</v>
      </c>
      <c r="BI445" s="1">
        <v>34</v>
      </c>
      <c r="BJ445" s="1">
        <v>0</v>
      </c>
      <c r="BK445" s="1">
        <v>2</v>
      </c>
    </row>
    <row r="446" spans="1:63" ht="12.75" customHeight="1" x14ac:dyDescent="0.15">
      <c r="A446" s="5" t="s">
        <v>330</v>
      </c>
      <c r="B446" s="5" t="s">
        <v>984</v>
      </c>
      <c r="C446" s="5">
        <v>3</v>
      </c>
      <c r="D446" s="5">
        <v>4</v>
      </c>
      <c r="E446" s="5">
        <v>4</v>
      </c>
      <c r="F446" s="5">
        <v>4</v>
      </c>
      <c r="G446" s="5">
        <v>2</v>
      </c>
      <c r="H446" s="5">
        <v>2</v>
      </c>
      <c r="I446" s="5">
        <v>1</v>
      </c>
      <c r="J446" s="5">
        <v>1</v>
      </c>
      <c r="K446" s="5">
        <v>1</v>
      </c>
      <c r="L446" s="5">
        <v>3</v>
      </c>
      <c r="M446" s="5">
        <v>2</v>
      </c>
      <c r="N446" s="5">
        <v>2</v>
      </c>
      <c r="O446" s="5">
        <v>29</v>
      </c>
      <c r="P446" s="5" t="s">
        <v>981</v>
      </c>
      <c r="Q446" s="5">
        <v>1</v>
      </c>
      <c r="R446" s="5">
        <v>1</v>
      </c>
      <c r="S446" s="5">
        <v>1</v>
      </c>
      <c r="T446" s="5">
        <v>3</v>
      </c>
      <c r="U446" s="5" t="s">
        <v>982</v>
      </c>
      <c r="V446" s="5">
        <v>0</v>
      </c>
      <c r="W446" s="5">
        <v>4</v>
      </c>
      <c r="X446" s="5">
        <v>1</v>
      </c>
      <c r="Y446" s="5">
        <v>5</v>
      </c>
      <c r="Z446" s="5" t="s">
        <v>982</v>
      </c>
      <c r="AA446" s="5">
        <v>3</v>
      </c>
      <c r="AB446" s="5">
        <v>3</v>
      </c>
      <c r="AC446" s="5">
        <v>2</v>
      </c>
      <c r="AD446" s="5">
        <v>0</v>
      </c>
      <c r="AE446" s="5">
        <v>8</v>
      </c>
      <c r="AF446" s="5" t="s">
        <v>981</v>
      </c>
      <c r="AG446" s="5">
        <v>3</v>
      </c>
      <c r="AH446" s="5">
        <v>2</v>
      </c>
      <c r="AI446" s="5">
        <v>3</v>
      </c>
      <c r="AJ446" s="5">
        <v>8</v>
      </c>
      <c r="AK446" s="5" t="s">
        <v>981</v>
      </c>
      <c r="AL446" s="5">
        <v>0</v>
      </c>
      <c r="AM446" s="5">
        <v>0</v>
      </c>
      <c r="AN446" s="5">
        <v>0</v>
      </c>
      <c r="AO446" s="5">
        <v>0</v>
      </c>
      <c r="AP446" s="5" t="s">
        <v>983</v>
      </c>
      <c r="AQ446" s="5">
        <v>0</v>
      </c>
      <c r="AR446" s="5">
        <v>0</v>
      </c>
      <c r="AS446" s="5">
        <v>0</v>
      </c>
      <c r="AT446" s="5">
        <v>0</v>
      </c>
      <c r="AU446" s="5">
        <v>0</v>
      </c>
      <c r="AV446" s="5">
        <v>0</v>
      </c>
      <c r="AW446" s="5">
        <v>0</v>
      </c>
      <c r="AX446" s="5">
        <v>0</v>
      </c>
      <c r="AY446" s="5" t="s">
        <v>983</v>
      </c>
      <c r="AZ446" s="1">
        <v>1</v>
      </c>
      <c r="BA446" s="1">
        <v>0</v>
      </c>
      <c r="BB446" s="1">
        <v>1</v>
      </c>
      <c r="BC446" s="1">
        <v>1</v>
      </c>
      <c r="BD446" s="1">
        <v>1</v>
      </c>
      <c r="BE446" s="1">
        <v>1</v>
      </c>
      <c r="BF446" s="1">
        <v>30</v>
      </c>
      <c r="BG446" s="1">
        <v>1</v>
      </c>
      <c r="BH446" s="1">
        <v>10</v>
      </c>
      <c r="BI446" s="1">
        <v>8</v>
      </c>
      <c r="BJ446" s="1">
        <v>0</v>
      </c>
      <c r="BK446" s="1">
        <v>3</v>
      </c>
    </row>
    <row r="447" spans="1:63" ht="12.75" customHeight="1" x14ac:dyDescent="0.15">
      <c r="A447" s="5" t="s">
        <v>238</v>
      </c>
      <c r="B447" s="5" t="s">
        <v>238</v>
      </c>
      <c r="C447" s="5">
        <v>3</v>
      </c>
      <c r="D447" s="5">
        <v>4</v>
      </c>
      <c r="E447" s="5">
        <v>4</v>
      </c>
      <c r="F447" s="5">
        <v>4</v>
      </c>
      <c r="G447" s="5">
        <v>4</v>
      </c>
      <c r="H447" s="5">
        <v>3</v>
      </c>
      <c r="I447" s="5">
        <v>4</v>
      </c>
      <c r="J447" s="5">
        <v>4</v>
      </c>
      <c r="K447" s="5">
        <v>3</v>
      </c>
      <c r="L447" s="5">
        <v>4</v>
      </c>
      <c r="M447" s="5">
        <v>3</v>
      </c>
      <c r="N447" s="5">
        <v>4</v>
      </c>
      <c r="O447" s="5">
        <v>44</v>
      </c>
      <c r="P447" s="5" t="s">
        <v>981</v>
      </c>
      <c r="Q447" s="5">
        <v>3</v>
      </c>
      <c r="R447" s="5">
        <v>2</v>
      </c>
      <c r="S447" s="5">
        <v>1</v>
      </c>
      <c r="T447" s="5">
        <v>6</v>
      </c>
      <c r="U447" s="5" t="s">
        <v>981</v>
      </c>
      <c r="V447" s="5">
        <v>3</v>
      </c>
      <c r="W447" s="5">
        <v>0</v>
      </c>
      <c r="X447" s="5">
        <v>4</v>
      </c>
      <c r="Y447" s="5">
        <v>7</v>
      </c>
      <c r="Z447" s="5" t="s">
        <v>981</v>
      </c>
      <c r="AA447" s="5">
        <v>3</v>
      </c>
      <c r="AB447" s="5">
        <v>4</v>
      </c>
      <c r="AC447" s="5">
        <v>2</v>
      </c>
      <c r="AD447" s="5">
        <v>2</v>
      </c>
      <c r="AE447" s="5">
        <v>11</v>
      </c>
      <c r="AF447" s="5" t="s">
        <v>981</v>
      </c>
      <c r="AG447" s="5">
        <v>0</v>
      </c>
      <c r="AH447" s="5">
        <v>0</v>
      </c>
      <c r="AI447" s="5">
        <v>0</v>
      </c>
      <c r="AJ447" s="5">
        <v>0</v>
      </c>
      <c r="AK447" s="5" t="s">
        <v>983</v>
      </c>
      <c r="AL447" s="5">
        <v>0</v>
      </c>
      <c r="AM447" s="5">
        <v>0</v>
      </c>
      <c r="AN447" s="5">
        <v>0</v>
      </c>
      <c r="AO447" s="5">
        <v>0</v>
      </c>
      <c r="AP447" s="5" t="s">
        <v>983</v>
      </c>
      <c r="AQ447" s="5">
        <v>0</v>
      </c>
      <c r="AR447" s="5">
        <v>0</v>
      </c>
      <c r="AS447" s="5">
        <v>0</v>
      </c>
      <c r="AT447" s="5">
        <v>0</v>
      </c>
      <c r="AU447" s="5">
        <v>0</v>
      </c>
      <c r="AV447" s="5">
        <v>0</v>
      </c>
      <c r="AW447" s="5">
        <v>0</v>
      </c>
      <c r="AX447" s="5">
        <v>0</v>
      </c>
      <c r="AY447" s="5" t="s">
        <v>983</v>
      </c>
      <c r="AZ447" s="1">
        <v>1</v>
      </c>
      <c r="BA447" s="1">
        <v>0</v>
      </c>
      <c r="BB447" s="1">
        <v>0</v>
      </c>
      <c r="BC447" s="1">
        <v>1</v>
      </c>
      <c r="BD447" s="1">
        <v>0</v>
      </c>
      <c r="BE447" s="1">
        <v>1</v>
      </c>
      <c r="BF447" s="1">
        <v>49</v>
      </c>
      <c r="BG447" s="1">
        <v>0</v>
      </c>
      <c r="BH447" s="1">
        <v>5</v>
      </c>
      <c r="BI447" s="1">
        <v>28</v>
      </c>
      <c r="BJ447" s="1">
        <v>500000</v>
      </c>
      <c r="BK447" s="1">
        <v>4</v>
      </c>
    </row>
    <row r="448" spans="1:63" ht="12.75" customHeight="1" x14ac:dyDescent="0.15">
      <c r="A448" s="5" t="s">
        <v>238</v>
      </c>
      <c r="B448" s="5" t="s">
        <v>238</v>
      </c>
      <c r="C448" s="5">
        <v>2</v>
      </c>
      <c r="D448" s="5">
        <v>3</v>
      </c>
      <c r="E448" s="5">
        <v>4</v>
      </c>
      <c r="F448" s="5">
        <v>4</v>
      </c>
      <c r="G448" s="5">
        <v>4</v>
      </c>
      <c r="H448" s="5">
        <v>2</v>
      </c>
      <c r="I448" s="5">
        <v>2</v>
      </c>
      <c r="J448" s="5">
        <v>1</v>
      </c>
      <c r="K448" s="5">
        <v>1</v>
      </c>
      <c r="L448" s="5">
        <v>1</v>
      </c>
      <c r="M448" s="5">
        <v>1</v>
      </c>
      <c r="N448" s="5">
        <v>2</v>
      </c>
      <c r="O448" s="5">
        <v>27</v>
      </c>
      <c r="P448" s="5" t="s">
        <v>981</v>
      </c>
      <c r="Q448" s="5">
        <v>1</v>
      </c>
      <c r="R448" s="5">
        <v>2</v>
      </c>
      <c r="S448" s="5">
        <v>2</v>
      </c>
      <c r="T448" s="5">
        <v>5</v>
      </c>
      <c r="U448" s="5" t="s">
        <v>981</v>
      </c>
      <c r="V448" s="5">
        <v>1</v>
      </c>
      <c r="W448" s="5">
        <v>2</v>
      </c>
      <c r="X448" s="5">
        <v>4</v>
      </c>
      <c r="Y448" s="5">
        <v>7</v>
      </c>
      <c r="Z448" s="5" t="s">
        <v>981</v>
      </c>
      <c r="AA448" s="5">
        <v>0</v>
      </c>
      <c r="AB448" s="5">
        <v>0</v>
      </c>
      <c r="AC448" s="5">
        <v>0</v>
      </c>
      <c r="AD448" s="5">
        <v>0</v>
      </c>
      <c r="AE448" s="5">
        <v>0</v>
      </c>
      <c r="AF448" s="5" t="s">
        <v>983</v>
      </c>
      <c r="AG448" s="5">
        <v>1</v>
      </c>
      <c r="AH448" s="5">
        <v>1</v>
      </c>
      <c r="AI448" s="5">
        <v>1</v>
      </c>
      <c r="AJ448" s="5">
        <v>3</v>
      </c>
      <c r="AK448" s="5" t="s">
        <v>982</v>
      </c>
      <c r="AL448" s="5">
        <v>1</v>
      </c>
      <c r="AM448" s="5">
        <v>1</v>
      </c>
      <c r="AN448" s="5">
        <v>1</v>
      </c>
      <c r="AO448" s="5">
        <v>3</v>
      </c>
      <c r="AP448" s="5" t="s">
        <v>982</v>
      </c>
      <c r="AQ448" s="5">
        <v>0</v>
      </c>
      <c r="AR448" s="5">
        <v>0</v>
      </c>
      <c r="AS448" s="5">
        <v>0</v>
      </c>
      <c r="AT448" s="5">
        <v>0</v>
      </c>
      <c r="AU448" s="5">
        <v>0</v>
      </c>
      <c r="AV448" s="5">
        <v>0</v>
      </c>
      <c r="AW448" s="5">
        <v>0</v>
      </c>
      <c r="AX448" s="5">
        <v>0</v>
      </c>
      <c r="AY448" s="5" t="s">
        <v>983</v>
      </c>
      <c r="AZ448" s="1">
        <v>0</v>
      </c>
      <c r="BA448" s="1">
        <v>0</v>
      </c>
      <c r="BB448" s="1">
        <v>0</v>
      </c>
      <c r="BC448" s="1">
        <v>1</v>
      </c>
      <c r="BD448" s="1">
        <v>1</v>
      </c>
      <c r="BE448" s="1">
        <v>1</v>
      </c>
      <c r="BF448" s="1">
        <v>63</v>
      </c>
      <c r="BG448" s="1">
        <v>1</v>
      </c>
      <c r="BH448" s="1">
        <v>3</v>
      </c>
      <c r="BI448" s="1">
        <v>13</v>
      </c>
      <c r="BJ448" s="1">
        <v>400000</v>
      </c>
      <c r="BK448" s="1">
        <v>2</v>
      </c>
    </row>
    <row r="449" spans="1:63" ht="12.75" customHeight="1" x14ac:dyDescent="0.15">
      <c r="A449" s="5" t="s">
        <v>238</v>
      </c>
      <c r="B449" s="5" t="s">
        <v>238</v>
      </c>
      <c r="C449" s="5">
        <v>2</v>
      </c>
      <c r="D449" s="5">
        <v>2</v>
      </c>
      <c r="E449" s="5">
        <v>2</v>
      </c>
      <c r="F449" s="5">
        <v>2</v>
      </c>
      <c r="G449" s="5">
        <v>1</v>
      </c>
      <c r="H449" s="5">
        <v>1</v>
      </c>
      <c r="I449" s="5">
        <v>1</v>
      </c>
      <c r="J449" s="5">
        <v>1</v>
      </c>
      <c r="K449" s="5">
        <v>1</v>
      </c>
      <c r="L449" s="5">
        <v>1</v>
      </c>
      <c r="M449" s="5">
        <v>1</v>
      </c>
      <c r="N449" s="5">
        <v>1</v>
      </c>
      <c r="O449" s="5">
        <v>16</v>
      </c>
      <c r="P449" s="5" t="s">
        <v>983</v>
      </c>
      <c r="Q449" s="5">
        <v>0</v>
      </c>
      <c r="R449" s="5">
        <v>0</v>
      </c>
      <c r="S449" s="5">
        <v>0</v>
      </c>
      <c r="T449" s="5">
        <v>0</v>
      </c>
      <c r="U449" s="5" t="s">
        <v>983</v>
      </c>
      <c r="V449" s="5">
        <v>0</v>
      </c>
      <c r="W449" s="5">
        <v>1</v>
      </c>
      <c r="X449" s="5">
        <v>0</v>
      </c>
      <c r="Y449" s="5">
        <v>1</v>
      </c>
      <c r="Z449" s="5" t="s">
        <v>983</v>
      </c>
      <c r="AA449" s="5">
        <v>3</v>
      </c>
      <c r="AB449" s="5">
        <v>4</v>
      </c>
      <c r="AC449" s="5">
        <v>4</v>
      </c>
      <c r="AD449" s="5">
        <v>4</v>
      </c>
      <c r="AE449" s="5">
        <v>15</v>
      </c>
      <c r="AF449" s="5" t="s">
        <v>981</v>
      </c>
      <c r="AG449" s="5">
        <v>0</v>
      </c>
      <c r="AH449" s="5">
        <v>0</v>
      </c>
      <c r="AI449" s="5">
        <v>0</v>
      </c>
      <c r="AJ449" s="5">
        <v>0</v>
      </c>
      <c r="AK449" s="5" t="s">
        <v>983</v>
      </c>
      <c r="AL449" s="5">
        <v>0</v>
      </c>
      <c r="AM449" s="5">
        <v>0</v>
      </c>
      <c r="AN449" s="5">
        <v>0</v>
      </c>
      <c r="AO449" s="5">
        <v>0</v>
      </c>
      <c r="AP449" s="5" t="s">
        <v>983</v>
      </c>
      <c r="AQ449" s="5">
        <v>0</v>
      </c>
      <c r="AR449" s="5">
        <v>0</v>
      </c>
      <c r="AS449" s="5">
        <v>0</v>
      </c>
      <c r="AT449" s="5">
        <v>0</v>
      </c>
      <c r="AU449" s="5">
        <v>0</v>
      </c>
      <c r="AV449" s="5">
        <v>0</v>
      </c>
      <c r="AW449" s="5">
        <v>0</v>
      </c>
      <c r="AX449" s="5">
        <v>0</v>
      </c>
      <c r="AY449" s="5" t="s">
        <v>983</v>
      </c>
      <c r="AZ449" s="1">
        <v>0</v>
      </c>
      <c r="BA449" s="1">
        <v>0</v>
      </c>
      <c r="BB449" s="1">
        <v>0</v>
      </c>
      <c r="BC449" s="1">
        <v>1</v>
      </c>
      <c r="BD449" s="1">
        <v>1</v>
      </c>
      <c r="BE449" s="1">
        <v>1</v>
      </c>
      <c r="BF449" s="1">
        <v>55</v>
      </c>
      <c r="BG449" s="1">
        <v>0</v>
      </c>
      <c r="BH449" s="1">
        <v>16</v>
      </c>
      <c r="BI449" s="1">
        <v>34</v>
      </c>
      <c r="BJ449" s="1">
        <v>800000</v>
      </c>
      <c r="BK449" s="1">
        <v>3</v>
      </c>
    </row>
    <row r="450" spans="1:63" ht="12.75" customHeight="1" x14ac:dyDescent="0.15">
      <c r="A450" s="5" t="s">
        <v>238</v>
      </c>
      <c r="B450" s="5" t="s">
        <v>238</v>
      </c>
      <c r="C450" s="5">
        <v>2</v>
      </c>
      <c r="D450" s="5">
        <v>4</v>
      </c>
      <c r="E450" s="5">
        <v>4</v>
      </c>
      <c r="F450" s="5">
        <v>2</v>
      </c>
      <c r="G450" s="5">
        <v>4</v>
      </c>
      <c r="H450" s="5">
        <v>2</v>
      </c>
      <c r="I450" s="5">
        <v>1</v>
      </c>
      <c r="J450" s="5">
        <v>1</v>
      </c>
      <c r="K450" s="5">
        <v>1</v>
      </c>
      <c r="L450" s="5">
        <v>2</v>
      </c>
      <c r="M450" s="5">
        <v>1</v>
      </c>
      <c r="N450" s="5">
        <v>2</v>
      </c>
      <c r="O450" s="5">
        <v>26</v>
      </c>
      <c r="P450" s="5" t="s">
        <v>981</v>
      </c>
      <c r="Q450" s="5">
        <v>2</v>
      </c>
      <c r="R450" s="5">
        <v>3</v>
      </c>
      <c r="S450" s="5">
        <v>2</v>
      </c>
      <c r="T450" s="5">
        <v>7</v>
      </c>
      <c r="U450" s="5" t="s">
        <v>981</v>
      </c>
      <c r="V450" s="5">
        <v>2</v>
      </c>
      <c r="W450" s="5">
        <v>2</v>
      </c>
      <c r="X450" s="5">
        <v>2</v>
      </c>
      <c r="Y450" s="5">
        <v>6</v>
      </c>
      <c r="Z450" s="5" t="s">
        <v>981</v>
      </c>
      <c r="AA450" s="5">
        <v>4</v>
      </c>
      <c r="AB450" s="5">
        <v>4</v>
      </c>
      <c r="AC450" s="5">
        <v>3</v>
      </c>
      <c r="AD450" s="5">
        <v>3</v>
      </c>
      <c r="AE450" s="5">
        <v>14</v>
      </c>
      <c r="AF450" s="5" t="s">
        <v>981</v>
      </c>
      <c r="AG450" s="5">
        <v>1</v>
      </c>
      <c r="AH450" s="5">
        <v>1</v>
      </c>
      <c r="AI450" s="5">
        <v>1</v>
      </c>
      <c r="AJ450" s="5">
        <v>3</v>
      </c>
      <c r="AK450" s="5" t="s">
        <v>982</v>
      </c>
      <c r="AL450" s="5">
        <v>1</v>
      </c>
      <c r="AM450" s="5">
        <v>1</v>
      </c>
      <c r="AN450" s="5">
        <v>1</v>
      </c>
      <c r="AO450" s="5">
        <v>3</v>
      </c>
      <c r="AP450" s="5" t="s">
        <v>982</v>
      </c>
      <c r="AQ450" s="5">
        <v>0</v>
      </c>
      <c r="AR450" s="5">
        <v>0</v>
      </c>
      <c r="AS450" s="5">
        <v>0</v>
      </c>
      <c r="AT450" s="5">
        <v>0</v>
      </c>
      <c r="AU450" s="5">
        <v>0</v>
      </c>
      <c r="AV450" s="5">
        <v>0</v>
      </c>
      <c r="AW450" s="5">
        <v>0</v>
      </c>
      <c r="AX450" s="5">
        <v>0</v>
      </c>
      <c r="AY450" s="5" t="s">
        <v>983</v>
      </c>
      <c r="AZ450" s="1">
        <v>0</v>
      </c>
      <c r="BA450" s="1">
        <v>1</v>
      </c>
      <c r="BB450" s="1">
        <v>0</v>
      </c>
      <c r="BC450" s="1">
        <v>1</v>
      </c>
      <c r="BD450" s="1">
        <v>0</v>
      </c>
      <c r="BE450" s="1">
        <v>1</v>
      </c>
      <c r="BF450" s="1">
        <v>0</v>
      </c>
      <c r="BG450" s="1">
        <v>0</v>
      </c>
      <c r="BI450" s="1">
        <v>1</v>
      </c>
      <c r="BJ450" s="1">
        <v>0</v>
      </c>
      <c r="BK450" s="1">
        <v>2</v>
      </c>
    </row>
    <row r="451" spans="1:63" ht="12.75" customHeight="1" x14ac:dyDescent="0.15">
      <c r="A451" s="5" t="s">
        <v>330</v>
      </c>
      <c r="B451" s="5" t="s">
        <v>984</v>
      </c>
      <c r="C451" s="5">
        <v>2</v>
      </c>
      <c r="D451" s="5">
        <v>1</v>
      </c>
      <c r="E451" s="5">
        <v>1</v>
      </c>
      <c r="F451" s="5">
        <v>1</v>
      </c>
      <c r="G451" s="5">
        <v>1</v>
      </c>
      <c r="H451" s="5">
        <v>1</v>
      </c>
      <c r="I451" s="5">
        <v>1</v>
      </c>
      <c r="J451" s="5">
        <v>1</v>
      </c>
      <c r="K451" s="5">
        <v>1</v>
      </c>
      <c r="L451" s="5">
        <v>1</v>
      </c>
      <c r="M451" s="5">
        <v>1</v>
      </c>
      <c r="N451" s="5">
        <v>1</v>
      </c>
      <c r="O451" s="5">
        <v>13</v>
      </c>
      <c r="P451" s="5" t="s">
        <v>983</v>
      </c>
      <c r="Q451" s="5">
        <v>3</v>
      </c>
      <c r="R451" s="5">
        <v>3</v>
      </c>
      <c r="S451" s="5">
        <v>3</v>
      </c>
      <c r="T451" s="5">
        <v>9</v>
      </c>
      <c r="U451" s="5" t="s">
        <v>981</v>
      </c>
      <c r="V451" s="5">
        <v>3</v>
      </c>
      <c r="W451" s="5">
        <v>3</v>
      </c>
      <c r="X451" s="5">
        <v>3</v>
      </c>
      <c r="Y451" s="5">
        <v>9</v>
      </c>
      <c r="Z451" s="5" t="s">
        <v>981</v>
      </c>
      <c r="AA451" s="5">
        <v>1</v>
      </c>
      <c r="AB451" s="5">
        <v>1</v>
      </c>
      <c r="AC451" s="5">
        <v>1</v>
      </c>
      <c r="AD451" s="5">
        <v>1</v>
      </c>
      <c r="AE451" s="5">
        <v>4</v>
      </c>
      <c r="AF451" s="5" t="s">
        <v>982</v>
      </c>
      <c r="AG451" s="5">
        <v>3</v>
      </c>
      <c r="AH451" s="5">
        <v>3</v>
      </c>
      <c r="AI451" s="5">
        <v>3</v>
      </c>
      <c r="AJ451" s="5">
        <v>9</v>
      </c>
      <c r="AK451" s="5" t="s">
        <v>981</v>
      </c>
      <c r="AL451" s="5">
        <v>3</v>
      </c>
      <c r="AM451" s="5">
        <v>3</v>
      </c>
      <c r="AN451" s="5">
        <v>3</v>
      </c>
      <c r="AO451" s="5">
        <v>9</v>
      </c>
      <c r="AP451" s="5" t="s">
        <v>981</v>
      </c>
      <c r="AQ451" s="5">
        <v>0</v>
      </c>
      <c r="AR451" s="5">
        <v>0</v>
      </c>
      <c r="AS451" s="5">
        <v>0</v>
      </c>
      <c r="AT451" s="5">
        <v>1</v>
      </c>
      <c r="AU451" s="5">
        <v>0</v>
      </c>
      <c r="AV451" s="5">
        <v>1</v>
      </c>
      <c r="AW451" s="5">
        <v>1</v>
      </c>
      <c r="AX451" s="5">
        <v>3</v>
      </c>
      <c r="AY451" s="5" t="s">
        <v>982</v>
      </c>
      <c r="AZ451" s="1">
        <v>1</v>
      </c>
      <c r="BA451" s="1">
        <v>1</v>
      </c>
      <c r="BB451" s="1">
        <v>0</v>
      </c>
      <c r="BC451" s="1">
        <v>1</v>
      </c>
      <c r="BD451" s="1">
        <v>1</v>
      </c>
      <c r="BE451" s="1">
        <v>1</v>
      </c>
      <c r="BF451" s="1">
        <v>33</v>
      </c>
      <c r="BG451" s="1">
        <v>0</v>
      </c>
      <c r="BH451" s="1">
        <v>2</v>
      </c>
      <c r="BI451" s="1">
        <v>10</v>
      </c>
      <c r="BJ451" s="1">
        <v>150000</v>
      </c>
      <c r="BK451" s="1">
        <v>3</v>
      </c>
    </row>
    <row r="452" spans="1:63" ht="12.75" customHeight="1" x14ac:dyDescent="0.15">
      <c r="A452" s="5" t="s">
        <v>238</v>
      </c>
      <c r="B452" s="5" t="s">
        <v>238</v>
      </c>
      <c r="C452" s="5">
        <v>1</v>
      </c>
      <c r="D452" s="5">
        <v>1</v>
      </c>
      <c r="E452" s="5">
        <v>1</v>
      </c>
      <c r="F452" s="5">
        <v>1</v>
      </c>
      <c r="G452" s="5">
        <v>1</v>
      </c>
      <c r="H452" s="5">
        <v>1</v>
      </c>
      <c r="I452" s="5">
        <v>1</v>
      </c>
      <c r="J452" s="5">
        <v>3</v>
      </c>
      <c r="K452" s="5">
        <v>3</v>
      </c>
      <c r="L452" s="5">
        <v>3</v>
      </c>
      <c r="M452" s="5">
        <v>3</v>
      </c>
      <c r="N452" s="5">
        <v>3</v>
      </c>
      <c r="O452" s="5">
        <v>22</v>
      </c>
      <c r="P452" s="5" t="s">
        <v>982</v>
      </c>
      <c r="Q452" s="5">
        <v>4</v>
      </c>
      <c r="R452" s="5">
        <v>4</v>
      </c>
      <c r="S452" s="5">
        <v>4</v>
      </c>
      <c r="T452" s="5">
        <v>12</v>
      </c>
      <c r="U452" s="5" t="s">
        <v>981</v>
      </c>
      <c r="V452" s="5">
        <v>4</v>
      </c>
      <c r="W452" s="5">
        <v>4</v>
      </c>
      <c r="X452" s="5">
        <v>4</v>
      </c>
      <c r="Y452" s="5">
        <v>12</v>
      </c>
      <c r="Z452" s="5" t="s">
        <v>981</v>
      </c>
      <c r="AA452" s="5">
        <v>0</v>
      </c>
      <c r="AB452" s="5">
        <v>0</v>
      </c>
      <c r="AC452" s="5">
        <v>0</v>
      </c>
      <c r="AD452" s="5">
        <v>0</v>
      </c>
      <c r="AE452" s="5">
        <v>0</v>
      </c>
      <c r="AF452" s="5" t="s">
        <v>983</v>
      </c>
      <c r="AG452" s="5">
        <v>4</v>
      </c>
      <c r="AH452" s="5">
        <v>4</v>
      </c>
      <c r="AI452" s="5">
        <v>4</v>
      </c>
      <c r="AJ452" s="5">
        <v>12</v>
      </c>
      <c r="AK452" s="5" t="s">
        <v>981</v>
      </c>
      <c r="AL452" s="5">
        <v>4</v>
      </c>
      <c r="AM452" s="5">
        <v>4</v>
      </c>
      <c r="AN452" s="5">
        <v>4</v>
      </c>
      <c r="AO452" s="5">
        <v>12</v>
      </c>
      <c r="AP452" s="5" t="s">
        <v>981</v>
      </c>
      <c r="AQ452" s="5">
        <v>0</v>
      </c>
      <c r="AR452" s="5">
        <v>0</v>
      </c>
      <c r="AS452" s="5">
        <v>0</v>
      </c>
      <c r="AT452" s="5">
        <v>0</v>
      </c>
      <c r="AU452" s="5">
        <v>0</v>
      </c>
      <c r="AV452" s="5">
        <v>0</v>
      </c>
      <c r="AW452" s="5">
        <v>0</v>
      </c>
      <c r="AX452" s="5">
        <v>0</v>
      </c>
      <c r="AY452" s="5" t="s">
        <v>983</v>
      </c>
      <c r="AZ452" s="1">
        <v>0</v>
      </c>
      <c r="BA452" s="1">
        <v>0</v>
      </c>
      <c r="BB452" s="1">
        <v>0</v>
      </c>
      <c r="BC452" s="1">
        <v>1</v>
      </c>
      <c r="BD452" s="1">
        <v>1</v>
      </c>
      <c r="BE452" s="1">
        <v>1</v>
      </c>
      <c r="BF452" s="1">
        <v>42</v>
      </c>
      <c r="BG452" s="1">
        <v>1</v>
      </c>
      <c r="BH452" s="1">
        <v>14</v>
      </c>
      <c r="BI452" s="1">
        <v>3</v>
      </c>
      <c r="BJ452" s="1">
        <v>550000</v>
      </c>
      <c r="BK452" s="1">
        <v>3</v>
      </c>
    </row>
    <row r="453" spans="1:63" ht="12.75" customHeight="1" x14ac:dyDescent="0.15">
      <c r="A453" s="5" t="s">
        <v>238</v>
      </c>
      <c r="B453" s="5" t="s">
        <v>238</v>
      </c>
      <c r="C453" s="5">
        <v>3</v>
      </c>
      <c r="D453" s="5">
        <v>3</v>
      </c>
      <c r="E453" s="5">
        <v>3</v>
      </c>
      <c r="F453" s="5">
        <v>3</v>
      </c>
      <c r="G453" s="5">
        <v>3</v>
      </c>
      <c r="H453" s="5">
        <v>3</v>
      </c>
      <c r="I453" s="5">
        <v>1</v>
      </c>
      <c r="J453" s="5">
        <v>1</v>
      </c>
      <c r="K453" s="5">
        <v>1</v>
      </c>
      <c r="L453" s="5">
        <v>2</v>
      </c>
      <c r="M453" s="5">
        <v>3</v>
      </c>
      <c r="N453" s="5">
        <v>3</v>
      </c>
      <c r="O453" s="5">
        <v>29</v>
      </c>
      <c r="P453" s="5" t="s">
        <v>981</v>
      </c>
      <c r="Q453" s="5">
        <v>2</v>
      </c>
      <c r="R453" s="5">
        <v>2</v>
      </c>
      <c r="S453" s="5">
        <v>1</v>
      </c>
      <c r="T453" s="5">
        <v>5</v>
      </c>
      <c r="U453" s="5" t="s">
        <v>981</v>
      </c>
      <c r="V453" s="5">
        <v>1</v>
      </c>
      <c r="W453" s="5">
        <v>1</v>
      </c>
      <c r="X453" s="5">
        <v>1</v>
      </c>
      <c r="Y453" s="5">
        <v>3</v>
      </c>
      <c r="Z453" s="5" t="s">
        <v>982</v>
      </c>
      <c r="AA453" s="5">
        <v>3</v>
      </c>
      <c r="AB453" s="5">
        <v>3</v>
      </c>
      <c r="AC453" s="5">
        <v>3</v>
      </c>
      <c r="AD453" s="5">
        <v>3</v>
      </c>
      <c r="AE453" s="5">
        <v>12</v>
      </c>
      <c r="AF453" s="5" t="s">
        <v>981</v>
      </c>
      <c r="AG453" s="5">
        <v>4</v>
      </c>
      <c r="AH453" s="5">
        <v>4</v>
      </c>
      <c r="AI453" s="5">
        <v>4</v>
      </c>
      <c r="AJ453" s="5">
        <v>12</v>
      </c>
      <c r="AK453" s="5" t="s">
        <v>981</v>
      </c>
      <c r="AL453" s="5">
        <v>1</v>
      </c>
      <c r="AM453" s="5">
        <v>1</v>
      </c>
      <c r="AN453" s="5">
        <v>1</v>
      </c>
      <c r="AO453" s="5">
        <v>3</v>
      </c>
      <c r="AP453" s="5" t="s">
        <v>982</v>
      </c>
      <c r="AQ453" s="5">
        <v>1</v>
      </c>
      <c r="AR453" s="5">
        <v>0</v>
      </c>
      <c r="AS453" s="5">
        <v>0</v>
      </c>
      <c r="AT453" s="5">
        <v>0</v>
      </c>
      <c r="AU453" s="5">
        <v>0</v>
      </c>
      <c r="AV453" s="5">
        <v>0</v>
      </c>
      <c r="AW453" s="5">
        <v>0</v>
      </c>
      <c r="AX453" s="5">
        <v>1</v>
      </c>
      <c r="AY453" s="5" t="s">
        <v>982</v>
      </c>
      <c r="AZ453" s="1">
        <v>0</v>
      </c>
      <c r="BA453" s="1">
        <v>0</v>
      </c>
      <c r="BB453" s="1">
        <v>0</v>
      </c>
      <c r="BC453" s="1">
        <v>1</v>
      </c>
      <c r="BD453" s="1">
        <v>0</v>
      </c>
      <c r="BE453" s="1">
        <v>1</v>
      </c>
      <c r="BF453" s="1">
        <v>48</v>
      </c>
      <c r="BG453" s="1">
        <v>1</v>
      </c>
      <c r="BH453" s="1">
        <v>6</v>
      </c>
      <c r="BI453" s="1">
        <v>25</v>
      </c>
      <c r="BJ453" s="1">
        <v>3000000</v>
      </c>
      <c r="BK453" s="1">
        <v>2</v>
      </c>
    </row>
    <row r="454" spans="1:63" ht="12.75" customHeight="1" x14ac:dyDescent="0.15">
      <c r="A454" s="5" t="s">
        <v>330</v>
      </c>
      <c r="B454" s="5" t="s">
        <v>984</v>
      </c>
      <c r="C454" s="5">
        <v>2</v>
      </c>
      <c r="D454" s="5">
        <v>4</v>
      </c>
      <c r="E454" s="5">
        <v>4</v>
      </c>
      <c r="F454" s="5">
        <v>4</v>
      </c>
      <c r="G454" s="5">
        <v>4</v>
      </c>
      <c r="H454" s="5">
        <v>4</v>
      </c>
      <c r="I454" s="5">
        <v>4</v>
      </c>
      <c r="J454" s="5">
        <v>1</v>
      </c>
      <c r="K454" s="5">
        <v>4</v>
      </c>
      <c r="L454" s="5">
        <v>4</v>
      </c>
      <c r="M454" s="5">
        <v>4</v>
      </c>
      <c r="N454" s="5">
        <v>2</v>
      </c>
      <c r="O454" s="5">
        <v>41</v>
      </c>
      <c r="P454" s="5" t="s">
        <v>981</v>
      </c>
      <c r="Q454" s="5">
        <v>2</v>
      </c>
      <c r="R454" s="5">
        <v>0</v>
      </c>
      <c r="S454" s="5">
        <v>0</v>
      </c>
      <c r="T454" s="5">
        <v>2</v>
      </c>
      <c r="U454" s="5" t="s">
        <v>982</v>
      </c>
      <c r="V454" s="5">
        <v>0</v>
      </c>
      <c r="W454" s="5">
        <v>3</v>
      </c>
      <c r="X454" s="5">
        <v>3</v>
      </c>
      <c r="Y454" s="5">
        <v>6</v>
      </c>
      <c r="Z454" s="5" t="s">
        <v>981</v>
      </c>
      <c r="AA454" s="5">
        <v>4</v>
      </c>
      <c r="AB454" s="5">
        <v>4</v>
      </c>
      <c r="AC454" s="5">
        <v>0</v>
      </c>
      <c r="AD454" s="5">
        <v>3</v>
      </c>
      <c r="AE454" s="5">
        <v>11</v>
      </c>
      <c r="AF454" s="5" t="s">
        <v>981</v>
      </c>
      <c r="AG454" s="5">
        <v>0</v>
      </c>
      <c r="AH454" s="5">
        <v>4</v>
      </c>
      <c r="AI454" s="5">
        <v>4</v>
      </c>
      <c r="AJ454" s="5">
        <v>8</v>
      </c>
      <c r="AK454" s="5" t="s">
        <v>981</v>
      </c>
      <c r="AL454" s="5">
        <v>3</v>
      </c>
      <c r="AM454" s="5">
        <v>3</v>
      </c>
      <c r="AN454" s="5">
        <v>2</v>
      </c>
      <c r="AO454" s="5">
        <v>8</v>
      </c>
      <c r="AP454" s="5" t="s">
        <v>981</v>
      </c>
      <c r="AQ454" s="5">
        <v>1</v>
      </c>
      <c r="AR454" s="5">
        <v>1</v>
      </c>
      <c r="AS454" s="5">
        <v>1</v>
      </c>
      <c r="AT454" s="5">
        <v>0</v>
      </c>
      <c r="AU454" s="5">
        <v>0</v>
      </c>
      <c r="AV454" s="5">
        <v>0</v>
      </c>
      <c r="AW454" s="5">
        <v>0</v>
      </c>
      <c r="AX454" s="5">
        <v>3</v>
      </c>
      <c r="AY454" s="5" t="s">
        <v>982</v>
      </c>
      <c r="AZ454" s="1">
        <v>1</v>
      </c>
      <c r="BA454" s="1">
        <v>0</v>
      </c>
      <c r="BB454" s="1">
        <v>1</v>
      </c>
      <c r="BC454" s="1">
        <v>1</v>
      </c>
      <c r="BD454" s="1">
        <v>1</v>
      </c>
      <c r="BE454" s="1">
        <v>1</v>
      </c>
      <c r="BF454" s="1">
        <v>39</v>
      </c>
      <c r="BG454" s="1">
        <v>0</v>
      </c>
      <c r="BH454" s="1">
        <v>2</v>
      </c>
      <c r="BI454" s="1">
        <v>34</v>
      </c>
      <c r="BJ454" s="1">
        <v>900000</v>
      </c>
      <c r="BK454" s="1">
        <v>1</v>
      </c>
    </row>
    <row r="455" spans="1:63" ht="12.75" customHeight="1" x14ac:dyDescent="0.15">
      <c r="A455" s="5" t="s">
        <v>238</v>
      </c>
      <c r="B455" s="5" t="s">
        <v>238</v>
      </c>
      <c r="C455" s="5">
        <v>2</v>
      </c>
      <c r="D455" s="5">
        <v>1</v>
      </c>
      <c r="E455" s="5">
        <v>1</v>
      </c>
      <c r="F455" s="5">
        <v>1</v>
      </c>
      <c r="G455" s="5">
        <v>1</v>
      </c>
      <c r="H455" s="5">
        <v>1</v>
      </c>
      <c r="I455" s="5">
        <v>1</v>
      </c>
      <c r="J455" s="5">
        <v>1</v>
      </c>
      <c r="K455" s="5">
        <v>1</v>
      </c>
      <c r="L455" s="5">
        <v>1</v>
      </c>
      <c r="M455" s="5">
        <v>1</v>
      </c>
      <c r="N455" s="5">
        <v>1</v>
      </c>
      <c r="O455" s="5">
        <v>13</v>
      </c>
      <c r="P455" s="5" t="s">
        <v>983</v>
      </c>
      <c r="Q455" s="5">
        <v>2</v>
      </c>
      <c r="R455" s="5">
        <v>1</v>
      </c>
      <c r="S455" s="5">
        <v>0</v>
      </c>
      <c r="T455" s="5">
        <v>3</v>
      </c>
      <c r="U455" s="5" t="s">
        <v>982</v>
      </c>
      <c r="V455" s="5">
        <v>0</v>
      </c>
      <c r="W455" s="5">
        <v>0</v>
      </c>
      <c r="X455" s="5">
        <v>0</v>
      </c>
      <c r="Y455" s="5">
        <v>0</v>
      </c>
      <c r="Z455" s="5" t="s">
        <v>983</v>
      </c>
      <c r="AA455" s="5">
        <v>4</v>
      </c>
      <c r="AB455" s="5">
        <v>4</v>
      </c>
      <c r="AC455" s="5">
        <v>4</v>
      </c>
      <c r="AD455" s="5">
        <v>0</v>
      </c>
      <c r="AE455" s="5">
        <v>12</v>
      </c>
      <c r="AF455" s="5" t="s">
        <v>981</v>
      </c>
      <c r="AG455" s="5">
        <v>2</v>
      </c>
      <c r="AH455" s="5">
        <v>0</v>
      </c>
      <c r="AI455" s="5">
        <v>0</v>
      </c>
      <c r="AJ455" s="5">
        <v>2</v>
      </c>
      <c r="AK455" s="5" t="s">
        <v>983</v>
      </c>
      <c r="AL455" s="5">
        <v>0</v>
      </c>
      <c r="AM455" s="5">
        <v>0</v>
      </c>
      <c r="AN455" s="5">
        <v>0</v>
      </c>
      <c r="AO455" s="5">
        <v>0</v>
      </c>
      <c r="AP455" s="5" t="s">
        <v>983</v>
      </c>
      <c r="AQ455" s="5">
        <v>0</v>
      </c>
      <c r="AR455" s="5">
        <v>0</v>
      </c>
      <c r="AS455" s="5">
        <v>0</v>
      </c>
      <c r="AT455" s="5">
        <v>0</v>
      </c>
      <c r="AU455" s="5">
        <v>0</v>
      </c>
      <c r="AV455" s="5">
        <v>0</v>
      </c>
      <c r="AW455" s="5">
        <v>0</v>
      </c>
      <c r="AX455" s="5">
        <v>0</v>
      </c>
      <c r="AY455" s="5" t="s">
        <v>983</v>
      </c>
      <c r="AZ455" s="1">
        <v>1</v>
      </c>
      <c r="BA455" s="1">
        <v>0</v>
      </c>
      <c r="BB455" s="1">
        <v>1</v>
      </c>
      <c r="BC455" s="1">
        <v>1</v>
      </c>
      <c r="BD455" s="1">
        <v>0</v>
      </c>
      <c r="BE455" s="1">
        <v>1</v>
      </c>
      <c r="BF455" s="1">
        <v>36</v>
      </c>
      <c r="BG455" s="1">
        <v>1</v>
      </c>
      <c r="BH455" s="1">
        <v>4</v>
      </c>
      <c r="BI455" s="1">
        <v>34</v>
      </c>
      <c r="BJ455" s="1">
        <v>0</v>
      </c>
      <c r="BK455" s="1">
        <v>1</v>
      </c>
    </row>
    <row r="456" spans="1:63" ht="12.75" customHeight="1" x14ac:dyDescent="0.15">
      <c r="A456" s="5" t="s">
        <v>330</v>
      </c>
      <c r="B456" s="5" t="s">
        <v>984</v>
      </c>
      <c r="C456" s="5">
        <v>1</v>
      </c>
      <c r="D456" s="5">
        <v>1</v>
      </c>
      <c r="E456" s="5">
        <v>2</v>
      </c>
      <c r="F456" s="5">
        <v>2</v>
      </c>
      <c r="G456" s="5">
        <v>2</v>
      </c>
      <c r="H456" s="5">
        <v>2</v>
      </c>
      <c r="I456" s="5">
        <v>2</v>
      </c>
      <c r="J456" s="5">
        <v>1</v>
      </c>
      <c r="K456" s="5">
        <v>1</v>
      </c>
      <c r="L456" s="5">
        <v>1</v>
      </c>
      <c r="M456" s="5">
        <v>1</v>
      </c>
      <c r="N456" s="5">
        <v>1</v>
      </c>
      <c r="O456" s="5">
        <v>17</v>
      </c>
      <c r="P456" s="5" t="s">
        <v>983</v>
      </c>
      <c r="Q456" s="5">
        <v>2</v>
      </c>
      <c r="R456" s="5">
        <v>2</v>
      </c>
      <c r="S456" s="5">
        <v>2</v>
      </c>
      <c r="T456" s="5">
        <v>6</v>
      </c>
      <c r="U456" s="5" t="s">
        <v>981</v>
      </c>
      <c r="V456" s="5">
        <v>2</v>
      </c>
      <c r="W456" s="5">
        <v>2</v>
      </c>
      <c r="X456" s="5">
        <v>2</v>
      </c>
      <c r="Y456" s="5">
        <v>6</v>
      </c>
      <c r="Z456" s="5" t="s">
        <v>981</v>
      </c>
      <c r="AA456" s="5">
        <v>2</v>
      </c>
      <c r="AB456" s="5">
        <v>2</v>
      </c>
      <c r="AC456" s="5">
        <v>2</v>
      </c>
      <c r="AD456" s="5">
        <v>2</v>
      </c>
      <c r="AE456" s="5">
        <v>8</v>
      </c>
      <c r="AF456" s="5" t="s">
        <v>981</v>
      </c>
      <c r="AG456" s="5">
        <v>2</v>
      </c>
      <c r="AH456" s="5">
        <v>2</v>
      </c>
      <c r="AI456" s="5">
        <v>2</v>
      </c>
      <c r="AJ456" s="5">
        <v>6</v>
      </c>
      <c r="AK456" s="5" t="s">
        <v>981</v>
      </c>
      <c r="AL456" s="5">
        <v>2</v>
      </c>
      <c r="AM456" s="5">
        <v>2</v>
      </c>
      <c r="AN456" s="5">
        <v>2</v>
      </c>
      <c r="AO456" s="5">
        <v>6</v>
      </c>
      <c r="AP456" s="5" t="s">
        <v>981</v>
      </c>
      <c r="AQ456" s="5">
        <v>1</v>
      </c>
      <c r="AR456" s="5">
        <v>1</v>
      </c>
      <c r="AS456" s="5">
        <v>0</v>
      </c>
      <c r="AT456" s="5">
        <v>0</v>
      </c>
      <c r="AU456" s="5">
        <v>0</v>
      </c>
      <c r="AV456" s="5">
        <v>0</v>
      </c>
      <c r="AW456" s="5">
        <v>0</v>
      </c>
      <c r="AX456" s="5">
        <v>2</v>
      </c>
      <c r="AY456" s="5" t="s">
        <v>982</v>
      </c>
      <c r="AZ456" s="1">
        <v>1</v>
      </c>
      <c r="BA456" s="1">
        <v>0</v>
      </c>
      <c r="BB456" s="1">
        <v>1</v>
      </c>
      <c r="BC456" s="1">
        <v>1</v>
      </c>
      <c r="BD456" s="1">
        <v>1</v>
      </c>
      <c r="BE456" s="1">
        <v>1</v>
      </c>
      <c r="BF456" s="1">
        <v>47</v>
      </c>
      <c r="BG456" s="1">
        <v>0</v>
      </c>
      <c r="BH456" s="1">
        <v>14</v>
      </c>
      <c r="BI456" s="1">
        <v>24</v>
      </c>
      <c r="BJ456" s="1">
        <v>600000</v>
      </c>
      <c r="BK456" s="1">
        <v>2</v>
      </c>
    </row>
    <row r="457" spans="1:63" ht="12.75" customHeight="1" x14ac:dyDescent="0.15">
      <c r="A457" s="5" t="s">
        <v>238</v>
      </c>
      <c r="B457" s="5" t="s">
        <v>238</v>
      </c>
      <c r="C457" s="5">
        <v>1</v>
      </c>
      <c r="D457" s="5">
        <v>3</v>
      </c>
      <c r="E457" s="5">
        <v>2</v>
      </c>
      <c r="F457" s="5">
        <v>2</v>
      </c>
      <c r="G457" s="5">
        <v>2</v>
      </c>
      <c r="H457" s="5">
        <v>2</v>
      </c>
      <c r="I457" s="5">
        <v>1</v>
      </c>
      <c r="J457" s="5">
        <v>1</v>
      </c>
      <c r="K457" s="5">
        <v>1</v>
      </c>
      <c r="L457" s="5">
        <v>2</v>
      </c>
      <c r="M457" s="5">
        <v>2</v>
      </c>
      <c r="N457" s="5">
        <v>2</v>
      </c>
      <c r="O457" s="5">
        <v>21</v>
      </c>
      <c r="P457" s="5" t="s">
        <v>982</v>
      </c>
      <c r="Q457" s="5">
        <v>3</v>
      </c>
      <c r="R457" s="5">
        <v>2</v>
      </c>
      <c r="S457" s="5">
        <v>1</v>
      </c>
      <c r="T457" s="5">
        <v>6</v>
      </c>
      <c r="U457" s="5" t="s">
        <v>981</v>
      </c>
      <c r="V457" s="5">
        <v>1</v>
      </c>
      <c r="W457" s="5">
        <v>1</v>
      </c>
      <c r="X457" s="5">
        <v>3</v>
      </c>
      <c r="Y457" s="5">
        <v>5</v>
      </c>
      <c r="Z457" s="5" t="s">
        <v>982</v>
      </c>
      <c r="AA457" s="5">
        <v>2</v>
      </c>
      <c r="AB457" s="5">
        <v>2</v>
      </c>
      <c r="AC457" s="5">
        <v>4</v>
      </c>
      <c r="AD457" s="5">
        <v>4</v>
      </c>
      <c r="AE457" s="5">
        <v>12</v>
      </c>
      <c r="AF457" s="5" t="s">
        <v>981</v>
      </c>
      <c r="AG457" s="5">
        <v>3</v>
      </c>
      <c r="AH457" s="5">
        <v>1</v>
      </c>
      <c r="AI457" s="5">
        <v>0</v>
      </c>
      <c r="AJ457" s="5">
        <v>4</v>
      </c>
      <c r="AK457" s="5" t="s">
        <v>982</v>
      </c>
      <c r="AL457" s="5">
        <v>1</v>
      </c>
      <c r="AM457" s="5">
        <v>1</v>
      </c>
      <c r="AN457" s="5">
        <v>2</v>
      </c>
      <c r="AO457" s="5">
        <v>4</v>
      </c>
      <c r="AP457" s="5" t="s">
        <v>982</v>
      </c>
      <c r="AQ457" s="5">
        <v>0</v>
      </c>
      <c r="AR457" s="5">
        <v>0</v>
      </c>
      <c r="AS457" s="5">
        <v>0</v>
      </c>
      <c r="AT457" s="5">
        <v>0</v>
      </c>
      <c r="AU457" s="5">
        <v>0</v>
      </c>
      <c r="AV457" s="5">
        <v>0</v>
      </c>
      <c r="AW457" s="5">
        <v>0</v>
      </c>
      <c r="AX457" s="5">
        <v>0</v>
      </c>
      <c r="AY457" s="5" t="s">
        <v>983</v>
      </c>
      <c r="AZ457" s="1">
        <v>1</v>
      </c>
      <c r="BA457" s="1">
        <v>1</v>
      </c>
      <c r="BB457" s="1">
        <v>1</v>
      </c>
      <c r="BC457" s="1">
        <v>1</v>
      </c>
      <c r="BD457" s="1">
        <v>1</v>
      </c>
      <c r="BE457" s="1">
        <v>1</v>
      </c>
      <c r="BF457" s="1">
        <v>37</v>
      </c>
      <c r="BG457" s="1">
        <v>1</v>
      </c>
      <c r="BH457" s="1">
        <v>18</v>
      </c>
      <c r="BI457" s="1">
        <v>2</v>
      </c>
      <c r="BJ457" s="1">
        <v>850000</v>
      </c>
      <c r="BK457" s="1">
        <v>1</v>
      </c>
    </row>
    <row r="458" spans="1:63" ht="12.75" customHeight="1" x14ac:dyDescent="0.15">
      <c r="A458" s="5" t="s">
        <v>238</v>
      </c>
      <c r="B458" s="5" t="s">
        <v>238</v>
      </c>
      <c r="C458" s="5">
        <v>2</v>
      </c>
      <c r="D458" s="5">
        <v>1</v>
      </c>
      <c r="E458" s="5">
        <v>2</v>
      </c>
      <c r="F458" s="5">
        <v>1</v>
      </c>
      <c r="G458" s="5">
        <v>2</v>
      </c>
      <c r="H458" s="5">
        <v>1</v>
      </c>
      <c r="I458" s="5">
        <v>1</v>
      </c>
      <c r="J458" s="5">
        <v>2</v>
      </c>
      <c r="K458" s="5">
        <v>2</v>
      </c>
      <c r="L458" s="5">
        <v>2</v>
      </c>
      <c r="M458" s="5">
        <v>1</v>
      </c>
      <c r="N458" s="5">
        <v>1</v>
      </c>
      <c r="O458" s="5">
        <v>18</v>
      </c>
      <c r="P458" s="5" t="s">
        <v>983</v>
      </c>
      <c r="Q458" s="5">
        <v>0</v>
      </c>
      <c r="R458" s="5">
        <v>1</v>
      </c>
      <c r="S458" s="5">
        <v>0</v>
      </c>
      <c r="T458" s="5">
        <v>1</v>
      </c>
      <c r="U458" s="5" t="s">
        <v>983</v>
      </c>
      <c r="V458" s="5">
        <v>0</v>
      </c>
      <c r="W458" s="5">
        <v>1</v>
      </c>
      <c r="X458" s="5">
        <v>0</v>
      </c>
      <c r="Y458" s="5">
        <v>1</v>
      </c>
      <c r="Z458" s="5" t="s">
        <v>983</v>
      </c>
      <c r="AA458" s="5">
        <v>4</v>
      </c>
      <c r="AB458" s="5">
        <v>3</v>
      </c>
      <c r="AC458" s="5">
        <v>1</v>
      </c>
      <c r="AD458" s="5">
        <v>0</v>
      </c>
      <c r="AE458" s="5">
        <v>8</v>
      </c>
      <c r="AF458" s="5" t="s">
        <v>981</v>
      </c>
      <c r="AG458" s="5">
        <v>0</v>
      </c>
      <c r="AH458" s="5">
        <v>0</v>
      </c>
      <c r="AI458" s="5">
        <v>0</v>
      </c>
      <c r="AJ458" s="5">
        <v>0</v>
      </c>
      <c r="AK458" s="5" t="s">
        <v>983</v>
      </c>
      <c r="AL458" s="5">
        <v>1</v>
      </c>
      <c r="AM458" s="5">
        <v>1</v>
      </c>
      <c r="AN458" s="5">
        <v>1</v>
      </c>
      <c r="AO458" s="5">
        <v>3</v>
      </c>
      <c r="AP458" s="5" t="s">
        <v>982</v>
      </c>
      <c r="AQ458" s="5">
        <v>0</v>
      </c>
      <c r="AR458" s="5">
        <v>0</v>
      </c>
      <c r="AS458" s="5">
        <v>0</v>
      </c>
      <c r="AT458" s="5">
        <v>0</v>
      </c>
      <c r="AU458" s="5">
        <v>0</v>
      </c>
      <c r="AV458" s="5">
        <v>0</v>
      </c>
      <c r="AW458" s="5">
        <v>0</v>
      </c>
      <c r="AX458" s="5">
        <v>0</v>
      </c>
      <c r="AY458" s="5" t="s">
        <v>983</v>
      </c>
      <c r="AZ458" s="1">
        <v>1</v>
      </c>
      <c r="BA458" s="1">
        <v>0</v>
      </c>
      <c r="BB458" s="1">
        <v>1</v>
      </c>
      <c r="BC458" s="1">
        <v>1</v>
      </c>
      <c r="BD458" s="1">
        <v>1</v>
      </c>
      <c r="BE458" s="1">
        <v>1</v>
      </c>
      <c r="BF458" s="1">
        <v>31</v>
      </c>
      <c r="BG458" s="1">
        <v>0</v>
      </c>
      <c r="BH458" s="1">
        <v>6</v>
      </c>
      <c r="BI458" s="1">
        <v>5</v>
      </c>
      <c r="BJ458" s="1">
        <v>150000</v>
      </c>
      <c r="BK458" s="1">
        <v>1</v>
      </c>
    </row>
    <row r="459" spans="1:63" ht="12.75" customHeight="1" x14ac:dyDescent="0.15">
      <c r="A459" s="5" t="s">
        <v>238</v>
      </c>
      <c r="B459" s="5" t="s">
        <v>238</v>
      </c>
      <c r="C459" s="5">
        <v>3</v>
      </c>
      <c r="D459" s="5">
        <v>2</v>
      </c>
      <c r="E459" s="5">
        <v>2</v>
      </c>
      <c r="F459" s="5">
        <v>2</v>
      </c>
      <c r="G459" s="5">
        <v>2</v>
      </c>
      <c r="H459" s="5">
        <v>2</v>
      </c>
      <c r="I459" s="5">
        <v>1</v>
      </c>
      <c r="J459" s="5">
        <v>2</v>
      </c>
      <c r="K459" s="5">
        <v>2</v>
      </c>
      <c r="L459" s="5">
        <v>2</v>
      </c>
      <c r="M459" s="5">
        <v>2</v>
      </c>
      <c r="N459" s="5">
        <v>2</v>
      </c>
      <c r="O459" s="5">
        <v>24</v>
      </c>
      <c r="P459" s="5" t="s">
        <v>981</v>
      </c>
      <c r="Q459" s="5">
        <v>3</v>
      </c>
      <c r="R459" s="5">
        <v>3</v>
      </c>
      <c r="S459" s="5">
        <v>2</v>
      </c>
      <c r="T459" s="5">
        <v>8</v>
      </c>
      <c r="U459" s="5" t="s">
        <v>981</v>
      </c>
      <c r="V459" s="5">
        <v>1</v>
      </c>
      <c r="W459" s="5">
        <v>0</v>
      </c>
      <c r="X459" s="5">
        <v>1</v>
      </c>
      <c r="Y459" s="5">
        <v>2</v>
      </c>
      <c r="Z459" s="5" t="s">
        <v>982</v>
      </c>
      <c r="AA459" s="5">
        <v>4</v>
      </c>
      <c r="AB459" s="5">
        <v>4</v>
      </c>
      <c r="AC459" s="5">
        <v>1</v>
      </c>
      <c r="AD459" s="5">
        <v>1</v>
      </c>
      <c r="AE459" s="5">
        <v>10</v>
      </c>
      <c r="AF459" s="5" t="s">
        <v>981</v>
      </c>
      <c r="AG459" s="5">
        <v>0</v>
      </c>
      <c r="AH459" s="5">
        <v>0</v>
      </c>
      <c r="AI459" s="5">
        <v>0</v>
      </c>
      <c r="AJ459" s="5">
        <v>0</v>
      </c>
      <c r="AK459" s="5" t="s">
        <v>983</v>
      </c>
      <c r="AL459" s="5">
        <v>0</v>
      </c>
      <c r="AM459" s="5">
        <v>0</v>
      </c>
      <c r="AN459" s="5">
        <v>0</v>
      </c>
      <c r="AO459" s="5">
        <v>0</v>
      </c>
      <c r="AP459" s="5" t="s">
        <v>983</v>
      </c>
      <c r="AQ459" s="5">
        <v>0</v>
      </c>
      <c r="AR459" s="5">
        <v>0</v>
      </c>
      <c r="AS459" s="5">
        <v>0</v>
      </c>
      <c r="AT459" s="5">
        <v>0</v>
      </c>
      <c r="AU459" s="5">
        <v>0</v>
      </c>
      <c r="AV459" s="5">
        <v>0</v>
      </c>
      <c r="AW459" s="5">
        <v>0</v>
      </c>
      <c r="AX459" s="5">
        <v>0</v>
      </c>
      <c r="AY459" s="5" t="s">
        <v>983</v>
      </c>
      <c r="AZ459" s="1">
        <v>0</v>
      </c>
      <c r="BA459" s="1">
        <v>0</v>
      </c>
      <c r="BB459" s="1">
        <v>0</v>
      </c>
      <c r="BC459" s="1">
        <v>1</v>
      </c>
      <c r="BD459" s="1">
        <v>0</v>
      </c>
      <c r="BE459" s="1">
        <v>1</v>
      </c>
      <c r="BF459" s="1">
        <v>0</v>
      </c>
      <c r="BG459" s="1">
        <v>0</v>
      </c>
      <c r="BI459" s="1">
        <v>2</v>
      </c>
      <c r="BJ459" s="1">
        <v>0</v>
      </c>
      <c r="BK459" s="1">
        <v>3</v>
      </c>
    </row>
    <row r="460" spans="1:63" ht="12.75" customHeight="1" x14ac:dyDescent="0.15">
      <c r="A460" s="5" t="s">
        <v>238</v>
      </c>
      <c r="B460" s="5" t="s">
        <v>238</v>
      </c>
      <c r="C460" s="5">
        <v>2</v>
      </c>
      <c r="D460" s="5">
        <v>2</v>
      </c>
      <c r="E460" s="5">
        <v>2</v>
      </c>
      <c r="F460" s="5">
        <v>2</v>
      </c>
      <c r="G460" s="5">
        <v>2</v>
      </c>
      <c r="H460" s="5">
        <v>2</v>
      </c>
      <c r="I460" s="5">
        <v>1</v>
      </c>
      <c r="J460" s="5">
        <v>1</v>
      </c>
      <c r="K460" s="5">
        <v>2</v>
      </c>
      <c r="L460" s="5">
        <v>2</v>
      </c>
      <c r="M460" s="5">
        <v>2</v>
      </c>
      <c r="N460" s="5">
        <v>2</v>
      </c>
      <c r="O460" s="5">
        <v>22</v>
      </c>
      <c r="P460" s="5" t="s">
        <v>982</v>
      </c>
      <c r="Q460" s="5">
        <v>2</v>
      </c>
      <c r="R460" s="5">
        <v>1</v>
      </c>
      <c r="S460" s="5">
        <v>1</v>
      </c>
      <c r="T460" s="5">
        <v>4</v>
      </c>
      <c r="U460" s="5" t="s">
        <v>982</v>
      </c>
      <c r="V460" s="5">
        <v>2</v>
      </c>
      <c r="W460" s="5">
        <v>1</v>
      </c>
      <c r="X460" s="5">
        <v>1</v>
      </c>
      <c r="Y460" s="5">
        <v>4</v>
      </c>
      <c r="Z460" s="5" t="s">
        <v>982</v>
      </c>
      <c r="AA460" s="5">
        <v>1</v>
      </c>
      <c r="AB460" s="5">
        <v>2</v>
      </c>
      <c r="AC460" s="5">
        <v>0</v>
      </c>
      <c r="AD460" s="5">
        <v>0</v>
      </c>
      <c r="AE460" s="5">
        <v>3</v>
      </c>
      <c r="AF460" s="5" t="s">
        <v>982</v>
      </c>
      <c r="AG460" s="5">
        <v>2</v>
      </c>
      <c r="AH460" s="5">
        <v>3</v>
      </c>
      <c r="AI460" s="5">
        <v>0</v>
      </c>
      <c r="AJ460" s="5">
        <v>5</v>
      </c>
      <c r="AK460" s="5" t="s">
        <v>982</v>
      </c>
      <c r="AL460" s="5">
        <v>2</v>
      </c>
      <c r="AM460" s="5">
        <v>0</v>
      </c>
      <c r="AN460" s="5">
        <v>0</v>
      </c>
      <c r="AO460" s="5">
        <v>2</v>
      </c>
      <c r="AP460" s="5" t="s">
        <v>983</v>
      </c>
      <c r="AQ460" s="5">
        <v>0</v>
      </c>
      <c r="AR460" s="5">
        <v>0</v>
      </c>
      <c r="AS460" s="5">
        <v>0</v>
      </c>
      <c r="AT460" s="5">
        <v>0</v>
      </c>
      <c r="AU460" s="5">
        <v>0</v>
      </c>
      <c r="AV460" s="5">
        <v>0</v>
      </c>
      <c r="AW460" s="5">
        <v>0</v>
      </c>
      <c r="AX460" s="5">
        <v>0</v>
      </c>
      <c r="AY460" s="5" t="s">
        <v>983</v>
      </c>
      <c r="AZ460" s="1">
        <v>1</v>
      </c>
      <c r="BA460" s="1">
        <v>0</v>
      </c>
      <c r="BB460" s="1">
        <v>1</v>
      </c>
      <c r="BC460" s="1">
        <v>1</v>
      </c>
      <c r="BD460" s="1">
        <v>1</v>
      </c>
      <c r="BE460" s="1">
        <v>1</v>
      </c>
      <c r="BF460" s="1">
        <v>47</v>
      </c>
      <c r="BG460" s="1">
        <v>1</v>
      </c>
      <c r="BH460" s="1">
        <v>14</v>
      </c>
      <c r="BI460" s="1">
        <v>24</v>
      </c>
      <c r="BJ460" s="1">
        <v>60000</v>
      </c>
      <c r="BK460" s="1">
        <v>1</v>
      </c>
    </row>
    <row r="461" spans="1:63" ht="12.75" customHeight="1" x14ac:dyDescent="0.15">
      <c r="A461" s="5" t="s">
        <v>238</v>
      </c>
      <c r="B461" s="5" t="s">
        <v>238</v>
      </c>
      <c r="C461" s="5">
        <v>3</v>
      </c>
      <c r="D461" s="5">
        <v>3</v>
      </c>
      <c r="E461" s="5">
        <v>2</v>
      </c>
      <c r="F461" s="5">
        <v>2</v>
      </c>
      <c r="G461" s="5">
        <v>2</v>
      </c>
      <c r="H461" s="5">
        <v>2</v>
      </c>
      <c r="I461" s="5">
        <v>1</v>
      </c>
      <c r="J461" s="5">
        <v>3</v>
      </c>
      <c r="K461" s="5">
        <v>3</v>
      </c>
      <c r="L461" s="5">
        <v>3</v>
      </c>
      <c r="M461" s="5">
        <v>3</v>
      </c>
      <c r="N461" s="5">
        <v>2</v>
      </c>
      <c r="O461" s="5">
        <v>29</v>
      </c>
      <c r="P461" s="5" t="s">
        <v>981</v>
      </c>
      <c r="Q461" s="5">
        <v>2</v>
      </c>
      <c r="R461" s="5">
        <v>1</v>
      </c>
      <c r="S461" s="5">
        <v>0</v>
      </c>
      <c r="T461" s="5">
        <v>3</v>
      </c>
      <c r="U461" s="5" t="s">
        <v>982</v>
      </c>
      <c r="V461" s="5">
        <v>1</v>
      </c>
      <c r="W461" s="5">
        <v>4</v>
      </c>
      <c r="X461" s="5">
        <v>1</v>
      </c>
      <c r="Y461" s="5">
        <v>6</v>
      </c>
      <c r="Z461" s="5" t="s">
        <v>981</v>
      </c>
      <c r="AA461" s="5">
        <v>2</v>
      </c>
      <c r="AB461" s="5">
        <v>2</v>
      </c>
      <c r="AC461" s="5">
        <v>2</v>
      </c>
      <c r="AD461" s="5">
        <v>2</v>
      </c>
      <c r="AE461" s="5">
        <v>8</v>
      </c>
      <c r="AF461" s="5" t="s">
        <v>981</v>
      </c>
      <c r="AG461" s="5">
        <v>3</v>
      </c>
      <c r="AH461" s="5">
        <v>0</v>
      </c>
      <c r="AI461" s="5">
        <v>0</v>
      </c>
      <c r="AJ461" s="5">
        <v>3</v>
      </c>
      <c r="AK461" s="5" t="s">
        <v>982</v>
      </c>
      <c r="AL461" s="5">
        <v>2</v>
      </c>
      <c r="AM461" s="5">
        <v>2</v>
      </c>
      <c r="AN461" s="5">
        <v>2</v>
      </c>
      <c r="AO461" s="5">
        <v>6</v>
      </c>
      <c r="AP461" s="5" t="s">
        <v>981</v>
      </c>
      <c r="AQ461" s="5">
        <v>3</v>
      </c>
      <c r="AR461" s="5">
        <v>0</v>
      </c>
      <c r="AS461" s="5">
        <v>0</v>
      </c>
      <c r="AT461" s="5">
        <v>0</v>
      </c>
      <c r="AU461" s="5">
        <v>0</v>
      </c>
      <c r="AV461" s="5">
        <v>1</v>
      </c>
      <c r="AW461" s="5">
        <v>1</v>
      </c>
      <c r="AX461" s="5">
        <v>5</v>
      </c>
      <c r="AY461" s="5" t="s">
        <v>982</v>
      </c>
      <c r="AZ461" s="1">
        <v>1</v>
      </c>
      <c r="BA461" s="1">
        <v>0</v>
      </c>
      <c r="BB461" s="1">
        <v>1</v>
      </c>
      <c r="BC461" s="1">
        <v>1</v>
      </c>
      <c r="BD461" s="1">
        <v>1</v>
      </c>
      <c r="BE461" s="1">
        <v>1</v>
      </c>
      <c r="BF461" s="1">
        <v>45</v>
      </c>
      <c r="BG461" s="1">
        <v>1</v>
      </c>
      <c r="BH461" s="1">
        <v>16</v>
      </c>
      <c r="BI461" s="1">
        <v>2</v>
      </c>
      <c r="BJ461" s="1">
        <v>700000</v>
      </c>
      <c r="BK461" s="1">
        <v>4</v>
      </c>
    </row>
    <row r="462" spans="1:63" ht="12.75" customHeight="1" x14ac:dyDescent="0.15">
      <c r="A462" s="5" t="s">
        <v>238</v>
      </c>
      <c r="B462" s="5" t="s">
        <v>238</v>
      </c>
      <c r="C462" s="5">
        <v>2</v>
      </c>
      <c r="D462" s="5">
        <v>2</v>
      </c>
      <c r="E462" s="5">
        <v>3</v>
      </c>
      <c r="F462" s="5">
        <v>2</v>
      </c>
      <c r="G462" s="5">
        <v>3</v>
      </c>
      <c r="H462" s="5">
        <v>1</v>
      </c>
      <c r="I462" s="5">
        <v>1</v>
      </c>
      <c r="J462" s="5">
        <v>1</v>
      </c>
      <c r="K462" s="5">
        <v>1</v>
      </c>
      <c r="L462" s="5">
        <v>1</v>
      </c>
      <c r="M462" s="5">
        <v>1</v>
      </c>
      <c r="N462" s="5">
        <v>1</v>
      </c>
      <c r="O462" s="5">
        <v>19</v>
      </c>
      <c r="P462" s="5" t="s">
        <v>982</v>
      </c>
      <c r="Q462" s="5">
        <v>4</v>
      </c>
      <c r="R462" s="5">
        <v>4</v>
      </c>
      <c r="S462" s="5">
        <v>0</v>
      </c>
      <c r="T462" s="5">
        <v>8</v>
      </c>
      <c r="U462" s="5" t="s">
        <v>981</v>
      </c>
      <c r="V462" s="5">
        <v>1</v>
      </c>
      <c r="W462" s="5">
        <v>0</v>
      </c>
      <c r="X462" s="5">
        <v>1</v>
      </c>
      <c r="Y462" s="5">
        <v>2</v>
      </c>
      <c r="Z462" s="5" t="s">
        <v>982</v>
      </c>
      <c r="AA462" s="5">
        <v>1</v>
      </c>
      <c r="AB462" s="5">
        <v>1</v>
      </c>
      <c r="AC462" s="5">
        <v>1</v>
      </c>
      <c r="AD462" s="5">
        <v>0</v>
      </c>
      <c r="AE462" s="5">
        <v>3</v>
      </c>
      <c r="AF462" s="5" t="s">
        <v>982</v>
      </c>
      <c r="AG462" s="5">
        <v>0</v>
      </c>
      <c r="AH462" s="5">
        <v>0</v>
      </c>
      <c r="AI462" s="5">
        <v>0</v>
      </c>
      <c r="AJ462" s="5">
        <v>0</v>
      </c>
      <c r="AK462" s="5" t="s">
        <v>983</v>
      </c>
      <c r="AL462" s="5">
        <v>0</v>
      </c>
      <c r="AM462" s="5">
        <v>0</v>
      </c>
      <c r="AN462" s="5">
        <v>0</v>
      </c>
      <c r="AO462" s="5">
        <v>0</v>
      </c>
      <c r="AP462" s="5" t="s">
        <v>983</v>
      </c>
      <c r="AQ462" s="5">
        <v>0</v>
      </c>
      <c r="AR462" s="5">
        <v>0</v>
      </c>
      <c r="AS462" s="5">
        <v>0</v>
      </c>
      <c r="AT462" s="5">
        <v>0</v>
      </c>
      <c r="AU462" s="5">
        <v>0</v>
      </c>
      <c r="AV462" s="5">
        <v>0</v>
      </c>
      <c r="AW462" s="5">
        <v>0</v>
      </c>
      <c r="AX462" s="5">
        <v>0</v>
      </c>
      <c r="AY462" s="5" t="s">
        <v>983</v>
      </c>
      <c r="AZ462" s="1">
        <v>1</v>
      </c>
      <c r="BA462" s="1">
        <v>0</v>
      </c>
      <c r="BB462" s="1">
        <v>0</v>
      </c>
      <c r="BC462" s="1">
        <v>1</v>
      </c>
      <c r="BD462" s="1">
        <v>1</v>
      </c>
      <c r="BE462" s="1">
        <v>1</v>
      </c>
      <c r="BF462" s="1">
        <v>45</v>
      </c>
      <c r="BG462" s="1">
        <v>1</v>
      </c>
      <c r="BH462" s="1">
        <v>16</v>
      </c>
      <c r="BI462" s="1">
        <v>2</v>
      </c>
      <c r="BJ462" s="1">
        <v>700000</v>
      </c>
      <c r="BK462" s="1">
        <v>4</v>
      </c>
    </row>
    <row r="463" spans="1:63" ht="12.75" customHeight="1" x14ac:dyDescent="0.15">
      <c r="A463" s="5" t="s">
        <v>238</v>
      </c>
      <c r="B463" s="5" t="s">
        <v>238</v>
      </c>
      <c r="C463" s="5">
        <v>2</v>
      </c>
      <c r="D463" s="5">
        <v>1</v>
      </c>
      <c r="E463" s="5">
        <v>1</v>
      </c>
      <c r="F463" s="5">
        <v>1</v>
      </c>
      <c r="G463" s="5">
        <v>1</v>
      </c>
      <c r="H463" s="5">
        <v>1</v>
      </c>
      <c r="I463" s="5">
        <v>1</v>
      </c>
      <c r="J463" s="5">
        <v>2</v>
      </c>
      <c r="K463" s="5">
        <v>2</v>
      </c>
      <c r="L463" s="5">
        <v>2</v>
      </c>
      <c r="M463" s="5">
        <v>2</v>
      </c>
      <c r="N463" s="5">
        <v>2</v>
      </c>
      <c r="O463" s="5">
        <v>18</v>
      </c>
      <c r="P463" s="5" t="s">
        <v>983</v>
      </c>
      <c r="Q463" s="5">
        <v>1</v>
      </c>
      <c r="R463" s="5">
        <v>1</v>
      </c>
      <c r="S463" s="5">
        <v>0</v>
      </c>
      <c r="T463" s="5">
        <v>2</v>
      </c>
      <c r="U463" s="5" t="s">
        <v>982</v>
      </c>
      <c r="V463" s="5">
        <v>0</v>
      </c>
      <c r="W463" s="5">
        <v>2</v>
      </c>
      <c r="X463" s="5">
        <v>1</v>
      </c>
      <c r="Y463" s="5">
        <v>3</v>
      </c>
      <c r="Z463" s="5" t="s">
        <v>982</v>
      </c>
      <c r="AA463" s="5">
        <v>1</v>
      </c>
      <c r="AB463" s="5">
        <v>1</v>
      </c>
      <c r="AC463" s="5">
        <v>0</v>
      </c>
      <c r="AD463" s="5">
        <v>0</v>
      </c>
      <c r="AE463" s="5">
        <v>2</v>
      </c>
      <c r="AF463" s="5" t="s">
        <v>982</v>
      </c>
      <c r="AG463" s="5">
        <v>1</v>
      </c>
      <c r="AH463" s="5">
        <v>0</v>
      </c>
      <c r="AI463" s="5">
        <v>0</v>
      </c>
      <c r="AJ463" s="5">
        <v>1</v>
      </c>
      <c r="AK463" s="5" t="s">
        <v>983</v>
      </c>
      <c r="AL463" s="5">
        <v>0</v>
      </c>
      <c r="AM463" s="5">
        <v>0</v>
      </c>
      <c r="AN463" s="5">
        <v>0</v>
      </c>
      <c r="AO463" s="5">
        <v>0</v>
      </c>
      <c r="AP463" s="5" t="s">
        <v>983</v>
      </c>
      <c r="AQ463" s="5">
        <v>0</v>
      </c>
      <c r="AR463" s="5">
        <v>0</v>
      </c>
      <c r="AS463" s="5">
        <v>0</v>
      </c>
      <c r="AT463" s="5">
        <v>0</v>
      </c>
      <c r="AU463" s="5">
        <v>0</v>
      </c>
      <c r="AV463" s="5">
        <v>0</v>
      </c>
      <c r="AW463" s="5">
        <v>0</v>
      </c>
      <c r="AX463" s="5">
        <v>0</v>
      </c>
      <c r="AY463" s="5" t="s">
        <v>983</v>
      </c>
      <c r="AZ463" s="1">
        <v>0</v>
      </c>
      <c r="BA463" s="1">
        <v>0</v>
      </c>
      <c r="BB463" s="1">
        <v>0</v>
      </c>
      <c r="BC463" s="1">
        <v>1</v>
      </c>
      <c r="BD463" s="1">
        <v>1</v>
      </c>
      <c r="BE463" s="1">
        <v>1</v>
      </c>
      <c r="BF463" s="1">
        <v>0</v>
      </c>
      <c r="BG463" s="1">
        <v>1</v>
      </c>
      <c r="BI463" s="1">
        <v>33</v>
      </c>
      <c r="BJ463" s="1">
        <v>0</v>
      </c>
      <c r="BK463" s="1">
        <v>3</v>
      </c>
    </row>
    <row r="464" spans="1:63" ht="12.75" customHeight="1" x14ac:dyDescent="0.15">
      <c r="A464" s="5" t="s">
        <v>330</v>
      </c>
      <c r="B464" s="5" t="s">
        <v>984</v>
      </c>
      <c r="C464" s="5">
        <v>2</v>
      </c>
      <c r="D464" s="5">
        <v>1</v>
      </c>
      <c r="E464" s="5">
        <v>2</v>
      </c>
      <c r="F464" s="5">
        <v>2</v>
      </c>
      <c r="G464" s="5">
        <v>1</v>
      </c>
      <c r="H464" s="5">
        <v>1</v>
      </c>
      <c r="I464" s="5">
        <v>1</v>
      </c>
      <c r="J464" s="5">
        <v>2</v>
      </c>
      <c r="K464" s="5">
        <v>2</v>
      </c>
      <c r="L464" s="5">
        <v>2</v>
      </c>
      <c r="M464" s="5">
        <v>2</v>
      </c>
      <c r="N464" s="5">
        <v>2</v>
      </c>
      <c r="O464" s="5">
        <v>20</v>
      </c>
      <c r="P464" s="5" t="s">
        <v>982</v>
      </c>
      <c r="Q464" s="5">
        <v>1</v>
      </c>
      <c r="R464" s="5">
        <v>2</v>
      </c>
      <c r="S464" s="5">
        <v>1</v>
      </c>
      <c r="T464" s="5">
        <v>4</v>
      </c>
      <c r="U464" s="5" t="s">
        <v>982</v>
      </c>
      <c r="V464" s="5">
        <v>0</v>
      </c>
      <c r="W464" s="5">
        <v>0</v>
      </c>
      <c r="X464" s="5">
        <v>0</v>
      </c>
      <c r="Y464" s="5">
        <v>0</v>
      </c>
      <c r="Z464" s="5" t="s">
        <v>983</v>
      </c>
      <c r="AA464" s="5">
        <v>3</v>
      </c>
      <c r="AB464" s="5">
        <v>3</v>
      </c>
      <c r="AC464" s="5">
        <v>1</v>
      </c>
      <c r="AD464" s="5">
        <v>1</v>
      </c>
      <c r="AE464" s="5">
        <v>8</v>
      </c>
      <c r="AF464" s="5" t="s">
        <v>981</v>
      </c>
      <c r="AG464" s="5">
        <v>0</v>
      </c>
      <c r="AH464" s="5">
        <v>0</v>
      </c>
      <c r="AI464" s="5">
        <v>0</v>
      </c>
      <c r="AJ464" s="5">
        <v>0</v>
      </c>
      <c r="AK464" s="5" t="s">
        <v>983</v>
      </c>
      <c r="AL464" s="5">
        <v>0</v>
      </c>
      <c r="AM464" s="5">
        <v>0</v>
      </c>
      <c r="AN464" s="5">
        <v>0</v>
      </c>
      <c r="AO464" s="5">
        <v>0</v>
      </c>
      <c r="AP464" s="5" t="s">
        <v>983</v>
      </c>
      <c r="AQ464" s="5">
        <v>0</v>
      </c>
      <c r="AR464" s="5">
        <v>0</v>
      </c>
      <c r="AS464" s="5">
        <v>0</v>
      </c>
      <c r="AT464" s="5">
        <v>0</v>
      </c>
      <c r="AU464" s="5">
        <v>0</v>
      </c>
      <c r="AV464" s="5">
        <v>0</v>
      </c>
      <c r="AW464" s="5">
        <v>0</v>
      </c>
      <c r="AX464" s="5">
        <v>0</v>
      </c>
      <c r="AY464" s="5" t="s">
        <v>983</v>
      </c>
      <c r="AZ464" s="1">
        <v>1</v>
      </c>
      <c r="BA464" s="1">
        <v>0</v>
      </c>
      <c r="BB464" s="1">
        <v>1</v>
      </c>
      <c r="BC464" s="1">
        <v>1</v>
      </c>
      <c r="BD464" s="1">
        <v>1</v>
      </c>
      <c r="BE464" s="1">
        <v>1</v>
      </c>
      <c r="BF464" s="1">
        <v>34</v>
      </c>
      <c r="BG464" s="1">
        <v>0</v>
      </c>
      <c r="BH464" s="1">
        <v>14</v>
      </c>
      <c r="BI464" s="1">
        <v>24</v>
      </c>
      <c r="BJ464" s="1">
        <v>450000</v>
      </c>
      <c r="BK464" s="1">
        <v>3</v>
      </c>
    </row>
    <row r="465" spans="1:63" ht="12.75" customHeight="1" x14ac:dyDescent="0.15">
      <c r="A465" s="5" t="s">
        <v>238</v>
      </c>
      <c r="B465" s="5" t="s">
        <v>238</v>
      </c>
      <c r="C465" s="5">
        <v>3</v>
      </c>
      <c r="D465" s="5">
        <v>4</v>
      </c>
      <c r="E465" s="5">
        <v>4</v>
      </c>
      <c r="F465" s="5">
        <v>4</v>
      </c>
      <c r="G465" s="5">
        <v>4</v>
      </c>
      <c r="H465" s="5">
        <v>4</v>
      </c>
      <c r="I465" s="5">
        <v>3</v>
      </c>
      <c r="J465" s="5">
        <v>3</v>
      </c>
      <c r="K465" s="5">
        <v>3</v>
      </c>
      <c r="L465" s="5">
        <v>4</v>
      </c>
      <c r="M465" s="5">
        <v>3</v>
      </c>
      <c r="N465" s="5">
        <v>4</v>
      </c>
      <c r="O465" s="5">
        <v>43</v>
      </c>
      <c r="P465" s="5" t="s">
        <v>981</v>
      </c>
      <c r="Q465" s="5">
        <v>3</v>
      </c>
      <c r="R465" s="5">
        <v>4</v>
      </c>
      <c r="S465" s="5">
        <v>0</v>
      </c>
      <c r="T465" s="5">
        <v>7</v>
      </c>
      <c r="U465" s="5" t="s">
        <v>981</v>
      </c>
      <c r="V465" s="5">
        <v>0</v>
      </c>
      <c r="W465" s="5">
        <v>1</v>
      </c>
      <c r="X465" s="5">
        <v>4</v>
      </c>
      <c r="Y465" s="5">
        <v>5</v>
      </c>
      <c r="Z465" s="5" t="s">
        <v>982</v>
      </c>
      <c r="AA465" s="5">
        <v>4</v>
      </c>
      <c r="AB465" s="5">
        <v>4</v>
      </c>
      <c r="AC465" s="5">
        <v>4</v>
      </c>
      <c r="AD465" s="5">
        <v>4</v>
      </c>
      <c r="AE465" s="5">
        <v>16</v>
      </c>
      <c r="AF465" s="5" t="s">
        <v>981</v>
      </c>
      <c r="AG465" s="5">
        <v>4</v>
      </c>
      <c r="AH465" s="5">
        <v>0</v>
      </c>
      <c r="AI465" s="5">
        <v>0</v>
      </c>
      <c r="AJ465" s="5">
        <v>4</v>
      </c>
      <c r="AK465" s="5" t="s">
        <v>982</v>
      </c>
      <c r="AL465" s="5">
        <v>3</v>
      </c>
      <c r="AM465" s="5">
        <v>3</v>
      </c>
      <c r="AN465" s="5">
        <v>3</v>
      </c>
      <c r="AO465" s="5">
        <v>9</v>
      </c>
      <c r="AP465" s="5" t="s">
        <v>981</v>
      </c>
      <c r="AQ465" s="5">
        <v>0</v>
      </c>
      <c r="AR465" s="5">
        <v>0</v>
      </c>
      <c r="AS465" s="5">
        <v>0</v>
      </c>
      <c r="AT465" s="5">
        <v>0</v>
      </c>
      <c r="AU465" s="5">
        <v>0</v>
      </c>
      <c r="AV465" s="5">
        <v>0</v>
      </c>
      <c r="AW465" s="5">
        <v>0</v>
      </c>
      <c r="AX465" s="5">
        <v>0</v>
      </c>
      <c r="AY465" s="5" t="s">
        <v>983</v>
      </c>
      <c r="AZ465" s="1">
        <v>1</v>
      </c>
      <c r="BA465" s="1">
        <v>0</v>
      </c>
      <c r="BB465" s="1">
        <v>1</v>
      </c>
      <c r="BC465" s="1">
        <v>1</v>
      </c>
      <c r="BD465" s="1">
        <v>1</v>
      </c>
      <c r="BE465" s="1">
        <v>1</v>
      </c>
      <c r="BF465" s="1">
        <v>21</v>
      </c>
      <c r="BG465" s="1">
        <v>1</v>
      </c>
      <c r="BH465" s="1">
        <v>5</v>
      </c>
      <c r="BI465" s="1">
        <v>24</v>
      </c>
      <c r="BJ465" s="1">
        <v>0</v>
      </c>
      <c r="BK465" s="1">
        <v>4</v>
      </c>
    </row>
    <row r="466" spans="1:63" ht="12.75" customHeight="1" x14ac:dyDescent="0.15">
      <c r="A466" s="5" t="s">
        <v>238</v>
      </c>
      <c r="B466" s="5" t="s">
        <v>238</v>
      </c>
      <c r="C466" s="5">
        <v>2</v>
      </c>
      <c r="D466" s="5">
        <v>1</v>
      </c>
      <c r="E466" s="5">
        <v>2</v>
      </c>
      <c r="F466" s="5">
        <v>2</v>
      </c>
      <c r="G466" s="5">
        <v>2</v>
      </c>
      <c r="H466" s="5">
        <v>2</v>
      </c>
      <c r="I466" s="5">
        <v>2</v>
      </c>
      <c r="J466" s="5">
        <v>2</v>
      </c>
      <c r="K466" s="5">
        <v>2</v>
      </c>
      <c r="L466" s="5">
        <v>2</v>
      </c>
      <c r="M466" s="5">
        <v>2</v>
      </c>
      <c r="N466" s="5">
        <v>2</v>
      </c>
      <c r="O466" s="5">
        <v>23</v>
      </c>
      <c r="P466" s="5" t="s">
        <v>982</v>
      </c>
      <c r="Q466" s="5">
        <v>1</v>
      </c>
      <c r="R466" s="5">
        <v>1</v>
      </c>
      <c r="S466" s="5">
        <v>0</v>
      </c>
      <c r="T466" s="5">
        <v>2</v>
      </c>
      <c r="U466" s="5" t="s">
        <v>982</v>
      </c>
      <c r="V466" s="5">
        <v>0</v>
      </c>
      <c r="W466" s="5">
        <v>1</v>
      </c>
      <c r="X466" s="5">
        <v>0</v>
      </c>
      <c r="Y466" s="5">
        <v>1</v>
      </c>
      <c r="Z466" s="5" t="s">
        <v>983</v>
      </c>
      <c r="AA466" s="5">
        <v>3</v>
      </c>
      <c r="AB466" s="5">
        <v>3</v>
      </c>
      <c r="AC466" s="5">
        <v>1</v>
      </c>
      <c r="AD466" s="5">
        <v>1</v>
      </c>
      <c r="AE466" s="5">
        <v>8</v>
      </c>
      <c r="AF466" s="5" t="s">
        <v>981</v>
      </c>
      <c r="AG466" s="5">
        <v>0</v>
      </c>
      <c r="AH466" s="5">
        <v>0</v>
      </c>
      <c r="AI466" s="5">
        <v>0</v>
      </c>
      <c r="AJ466" s="5">
        <v>0</v>
      </c>
      <c r="AK466" s="5" t="s">
        <v>983</v>
      </c>
      <c r="AL466" s="5">
        <v>1</v>
      </c>
      <c r="AM466" s="5">
        <v>1</v>
      </c>
      <c r="AN466" s="5">
        <v>1</v>
      </c>
      <c r="AO466" s="5">
        <v>3</v>
      </c>
      <c r="AP466" s="5" t="s">
        <v>982</v>
      </c>
      <c r="AQ466" s="5">
        <v>0</v>
      </c>
      <c r="AR466" s="5">
        <v>0</v>
      </c>
      <c r="AS466" s="5">
        <v>0</v>
      </c>
      <c r="AT466" s="5">
        <v>0</v>
      </c>
      <c r="AU466" s="5">
        <v>0</v>
      </c>
      <c r="AV466" s="5">
        <v>0</v>
      </c>
      <c r="AW466" s="5">
        <v>0</v>
      </c>
      <c r="AX466" s="5">
        <v>0</v>
      </c>
      <c r="AY466" s="5" t="s">
        <v>983</v>
      </c>
      <c r="AZ466" s="1">
        <v>1</v>
      </c>
      <c r="BA466" s="1">
        <v>0</v>
      </c>
      <c r="BB466" s="1">
        <v>1</v>
      </c>
      <c r="BC466" s="1">
        <v>1</v>
      </c>
      <c r="BD466" s="1">
        <v>1</v>
      </c>
      <c r="BE466" s="1">
        <v>1</v>
      </c>
      <c r="BF466" s="1">
        <v>0</v>
      </c>
      <c r="BG466" s="1">
        <v>1</v>
      </c>
      <c r="BH466" s="1">
        <v>18</v>
      </c>
      <c r="BI466" s="1">
        <v>31</v>
      </c>
      <c r="BJ466" s="1">
        <v>0</v>
      </c>
      <c r="BK466" s="1">
        <v>3</v>
      </c>
    </row>
    <row r="467" spans="1:63" ht="12.75" customHeight="1" x14ac:dyDescent="0.15">
      <c r="A467" s="5" t="s">
        <v>330</v>
      </c>
      <c r="B467" s="5" t="s">
        <v>984</v>
      </c>
      <c r="C467" s="5">
        <v>4</v>
      </c>
      <c r="D467" s="5">
        <v>4</v>
      </c>
      <c r="E467" s="5">
        <v>4</v>
      </c>
      <c r="F467" s="5">
        <v>3</v>
      </c>
      <c r="G467" s="5">
        <v>4</v>
      </c>
      <c r="H467" s="5">
        <v>2</v>
      </c>
      <c r="I467" s="5">
        <v>1</v>
      </c>
      <c r="J467" s="5">
        <v>2</v>
      </c>
      <c r="K467" s="5">
        <v>2</v>
      </c>
      <c r="L467" s="5">
        <v>2</v>
      </c>
      <c r="M467" s="5">
        <v>2</v>
      </c>
      <c r="N467" s="5">
        <v>2</v>
      </c>
      <c r="O467" s="5">
        <v>32</v>
      </c>
      <c r="P467" s="5" t="s">
        <v>981</v>
      </c>
      <c r="Q467" s="5">
        <v>2</v>
      </c>
      <c r="R467" s="5">
        <v>2</v>
      </c>
      <c r="S467" s="5">
        <v>0</v>
      </c>
      <c r="T467" s="5">
        <v>4</v>
      </c>
      <c r="U467" s="5" t="s">
        <v>982</v>
      </c>
      <c r="V467" s="5">
        <v>0</v>
      </c>
      <c r="W467" s="5">
        <v>0</v>
      </c>
      <c r="X467" s="5">
        <v>0</v>
      </c>
      <c r="Y467" s="5">
        <v>0</v>
      </c>
      <c r="Z467" s="5" t="s">
        <v>983</v>
      </c>
      <c r="AA467" s="5">
        <v>2</v>
      </c>
      <c r="AB467" s="5">
        <v>2</v>
      </c>
      <c r="AC467" s="5">
        <v>2</v>
      </c>
      <c r="AD467" s="5">
        <v>2</v>
      </c>
      <c r="AE467" s="5">
        <v>8</v>
      </c>
      <c r="AF467" s="5" t="s">
        <v>981</v>
      </c>
      <c r="AG467" s="5">
        <v>2</v>
      </c>
      <c r="AH467" s="5">
        <v>2</v>
      </c>
      <c r="AI467" s="5">
        <v>2</v>
      </c>
      <c r="AJ467" s="5">
        <v>6</v>
      </c>
      <c r="AK467" s="5" t="s">
        <v>981</v>
      </c>
      <c r="AL467" s="5">
        <v>2</v>
      </c>
      <c r="AM467" s="5">
        <v>3</v>
      </c>
      <c r="AN467" s="5">
        <v>2</v>
      </c>
      <c r="AO467" s="5">
        <v>7</v>
      </c>
      <c r="AP467" s="5" t="s">
        <v>981</v>
      </c>
      <c r="AQ467" s="5">
        <v>0</v>
      </c>
      <c r="AR467" s="5">
        <v>0</v>
      </c>
      <c r="AS467" s="5">
        <v>0</v>
      </c>
      <c r="AT467" s="5">
        <v>0</v>
      </c>
      <c r="AU467" s="5">
        <v>0</v>
      </c>
      <c r="AV467" s="5">
        <v>2</v>
      </c>
      <c r="AW467" s="5">
        <v>0</v>
      </c>
      <c r="AX467" s="5">
        <v>2</v>
      </c>
      <c r="AY467" s="5" t="s">
        <v>982</v>
      </c>
      <c r="AZ467" s="1">
        <v>0</v>
      </c>
      <c r="BA467" s="1">
        <v>0</v>
      </c>
      <c r="BB467" s="1">
        <v>0</v>
      </c>
      <c r="BC467" s="1">
        <v>1</v>
      </c>
      <c r="BD467" s="1">
        <v>1</v>
      </c>
      <c r="BE467" s="1">
        <v>1</v>
      </c>
      <c r="BF467" s="1">
        <v>0</v>
      </c>
      <c r="BG467" s="1">
        <v>0</v>
      </c>
      <c r="BI467" s="1">
        <v>10</v>
      </c>
      <c r="BJ467" s="1">
        <v>0</v>
      </c>
      <c r="BK467" s="1">
        <v>4</v>
      </c>
    </row>
    <row r="468" spans="1:63" ht="12.75" customHeight="1" x14ac:dyDescent="0.15">
      <c r="A468" s="5" t="s">
        <v>238</v>
      </c>
      <c r="B468" s="5" t="s">
        <v>238</v>
      </c>
      <c r="C468" s="5">
        <v>4</v>
      </c>
      <c r="D468" s="5">
        <v>2</v>
      </c>
      <c r="E468" s="5">
        <v>4</v>
      </c>
      <c r="F468" s="5">
        <v>4</v>
      </c>
      <c r="G468" s="5">
        <v>4</v>
      </c>
      <c r="H468" s="5">
        <v>1</v>
      </c>
      <c r="I468" s="5">
        <v>1</v>
      </c>
      <c r="J468" s="5">
        <v>1</v>
      </c>
      <c r="K468" s="5">
        <v>3</v>
      </c>
      <c r="L468" s="5">
        <v>4</v>
      </c>
      <c r="M468" s="5">
        <v>4</v>
      </c>
      <c r="N468" s="5">
        <v>4</v>
      </c>
      <c r="O468" s="5">
        <v>36</v>
      </c>
      <c r="P468" s="5" t="s">
        <v>981</v>
      </c>
      <c r="Q468" s="5">
        <v>4</v>
      </c>
      <c r="R468" s="5">
        <v>4</v>
      </c>
      <c r="S468" s="5">
        <v>4</v>
      </c>
      <c r="T468" s="5">
        <v>12</v>
      </c>
      <c r="U468" s="5" t="s">
        <v>981</v>
      </c>
      <c r="V468" s="5">
        <v>0</v>
      </c>
      <c r="W468" s="5">
        <v>0</v>
      </c>
      <c r="X468" s="5">
        <v>0</v>
      </c>
      <c r="Y468" s="5">
        <v>0</v>
      </c>
      <c r="Z468" s="5" t="s">
        <v>983</v>
      </c>
      <c r="AA468" s="5">
        <v>4</v>
      </c>
      <c r="AB468" s="5">
        <v>4</v>
      </c>
      <c r="AC468" s="5">
        <v>4</v>
      </c>
      <c r="AD468" s="5">
        <v>4</v>
      </c>
      <c r="AE468" s="5">
        <v>16</v>
      </c>
      <c r="AF468" s="5" t="s">
        <v>981</v>
      </c>
      <c r="AG468" s="5">
        <v>0</v>
      </c>
      <c r="AH468" s="5">
        <v>0</v>
      </c>
      <c r="AI468" s="5">
        <v>0</v>
      </c>
      <c r="AJ468" s="5">
        <v>0</v>
      </c>
      <c r="AK468" s="5" t="s">
        <v>983</v>
      </c>
      <c r="AL468" s="5">
        <v>4</v>
      </c>
      <c r="AM468" s="5">
        <v>4</v>
      </c>
      <c r="AN468" s="5">
        <v>4</v>
      </c>
      <c r="AO468" s="5">
        <v>12</v>
      </c>
      <c r="AP468" s="5" t="s">
        <v>981</v>
      </c>
      <c r="AQ468" s="5">
        <v>3</v>
      </c>
      <c r="AR468" s="5">
        <v>0</v>
      </c>
      <c r="AS468" s="5">
        <v>0</v>
      </c>
      <c r="AT468" s="5">
        <v>0</v>
      </c>
      <c r="AU468" s="5">
        <v>0</v>
      </c>
      <c r="AV468" s="5">
        <v>0</v>
      </c>
      <c r="AW468" s="5">
        <v>0</v>
      </c>
      <c r="AX468" s="5">
        <v>3</v>
      </c>
      <c r="AY468" s="5" t="s">
        <v>982</v>
      </c>
      <c r="AZ468" s="1">
        <v>0</v>
      </c>
      <c r="BA468" s="1">
        <v>0</v>
      </c>
      <c r="BB468" s="1">
        <v>0</v>
      </c>
      <c r="BC468" s="1">
        <v>1</v>
      </c>
      <c r="BD468" s="1">
        <v>1</v>
      </c>
      <c r="BE468" s="1">
        <v>1</v>
      </c>
      <c r="BF468" s="1">
        <v>0</v>
      </c>
      <c r="BG468" s="1">
        <v>0</v>
      </c>
      <c r="BI468" s="1">
        <v>10</v>
      </c>
      <c r="BJ468" s="1">
        <v>0</v>
      </c>
      <c r="BK468" s="1">
        <v>4</v>
      </c>
    </row>
    <row r="469" spans="1:63" ht="12.75" customHeight="1" x14ac:dyDescent="0.15">
      <c r="A469" s="5" t="s">
        <v>330</v>
      </c>
      <c r="B469" s="5" t="s">
        <v>984</v>
      </c>
      <c r="C469" s="5">
        <v>2</v>
      </c>
      <c r="D469" s="5">
        <v>2</v>
      </c>
      <c r="E469" s="5">
        <v>2</v>
      </c>
      <c r="F469" s="5">
        <v>2</v>
      </c>
      <c r="G469" s="5">
        <v>2</v>
      </c>
      <c r="H469" s="5">
        <v>2</v>
      </c>
      <c r="I469" s="5">
        <v>2</v>
      </c>
      <c r="J469" s="5">
        <v>1</v>
      </c>
      <c r="K469" s="5">
        <v>1</v>
      </c>
      <c r="L469" s="5">
        <v>2</v>
      </c>
      <c r="M469" s="5">
        <v>2</v>
      </c>
      <c r="N469" s="5">
        <v>2</v>
      </c>
      <c r="O469" s="5">
        <v>22</v>
      </c>
      <c r="P469" s="5" t="s">
        <v>982</v>
      </c>
      <c r="Q469" s="5">
        <v>3</v>
      </c>
      <c r="R469" s="5">
        <v>2</v>
      </c>
      <c r="S469" s="5">
        <v>3</v>
      </c>
      <c r="T469" s="5">
        <v>8</v>
      </c>
      <c r="U469" s="5" t="s">
        <v>981</v>
      </c>
      <c r="V469" s="5">
        <v>2</v>
      </c>
      <c r="W469" s="5">
        <v>3</v>
      </c>
      <c r="X469" s="5">
        <v>2</v>
      </c>
      <c r="Y469" s="5">
        <v>7</v>
      </c>
      <c r="Z469" s="5" t="s">
        <v>981</v>
      </c>
      <c r="AA469" s="5">
        <v>1</v>
      </c>
      <c r="AB469" s="5">
        <v>2</v>
      </c>
      <c r="AC469" s="5">
        <v>1</v>
      </c>
      <c r="AD469" s="5">
        <v>2</v>
      </c>
      <c r="AE469" s="5">
        <v>6</v>
      </c>
      <c r="AF469" s="5" t="s">
        <v>981</v>
      </c>
      <c r="AG469" s="5">
        <v>3</v>
      </c>
      <c r="AH469" s="5">
        <v>2</v>
      </c>
      <c r="AI469" s="5">
        <v>3</v>
      </c>
      <c r="AJ469" s="5">
        <v>8</v>
      </c>
      <c r="AK469" s="5" t="s">
        <v>981</v>
      </c>
      <c r="AL469" s="5">
        <v>2</v>
      </c>
      <c r="AM469" s="5">
        <v>3</v>
      </c>
      <c r="AN469" s="5">
        <v>2</v>
      </c>
      <c r="AO469" s="5">
        <v>7</v>
      </c>
      <c r="AP469" s="5" t="s">
        <v>981</v>
      </c>
      <c r="AQ469" s="5">
        <v>0</v>
      </c>
      <c r="AR469" s="5">
        <v>1</v>
      </c>
      <c r="AS469" s="5">
        <v>1</v>
      </c>
      <c r="AT469" s="5">
        <v>1</v>
      </c>
      <c r="AU469" s="5">
        <v>1</v>
      </c>
      <c r="AV469" s="5">
        <v>1</v>
      </c>
      <c r="AW469" s="5">
        <v>1</v>
      </c>
      <c r="AX469" s="5">
        <v>6</v>
      </c>
      <c r="AY469" s="5" t="s">
        <v>982</v>
      </c>
      <c r="AZ469" s="1">
        <v>0</v>
      </c>
      <c r="BA469" s="1">
        <v>1</v>
      </c>
      <c r="BB469" s="1">
        <v>0</v>
      </c>
      <c r="BC469" s="1">
        <v>1</v>
      </c>
      <c r="BD469" s="1">
        <v>1</v>
      </c>
      <c r="BE469" s="1">
        <v>1</v>
      </c>
      <c r="BF469" s="1">
        <v>0</v>
      </c>
      <c r="BG469" s="1">
        <v>0</v>
      </c>
      <c r="BI469" s="1">
        <v>1</v>
      </c>
      <c r="BJ469" s="1">
        <v>0</v>
      </c>
      <c r="BK469" s="1">
        <v>1</v>
      </c>
    </row>
    <row r="470" spans="1:63" ht="12.75" customHeight="1" x14ac:dyDescent="0.15">
      <c r="A470" s="5" t="s">
        <v>337</v>
      </c>
      <c r="B470" s="5" t="s">
        <v>984</v>
      </c>
      <c r="C470" s="5">
        <v>4</v>
      </c>
      <c r="D470" s="5">
        <v>1</v>
      </c>
      <c r="E470" s="5">
        <v>1</v>
      </c>
      <c r="F470" s="5">
        <v>1</v>
      </c>
      <c r="G470" s="5">
        <v>1</v>
      </c>
      <c r="H470" s="5">
        <v>1</v>
      </c>
      <c r="I470" s="5">
        <v>1</v>
      </c>
      <c r="J470" s="5">
        <v>4</v>
      </c>
      <c r="K470" s="5">
        <v>4</v>
      </c>
      <c r="L470" s="5">
        <v>4</v>
      </c>
      <c r="M470" s="5">
        <v>4</v>
      </c>
      <c r="N470" s="5">
        <v>4</v>
      </c>
      <c r="O470" s="5">
        <v>30</v>
      </c>
      <c r="P470" s="5" t="s">
        <v>981</v>
      </c>
      <c r="Q470" s="5">
        <v>1</v>
      </c>
      <c r="R470" s="5">
        <v>2</v>
      </c>
      <c r="S470" s="5">
        <v>0</v>
      </c>
      <c r="T470" s="5">
        <v>3</v>
      </c>
      <c r="U470" s="5" t="s">
        <v>982</v>
      </c>
      <c r="V470" s="5">
        <v>1</v>
      </c>
      <c r="W470" s="5">
        <v>0</v>
      </c>
      <c r="X470" s="5">
        <v>0</v>
      </c>
      <c r="Y470" s="5">
        <v>1</v>
      </c>
      <c r="Z470" s="5" t="s">
        <v>983</v>
      </c>
      <c r="AA470" s="5">
        <v>4</v>
      </c>
      <c r="AB470" s="5">
        <v>4</v>
      </c>
      <c r="AC470" s="5">
        <v>4</v>
      </c>
      <c r="AD470" s="5">
        <v>4</v>
      </c>
      <c r="AE470" s="5">
        <v>16</v>
      </c>
      <c r="AF470" s="5" t="s">
        <v>981</v>
      </c>
      <c r="AG470" s="5">
        <v>0</v>
      </c>
      <c r="AH470" s="5">
        <v>0</v>
      </c>
      <c r="AI470" s="5">
        <v>0</v>
      </c>
      <c r="AJ470" s="5">
        <v>0</v>
      </c>
      <c r="AK470" s="5" t="s">
        <v>983</v>
      </c>
      <c r="AL470" s="5">
        <v>0</v>
      </c>
      <c r="AM470" s="5">
        <v>0</v>
      </c>
      <c r="AN470" s="5">
        <v>0</v>
      </c>
      <c r="AO470" s="5">
        <v>0</v>
      </c>
      <c r="AP470" s="5" t="s">
        <v>983</v>
      </c>
      <c r="AQ470" s="5">
        <v>0</v>
      </c>
      <c r="AR470" s="5">
        <v>0</v>
      </c>
      <c r="AS470" s="5">
        <v>0</v>
      </c>
      <c r="AT470" s="5">
        <v>0</v>
      </c>
      <c r="AU470" s="5">
        <v>0</v>
      </c>
      <c r="AV470" s="5">
        <v>0</v>
      </c>
      <c r="AW470" s="5">
        <v>0</v>
      </c>
      <c r="AX470" s="5">
        <v>0</v>
      </c>
      <c r="AY470" s="5" t="s">
        <v>983</v>
      </c>
      <c r="AZ470" s="1">
        <v>1</v>
      </c>
      <c r="BA470" s="1">
        <v>0</v>
      </c>
      <c r="BB470" s="1">
        <v>1</v>
      </c>
      <c r="BC470" s="1">
        <v>1</v>
      </c>
      <c r="BD470" s="1">
        <v>1</v>
      </c>
      <c r="BE470" s="1">
        <v>1</v>
      </c>
      <c r="BF470" s="1">
        <v>0</v>
      </c>
      <c r="BG470" s="1">
        <v>0</v>
      </c>
      <c r="BI470" s="1">
        <v>1</v>
      </c>
      <c r="BJ470" s="1">
        <v>0</v>
      </c>
      <c r="BK470" s="1">
        <v>1</v>
      </c>
    </row>
    <row r="471" spans="1:63" ht="12.75" customHeight="1" x14ac:dyDescent="0.15">
      <c r="A471" s="5" t="s">
        <v>238</v>
      </c>
      <c r="B471" s="5" t="s">
        <v>238</v>
      </c>
      <c r="C471" s="5">
        <v>1</v>
      </c>
      <c r="D471" s="5">
        <v>2</v>
      </c>
      <c r="E471" s="5">
        <v>2</v>
      </c>
      <c r="F471" s="5">
        <v>1</v>
      </c>
      <c r="G471" s="5">
        <v>1</v>
      </c>
      <c r="H471" s="5">
        <v>1</v>
      </c>
      <c r="I471" s="5">
        <v>1</v>
      </c>
      <c r="J471" s="5">
        <v>1</v>
      </c>
      <c r="K471" s="5">
        <v>1</v>
      </c>
      <c r="L471" s="5">
        <v>1</v>
      </c>
      <c r="M471" s="5">
        <v>1</v>
      </c>
      <c r="N471" s="5">
        <v>1</v>
      </c>
      <c r="O471" s="5">
        <v>14</v>
      </c>
      <c r="P471" s="5" t="s">
        <v>983</v>
      </c>
      <c r="Q471" s="5">
        <v>1</v>
      </c>
      <c r="R471" s="5">
        <v>1</v>
      </c>
      <c r="S471" s="5">
        <v>1</v>
      </c>
      <c r="T471" s="5">
        <v>3</v>
      </c>
      <c r="U471" s="5" t="s">
        <v>982</v>
      </c>
      <c r="V471" s="5">
        <v>1</v>
      </c>
      <c r="W471" s="5">
        <v>2</v>
      </c>
      <c r="X471" s="5">
        <v>2</v>
      </c>
      <c r="Y471" s="5">
        <v>5</v>
      </c>
      <c r="Z471" s="5" t="s">
        <v>982</v>
      </c>
      <c r="AA471" s="5">
        <v>3</v>
      </c>
      <c r="AB471" s="5">
        <v>3</v>
      </c>
      <c r="AC471" s="5">
        <v>1</v>
      </c>
      <c r="AD471" s="5">
        <v>2</v>
      </c>
      <c r="AE471" s="5">
        <v>9</v>
      </c>
      <c r="AF471" s="5" t="s">
        <v>981</v>
      </c>
      <c r="AG471" s="5">
        <v>1</v>
      </c>
      <c r="AH471" s="5">
        <v>0</v>
      </c>
      <c r="AI471" s="5">
        <v>0</v>
      </c>
      <c r="AJ471" s="5">
        <v>1</v>
      </c>
      <c r="AK471" s="5" t="s">
        <v>983</v>
      </c>
      <c r="AL471" s="5">
        <v>0</v>
      </c>
      <c r="AM471" s="5">
        <v>0</v>
      </c>
      <c r="AN471" s="5">
        <v>1</v>
      </c>
      <c r="AO471" s="5">
        <v>1</v>
      </c>
      <c r="AP471" s="5" t="s">
        <v>983</v>
      </c>
      <c r="AQ471" s="5">
        <v>0</v>
      </c>
      <c r="AR471" s="5">
        <v>0</v>
      </c>
      <c r="AS471" s="5">
        <v>0</v>
      </c>
      <c r="AT471" s="5">
        <v>0</v>
      </c>
      <c r="AU471" s="5">
        <v>0</v>
      </c>
      <c r="AV471" s="5">
        <v>0</v>
      </c>
      <c r="AW471" s="5">
        <v>0</v>
      </c>
      <c r="AX471" s="5">
        <v>0</v>
      </c>
      <c r="AY471" s="5" t="s">
        <v>983</v>
      </c>
      <c r="AZ471" s="1">
        <v>0</v>
      </c>
      <c r="BA471" s="1">
        <v>0</v>
      </c>
      <c r="BB471" s="1">
        <v>0</v>
      </c>
      <c r="BC471" s="1">
        <v>1</v>
      </c>
      <c r="BD471" s="1">
        <v>0</v>
      </c>
      <c r="BE471" s="1">
        <v>1</v>
      </c>
      <c r="BF471" s="1">
        <v>0</v>
      </c>
      <c r="BG471" s="1">
        <v>0</v>
      </c>
      <c r="BI471" s="1">
        <v>11</v>
      </c>
      <c r="BJ471" s="1">
        <v>0</v>
      </c>
      <c r="BK471" s="1">
        <v>3</v>
      </c>
    </row>
    <row r="472" spans="1:63" ht="12.75" customHeight="1" x14ac:dyDescent="0.15">
      <c r="A472" s="5" t="s">
        <v>238</v>
      </c>
      <c r="B472" s="5" t="s">
        <v>238</v>
      </c>
      <c r="C472" s="5">
        <v>3</v>
      </c>
      <c r="D472" s="5">
        <v>2</v>
      </c>
      <c r="E472" s="5">
        <v>2</v>
      </c>
      <c r="F472" s="5">
        <v>3</v>
      </c>
      <c r="G472" s="5">
        <v>2</v>
      </c>
      <c r="H472" s="5">
        <v>1</v>
      </c>
      <c r="I472" s="5">
        <v>1</v>
      </c>
      <c r="J472" s="5">
        <v>1</v>
      </c>
      <c r="K472" s="5">
        <v>1</v>
      </c>
      <c r="L472" s="5">
        <v>1</v>
      </c>
      <c r="M472" s="5">
        <v>1</v>
      </c>
      <c r="N472" s="5">
        <v>1</v>
      </c>
      <c r="O472" s="5">
        <v>19</v>
      </c>
      <c r="P472" s="5" t="s">
        <v>982</v>
      </c>
      <c r="Q472" s="5">
        <v>1</v>
      </c>
      <c r="R472" s="5">
        <v>2</v>
      </c>
      <c r="S472" s="5">
        <v>2</v>
      </c>
      <c r="T472" s="5">
        <v>5</v>
      </c>
      <c r="U472" s="5" t="s">
        <v>981</v>
      </c>
      <c r="V472" s="5">
        <v>0</v>
      </c>
      <c r="W472" s="5">
        <v>2</v>
      </c>
      <c r="X472" s="5">
        <v>3</v>
      </c>
      <c r="Y472" s="5">
        <v>5</v>
      </c>
      <c r="Z472" s="5" t="s">
        <v>982</v>
      </c>
      <c r="AA472" s="5">
        <v>2</v>
      </c>
      <c r="AB472" s="5">
        <v>2</v>
      </c>
      <c r="AC472" s="5">
        <v>3</v>
      </c>
      <c r="AD472" s="5">
        <v>2</v>
      </c>
      <c r="AE472" s="5">
        <v>9</v>
      </c>
      <c r="AF472" s="5" t="s">
        <v>981</v>
      </c>
      <c r="AG472" s="5">
        <v>2</v>
      </c>
      <c r="AH472" s="5">
        <v>2</v>
      </c>
      <c r="AI472" s="5">
        <v>1</v>
      </c>
      <c r="AJ472" s="5">
        <v>5</v>
      </c>
      <c r="AK472" s="5" t="s">
        <v>982</v>
      </c>
      <c r="AL472" s="5">
        <v>1</v>
      </c>
      <c r="AM472" s="5">
        <v>1</v>
      </c>
      <c r="AN472" s="5">
        <v>1</v>
      </c>
      <c r="AO472" s="5">
        <v>3</v>
      </c>
      <c r="AP472" s="5" t="s">
        <v>982</v>
      </c>
      <c r="AQ472" s="5">
        <v>0</v>
      </c>
      <c r="AR472" s="5">
        <v>0</v>
      </c>
      <c r="AS472" s="5">
        <v>0</v>
      </c>
      <c r="AT472" s="5">
        <v>0</v>
      </c>
      <c r="AU472" s="5">
        <v>0</v>
      </c>
      <c r="AV472" s="5">
        <v>0</v>
      </c>
      <c r="AW472" s="5">
        <v>0</v>
      </c>
      <c r="AX472" s="5">
        <v>0</v>
      </c>
      <c r="AY472" s="5" t="s">
        <v>983</v>
      </c>
      <c r="AZ472" s="1">
        <v>1</v>
      </c>
      <c r="BA472" s="1">
        <v>0</v>
      </c>
      <c r="BB472" s="1">
        <v>1</v>
      </c>
      <c r="BC472" s="1">
        <v>1</v>
      </c>
      <c r="BD472" s="1">
        <v>1</v>
      </c>
      <c r="BE472" s="1">
        <v>1</v>
      </c>
      <c r="BF472" s="1">
        <v>0</v>
      </c>
      <c r="BG472" s="1">
        <v>0</v>
      </c>
      <c r="BI472" s="1">
        <v>11</v>
      </c>
      <c r="BJ472" s="1">
        <v>0</v>
      </c>
      <c r="BK472" s="1">
        <v>3</v>
      </c>
    </row>
    <row r="473" spans="1:63" ht="12.75" customHeight="1" x14ac:dyDescent="0.15">
      <c r="A473" s="5" t="s">
        <v>330</v>
      </c>
      <c r="B473" s="5" t="s">
        <v>984</v>
      </c>
      <c r="C473" s="5">
        <v>2</v>
      </c>
      <c r="D473" s="5">
        <v>1</v>
      </c>
      <c r="E473" s="5">
        <v>1</v>
      </c>
      <c r="F473" s="5">
        <v>1</v>
      </c>
      <c r="G473" s="5">
        <v>1</v>
      </c>
      <c r="H473" s="5">
        <v>1</v>
      </c>
      <c r="I473" s="5">
        <v>1</v>
      </c>
      <c r="J473" s="5">
        <v>1</v>
      </c>
      <c r="K473" s="5">
        <v>1</v>
      </c>
      <c r="L473" s="5">
        <v>1</v>
      </c>
      <c r="M473" s="5">
        <v>1</v>
      </c>
      <c r="N473" s="5">
        <v>1</v>
      </c>
      <c r="O473" s="5">
        <v>13</v>
      </c>
      <c r="P473" s="5" t="s">
        <v>983</v>
      </c>
      <c r="Q473" s="5">
        <v>0</v>
      </c>
      <c r="R473" s="5">
        <v>1</v>
      </c>
      <c r="S473" s="5">
        <v>0</v>
      </c>
      <c r="T473" s="5">
        <v>1</v>
      </c>
      <c r="U473" s="5" t="s">
        <v>983</v>
      </c>
      <c r="V473" s="5">
        <v>4</v>
      </c>
      <c r="W473" s="5">
        <v>2</v>
      </c>
      <c r="X473" s="5">
        <v>4</v>
      </c>
      <c r="Y473" s="5">
        <v>10</v>
      </c>
      <c r="Z473" s="5" t="s">
        <v>981</v>
      </c>
      <c r="AA473" s="5">
        <v>1</v>
      </c>
      <c r="AB473" s="5">
        <v>3</v>
      </c>
      <c r="AC473" s="5">
        <v>3</v>
      </c>
      <c r="AD473" s="5">
        <v>1</v>
      </c>
      <c r="AE473" s="5">
        <v>8</v>
      </c>
      <c r="AF473" s="5" t="s">
        <v>981</v>
      </c>
      <c r="AG473" s="5">
        <v>3</v>
      </c>
      <c r="AH473" s="5">
        <v>3</v>
      </c>
      <c r="AI473" s="5">
        <v>3</v>
      </c>
      <c r="AJ473" s="5">
        <v>9</v>
      </c>
      <c r="AK473" s="5" t="s">
        <v>981</v>
      </c>
      <c r="AL473" s="5">
        <v>4</v>
      </c>
      <c r="AM473" s="5">
        <v>4</v>
      </c>
      <c r="AN473" s="5">
        <v>2</v>
      </c>
      <c r="AO473" s="5">
        <v>10</v>
      </c>
      <c r="AP473" s="5" t="s">
        <v>981</v>
      </c>
      <c r="AQ473" s="5">
        <v>1</v>
      </c>
      <c r="AR473" s="5">
        <v>1</v>
      </c>
      <c r="AS473" s="5">
        <v>2</v>
      </c>
      <c r="AT473" s="5">
        <v>0</v>
      </c>
      <c r="AU473" s="5">
        <v>0</v>
      </c>
      <c r="AV473" s="5">
        <v>0</v>
      </c>
      <c r="AW473" s="5">
        <v>1</v>
      </c>
      <c r="AX473" s="5">
        <v>5</v>
      </c>
      <c r="AY473" s="5" t="s">
        <v>982</v>
      </c>
      <c r="AZ473" s="1">
        <v>1</v>
      </c>
      <c r="BA473" s="1">
        <v>0</v>
      </c>
      <c r="BB473" s="1">
        <v>1</v>
      </c>
      <c r="BC473" s="1">
        <v>1</v>
      </c>
      <c r="BD473" s="1">
        <v>1</v>
      </c>
      <c r="BE473" s="1">
        <v>1</v>
      </c>
      <c r="BF473" s="1">
        <v>0</v>
      </c>
      <c r="BG473" s="1">
        <v>0</v>
      </c>
      <c r="BI473" s="1">
        <v>7</v>
      </c>
      <c r="BJ473" s="1">
        <v>0</v>
      </c>
      <c r="BK473" s="1">
        <v>4</v>
      </c>
    </row>
    <row r="474" spans="1:63" ht="12.75" customHeight="1" x14ac:dyDescent="0.15">
      <c r="A474" s="5" t="s">
        <v>238</v>
      </c>
      <c r="B474" s="5" t="s">
        <v>238</v>
      </c>
      <c r="C474" s="5">
        <v>2</v>
      </c>
      <c r="D474" s="5">
        <v>3</v>
      </c>
      <c r="E474" s="5">
        <v>2</v>
      </c>
      <c r="F474" s="5">
        <v>2</v>
      </c>
      <c r="G474" s="5">
        <v>2</v>
      </c>
      <c r="H474" s="5">
        <v>1</v>
      </c>
      <c r="I474" s="5">
        <v>1</v>
      </c>
      <c r="J474" s="5">
        <v>1</v>
      </c>
      <c r="K474" s="5">
        <v>2</v>
      </c>
      <c r="L474" s="5">
        <v>2</v>
      </c>
      <c r="M474" s="5">
        <v>1</v>
      </c>
      <c r="N474" s="5">
        <v>2</v>
      </c>
      <c r="O474" s="5">
        <v>21</v>
      </c>
      <c r="P474" s="5" t="s">
        <v>982</v>
      </c>
      <c r="Q474" s="5">
        <v>2</v>
      </c>
      <c r="R474" s="5">
        <v>2</v>
      </c>
      <c r="S474" s="5">
        <v>1</v>
      </c>
      <c r="T474" s="5">
        <v>5</v>
      </c>
      <c r="U474" s="5" t="s">
        <v>981</v>
      </c>
      <c r="V474" s="5">
        <v>1</v>
      </c>
      <c r="W474" s="5">
        <v>1</v>
      </c>
      <c r="X474" s="5">
        <v>3</v>
      </c>
      <c r="Y474" s="5">
        <v>5</v>
      </c>
      <c r="Z474" s="5" t="s">
        <v>982</v>
      </c>
      <c r="AA474" s="5">
        <v>2</v>
      </c>
      <c r="AB474" s="5">
        <v>1</v>
      </c>
      <c r="AC474" s="5">
        <v>1</v>
      </c>
      <c r="AD474" s="5">
        <v>1</v>
      </c>
      <c r="AE474" s="5">
        <v>5</v>
      </c>
      <c r="AF474" s="5" t="s">
        <v>981</v>
      </c>
      <c r="AG474" s="5">
        <v>2</v>
      </c>
      <c r="AH474" s="5">
        <v>1</v>
      </c>
      <c r="AI474" s="5">
        <v>1</v>
      </c>
      <c r="AJ474" s="5">
        <v>4</v>
      </c>
      <c r="AK474" s="5" t="s">
        <v>982</v>
      </c>
      <c r="AL474" s="5">
        <v>2</v>
      </c>
      <c r="AM474" s="5">
        <v>2</v>
      </c>
      <c r="AN474" s="5">
        <v>2</v>
      </c>
      <c r="AO474" s="5">
        <v>6</v>
      </c>
      <c r="AP474" s="5" t="s">
        <v>981</v>
      </c>
      <c r="AQ474" s="5">
        <v>2</v>
      </c>
      <c r="AR474" s="5">
        <v>1</v>
      </c>
      <c r="AS474" s="5">
        <v>2</v>
      </c>
      <c r="AT474" s="5">
        <v>1</v>
      </c>
      <c r="AU474" s="5">
        <v>2</v>
      </c>
      <c r="AV474" s="5">
        <v>3</v>
      </c>
      <c r="AW474" s="5">
        <v>2</v>
      </c>
      <c r="AX474" s="5">
        <v>13</v>
      </c>
      <c r="AY474" s="5" t="s">
        <v>982</v>
      </c>
      <c r="AZ474" s="1">
        <v>1</v>
      </c>
      <c r="BA474" s="1">
        <v>0</v>
      </c>
      <c r="BB474" s="1">
        <v>1</v>
      </c>
      <c r="BC474" s="1">
        <v>1</v>
      </c>
      <c r="BD474" s="1">
        <v>1</v>
      </c>
      <c r="BE474" s="1">
        <v>1</v>
      </c>
      <c r="BF474" s="1">
        <v>45</v>
      </c>
      <c r="BG474" s="1">
        <v>0</v>
      </c>
      <c r="BH474" s="1">
        <v>2</v>
      </c>
      <c r="BI474" s="1">
        <v>34</v>
      </c>
      <c r="BJ474" s="1">
        <v>100000</v>
      </c>
      <c r="BK474" s="1">
        <v>1</v>
      </c>
    </row>
    <row r="475" spans="1:63" ht="12.75" customHeight="1" x14ac:dyDescent="0.15">
      <c r="A475" s="5" t="s">
        <v>238</v>
      </c>
      <c r="B475" s="5" t="s">
        <v>238</v>
      </c>
      <c r="C475" s="5">
        <v>1</v>
      </c>
      <c r="D475" s="5">
        <v>1</v>
      </c>
      <c r="E475" s="5">
        <v>1</v>
      </c>
      <c r="F475" s="5">
        <v>1</v>
      </c>
      <c r="G475" s="5">
        <v>1</v>
      </c>
      <c r="H475" s="5">
        <v>1</v>
      </c>
      <c r="I475" s="5">
        <v>1</v>
      </c>
      <c r="J475" s="5">
        <v>2</v>
      </c>
      <c r="K475" s="5">
        <v>2</v>
      </c>
      <c r="L475" s="5">
        <v>2</v>
      </c>
      <c r="M475" s="5">
        <v>1</v>
      </c>
      <c r="N475" s="5">
        <v>1</v>
      </c>
      <c r="O475" s="5">
        <v>15</v>
      </c>
      <c r="P475" s="5" t="s">
        <v>983</v>
      </c>
      <c r="Q475" s="5">
        <v>3</v>
      </c>
      <c r="R475" s="5">
        <v>2</v>
      </c>
      <c r="S475" s="5">
        <v>1</v>
      </c>
      <c r="T475" s="5">
        <v>6</v>
      </c>
      <c r="U475" s="5" t="s">
        <v>981</v>
      </c>
      <c r="V475" s="5">
        <v>0</v>
      </c>
      <c r="W475" s="5">
        <v>2</v>
      </c>
      <c r="X475" s="5">
        <v>2</v>
      </c>
      <c r="Y475" s="5">
        <v>4</v>
      </c>
      <c r="Z475" s="5" t="s">
        <v>982</v>
      </c>
      <c r="AA475" s="5">
        <v>2</v>
      </c>
      <c r="AB475" s="5">
        <v>2</v>
      </c>
      <c r="AC475" s="5">
        <v>1</v>
      </c>
      <c r="AD475" s="5">
        <v>1</v>
      </c>
      <c r="AE475" s="5">
        <v>6</v>
      </c>
      <c r="AF475" s="5" t="s">
        <v>981</v>
      </c>
      <c r="AG475" s="5">
        <v>0</v>
      </c>
      <c r="AH475" s="5">
        <v>0</v>
      </c>
      <c r="AI475" s="5">
        <v>0</v>
      </c>
      <c r="AJ475" s="5">
        <v>0</v>
      </c>
      <c r="AK475" s="5" t="s">
        <v>983</v>
      </c>
      <c r="AL475" s="5">
        <v>1</v>
      </c>
      <c r="AM475" s="5">
        <v>0</v>
      </c>
      <c r="AN475" s="5">
        <v>0</v>
      </c>
      <c r="AO475" s="5">
        <v>1</v>
      </c>
      <c r="AP475" s="5" t="s">
        <v>983</v>
      </c>
      <c r="AQ475" s="5">
        <v>0</v>
      </c>
      <c r="AR475" s="5">
        <v>0</v>
      </c>
      <c r="AS475" s="5">
        <v>0</v>
      </c>
      <c r="AT475" s="5">
        <v>0</v>
      </c>
      <c r="AU475" s="5">
        <v>0</v>
      </c>
      <c r="AV475" s="5">
        <v>0</v>
      </c>
      <c r="AW475" s="5">
        <v>0</v>
      </c>
      <c r="AX475" s="5">
        <v>0</v>
      </c>
      <c r="AY475" s="5" t="s">
        <v>983</v>
      </c>
      <c r="AZ475" s="1">
        <v>1</v>
      </c>
      <c r="BA475" s="1">
        <v>0</v>
      </c>
      <c r="BB475" s="1">
        <v>1</v>
      </c>
      <c r="BC475" s="1">
        <v>1</v>
      </c>
      <c r="BD475" s="1">
        <v>1</v>
      </c>
      <c r="BE475" s="1">
        <v>1</v>
      </c>
      <c r="BF475" s="1">
        <v>36</v>
      </c>
      <c r="BG475" s="1">
        <v>1</v>
      </c>
      <c r="BH475" s="1">
        <v>11</v>
      </c>
      <c r="BI475" s="1">
        <v>6</v>
      </c>
      <c r="BJ475" s="1">
        <v>200000</v>
      </c>
      <c r="BK475" s="1">
        <v>1</v>
      </c>
    </row>
    <row r="476" spans="1:63" ht="12.75" customHeight="1" x14ac:dyDescent="0.15">
      <c r="A476" s="5" t="s">
        <v>238</v>
      </c>
      <c r="B476" s="5" t="s">
        <v>238</v>
      </c>
      <c r="C476" s="5">
        <v>2</v>
      </c>
      <c r="D476" s="5">
        <v>1</v>
      </c>
      <c r="E476" s="5">
        <v>2</v>
      </c>
      <c r="F476" s="5">
        <v>2</v>
      </c>
      <c r="G476" s="5">
        <v>2</v>
      </c>
      <c r="H476" s="5">
        <v>2</v>
      </c>
      <c r="I476" s="5">
        <v>2</v>
      </c>
      <c r="J476" s="5">
        <v>1</v>
      </c>
      <c r="K476" s="5">
        <v>1</v>
      </c>
      <c r="L476" s="5">
        <v>3</v>
      </c>
      <c r="M476" s="5">
        <v>1</v>
      </c>
      <c r="N476" s="5">
        <v>1</v>
      </c>
      <c r="O476" s="5">
        <v>20</v>
      </c>
      <c r="P476" s="5" t="s">
        <v>982</v>
      </c>
      <c r="Q476" s="5">
        <v>1</v>
      </c>
      <c r="R476" s="5">
        <v>1</v>
      </c>
      <c r="S476" s="5">
        <v>2</v>
      </c>
      <c r="T476" s="5">
        <v>4</v>
      </c>
      <c r="U476" s="5" t="s">
        <v>982</v>
      </c>
      <c r="V476" s="5">
        <v>0</v>
      </c>
      <c r="W476" s="5">
        <v>2</v>
      </c>
      <c r="X476" s="5">
        <v>2</v>
      </c>
      <c r="Y476" s="5">
        <v>4</v>
      </c>
      <c r="Z476" s="5" t="s">
        <v>982</v>
      </c>
      <c r="AA476" s="5">
        <v>0</v>
      </c>
      <c r="AB476" s="5">
        <v>4</v>
      </c>
      <c r="AC476" s="5">
        <v>4</v>
      </c>
      <c r="AD476" s="5">
        <v>0</v>
      </c>
      <c r="AE476" s="5">
        <v>8</v>
      </c>
      <c r="AF476" s="5" t="s">
        <v>981</v>
      </c>
      <c r="AG476" s="5">
        <v>0</v>
      </c>
      <c r="AH476" s="5">
        <v>0</v>
      </c>
      <c r="AI476" s="5">
        <v>0</v>
      </c>
      <c r="AJ476" s="5">
        <v>0</v>
      </c>
      <c r="AK476" s="5" t="s">
        <v>983</v>
      </c>
      <c r="AL476" s="5">
        <v>0</v>
      </c>
      <c r="AM476" s="5">
        <v>0</v>
      </c>
      <c r="AN476" s="5">
        <v>0</v>
      </c>
      <c r="AO476" s="5">
        <v>0</v>
      </c>
      <c r="AP476" s="5" t="s">
        <v>983</v>
      </c>
      <c r="AQ476" s="5">
        <v>0</v>
      </c>
      <c r="AR476" s="5">
        <v>0</v>
      </c>
      <c r="AS476" s="5">
        <v>0</v>
      </c>
      <c r="AT476" s="5">
        <v>0</v>
      </c>
      <c r="AU476" s="5">
        <v>0</v>
      </c>
      <c r="AV476" s="5">
        <v>0</v>
      </c>
      <c r="AW476" s="5">
        <v>0</v>
      </c>
      <c r="AX476" s="5">
        <v>0</v>
      </c>
      <c r="AY476" s="5" t="s">
        <v>983</v>
      </c>
      <c r="AZ476" s="1">
        <v>1</v>
      </c>
      <c r="BA476" s="1">
        <v>0</v>
      </c>
      <c r="BB476" s="1">
        <v>1</v>
      </c>
      <c r="BC476" s="1">
        <v>1</v>
      </c>
      <c r="BD476" s="1">
        <v>1</v>
      </c>
      <c r="BE476" s="1">
        <v>1</v>
      </c>
      <c r="BF476" s="1">
        <v>44</v>
      </c>
      <c r="BG476" s="1">
        <v>0</v>
      </c>
      <c r="BH476" s="1">
        <v>4</v>
      </c>
      <c r="BI476" s="1">
        <v>31</v>
      </c>
      <c r="BJ476" s="1">
        <v>650000</v>
      </c>
      <c r="BK476" s="1">
        <v>2</v>
      </c>
    </row>
    <row r="477" spans="1:63" ht="12.75" customHeight="1" x14ac:dyDescent="0.15">
      <c r="A477" s="5" t="s">
        <v>238</v>
      </c>
      <c r="B477" s="5" t="s">
        <v>238</v>
      </c>
      <c r="C477" s="5">
        <v>1</v>
      </c>
      <c r="D477" s="5">
        <v>1</v>
      </c>
      <c r="E477" s="5">
        <v>1</v>
      </c>
      <c r="F477" s="5">
        <v>1</v>
      </c>
      <c r="G477" s="5">
        <v>1</v>
      </c>
      <c r="H477" s="5">
        <v>1</v>
      </c>
      <c r="I477" s="5">
        <v>1</v>
      </c>
      <c r="J477" s="5">
        <v>1</v>
      </c>
      <c r="K477" s="5">
        <v>1</v>
      </c>
      <c r="L477" s="5">
        <v>2</v>
      </c>
      <c r="M477" s="5">
        <v>2</v>
      </c>
      <c r="N477" s="5">
        <v>1</v>
      </c>
      <c r="O477" s="5">
        <v>14</v>
      </c>
      <c r="P477" s="5" t="s">
        <v>983</v>
      </c>
      <c r="Q477" s="5">
        <v>0</v>
      </c>
      <c r="R477" s="5">
        <v>1</v>
      </c>
      <c r="S477" s="5">
        <v>0</v>
      </c>
      <c r="T477" s="5">
        <v>1</v>
      </c>
      <c r="U477" s="5" t="s">
        <v>983</v>
      </c>
      <c r="V477" s="5">
        <v>0</v>
      </c>
      <c r="W477" s="5">
        <v>0</v>
      </c>
      <c r="X477" s="5">
        <v>0</v>
      </c>
      <c r="Y477" s="5">
        <v>0</v>
      </c>
      <c r="Z477" s="5" t="s">
        <v>983</v>
      </c>
      <c r="AA477" s="5">
        <v>3</v>
      </c>
      <c r="AB477" s="5">
        <v>4</v>
      </c>
      <c r="AC477" s="5">
        <v>0</v>
      </c>
      <c r="AD477" s="5">
        <v>0</v>
      </c>
      <c r="AE477" s="5">
        <v>7</v>
      </c>
      <c r="AF477" s="5" t="s">
        <v>981</v>
      </c>
      <c r="AG477" s="5">
        <v>0</v>
      </c>
      <c r="AH477" s="5">
        <v>0</v>
      </c>
      <c r="AI477" s="5">
        <v>0</v>
      </c>
      <c r="AJ477" s="5">
        <v>0</v>
      </c>
      <c r="AK477" s="5" t="s">
        <v>983</v>
      </c>
      <c r="AL477" s="5">
        <v>0</v>
      </c>
      <c r="AM477" s="5">
        <v>0</v>
      </c>
      <c r="AN477" s="5">
        <v>0</v>
      </c>
      <c r="AO477" s="5">
        <v>0</v>
      </c>
      <c r="AP477" s="5" t="s">
        <v>983</v>
      </c>
      <c r="AQ477" s="5">
        <v>0</v>
      </c>
      <c r="AR477" s="5">
        <v>0</v>
      </c>
      <c r="AS477" s="5">
        <v>1</v>
      </c>
      <c r="AT477" s="5">
        <v>0</v>
      </c>
      <c r="AU477" s="5">
        <v>0</v>
      </c>
      <c r="AV477" s="5">
        <v>0</v>
      </c>
      <c r="AW477" s="5">
        <v>0</v>
      </c>
      <c r="AX477" s="5">
        <v>1</v>
      </c>
      <c r="AY477" s="5" t="s">
        <v>982</v>
      </c>
      <c r="AZ477" s="1">
        <v>1</v>
      </c>
      <c r="BA477" s="1">
        <v>0</v>
      </c>
      <c r="BB477" s="1">
        <v>1</v>
      </c>
      <c r="BC477" s="1">
        <v>1</v>
      </c>
      <c r="BD477" s="1">
        <v>0</v>
      </c>
      <c r="BE477" s="1">
        <v>1</v>
      </c>
      <c r="BF477" s="1">
        <v>49</v>
      </c>
      <c r="BG477" s="1">
        <v>1</v>
      </c>
      <c r="BH477" s="1">
        <v>18</v>
      </c>
      <c r="BI477" s="1">
        <v>2</v>
      </c>
      <c r="BJ477" s="1">
        <v>900000</v>
      </c>
      <c r="BK477" s="1">
        <v>1</v>
      </c>
    </row>
    <row r="478" spans="1:63" ht="12.75" customHeight="1" x14ac:dyDescent="0.15">
      <c r="A478" s="5" t="s">
        <v>238</v>
      </c>
      <c r="B478" s="5" t="s">
        <v>238</v>
      </c>
      <c r="C478" s="5">
        <v>1</v>
      </c>
      <c r="D478" s="5">
        <v>2</v>
      </c>
      <c r="E478" s="5">
        <v>2</v>
      </c>
      <c r="F478" s="5">
        <v>2</v>
      </c>
      <c r="G478" s="5">
        <v>1</v>
      </c>
      <c r="H478" s="5">
        <v>1</v>
      </c>
      <c r="I478" s="5">
        <v>2</v>
      </c>
      <c r="J478" s="5">
        <v>2</v>
      </c>
      <c r="K478" s="5">
        <v>2</v>
      </c>
      <c r="L478" s="5">
        <v>2</v>
      </c>
      <c r="M478" s="5">
        <v>2</v>
      </c>
      <c r="N478" s="5">
        <v>2</v>
      </c>
      <c r="O478" s="5">
        <v>21</v>
      </c>
      <c r="P478" s="5" t="s">
        <v>982</v>
      </c>
      <c r="Q478" s="5">
        <v>0</v>
      </c>
      <c r="R478" s="5">
        <v>0</v>
      </c>
      <c r="S478" s="5">
        <v>0</v>
      </c>
      <c r="T478" s="5">
        <v>0</v>
      </c>
      <c r="U478" s="5" t="s">
        <v>983</v>
      </c>
      <c r="V478" s="5">
        <v>0</v>
      </c>
      <c r="W478" s="5">
        <v>0</v>
      </c>
      <c r="X478" s="5">
        <v>0</v>
      </c>
      <c r="Y478" s="5">
        <v>0</v>
      </c>
      <c r="Z478" s="5" t="s">
        <v>983</v>
      </c>
      <c r="AA478" s="5">
        <v>4</v>
      </c>
      <c r="AB478" s="5">
        <v>4</v>
      </c>
      <c r="AC478" s="5">
        <v>4</v>
      </c>
      <c r="AD478" s="5">
        <v>4</v>
      </c>
      <c r="AE478" s="5">
        <v>16</v>
      </c>
      <c r="AF478" s="5" t="s">
        <v>981</v>
      </c>
      <c r="AG478" s="5">
        <v>0</v>
      </c>
      <c r="AH478" s="5">
        <v>0</v>
      </c>
      <c r="AI478" s="5">
        <v>0</v>
      </c>
      <c r="AJ478" s="5">
        <v>0</v>
      </c>
      <c r="AK478" s="5" t="s">
        <v>983</v>
      </c>
      <c r="AL478" s="5">
        <v>0</v>
      </c>
      <c r="AM478" s="5">
        <v>0</v>
      </c>
      <c r="AN478" s="5">
        <v>0</v>
      </c>
      <c r="AO478" s="5">
        <v>0</v>
      </c>
      <c r="AP478" s="5" t="s">
        <v>983</v>
      </c>
      <c r="AQ478" s="5">
        <v>0</v>
      </c>
      <c r="AR478" s="5">
        <v>0</v>
      </c>
      <c r="AS478" s="5">
        <v>0</v>
      </c>
      <c r="AT478" s="5">
        <v>0</v>
      </c>
      <c r="AU478" s="5">
        <v>0</v>
      </c>
      <c r="AV478" s="5">
        <v>0</v>
      </c>
      <c r="AW478" s="5">
        <v>0</v>
      </c>
      <c r="AX478" s="5">
        <v>0</v>
      </c>
      <c r="AY478" s="5" t="s">
        <v>983</v>
      </c>
      <c r="AZ478" s="1">
        <v>0</v>
      </c>
      <c r="BA478" s="1">
        <v>0</v>
      </c>
      <c r="BB478" s="1">
        <v>0</v>
      </c>
      <c r="BC478" s="1">
        <v>1</v>
      </c>
      <c r="BD478" s="1">
        <v>1</v>
      </c>
      <c r="BE478" s="1">
        <v>1</v>
      </c>
      <c r="BF478" s="1">
        <v>30</v>
      </c>
      <c r="BG478" s="1">
        <v>0</v>
      </c>
      <c r="BH478" s="1">
        <v>2</v>
      </c>
      <c r="BI478" s="1">
        <v>15</v>
      </c>
      <c r="BJ478" s="1">
        <v>300000</v>
      </c>
      <c r="BK478" s="1">
        <v>4</v>
      </c>
    </row>
    <row r="479" spans="1:63" ht="12.75" customHeight="1" x14ac:dyDescent="0.15">
      <c r="A479" s="5" t="s">
        <v>238</v>
      </c>
      <c r="B479" s="5" t="s">
        <v>238</v>
      </c>
      <c r="C479" s="5">
        <v>1</v>
      </c>
      <c r="D479" s="5">
        <v>1</v>
      </c>
      <c r="E479" s="5">
        <v>1</v>
      </c>
      <c r="F479" s="5">
        <v>1</v>
      </c>
      <c r="G479" s="5">
        <v>1</v>
      </c>
      <c r="H479" s="5">
        <v>1</v>
      </c>
      <c r="I479" s="5">
        <v>1</v>
      </c>
      <c r="J479" s="5">
        <v>2</v>
      </c>
      <c r="K479" s="5">
        <v>2</v>
      </c>
      <c r="L479" s="5">
        <v>3</v>
      </c>
      <c r="M479" s="5">
        <v>1</v>
      </c>
      <c r="N479" s="5">
        <v>2</v>
      </c>
      <c r="O479" s="5">
        <v>17</v>
      </c>
      <c r="P479" s="5" t="s">
        <v>983</v>
      </c>
      <c r="Q479" s="5">
        <v>0</v>
      </c>
      <c r="R479" s="5">
        <v>4</v>
      </c>
      <c r="S479" s="5">
        <v>0</v>
      </c>
      <c r="T479" s="5">
        <v>4</v>
      </c>
      <c r="U479" s="5" t="s">
        <v>982</v>
      </c>
      <c r="V479" s="5">
        <v>1</v>
      </c>
      <c r="W479" s="5">
        <v>1</v>
      </c>
      <c r="X479" s="5">
        <v>1</v>
      </c>
      <c r="Y479" s="5">
        <v>3</v>
      </c>
      <c r="Z479" s="5" t="s">
        <v>982</v>
      </c>
      <c r="AA479" s="5">
        <v>3</v>
      </c>
      <c r="AB479" s="5">
        <v>4</v>
      </c>
      <c r="AC479" s="5">
        <v>0</v>
      </c>
      <c r="AD479" s="5">
        <v>0</v>
      </c>
      <c r="AE479" s="5">
        <v>7</v>
      </c>
      <c r="AF479" s="5" t="s">
        <v>981</v>
      </c>
      <c r="AG479" s="5">
        <v>0</v>
      </c>
      <c r="AH479" s="5">
        <v>0</v>
      </c>
      <c r="AI479" s="5">
        <v>0</v>
      </c>
      <c r="AJ479" s="5">
        <v>0</v>
      </c>
      <c r="AK479" s="5" t="s">
        <v>983</v>
      </c>
      <c r="AL479" s="5">
        <v>1</v>
      </c>
      <c r="AM479" s="5">
        <v>0</v>
      </c>
      <c r="AN479" s="5">
        <v>0</v>
      </c>
      <c r="AO479" s="5">
        <v>1</v>
      </c>
      <c r="AP479" s="5" t="s">
        <v>983</v>
      </c>
      <c r="AQ479" s="5">
        <v>0</v>
      </c>
      <c r="AR479" s="5">
        <v>0</v>
      </c>
      <c r="AS479" s="5">
        <v>0</v>
      </c>
      <c r="AT479" s="5">
        <v>0</v>
      </c>
      <c r="AU479" s="5">
        <v>0</v>
      </c>
      <c r="AV479" s="5">
        <v>0</v>
      </c>
      <c r="AW479" s="5">
        <v>0</v>
      </c>
      <c r="AX479" s="5">
        <v>0</v>
      </c>
      <c r="AY479" s="5" t="s">
        <v>983</v>
      </c>
      <c r="AZ479" s="1">
        <v>1</v>
      </c>
      <c r="BA479" s="1">
        <v>0</v>
      </c>
      <c r="BB479" s="1">
        <v>1</v>
      </c>
      <c r="BC479" s="1">
        <v>1</v>
      </c>
      <c r="BD479" s="1">
        <v>0</v>
      </c>
      <c r="BE479" s="1">
        <v>1</v>
      </c>
      <c r="BF479" s="1">
        <v>28</v>
      </c>
      <c r="BG479" s="1">
        <v>0</v>
      </c>
      <c r="BH479" s="1">
        <v>3</v>
      </c>
      <c r="BI479" s="1">
        <v>2</v>
      </c>
      <c r="BJ479" s="1">
        <v>300000</v>
      </c>
      <c r="BK479" s="1">
        <v>3</v>
      </c>
    </row>
    <row r="480" spans="1:63" ht="12.75" customHeight="1" x14ac:dyDescent="0.15">
      <c r="A480" s="5" t="s">
        <v>238</v>
      </c>
      <c r="B480" s="5" t="s">
        <v>238</v>
      </c>
      <c r="C480" s="5">
        <v>1</v>
      </c>
      <c r="D480" s="5">
        <v>1</v>
      </c>
      <c r="E480" s="5">
        <v>1</v>
      </c>
      <c r="F480" s="5">
        <v>2</v>
      </c>
      <c r="G480" s="5">
        <v>3</v>
      </c>
      <c r="H480" s="5">
        <v>3</v>
      </c>
      <c r="I480" s="5">
        <v>1</v>
      </c>
      <c r="J480" s="5">
        <v>1</v>
      </c>
      <c r="K480" s="5">
        <v>3</v>
      </c>
      <c r="L480" s="5">
        <v>1</v>
      </c>
      <c r="M480" s="5">
        <v>1</v>
      </c>
      <c r="N480" s="5">
        <v>1</v>
      </c>
      <c r="O480" s="5">
        <v>19</v>
      </c>
      <c r="P480" s="5" t="s">
        <v>982</v>
      </c>
      <c r="Q480" s="5">
        <v>3</v>
      </c>
      <c r="R480" s="5">
        <v>4</v>
      </c>
      <c r="S480" s="5">
        <v>2</v>
      </c>
      <c r="T480" s="5">
        <v>9</v>
      </c>
      <c r="U480" s="5" t="s">
        <v>981</v>
      </c>
      <c r="V480" s="5">
        <v>1</v>
      </c>
      <c r="W480" s="5">
        <v>0</v>
      </c>
      <c r="X480" s="5">
        <v>2</v>
      </c>
      <c r="Y480" s="5">
        <v>3</v>
      </c>
      <c r="Z480" s="5" t="s">
        <v>982</v>
      </c>
      <c r="AA480" s="5">
        <v>2</v>
      </c>
      <c r="AB480" s="5">
        <v>1</v>
      </c>
      <c r="AC480" s="5">
        <v>0</v>
      </c>
      <c r="AD480" s="5">
        <v>2</v>
      </c>
      <c r="AE480" s="5">
        <v>5</v>
      </c>
      <c r="AF480" s="5" t="s">
        <v>981</v>
      </c>
      <c r="AG480" s="5">
        <v>0</v>
      </c>
      <c r="AH480" s="5">
        <v>3</v>
      </c>
      <c r="AI480" s="5">
        <v>4</v>
      </c>
      <c r="AJ480" s="5">
        <v>7</v>
      </c>
      <c r="AK480" s="5" t="s">
        <v>981</v>
      </c>
      <c r="AL480" s="5">
        <v>1</v>
      </c>
      <c r="AM480" s="5">
        <v>3</v>
      </c>
      <c r="AN480" s="5">
        <v>2</v>
      </c>
      <c r="AO480" s="5">
        <v>6</v>
      </c>
      <c r="AP480" s="5" t="s">
        <v>981</v>
      </c>
      <c r="AQ480" s="5">
        <v>0</v>
      </c>
      <c r="AR480" s="5">
        <v>0</v>
      </c>
      <c r="AS480" s="5">
        <v>0</v>
      </c>
      <c r="AT480" s="5">
        <v>0</v>
      </c>
      <c r="AU480" s="5">
        <v>1</v>
      </c>
      <c r="AV480" s="5">
        <v>0</v>
      </c>
      <c r="AW480" s="5">
        <v>2</v>
      </c>
      <c r="AX480" s="5">
        <v>3</v>
      </c>
      <c r="AY480" s="5" t="s">
        <v>982</v>
      </c>
      <c r="AZ480" s="1">
        <v>1</v>
      </c>
      <c r="BA480" s="1">
        <v>0</v>
      </c>
      <c r="BB480" s="1">
        <v>0</v>
      </c>
      <c r="BC480" s="1">
        <v>1</v>
      </c>
      <c r="BD480" s="1">
        <v>1</v>
      </c>
      <c r="BE480" s="1">
        <v>1</v>
      </c>
      <c r="BF480" s="1">
        <v>57</v>
      </c>
      <c r="BG480" s="1">
        <v>1</v>
      </c>
      <c r="BH480" s="1">
        <v>14</v>
      </c>
      <c r="BI480" s="1">
        <v>24</v>
      </c>
      <c r="BJ480" s="1">
        <v>0</v>
      </c>
      <c r="BK480" s="1">
        <v>2</v>
      </c>
    </row>
    <row r="481" spans="1:63" ht="12.75" customHeight="1" x14ac:dyDescent="0.15">
      <c r="A481" s="5" t="s">
        <v>238</v>
      </c>
      <c r="B481" s="5" t="s">
        <v>238</v>
      </c>
      <c r="C481" s="5">
        <v>2</v>
      </c>
      <c r="D481" s="5">
        <v>2</v>
      </c>
      <c r="E481" s="5">
        <v>1</v>
      </c>
      <c r="F481" s="5">
        <v>1</v>
      </c>
      <c r="G481" s="5">
        <v>2</v>
      </c>
      <c r="H481" s="5">
        <v>1</v>
      </c>
      <c r="I481" s="5">
        <v>1</v>
      </c>
      <c r="J481" s="5">
        <v>2</v>
      </c>
      <c r="K481" s="5">
        <v>1</v>
      </c>
      <c r="L481" s="5">
        <v>2</v>
      </c>
      <c r="M481" s="5">
        <v>2</v>
      </c>
      <c r="N481" s="5">
        <v>1</v>
      </c>
      <c r="O481" s="5">
        <v>18</v>
      </c>
      <c r="P481" s="5" t="s">
        <v>983</v>
      </c>
      <c r="Q481" s="5">
        <v>2</v>
      </c>
      <c r="R481" s="5">
        <v>2</v>
      </c>
      <c r="S481" s="5">
        <v>2</v>
      </c>
      <c r="T481" s="5">
        <v>6</v>
      </c>
      <c r="U481" s="5" t="s">
        <v>981</v>
      </c>
      <c r="V481" s="5">
        <v>2</v>
      </c>
      <c r="W481" s="5">
        <v>2</v>
      </c>
      <c r="X481" s="5">
        <v>2</v>
      </c>
      <c r="Y481" s="5">
        <v>6</v>
      </c>
      <c r="Z481" s="5" t="s">
        <v>981</v>
      </c>
      <c r="AA481" s="5">
        <v>2</v>
      </c>
      <c r="AB481" s="5">
        <v>2</v>
      </c>
      <c r="AC481" s="5">
        <v>2</v>
      </c>
      <c r="AD481" s="5">
        <v>2</v>
      </c>
      <c r="AE481" s="5">
        <v>8</v>
      </c>
      <c r="AF481" s="5" t="s">
        <v>981</v>
      </c>
      <c r="AG481" s="5">
        <v>2</v>
      </c>
      <c r="AH481" s="5">
        <v>2</v>
      </c>
      <c r="AI481" s="5">
        <v>2</v>
      </c>
      <c r="AJ481" s="5">
        <v>6</v>
      </c>
      <c r="AK481" s="5" t="s">
        <v>981</v>
      </c>
      <c r="AL481" s="5">
        <v>2</v>
      </c>
      <c r="AM481" s="5">
        <v>2</v>
      </c>
      <c r="AN481" s="5">
        <v>2</v>
      </c>
      <c r="AO481" s="5">
        <v>6</v>
      </c>
      <c r="AP481" s="5" t="s">
        <v>981</v>
      </c>
      <c r="AQ481" s="5">
        <v>0</v>
      </c>
      <c r="AR481" s="5">
        <v>0</v>
      </c>
      <c r="AS481" s="5">
        <v>0</v>
      </c>
      <c r="AT481" s="5">
        <v>0</v>
      </c>
      <c r="AU481" s="5">
        <v>0</v>
      </c>
      <c r="AV481" s="5">
        <v>0</v>
      </c>
      <c r="AW481" s="5">
        <v>0</v>
      </c>
      <c r="AX481" s="5">
        <v>0</v>
      </c>
      <c r="AY481" s="5" t="s">
        <v>983</v>
      </c>
      <c r="AZ481" s="1">
        <v>0</v>
      </c>
      <c r="BA481" s="1">
        <v>0</v>
      </c>
      <c r="BB481" s="1">
        <v>1</v>
      </c>
      <c r="BC481" s="1">
        <v>1</v>
      </c>
      <c r="BD481" s="1">
        <v>1</v>
      </c>
      <c r="BE481" s="1">
        <v>0</v>
      </c>
      <c r="BF481" s="1">
        <v>38</v>
      </c>
      <c r="BG481" s="1">
        <v>1</v>
      </c>
      <c r="BH481" s="1">
        <v>16</v>
      </c>
      <c r="BI481" s="1">
        <v>1</v>
      </c>
      <c r="BJ481" s="1">
        <v>500000</v>
      </c>
      <c r="BK481" s="1">
        <v>4</v>
      </c>
    </row>
    <row r="482" spans="1:63" ht="12.75" customHeight="1" x14ac:dyDescent="0.15">
      <c r="A482" s="5" t="s">
        <v>330</v>
      </c>
      <c r="B482" s="5" t="s">
        <v>984</v>
      </c>
      <c r="C482" s="5">
        <v>2</v>
      </c>
      <c r="D482" s="5">
        <v>2</v>
      </c>
      <c r="E482" s="5">
        <v>2</v>
      </c>
      <c r="F482" s="5">
        <v>2</v>
      </c>
      <c r="G482" s="5">
        <v>2</v>
      </c>
      <c r="H482" s="5">
        <v>2</v>
      </c>
      <c r="I482" s="5">
        <v>2</v>
      </c>
      <c r="J482" s="5">
        <v>2</v>
      </c>
      <c r="K482" s="5">
        <v>2</v>
      </c>
      <c r="L482" s="5">
        <v>2</v>
      </c>
      <c r="M482" s="5">
        <v>2</v>
      </c>
      <c r="N482" s="5">
        <v>2</v>
      </c>
      <c r="O482" s="5">
        <v>24</v>
      </c>
      <c r="P482" s="5" t="s">
        <v>981</v>
      </c>
      <c r="Q482" s="5">
        <v>2</v>
      </c>
      <c r="R482" s="5">
        <v>2</v>
      </c>
      <c r="S482" s="5">
        <v>2</v>
      </c>
      <c r="T482" s="5">
        <v>6</v>
      </c>
      <c r="U482" s="5" t="s">
        <v>981</v>
      </c>
      <c r="V482" s="5">
        <v>2</v>
      </c>
      <c r="W482" s="5">
        <v>2</v>
      </c>
      <c r="X482" s="5">
        <v>2</v>
      </c>
      <c r="Y482" s="5">
        <v>6</v>
      </c>
      <c r="Z482" s="5" t="s">
        <v>981</v>
      </c>
      <c r="AA482" s="5">
        <v>2</v>
      </c>
      <c r="AB482" s="5">
        <v>2</v>
      </c>
      <c r="AC482" s="5">
        <v>2</v>
      </c>
      <c r="AD482" s="5">
        <v>2</v>
      </c>
      <c r="AE482" s="5">
        <v>8</v>
      </c>
      <c r="AF482" s="5" t="s">
        <v>981</v>
      </c>
      <c r="AG482" s="5">
        <v>2</v>
      </c>
      <c r="AH482" s="5">
        <v>2</v>
      </c>
      <c r="AI482" s="5">
        <v>2</v>
      </c>
      <c r="AJ482" s="5">
        <v>6</v>
      </c>
      <c r="AK482" s="5" t="s">
        <v>981</v>
      </c>
      <c r="AL482" s="5">
        <v>2</v>
      </c>
      <c r="AM482" s="5">
        <v>2</v>
      </c>
      <c r="AN482" s="5">
        <v>2</v>
      </c>
      <c r="AO482" s="5">
        <v>6</v>
      </c>
      <c r="AP482" s="5" t="s">
        <v>981</v>
      </c>
      <c r="AQ482" s="5">
        <v>0</v>
      </c>
      <c r="AR482" s="5">
        <v>0</v>
      </c>
      <c r="AS482" s="5">
        <v>0</v>
      </c>
      <c r="AT482" s="5">
        <v>0</v>
      </c>
      <c r="AU482" s="5">
        <v>0</v>
      </c>
      <c r="AV482" s="5">
        <v>0</v>
      </c>
      <c r="AW482" s="5">
        <v>0</v>
      </c>
      <c r="AX482" s="5">
        <v>0</v>
      </c>
      <c r="AY482" s="5" t="s">
        <v>983</v>
      </c>
      <c r="AZ482" s="1">
        <v>1</v>
      </c>
      <c r="BA482" s="1">
        <v>0</v>
      </c>
      <c r="BB482" s="1">
        <v>1</v>
      </c>
      <c r="BC482" s="1">
        <v>1</v>
      </c>
      <c r="BD482" s="1">
        <v>1</v>
      </c>
      <c r="BE482" s="1">
        <v>1</v>
      </c>
      <c r="BF482" s="1">
        <v>53</v>
      </c>
      <c r="BG482" s="1">
        <v>0</v>
      </c>
      <c r="BH482" s="1">
        <v>14</v>
      </c>
      <c r="BI482" s="1">
        <v>7</v>
      </c>
      <c r="BJ482" s="1">
        <v>250000</v>
      </c>
      <c r="BK482" s="1">
        <v>1</v>
      </c>
    </row>
    <row r="483" spans="1:63" ht="12.75" customHeight="1" x14ac:dyDescent="0.15">
      <c r="A483" s="5" t="s">
        <v>238</v>
      </c>
      <c r="B483" s="5" t="s">
        <v>238</v>
      </c>
      <c r="C483" s="5">
        <v>2</v>
      </c>
      <c r="D483" s="5">
        <v>2</v>
      </c>
      <c r="E483" s="5">
        <v>2</v>
      </c>
      <c r="F483" s="5">
        <v>2</v>
      </c>
      <c r="G483" s="5">
        <v>1</v>
      </c>
      <c r="H483" s="5">
        <v>1</v>
      </c>
      <c r="I483" s="5">
        <v>1</v>
      </c>
      <c r="J483" s="5">
        <v>2</v>
      </c>
      <c r="K483" s="5">
        <v>1</v>
      </c>
      <c r="L483" s="5">
        <v>1</v>
      </c>
      <c r="M483" s="5">
        <v>2</v>
      </c>
      <c r="N483" s="5">
        <v>1</v>
      </c>
      <c r="O483" s="5">
        <v>18</v>
      </c>
      <c r="P483" s="5" t="s">
        <v>983</v>
      </c>
      <c r="Q483" s="5">
        <v>2</v>
      </c>
      <c r="R483" s="5">
        <v>2</v>
      </c>
      <c r="S483" s="5">
        <v>1</v>
      </c>
      <c r="T483" s="5">
        <v>5</v>
      </c>
      <c r="U483" s="5" t="s">
        <v>981</v>
      </c>
      <c r="V483" s="5">
        <v>0</v>
      </c>
      <c r="W483" s="5">
        <v>0</v>
      </c>
      <c r="X483" s="5">
        <v>0</v>
      </c>
      <c r="Y483" s="5">
        <v>0</v>
      </c>
      <c r="Z483" s="5" t="s">
        <v>983</v>
      </c>
      <c r="AA483" s="5">
        <v>3</v>
      </c>
      <c r="AB483" s="5">
        <v>3</v>
      </c>
      <c r="AC483" s="5">
        <v>2</v>
      </c>
      <c r="AD483" s="5">
        <v>1</v>
      </c>
      <c r="AE483" s="5">
        <v>9</v>
      </c>
      <c r="AF483" s="5" t="s">
        <v>981</v>
      </c>
      <c r="AG483" s="5">
        <v>1</v>
      </c>
      <c r="AH483" s="5">
        <v>1</v>
      </c>
      <c r="AI483" s="5">
        <v>1</v>
      </c>
      <c r="AJ483" s="5">
        <v>3</v>
      </c>
      <c r="AK483" s="5" t="s">
        <v>982</v>
      </c>
      <c r="AL483" s="5">
        <v>1</v>
      </c>
      <c r="AM483" s="5">
        <v>1</v>
      </c>
      <c r="AN483" s="5">
        <v>1</v>
      </c>
      <c r="AO483" s="5">
        <v>3</v>
      </c>
      <c r="AP483" s="5" t="s">
        <v>982</v>
      </c>
      <c r="AQ483" s="5">
        <v>0</v>
      </c>
      <c r="AR483" s="5">
        <v>0</v>
      </c>
      <c r="AS483" s="5">
        <v>0</v>
      </c>
      <c r="AT483" s="5">
        <v>0</v>
      </c>
      <c r="AU483" s="5">
        <v>0</v>
      </c>
      <c r="AV483" s="5">
        <v>0</v>
      </c>
      <c r="AW483" s="5">
        <v>0</v>
      </c>
      <c r="AX483" s="5">
        <v>0</v>
      </c>
      <c r="AY483" s="5" t="s">
        <v>983</v>
      </c>
      <c r="AZ483" s="1">
        <v>0</v>
      </c>
      <c r="BA483" s="1">
        <v>0</v>
      </c>
      <c r="BB483" s="1">
        <v>0</v>
      </c>
      <c r="BC483" s="1">
        <v>1</v>
      </c>
      <c r="BD483" s="1">
        <v>0</v>
      </c>
      <c r="BE483" s="1">
        <v>1</v>
      </c>
      <c r="BF483" s="1">
        <v>65</v>
      </c>
      <c r="BG483" s="1">
        <v>1</v>
      </c>
      <c r="BH483" s="1">
        <v>16</v>
      </c>
      <c r="BI483" s="1">
        <v>1</v>
      </c>
      <c r="BJ483" s="1">
        <v>420000</v>
      </c>
      <c r="BK483" s="1">
        <v>3</v>
      </c>
    </row>
    <row r="484" spans="1:63" ht="12.75" customHeight="1" x14ac:dyDescent="0.15">
      <c r="A484" s="5" t="s">
        <v>238</v>
      </c>
      <c r="B484" s="5" t="s">
        <v>238</v>
      </c>
      <c r="C484" s="5">
        <v>1</v>
      </c>
      <c r="D484" s="5">
        <v>3</v>
      </c>
      <c r="E484" s="5">
        <v>4</v>
      </c>
      <c r="F484" s="5">
        <v>4</v>
      </c>
      <c r="G484" s="5">
        <v>1</v>
      </c>
      <c r="H484" s="5">
        <v>1</v>
      </c>
      <c r="I484" s="5">
        <v>1</v>
      </c>
      <c r="J484" s="5">
        <v>2</v>
      </c>
      <c r="K484" s="5">
        <v>1</v>
      </c>
      <c r="L484" s="5">
        <v>1</v>
      </c>
      <c r="M484" s="5">
        <v>1</v>
      </c>
      <c r="N484" s="5">
        <v>1</v>
      </c>
      <c r="O484" s="5">
        <v>21</v>
      </c>
      <c r="P484" s="5" t="s">
        <v>982</v>
      </c>
      <c r="Q484" s="5">
        <v>1</v>
      </c>
      <c r="R484" s="5">
        <v>1</v>
      </c>
      <c r="S484" s="5">
        <v>2</v>
      </c>
      <c r="T484" s="5">
        <v>4</v>
      </c>
      <c r="U484" s="5" t="s">
        <v>982</v>
      </c>
      <c r="V484" s="5">
        <v>0</v>
      </c>
      <c r="W484" s="5">
        <v>0</v>
      </c>
      <c r="X484" s="5">
        <v>0</v>
      </c>
      <c r="Y484" s="5">
        <v>0</v>
      </c>
      <c r="Z484" s="5" t="s">
        <v>983</v>
      </c>
      <c r="AA484" s="5">
        <v>4</v>
      </c>
      <c r="AB484" s="5">
        <v>3</v>
      </c>
      <c r="AC484" s="5">
        <v>0</v>
      </c>
      <c r="AD484" s="5">
        <v>0</v>
      </c>
      <c r="AE484" s="5">
        <v>7</v>
      </c>
      <c r="AF484" s="5" t="s">
        <v>981</v>
      </c>
      <c r="AG484" s="5">
        <v>0</v>
      </c>
      <c r="AH484" s="5">
        <v>0</v>
      </c>
      <c r="AI484" s="5">
        <v>0</v>
      </c>
      <c r="AJ484" s="5">
        <v>0</v>
      </c>
      <c r="AK484" s="5" t="s">
        <v>983</v>
      </c>
      <c r="AL484" s="5">
        <v>1</v>
      </c>
      <c r="AM484" s="5">
        <v>0</v>
      </c>
      <c r="AN484" s="5">
        <v>0</v>
      </c>
      <c r="AO484" s="5">
        <v>1</v>
      </c>
      <c r="AP484" s="5" t="s">
        <v>983</v>
      </c>
      <c r="AQ484" s="5">
        <v>0</v>
      </c>
      <c r="AR484" s="5">
        <v>0</v>
      </c>
      <c r="AS484" s="5">
        <v>0</v>
      </c>
      <c r="AT484" s="5">
        <v>0</v>
      </c>
      <c r="AU484" s="5">
        <v>0</v>
      </c>
      <c r="AV484" s="5">
        <v>0</v>
      </c>
      <c r="AW484" s="5">
        <v>0</v>
      </c>
      <c r="AX484" s="5">
        <v>0</v>
      </c>
      <c r="AY484" s="5" t="s">
        <v>983</v>
      </c>
      <c r="AZ484" s="1">
        <v>1</v>
      </c>
      <c r="BA484" s="1">
        <v>0</v>
      </c>
      <c r="BB484" s="1">
        <v>0</v>
      </c>
      <c r="BC484" s="1">
        <v>1</v>
      </c>
      <c r="BD484" s="1">
        <v>1</v>
      </c>
      <c r="BE484" s="1">
        <v>1</v>
      </c>
      <c r="BF484" s="1">
        <v>39</v>
      </c>
      <c r="BG484" s="1">
        <v>0</v>
      </c>
      <c r="BH484" s="1">
        <v>2</v>
      </c>
      <c r="BI484" s="1">
        <v>8</v>
      </c>
      <c r="BJ484" s="1">
        <v>0</v>
      </c>
      <c r="BK484" s="1">
        <v>4</v>
      </c>
    </row>
    <row r="485" spans="1:63" ht="12.75" customHeight="1" x14ac:dyDescent="0.15">
      <c r="A485" s="5" t="s">
        <v>238</v>
      </c>
      <c r="B485" s="5" t="s">
        <v>238</v>
      </c>
      <c r="C485" s="5">
        <v>3</v>
      </c>
      <c r="D485" s="5">
        <v>3</v>
      </c>
      <c r="E485" s="5">
        <v>3</v>
      </c>
      <c r="F485" s="5">
        <v>2</v>
      </c>
      <c r="G485" s="5">
        <v>2</v>
      </c>
      <c r="H485" s="5">
        <v>2</v>
      </c>
      <c r="I485" s="5">
        <v>1</v>
      </c>
      <c r="J485" s="5">
        <v>1</v>
      </c>
      <c r="K485" s="5">
        <v>2</v>
      </c>
      <c r="L485" s="5">
        <v>3</v>
      </c>
      <c r="M485" s="5">
        <v>2</v>
      </c>
      <c r="N485" s="5">
        <v>2</v>
      </c>
      <c r="O485" s="5">
        <v>26</v>
      </c>
      <c r="P485" s="5" t="s">
        <v>981</v>
      </c>
      <c r="Q485" s="5">
        <v>1</v>
      </c>
      <c r="R485" s="5">
        <v>2</v>
      </c>
      <c r="S485" s="5">
        <v>1</v>
      </c>
      <c r="T485" s="5">
        <v>4</v>
      </c>
      <c r="U485" s="5" t="s">
        <v>982</v>
      </c>
      <c r="V485" s="5">
        <v>1</v>
      </c>
      <c r="W485" s="5">
        <v>3</v>
      </c>
      <c r="X485" s="5">
        <v>3</v>
      </c>
      <c r="Y485" s="5">
        <v>7</v>
      </c>
      <c r="Z485" s="5" t="s">
        <v>981</v>
      </c>
      <c r="AA485" s="5">
        <v>1</v>
      </c>
      <c r="AB485" s="5">
        <v>2</v>
      </c>
      <c r="AC485" s="5">
        <v>1</v>
      </c>
      <c r="AD485" s="5">
        <v>1</v>
      </c>
      <c r="AE485" s="5">
        <v>5</v>
      </c>
      <c r="AF485" s="5" t="s">
        <v>981</v>
      </c>
      <c r="AG485" s="5">
        <v>0</v>
      </c>
      <c r="AH485" s="5">
        <v>0</v>
      </c>
      <c r="AI485" s="5">
        <v>0</v>
      </c>
      <c r="AJ485" s="5">
        <v>0</v>
      </c>
      <c r="AK485" s="5" t="s">
        <v>983</v>
      </c>
      <c r="AL485" s="5">
        <v>2</v>
      </c>
      <c r="AM485" s="5">
        <v>2</v>
      </c>
      <c r="AN485" s="5">
        <v>2</v>
      </c>
      <c r="AO485" s="5">
        <v>6</v>
      </c>
      <c r="AP485" s="5" t="s">
        <v>981</v>
      </c>
      <c r="AQ485" s="5">
        <v>1</v>
      </c>
      <c r="AR485" s="5">
        <v>0</v>
      </c>
      <c r="AS485" s="5">
        <v>0</v>
      </c>
      <c r="AT485" s="5">
        <v>0</v>
      </c>
      <c r="AU485" s="5">
        <v>0</v>
      </c>
      <c r="AV485" s="5">
        <v>0</v>
      </c>
      <c r="AW485" s="5">
        <v>0</v>
      </c>
      <c r="AX485" s="5">
        <v>1</v>
      </c>
      <c r="AY485" s="5" t="s">
        <v>982</v>
      </c>
      <c r="AZ485" s="1">
        <v>1</v>
      </c>
      <c r="BA485" s="1">
        <v>0</v>
      </c>
      <c r="BB485" s="1">
        <v>0</v>
      </c>
      <c r="BC485" s="1">
        <v>1</v>
      </c>
      <c r="BD485" s="1">
        <v>1</v>
      </c>
      <c r="BE485" s="1">
        <v>1</v>
      </c>
      <c r="BF485" s="1">
        <v>39</v>
      </c>
      <c r="BG485" s="1">
        <v>0</v>
      </c>
      <c r="BH485" s="1">
        <v>2</v>
      </c>
      <c r="BI485" s="1">
        <v>8</v>
      </c>
      <c r="BJ485" s="1">
        <v>0</v>
      </c>
      <c r="BK485" s="1">
        <v>4</v>
      </c>
    </row>
    <row r="486" spans="1:63" ht="12.75" customHeight="1" x14ac:dyDescent="0.15">
      <c r="A486" s="5" t="s">
        <v>238</v>
      </c>
      <c r="B486" s="5" t="s">
        <v>238</v>
      </c>
      <c r="C486" s="5">
        <v>2</v>
      </c>
      <c r="D486" s="5">
        <v>2</v>
      </c>
      <c r="E486" s="5">
        <v>2</v>
      </c>
      <c r="F486" s="5">
        <v>2</v>
      </c>
      <c r="G486" s="5">
        <v>1</v>
      </c>
      <c r="H486" s="5">
        <v>1</v>
      </c>
      <c r="I486" s="5">
        <v>1</v>
      </c>
      <c r="J486" s="5">
        <v>2</v>
      </c>
      <c r="K486" s="5">
        <v>1</v>
      </c>
      <c r="L486" s="5">
        <v>1</v>
      </c>
      <c r="M486" s="5">
        <v>1</v>
      </c>
      <c r="N486" s="5">
        <v>1</v>
      </c>
      <c r="O486" s="5">
        <v>17</v>
      </c>
      <c r="P486" s="5" t="s">
        <v>983</v>
      </c>
      <c r="Q486" s="5">
        <v>0</v>
      </c>
      <c r="R486" s="5">
        <v>1</v>
      </c>
      <c r="S486" s="5">
        <v>0</v>
      </c>
      <c r="T486" s="5">
        <v>1</v>
      </c>
      <c r="U486" s="5" t="s">
        <v>983</v>
      </c>
      <c r="V486" s="5">
        <v>0</v>
      </c>
      <c r="W486" s="5">
        <v>2</v>
      </c>
      <c r="X486" s="5">
        <v>4</v>
      </c>
      <c r="Y486" s="5">
        <v>6</v>
      </c>
      <c r="Z486" s="5" t="s">
        <v>981</v>
      </c>
      <c r="AA486" s="5">
        <v>1</v>
      </c>
      <c r="AB486" s="5">
        <v>2</v>
      </c>
      <c r="AC486" s="5">
        <v>0</v>
      </c>
      <c r="AD486" s="5">
        <v>0</v>
      </c>
      <c r="AE486" s="5">
        <v>3</v>
      </c>
      <c r="AF486" s="5" t="s">
        <v>982</v>
      </c>
      <c r="AG486" s="5">
        <v>1</v>
      </c>
      <c r="AH486" s="5">
        <v>0</v>
      </c>
      <c r="AI486" s="5">
        <v>0</v>
      </c>
      <c r="AJ486" s="5">
        <v>1</v>
      </c>
      <c r="AK486" s="5" t="s">
        <v>983</v>
      </c>
      <c r="AL486" s="5">
        <v>0</v>
      </c>
      <c r="AM486" s="5">
        <v>0</v>
      </c>
      <c r="AN486" s="5">
        <v>0</v>
      </c>
      <c r="AO486" s="5">
        <v>0</v>
      </c>
      <c r="AP486" s="5" t="s">
        <v>983</v>
      </c>
      <c r="AQ486" s="5">
        <v>0</v>
      </c>
      <c r="AR486" s="5">
        <v>0</v>
      </c>
      <c r="AS486" s="5">
        <v>0</v>
      </c>
      <c r="AT486" s="5">
        <v>0</v>
      </c>
      <c r="AU486" s="5">
        <v>0</v>
      </c>
      <c r="AV486" s="5">
        <v>0</v>
      </c>
      <c r="AW486" s="5">
        <v>0</v>
      </c>
      <c r="AX486" s="5">
        <v>0</v>
      </c>
      <c r="AY486" s="5" t="s">
        <v>983</v>
      </c>
      <c r="AZ486" s="1">
        <v>1</v>
      </c>
      <c r="BA486" s="1">
        <v>0</v>
      </c>
      <c r="BB486" s="1">
        <v>1</v>
      </c>
      <c r="BC486" s="1">
        <v>1</v>
      </c>
      <c r="BD486" s="1">
        <v>1</v>
      </c>
      <c r="BE486" s="1">
        <v>1</v>
      </c>
      <c r="BF486" s="1">
        <v>73</v>
      </c>
      <c r="BG486" s="1">
        <v>0</v>
      </c>
      <c r="BH486" s="1">
        <v>1</v>
      </c>
      <c r="BI486" s="1">
        <v>34</v>
      </c>
      <c r="BJ486" s="1">
        <v>500000</v>
      </c>
      <c r="BK486" s="1">
        <v>1</v>
      </c>
    </row>
    <row r="487" spans="1:63" ht="12.75" customHeight="1" x14ac:dyDescent="0.15">
      <c r="A487" s="5" t="s">
        <v>238</v>
      </c>
      <c r="B487" s="5" t="s">
        <v>238</v>
      </c>
      <c r="C487" s="5">
        <v>1</v>
      </c>
      <c r="D487" s="5">
        <v>1</v>
      </c>
      <c r="E487" s="5">
        <v>1</v>
      </c>
      <c r="F487" s="5">
        <v>1</v>
      </c>
      <c r="G487" s="5">
        <v>1</v>
      </c>
      <c r="H487" s="5">
        <v>1</v>
      </c>
      <c r="I487" s="5">
        <v>1</v>
      </c>
      <c r="J487" s="5">
        <v>2</v>
      </c>
      <c r="K487" s="5">
        <v>1</v>
      </c>
      <c r="L487" s="5">
        <v>1</v>
      </c>
      <c r="M487" s="5">
        <v>1</v>
      </c>
      <c r="N487" s="5">
        <v>1</v>
      </c>
      <c r="O487" s="5">
        <v>13</v>
      </c>
      <c r="P487" s="5" t="s">
        <v>983</v>
      </c>
      <c r="Q487" s="5">
        <v>1</v>
      </c>
      <c r="R487" s="5">
        <v>2</v>
      </c>
      <c r="S487" s="5">
        <v>0</v>
      </c>
      <c r="T487" s="5">
        <v>3</v>
      </c>
      <c r="U487" s="5" t="s">
        <v>982</v>
      </c>
      <c r="V487" s="5">
        <v>0</v>
      </c>
      <c r="W487" s="5">
        <v>2</v>
      </c>
      <c r="X487" s="5">
        <v>3</v>
      </c>
      <c r="Y487" s="5">
        <v>5</v>
      </c>
      <c r="Z487" s="5" t="s">
        <v>982</v>
      </c>
      <c r="AA487" s="5">
        <v>4</v>
      </c>
      <c r="AB487" s="5">
        <v>3</v>
      </c>
      <c r="AC487" s="5">
        <v>0</v>
      </c>
      <c r="AD487" s="5">
        <v>0</v>
      </c>
      <c r="AE487" s="5">
        <v>7</v>
      </c>
      <c r="AF487" s="5" t="s">
        <v>981</v>
      </c>
      <c r="AG487" s="5">
        <v>2</v>
      </c>
      <c r="AH487" s="5">
        <v>2</v>
      </c>
      <c r="AI487" s="5">
        <v>0</v>
      </c>
      <c r="AJ487" s="5">
        <v>4</v>
      </c>
      <c r="AK487" s="5" t="s">
        <v>982</v>
      </c>
      <c r="AL487" s="5">
        <v>1</v>
      </c>
      <c r="AM487" s="5">
        <v>1</v>
      </c>
      <c r="AN487" s="5">
        <v>1</v>
      </c>
      <c r="AO487" s="5">
        <v>3</v>
      </c>
      <c r="AP487" s="5" t="s">
        <v>982</v>
      </c>
      <c r="AQ487" s="5">
        <v>0</v>
      </c>
      <c r="AR487" s="5">
        <v>0</v>
      </c>
      <c r="AS487" s="5">
        <v>0</v>
      </c>
      <c r="AT487" s="5">
        <v>0</v>
      </c>
      <c r="AU487" s="5">
        <v>0</v>
      </c>
      <c r="AV487" s="5">
        <v>0</v>
      </c>
      <c r="AW487" s="5">
        <v>0</v>
      </c>
      <c r="AX487" s="5">
        <v>0</v>
      </c>
      <c r="AY487" s="5" t="s">
        <v>983</v>
      </c>
      <c r="AZ487" s="1">
        <v>1</v>
      </c>
      <c r="BA487" s="1">
        <v>0</v>
      </c>
      <c r="BB487" s="1">
        <v>0</v>
      </c>
      <c r="BC487" s="1">
        <v>1</v>
      </c>
      <c r="BD487" s="1">
        <v>0</v>
      </c>
      <c r="BE487" s="1">
        <v>1</v>
      </c>
      <c r="BF487" s="1">
        <v>34</v>
      </c>
      <c r="BG487" s="1">
        <v>0</v>
      </c>
      <c r="BH487" s="1">
        <v>18</v>
      </c>
      <c r="BI487" s="1">
        <v>3</v>
      </c>
      <c r="BJ487" s="1">
        <v>60000</v>
      </c>
      <c r="BK487" s="1">
        <v>3</v>
      </c>
    </row>
    <row r="488" spans="1:63" ht="12.75" customHeight="1" x14ac:dyDescent="0.15">
      <c r="A488" s="5" t="s">
        <v>238</v>
      </c>
      <c r="B488" s="5" t="s">
        <v>238</v>
      </c>
      <c r="C488" s="5">
        <v>2</v>
      </c>
      <c r="D488" s="5">
        <v>2</v>
      </c>
      <c r="E488" s="5">
        <v>2</v>
      </c>
      <c r="F488" s="5">
        <v>1</v>
      </c>
      <c r="G488" s="5">
        <v>1</v>
      </c>
      <c r="H488" s="5">
        <v>1</v>
      </c>
      <c r="I488" s="5">
        <v>1</v>
      </c>
      <c r="J488" s="5">
        <v>2</v>
      </c>
      <c r="K488" s="5">
        <v>2</v>
      </c>
      <c r="L488" s="5">
        <v>2</v>
      </c>
      <c r="M488" s="5">
        <v>2</v>
      </c>
      <c r="N488" s="5">
        <v>2</v>
      </c>
      <c r="O488" s="5">
        <v>20</v>
      </c>
      <c r="P488" s="5" t="s">
        <v>982</v>
      </c>
      <c r="Q488" s="5">
        <v>1</v>
      </c>
      <c r="R488" s="5">
        <v>1</v>
      </c>
      <c r="S488" s="5">
        <v>0</v>
      </c>
      <c r="T488" s="5">
        <v>2</v>
      </c>
      <c r="U488" s="5" t="s">
        <v>982</v>
      </c>
      <c r="V488" s="5">
        <v>0</v>
      </c>
      <c r="W488" s="5">
        <v>0</v>
      </c>
      <c r="X488" s="5">
        <v>0</v>
      </c>
      <c r="Y488" s="5">
        <v>0</v>
      </c>
      <c r="Z488" s="5" t="s">
        <v>983</v>
      </c>
      <c r="AA488" s="5">
        <v>4</v>
      </c>
      <c r="AB488" s="5">
        <v>4</v>
      </c>
      <c r="AC488" s="5">
        <v>4</v>
      </c>
      <c r="AD488" s="5">
        <v>4</v>
      </c>
      <c r="AE488" s="5">
        <v>16</v>
      </c>
      <c r="AF488" s="5" t="s">
        <v>981</v>
      </c>
      <c r="AG488" s="5">
        <v>0</v>
      </c>
      <c r="AH488" s="5">
        <v>0</v>
      </c>
      <c r="AI488" s="5">
        <v>0</v>
      </c>
      <c r="AJ488" s="5">
        <v>0</v>
      </c>
      <c r="AK488" s="5" t="s">
        <v>983</v>
      </c>
      <c r="AL488" s="5">
        <v>1</v>
      </c>
      <c r="AM488" s="5">
        <v>1</v>
      </c>
      <c r="AN488" s="5">
        <v>1</v>
      </c>
      <c r="AO488" s="5">
        <v>3</v>
      </c>
      <c r="AP488" s="5" t="s">
        <v>982</v>
      </c>
      <c r="AQ488" s="5">
        <v>0</v>
      </c>
      <c r="AR488" s="5">
        <v>0</v>
      </c>
      <c r="AS488" s="5">
        <v>0</v>
      </c>
      <c r="AT488" s="5">
        <v>0</v>
      </c>
      <c r="AU488" s="5">
        <v>0</v>
      </c>
      <c r="AV488" s="5">
        <v>0</v>
      </c>
      <c r="AW488" s="5">
        <v>0</v>
      </c>
      <c r="AX488" s="5">
        <v>0</v>
      </c>
      <c r="AY488" s="5" t="s">
        <v>983</v>
      </c>
      <c r="AZ488" s="1">
        <v>0</v>
      </c>
      <c r="BA488" s="1">
        <v>0</v>
      </c>
      <c r="BB488" s="1">
        <v>0</v>
      </c>
      <c r="BC488" s="1">
        <v>1</v>
      </c>
      <c r="BD488" s="1">
        <v>1</v>
      </c>
      <c r="BE488" s="1">
        <v>1</v>
      </c>
      <c r="BF488" s="1">
        <v>54</v>
      </c>
      <c r="BG488" s="1">
        <v>1</v>
      </c>
      <c r="BH488" s="1">
        <v>12</v>
      </c>
      <c r="BI488" s="1">
        <v>1</v>
      </c>
      <c r="BJ488" s="1">
        <v>400000</v>
      </c>
      <c r="BK488" s="1">
        <v>1</v>
      </c>
    </row>
    <row r="489" spans="1:63" ht="12.75" customHeight="1" x14ac:dyDescent="0.15">
      <c r="A489" s="5" t="s">
        <v>238</v>
      </c>
      <c r="B489" s="5" t="s">
        <v>238</v>
      </c>
      <c r="C489" s="5">
        <v>2</v>
      </c>
      <c r="D489" s="5">
        <v>2</v>
      </c>
      <c r="E489" s="5">
        <v>2</v>
      </c>
      <c r="F489" s="5">
        <v>2</v>
      </c>
      <c r="G489" s="5">
        <v>1</v>
      </c>
      <c r="H489" s="5">
        <v>1</v>
      </c>
      <c r="I489" s="5">
        <v>1</v>
      </c>
      <c r="J489" s="5">
        <v>1</v>
      </c>
      <c r="K489" s="5">
        <v>1</v>
      </c>
      <c r="L489" s="5">
        <v>2</v>
      </c>
      <c r="M489" s="5">
        <v>2</v>
      </c>
      <c r="N489" s="5">
        <v>2</v>
      </c>
      <c r="O489" s="5">
        <v>19</v>
      </c>
      <c r="P489" s="5" t="s">
        <v>982</v>
      </c>
      <c r="Q489" s="5">
        <v>1</v>
      </c>
      <c r="R489" s="5">
        <v>0</v>
      </c>
      <c r="S489" s="5">
        <v>1</v>
      </c>
      <c r="T489" s="5">
        <v>2</v>
      </c>
      <c r="U489" s="5" t="s">
        <v>982</v>
      </c>
      <c r="V489" s="5">
        <v>0</v>
      </c>
      <c r="W489" s="5">
        <v>1</v>
      </c>
      <c r="X489" s="5">
        <v>1</v>
      </c>
      <c r="Y489" s="5">
        <v>2</v>
      </c>
      <c r="Z489" s="5" t="s">
        <v>982</v>
      </c>
      <c r="AA489" s="5">
        <v>4</v>
      </c>
      <c r="AB489" s="5">
        <v>4</v>
      </c>
      <c r="AC489" s="5">
        <v>4</v>
      </c>
      <c r="AD489" s="5">
        <v>4</v>
      </c>
      <c r="AE489" s="5">
        <v>16</v>
      </c>
      <c r="AF489" s="5" t="s">
        <v>981</v>
      </c>
      <c r="AG489" s="5">
        <v>0</v>
      </c>
      <c r="AH489" s="5">
        <v>0</v>
      </c>
      <c r="AI489" s="5">
        <v>0</v>
      </c>
      <c r="AJ489" s="5">
        <v>0</v>
      </c>
      <c r="AK489" s="5" t="s">
        <v>983</v>
      </c>
      <c r="AL489" s="5">
        <v>0</v>
      </c>
      <c r="AM489" s="5">
        <v>0</v>
      </c>
      <c r="AN489" s="5">
        <v>0</v>
      </c>
      <c r="AO489" s="5">
        <v>0</v>
      </c>
      <c r="AP489" s="5" t="s">
        <v>983</v>
      </c>
      <c r="AQ489" s="5">
        <v>0</v>
      </c>
      <c r="AR489" s="5">
        <v>0</v>
      </c>
      <c r="AS489" s="5">
        <v>0</v>
      </c>
      <c r="AT489" s="5">
        <v>0</v>
      </c>
      <c r="AU489" s="5">
        <v>0</v>
      </c>
      <c r="AV489" s="5">
        <v>0</v>
      </c>
      <c r="AW489" s="5">
        <v>0</v>
      </c>
      <c r="AX489" s="5">
        <v>0</v>
      </c>
      <c r="AY489" s="5" t="s">
        <v>983</v>
      </c>
      <c r="AZ489" s="1">
        <v>0</v>
      </c>
      <c r="BA489" s="1">
        <v>0</v>
      </c>
      <c r="BB489" s="1">
        <v>0</v>
      </c>
      <c r="BC489" s="1">
        <v>1</v>
      </c>
      <c r="BD489" s="1">
        <v>1</v>
      </c>
      <c r="BE489" s="1">
        <v>1</v>
      </c>
      <c r="BF489" s="1">
        <v>25</v>
      </c>
      <c r="BG489" s="1">
        <v>0</v>
      </c>
      <c r="BH489" s="1">
        <v>6</v>
      </c>
      <c r="BI489" s="1">
        <v>9</v>
      </c>
      <c r="BJ489" s="1">
        <v>100000</v>
      </c>
      <c r="BK489" s="1">
        <v>2</v>
      </c>
    </row>
    <row r="490" spans="1:63" ht="12.75" customHeight="1" x14ac:dyDescent="0.15">
      <c r="A490" s="5" t="s">
        <v>330</v>
      </c>
      <c r="B490" s="5" t="s">
        <v>984</v>
      </c>
      <c r="C490" s="5">
        <v>2</v>
      </c>
      <c r="D490" s="5">
        <v>2</v>
      </c>
      <c r="E490" s="5">
        <v>2</v>
      </c>
      <c r="F490" s="5">
        <v>2</v>
      </c>
      <c r="G490" s="5">
        <v>2</v>
      </c>
      <c r="H490" s="5">
        <v>2</v>
      </c>
      <c r="I490" s="5">
        <v>1</v>
      </c>
      <c r="J490" s="5">
        <v>2</v>
      </c>
      <c r="K490" s="5">
        <v>2</v>
      </c>
      <c r="L490" s="5">
        <v>2</v>
      </c>
      <c r="M490" s="5">
        <v>2</v>
      </c>
      <c r="N490" s="5">
        <v>2</v>
      </c>
      <c r="O490" s="5">
        <v>23</v>
      </c>
      <c r="P490" s="5" t="s">
        <v>982</v>
      </c>
      <c r="Q490" s="5">
        <v>1</v>
      </c>
      <c r="R490" s="5">
        <v>2</v>
      </c>
      <c r="S490" s="5">
        <v>1</v>
      </c>
      <c r="T490" s="5">
        <v>4</v>
      </c>
      <c r="U490" s="5" t="s">
        <v>982</v>
      </c>
      <c r="V490" s="5">
        <v>1</v>
      </c>
      <c r="W490" s="5">
        <v>2</v>
      </c>
      <c r="X490" s="5">
        <v>2</v>
      </c>
      <c r="Y490" s="5">
        <v>5</v>
      </c>
      <c r="Z490" s="5" t="s">
        <v>982</v>
      </c>
      <c r="AA490" s="5">
        <v>3</v>
      </c>
      <c r="AB490" s="5">
        <v>3</v>
      </c>
      <c r="AC490" s="5">
        <v>1</v>
      </c>
      <c r="AD490" s="5">
        <v>1</v>
      </c>
      <c r="AE490" s="5">
        <v>8</v>
      </c>
      <c r="AF490" s="5" t="s">
        <v>981</v>
      </c>
      <c r="AG490" s="5">
        <v>1</v>
      </c>
      <c r="AH490" s="5">
        <v>1</v>
      </c>
      <c r="AI490" s="5">
        <v>2</v>
      </c>
      <c r="AJ490" s="5">
        <v>4</v>
      </c>
      <c r="AK490" s="5" t="s">
        <v>982</v>
      </c>
      <c r="AL490" s="5">
        <v>3</v>
      </c>
      <c r="AM490" s="5">
        <v>3</v>
      </c>
      <c r="AN490" s="5">
        <v>2</v>
      </c>
      <c r="AO490" s="5">
        <v>8</v>
      </c>
      <c r="AP490" s="5" t="s">
        <v>981</v>
      </c>
      <c r="AQ490" s="5">
        <v>0</v>
      </c>
      <c r="AR490" s="5">
        <v>0</v>
      </c>
      <c r="AS490" s="5">
        <v>0</v>
      </c>
      <c r="AT490" s="5">
        <v>0</v>
      </c>
      <c r="AU490" s="5">
        <v>0</v>
      </c>
      <c r="AV490" s="5">
        <v>0</v>
      </c>
      <c r="AW490" s="5">
        <v>0</v>
      </c>
      <c r="AX490" s="5">
        <v>0</v>
      </c>
      <c r="AY490" s="5" t="s">
        <v>983</v>
      </c>
      <c r="AZ490" s="1">
        <v>0</v>
      </c>
      <c r="BA490" s="1">
        <v>0</v>
      </c>
      <c r="BB490" s="1">
        <v>1</v>
      </c>
      <c r="BC490" s="1">
        <v>1</v>
      </c>
      <c r="BD490" s="1">
        <v>1</v>
      </c>
      <c r="BE490" s="1">
        <v>1</v>
      </c>
      <c r="BF490" s="1">
        <v>45</v>
      </c>
      <c r="BG490" s="1">
        <v>0</v>
      </c>
      <c r="BH490" s="1">
        <v>11</v>
      </c>
      <c r="BI490" s="1">
        <v>9</v>
      </c>
      <c r="BJ490" s="1">
        <v>0</v>
      </c>
      <c r="BK490" s="1">
        <v>3</v>
      </c>
    </row>
    <row r="491" spans="1:63" ht="12.75" customHeight="1" x14ac:dyDescent="0.15">
      <c r="A491" s="5" t="s">
        <v>238</v>
      </c>
      <c r="B491" s="5" t="s">
        <v>238</v>
      </c>
      <c r="C491" s="5">
        <v>2</v>
      </c>
      <c r="D491" s="5">
        <v>2</v>
      </c>
      <c r="E491" s="5">
        <v>1</v>
      </c>
      <c r="F491" s="5">
        <v>2</v>
      </c>
      <c r="G491" s="5">
        <v>2</v>
      </c>
      <c r="H491" s="5">
        <v>2</v>
      </c>
      <c r="I491" s="5">
        <v>1</v>
      </c>
      <c r="J491" s="5">
        <v>2</v>
      </c>
      <c r="K491" s="5">
        <v>2</v>
      </c>
      <c r="L491" s="5">
        <v>3</v>
      </c>
      <c r="M491" s="5">
        <v>2</v>
      </c>
      <c r="N491" s="5">
        <v>3</v>
      </c>
      <c r="O491" s="5">
        <v>24</v>
      </c>
      <c r="P491" s="5" t="s">
        <v>981</v>
      </c>
      <c r="Q491" s="5">
        <v>2</v>
      </c>
      <c r="R491" s="5">
        <v>1</v>
      </c>
      <c r="S491" s="5">
        <v>0</v>
      </c>
      <c r="T491" s="5">
        <v>3</v>
      </c>
      <c r="U491" s="5" t="s">
        <v>982</v>
      </c>
      <c r="V491" s="5">
        <v>1</v>
      </c>
      <c r="W491" s="5">
        <v>0</v>
      </c>
      <c r="X491" s="5">
        <v>2</v>
      </c>
      <c r="Y491" s="5">
        <v>3</v>
      </c>
      <c r="Z491" s="5" t="s">
        <v>982</v>
      </c>
      <c r="AA491" s="5">
        <v>3</v>
      </c>
      <c r="AB491" s="5">
        <v>3</v>
      </c>
      <c r="AC491" s="5">
        <v>3</v>
      </c>
      <c r="AD491" s="5">
        <v>3</v>
      </c>
      <c r="AE491" s="5">
        <v>12</v>
      </c>
      <c r="AF491" s="5" t="s">
        <v>981</v>
      </c>
      <c r="AG491" s="5">
        <v>0</v>
      </c>
      <c r="AH491" s="5">
        <v>2</v>
      </c>
      <c r="AI491" s="5">
        <v>2</v>
      </c>
      <c r="AJ491" s="5">
        <v>4</v>
      </c>
      <c r="AK491" s="5" t="s">
        <v>982</v>
      </c>
      <c r="AL491" s="5">
        <v>2</v>
      </c>
      <c r="AM491" s="5">
        <v>1</v>
      </c>
      <c r="AN491" s="5">
        <v>2</v>
      </c>
      <c r="AO491" s="5">
        <v>5</v>
      </c>
      <c r="AP491" s="5" t="s">
        <v>982</v>
      </c>
      <c r="AQ491" s="5">
        <v>0</v>
      </c>
      <c r="AR491" s="5">
        <v>0</v>
      </c>
      <c r="AS491" s="5">
        <v>0</v>
      </c>
      <c r="AT491" s="5">
        <v>0</v>
      </c>
      <c r="AU491" s="5">
        <v>0</v>
      </c>
      <c r="AV491" s="5">
        <v>0</v>
      </c>
      <c r="AW491" s="5">
        <v>0</v>
      </c>
      <c r="AX491" s="5">
        <v>0</v>
      </c>
      <c r="AY491" s="5" t="s">
        <v>983</v>
      </c>
      <c r="AZ491" s="1">
        <v>0</v>
      </c>
      <c r="BA491" s="1">
        <v>1</v>
      </c>
      <c r="BB491" s="1">
        <v>0</v>
      </c>
      <c r="BC491" s="1">
        <v>1</v>
      </c>
      <c r="BD491" s="1">
        <v>0</v>
      </c>
      <c r="BE491" s="1">
        <v>1</v>
      </c>
      <c r="BF491" s="1">
        <v>45</v>
      </c>
      <c r="BG491" s="1">
        <v>0</v>
      </c>
      <c r="BH491" s="1">
        <v>11</v>
      </c>
      <c r="BI491" s="1">
        <v>9</v>
      </c>
      <c r="BJ491" s="1">
        <v>0</v>
      </c>
      <c r="BK491" s="1">
        <v>3</v>
      </c>
    </row>
    <row r="492" spans="1:63" ht="12.75" customHeight="1" x14ac:dyDescent="0.15">
      <c r="A492" s="5" t="s">
        <v>238</v>
      </c>
      <c r="B492" s="5" t="s">
        <v>238</v>
      </c>
      <c r="C492" s="5">
        <v>1</v>
      </c>
      <c r="D492" s="5">
        <v>1</v>
      </c>
      <c r="E492" s="5">
        <v>2</v>
      </c>
      <c r="F492" s="5">
        <v>2</v>
      </c>
      <c r="G492" s="5">
        <v>1</v>
      </c>
      <c r="H492" s="5">
        <v>2</v>
      </c>
      <c r="I492" s="5">
        <v>1</v>
      </c>
      <c r="J492" s="5">
        <v>1</v>
      </c>
      <c r="K492" s="5">
        <v>2</v>
      </c>
      <c r="L492" s="5">
        <v>2</v>
      </c>
      <c r="M492" s="5">
        <v>1</v>
      </c>
      <c r="N492" s="5">
        <v>2</v>
      </c>
      <c r="O492" s="5">
        <v>18</v>
      </c>
      <c r="P492" s="5" t="s">
        <v>983</v>
      </c>
      <c r="Q492" s="5">
        <v>4</v>
      </c>
      <c r="R492" s="5">
        <v>4</v>
      </c>
      <c r="S492" s="5">
        <v>4</v>
      </c>
      <c r="T492" s="5">
        <v>12</v>
      </c>
      <c r="U492" s="5" t="s">
        <v>981</v>
      </c>
      <c r="V492" s="5">
        <v>3</v>
      </c>
      <c r="W492" s="5">
        <v>4</v>
      </c>
      <c r="X492" s="5">
        <v>4</v>
      </c>
      <c r="Y492" s="5">
        <v>11</v>
      </c>
      <c r="Z492" s="5" t="s">
        <v>981</v>
      </c>
      <c r="AA492" s="5">
        <v>1</v>
      </c>
      <c r="AB492" s="5">
        <v>0</v>
      </c>
      <c r="AC492" s="5">
        <v>0</v>
      </c>
      <c r="AD492" s="5">
        <v>0</v>
      </c>
      <c r="AE492" s="5">
        <v>1</v>
      </c>
      <c r="AF492" s="5" t="s">
        <v>982</v>
      </c>
      <c r="AG492" s="5">
        <v>4</v>
      </c>
      <c r="AH492" s="5">
        <v>3</v>
      </c>
      <c r="AI492" s="5">
        <v>4</v>
      </c>
      <c r="AJ492" s="5">
        <v>11</v>
      </c>
      <c r="AK492" s="5" t="s">
        <v>981</v>
      </c>
      <c r="AL492" s="5">
        <v>4</v>
      </c>
      <c r="AM492" s="5">
        <v>3</v>
      </c>
      <c r="AN492" s="5">
        <v>4</v>
      </c>
      <c r="AO492" s="5">
        <v>11</v>
      </c>
      <c r="AP492" s="5" t="s">
        <v>981</v>
      </c>
      <c r="AQ492" s="5">
        <v>1</v>
      </c>
      <c r="AR492" s="5">
        <v>2</v>
      </c>
      <c r="AS492" s="5">
        <v>0</v>
      </c>
      <c r="AT492" s="5">
        <v>2</v>
      </c>
      <c r="AU492" s="5">
        <v>0</v>
      </c>
      <c r="AV492" s="5">
        <v>2</v>
      </c>
      <c r="AW492" s="5">
        <v>0</v>
      </c>
      <c r="AX492" s="5">
        <v>7</v>
      </c>
      <c r="AY492" s="5" t="s">
        <v>982</v>
      </c>
      <c r="AZ492" s="1">
        <v>1</v>
      </c>
      <c r="BA492" s="1">
        <v>0</v>
      </c>
      <c r="BB492" s="1">
        <v>1</v>
      </c>
      <c r="BC492" s="1">
        <v>1</v>
      </c>
      <c r="BD492" s="1">
        <v>0</v>
      </c>
      <c r="BE492" s="1">
        <v>0</v>
      </c>
      <c r="BF492" s="1">
        <v>49</v>
      </c>
      <c r="BG492" s="1">
        <v>0</v>
      </c>
      <c r="BH492" s="1">
        <v>14</v>
      </c>
      <c r="BI492" s="1">
        <v>1</v>
      </c>
      <c r="BJ492" s="1">
        <v>500000</v>
      </c>
      <c r="BK492" s="1">
        <v>3</v>
      </c>
    </row>
    <row r="493" spans="1:63" ht="12.75" customHeight="1" x14ac:dyDescent="0.15">
      <c r="A493" s="5" t="s">
        <v>238</v>
      </c>
      <c r="B493" s="5" t="s">
        <v>238</v>
      </c>
      <c r="C493" s="5">
        <v>1</v>
      </c>
      <c r="D493" s="5">
        <v>2</v>
      </c>
      <c r="E493" s="5">
        <v>2</v>
      </c>
      <c r="F493" s="5">
        <v>3</v>
      </c>
      <c r="G493" s="5">
        <v>1</v>
      </c>
      <c r="H493" s="5">
        <v>1</v>
      </c>
      <c r="I493" s="5">
        <v>1</v>
      </c>
      <c r="J493" s="5">
        <v>1</v>
      </c>
      <c r="K493" s="5">
        <v>1</v>
      </c>
      <c r="L493" s="5">
        <v>1</v>
      </c>
      <c r="M493" s="5">
        <v>1</v>
      </c>
      <c r="N493" s="5">
        <v>1</v>
      </c>
      <c r="O493" s="5">
        <v>16</v>
      </c>
      <c r="P493" s="5" t="s">
        <v>983</v>
      </c>
      <c r="Q493" s="5">
        <v>0</v>
      </c>
      <c r="R493" s="5">
        <v>0</v>
      </c>
      <c r="S493" s="5">
        <v>0</v>
      </c>
      <c r="T493" s="5">
        <v>0</v>
      </c>
      <c r="U493" s="5" t="s">
        <v>983</v>
      </c>
      <c r="V493" s="5">
        <v>0</v>
      </c>
      <c r="W493" s="5">
        <v>0</v>
      </c>
      <c r="X493" s="5">
        <v>0</v>
      </c>
      <c r="Y493" s="5">
        <v>0</v>
      </c>
      <c r="Z493" s="5" t="s">
        <v>983</v>
      </c>
      <c r="AA493" s="5">
        <v>1</v>
      </c>
      <c r="AB493" s="5">
        <v>1</v>
      </c>
      <c r="AC493" s="5">
        <v>1</v>
      </c>
      <c r="AD493" s="5">
        <v>1</v>
      </c>
      <c r="AE493" s="5">
        <v>4</v>
      </c>
      <c r="AF493" s="5" t="s">
        <v>982</v>
      </c>
      <c r="AG493" s="5">
        <v>0</v>
      </c>
      <c r="AH493" s="5">
        <v>0</v>
      </c>
      <c r="AI493" s="5">
        <v>0</v>
      </c>
      <c r="AJ493" s="5">
        <v>0</v>
      </c>
      <c r="AK493" s="5" t="s">
        <v>983</v>
      </c>
      <c r="AL493" s="5">
        <v>0</v>
      </c>
      <c r="AM493" s="5">
        <v>0</v>
      </c>
      <c r="AN493" s="5">
        <v>0</v>
      </c>
      <c r="AO493" s="5">
        <v>0</v>
      </c>
      <c r="AP493" s="5" t="s">
        <v>983</v>
      </c>
      <c r="AQ493" s="5">
        <v>0</v>
      </c>
      <c r="AR493" s="5">
        <v>0</v>
      </c>
      <c r="AS493" s="5">
        <v>0</v>
      </c>
      <c r="AT493" s="5">
        <v>0</v>
      </c>
      <c r="AU493" s="5">
        <v>0</v>
      </c>
      <c r="AV493" s="5">
        <v>0</v>
      </c>
      <c r="AW493" s="5">
        <v>0</v>
      </c>
      <c r="AX493" s="5">
        <v>0</v>
      </c>
      <c r="AY493" s="5" t="s">
        <v>983</v>
      </c>
      <c r="AZ493" s="1">
        <v>1</v>
      </c>
      <c r="BA493" s="1">
        <v>0</v>
      </c>
      <c r="BB493" s="1">
        <v>1</v>
      </c>
      <c r="BC493" s="1">
        <v>1</v>
      </c>
      <c r="BD493" s="1">
        <v>1</v>
      </c>
      <c r="BE493" s="1">
        <v>1</v>
      </c>
      <c r="BF493" s="1">
        <v>33</v>
      </c>
      <c r="BG493" s="1">
        <v>0</v>
      </c>
      <c r="BH493" s="1">
        <v>14</v>
      </c>
      <c r="BI493" s="1">
        <v>2</v>
      </c>
      <c r="BJ493" s="1">
        <v>300000</v>
      </c>
      <c r="BK493" s="1">
        <v>4</v>
      </c>
    </row>
    <row r="494" spans="1:63" ht="12.75" customHeight="1" x14ac:dyDescent="0.15">
      <c r="A494" s="5" t="s">
        <v>330</v>
      </c>
      <c r="B494" s="5" t="s">
        <v>984</v>
      </c>
      <c r="C494" s="5">
        <v>2</v>
      </c>
      <c r="D494" s="5">
        <v>3</v>
      </c>
      <c r="E494" s="5">
        <v>3</v>
      </c>
      <c r="F494" s="5">
        <v>2</v>
      </c>
      <c r="G494" s="5">
        <v>3</v>
      </c>
      <c r="H494" s="5">
        <v>2</v>
      </c>
      <c r="I494" s="5">
        <v>2</v>
      </c>
      <c r="J494" s="5">
        <v>1</v>
      </c>
      <c r="K494" s="5">
        <v>2</v>
      </c>
      <c r="L494" s="5">
        <v>2</v>
      </c>
      <c r="M494" s="5">
        <v>2</v>
      </c>
      <c r="N494" s="5">
        <v>2</v>
      </c>
      <c r="O494" s="5">
        <v>26</v>
      </c>
      <c r="P494" s="5" t="s">
        <v>981</v>
      </c>
      <c r="Q494" s="5">
        <v>1</v>
      </c>
      <c r="R494" s="5">
        <v>2</v>
      </c>
      <c r="S494" s="5">
        <v>2</v>
      </c>
      <c r="T494" s="5">
        <v>5</v>
      </c>
      <c r="U494" s="5" t="s">
        <v>981</v>
      </c>
      <c r="V494" s="5">
        <v>1</v>
      </c>
      <c r="W494" s="5">
        <v>1</v>
      </c>
      <c r="X494" s="5">
        <v>1</v>
      </c>
      <c r="Y494" s="5">
        <v>3</v>
      </c>
      <c r="Z494" s="5" t="s">
        <v>982</v>
      </c>
      <c r="AA494" s="5">
        <v>2</v>
      </c>
      <c r="AB494" s="5">
        <v>3</v>
      </c>
      <c r="AC494" s="5">
        <v>0</v>
      </c>
      <c r="AD494" s="5">
        <v>0</v>
      </c>
      <c r="AE494" s="5">
        <v>5</v>
      </c>
      <c r="AF494" s="5" t="s">
        <v>981</v>
      </c>
      <c r="AG494" s="5">
        <v>1</v>
      </c>
      <c r="AH494" s="5">
        <v>4</v>
      </c>
      <c r="AI494" s="5">
        <v>4</v>
      </c>
      <c r="AJ494" s="5">
        <v>9</v>
      </c>
      <c r="AK494" s="5" t="s">
        <v>981</v>
      </c>
      <c r="AL494" s="5">
        <v>4</v>
      </c>
      <c r="AM494" s="5">
        <v>4</v>
      </c>
      <c r="AN494" s="5">
        <v>2</v>
      </c>
      <c r="AO494" s="5">
        <v>10</v>
      </c>
      <c r="AP494" s="5" t="s">
        <v>981</v>
      </c>
      <c r="AQ494" s="5">
        <v>0</v>
      </c>
      <c r="AR494" s="5">
        <v>0</v>
      </c>
      <c r="AS494" s="5">
        <v>0</v>
      </c>
      <c r="AT494" s="5">
        <v>0</v>
      </c>
      <c r="AU494" s="5">
        <v>0</v>
      </c>
      <c r="AV494" s="5">
        <v>0</v>
      </c>
      <c r="AW494" s="5">
        <v>0</v>
      </c>
      <c r="AX494" s="5">
        <v>0</v>
      </c>
      <c r="AY494" s="5" t="s">
        <v>983</v>
      </c>
      <c r="AZ494" s="1">
        <v>1</v>
      </c>
      <c r="BA494" s="1">
        <v>0</v>
      </c>
      <c r="BB494" s="1">
        <v>1</v>
      </c>
      <c r="BC494" s="1">
        <v>1</v>
      </c>
      <c r="BD494" s="1">
        <v>1</v>
      </c>
      <c r="BE494" s="1">
        <v>1</v>
      </c>
      <c r="BF494" s="1">
        <v>33</v>
      </c>
      <c r="BG494" s="1">
        <v>0</v>
      </c>
      <c r="BH494" s="1">
        <v>14</v>
      </c>
      <c r="BI494" s="1">
        <v>2</v>
      </c>
      <c r="BJ494" s="1">
        <v>300000</v>
      </c>
      <c r="BK494" s="1">
        <v>4</v>
      </c>
    </row>
    <row r="495" spans="1:63" ht="12.75" customHeight="1" x14ac:dyDescent="0.15">
      <c r="A495" s="5" t="s">
        <v>238</v>
      </c>
      <c r="B495" s="5" t="s">
        <v>238</v>
      </c>
      <c r="C495" s="5">
        <v>2</v>
      </c>
      <c r="D495" s="5">
        <v>3</v>
      </c>
      <c r="E495" s="5">
        <v>3</v>
      </c>
      <c r="F495" s="5">
        <v>3</v>
      </c>
      <c r="G495" s="5">
        <v>3</v>
      </c>
      <c r="H495" s="5">
        <v>3</v>
      </c>
      <c r="I495" s="5">
        <v>1</v>
      </c>
      <c r="J495" s="5">
        <v>2</v>
      </c>
      <c r="K495" s="5">
        <v>2</v>
      </c>
      <c r="L495" s="5">
        <v>3</v>
      </c>
      <c r="M495" s="5">
        <v>2</v>
      </c>
      <c r="N495" s="5">
        <v>1</v>
      </c>
      <c r="O495" s="5">
        <v>28</v>
      </c>
      <c r="P495" s="5" t="s">
        <v>981</v>
      </c>
      <c r="Q495" s="5">
        <v>0</v>
      </c>
      <c r="R495" s="5">
        <v>0</v>
      </c>
      <c r="S495" s="5">
        <v>0</v>
      </c>
      <c r="T495" s="5">
        <v>0</v>
      </c>
      <c r="U495" s="5" t="s">
        <v>983</v>
      </c>
      <c r="V495" s="5">
        <v>0</v>
      </c>
      <c r="W495" s="5">
        <v>0</v>
      </c>
      <c r="X495" s="5">
        <v>0</v>
      </c>
      <c r="Y495" s="5">
        <v>0</v>
      </c>
      <c r="Z495" s="5" t="s">
        <v>983</v>
      </c>
      <c r="AA495" s="5">
        <v>4</v>
      </c>
      <c r="AB495" s="5">
        <v>4</v>
      </c>
      <c r="AC495" s="5">
        <v>4</v>
      </c>
      <c r="AD495" s="5">
        <v>4</v>
      </c>
      <c r="AE495" s="5">
        <v>16</v>
      </c>
      <c r="AF495" s="5" t="s">
        <v>981</v>
      </c>
      <c r="AG495" s="5">
        <v>0</v>
      </c>
      <c r="AH495" s="5">
        <v>0</v>
      </c>
      <c r="AI495" s="5">
        <v>0</v>
      </c>
      <c r="AJ495" s="5">
        <v>0</v>
      </c>
      <c r="AK495" s="5" t="s">
        <v>983</v>
      </c>
      <c r="AL495" s="5">
        <v>0</v>
      </c>
      <c r="AM495" s="5">
        <v>0</v>
      </c>
      <c r="AN495" s="5">
        <v>0</v>
      </c>
      <c r="AO495" s="5">
        <v>0</v>
      </c>
      <c r="AP495" s="5" t="s">
        <v>983</v>
      </c>
      <c r="AQ495" s="5">
        <v>0</v>
      </c>
      <c r="AR495" s="5">
        <v>0</v>
      </c>
      <c r="AS495" s="5">
        <v>0</v>
      </c>
      <c r="AT495" s="5">
        <v>0</v>
      </c>
      <c r="AU495" s="5">
        <v>0</v>
      </c>
      <c r="AV495" s="5">
        <v>0</v>
      </c>
      <c r="AW495" s="5">
        <v>0</v>
      </c>
      <c r="AX495" s="5">
        <v>0</v>
      </c>
      <c r="AY495" s="5" t="s">
        <v>983</v>
      </c>
      <c r="AZ495" s="1">
        <v>0</v>
      </c>
      <c r="BA495" s="1">
        <v>0</v>
      </c>
      <c r="BB495" s="1">
        <v>0</v>
      </c>
      <c r="BC495" s="1">
        <v>1</v>
      </c>
      <c r="BD495" s="1">
        <v>1</v>
      </c>
      <c r="BE495" s="1">
        <v>1</v>
      </c>
      <c r="BF495" s="1">
        <v>64</v>
      </c>
      <c r="BG495" s="1">
        <v>0</v>
      </c>
      <c r="BH495" s="1">
        <v>16</v>
      </c>
      <c r="BI495" s="1">
        <v>14</v>
      </c>
      <c r="BJ495" s="1">
        <v>616000</v>
      </c>
      <c r="BK495" s="1">
        <v>2</v>
      </c>
    </row>
    <row r="496" spans="1:63" ht="12.75" customHeight="1" x14ac:dyDescent="0.15">
      <c r="A496" s="5" t="s">
        <v>238</v>
      </c>
      <c r="B496" s="5" t="s">
        <v>238</v>
      </c>
      <c r="C496" s="5">
        <v>2</v>
      </c>
      <c r="D496" s="5">
        <v>2</v>
      </c>
      <c r="E496" s="5">
        <v>2</v>
      </c>
      <c r="F496" s="5">
        <v>2</v>
      </c>
      <c r="G496" s="5">
        <v>2</v>
      </c>
      <c r="H496" s="5">
        <v>2</v>
      </c>
      <c r="I496" s="5">
        <v>2</v>
      </c>
      <c r="J496" s="5">
        <v>2</v>
      </c>
      <c r="K496" s="5">
        <v>2</v>
      </c>
      <c r="L496" s="5">
        <v>2</v>
      </c>
      <c r="M496" s="5">
        <v>2</v>
      </c>
      <c r="N496" s="5">
        <v>2</v>
      </c>
      <c r="O496" s="5">
        <v>24</v>
      </c>
      <c r="P496" s="5" t="s">
        <v>981</v>
      </c>
      <c r="Q496" s="5">
        <v>3</v>
      </c>
      <c r="R496" s="5">
        <v>3</v>
      </c>
      <c r="S496" s="5">
        <v>3</v>
      </c>
      <c r="T496" s="5">
        <v>9</v>
      </c>
      <c r="U496" s="5" t="s">
        <v>981</v>
      </c>
      <c r="V496" s="5">
        <v>3</v>
      </c>
      <c r="W496" s="5">
        <v>3</v>
      </c>
      <c r="X496" s="5">
        <v>3</v>
      </c>
      <c r="Y496" s="5">
        <v>9</v>
      </c>
      <c r="Z496" s="5" t="s">
        <v>981</v>
      </c>
      <c r="AA496" s="5">
        <v>1</v>
      </c>
      <c r="AB496" s="5">
        <v>1</v>
      </c>
      <c r="AC496" s="5">
        <v>1</v>
      </c>
      <c r="AD496" s="5">
        <v>1</v>
      </c>
      <c r="AE496" s="5">
        <v>4</v>
      </c>
      <c r="AF496" s="5" t="s">
        <v>982</v>
      </c>
      <c r="AG496" s="5">
        <v>3</v>
      </c>
      <c r="AH496" s="5">
        <v>3</v>
      </c>
      <c r="AI496" s="5">
        <v>3</v>
      </c>
      <c r="AJ496" s="5">
        <v>9</v>
      </c>
      <c r="AK496" s="5" t="s">
        <v>981</v>
      </c>
      <c r="AL496" s="5">
        <v>3</v>
      </c>
      <c r="AM496" s="5">
        <v>3</v>
      </c>
      <c r="AN496" s="5">
        <v>3</v>
      </c>
      <c r="AO496" s="5">
        <v>9</v>
      </c>
      <c r="AP496" s="5" t="s">
        <v>981</v>
      </c>
      <c r="AQ496" s="5">
        <v>0</v>
      </c>
      <c r="AR496" s="5">
        <v>0</v>
      </c>
      <c r="AS496" s="5">
        <v>0</v>
      </c>
      <c r="AT496" s="5">
        <v>0</v>
      </c>
      <c r="AU496" s="5">
        <v>0</v>
      </c>
      <c r="AV496" s="5">
        <v>0</v>
      </c>
      <c r="AW496" s="5">
        <v>0</v>
      </c>
      <c r="AX496" s="5">
        <v>0</v>
      </c>
      <c r="AY496" s="5" t="s">
        <v>983</v>
      </c>
      <c r="AZ496" s="1">
        <v>0</v>
      </c>
      <c r="BA496" s="1">
        <v>0</v>
      </c>
      <c r="BB496" s="1">
        <v>0</v>
      </c>
      <c r="BC496" s="1">
        <v>1</v>
      </c>
      <c r="BD496" s="1">
        <v>1</v>
      </c>
      <c r="BE496" s="1">
        <v>1</v>
      </c>
      <c r="BF496" s="1">
        <v>64</v>
      </c>
      <c r="BG496" s="1">
        <v>0</v>
      </c>
      <c r="BH496" s="1">
        <v>16</v>
      </c>
      <c r="BI496" s="1">
        <v>14</v>
      </c>
      <c r="BJ496" s="1">
        <v>616000</v>
      </c>
      <c r="BK496" s="1">
        <v>2</v>
      </c>
    </row>
    <row r="497" spans="1:63" ht="12.75" customHeight="1" x14ac:dyDescent="0.15">
      <c r="A497" s="5" t="s">
        <v>238</v>
      </c>
      <c r="B497" s="5" t="s">
        <v>238</v>
      </c>
      <c r="C497" s="5">
        <v>2</v>
      </c>
      <c r="D497" s="5">
        <v>3</v>
      </c>
      <c r="E497" s="5">
        <v>3</v>
      </c>
      <c r="F497" s="5">
        <v>3</v>
      </c>
      <c r="G497" s="5">
        <v>2</v>
      </c>
      <c r="H497" s="5">
        <v>4</v>
      </c>
      <c r="I497" s="5">
        <v>2</v>
      </c>
      <c r="J497" s="5">
        <v>2</v>
      </c>
      <c r="K497" s="5">
        <v>1</v>
      </c>
      <c r="L497" s="5">
        <v>2</v>
      </c>
      <c r="M497" s="5">
        <v>1</v>
      </c>
      <c r="N497" s="5">
        <v>1</v>
      </c>
      <c r="O497" s="5">
        <v>26</v>
      </c>
      <c r="P497" s="5" t="s">
        <v>981</v>
      </c>
      <c r="Q497" s="5">
        <v>2</v>
      </c>
      <c r="R497" s="5">
        <v>3</v>
      </c>
      <c r="S497" s="5">
        <v>4</v>
      </c>
      <c r="T497" s="5">
        <v>9</v>
      </c>
      <c r="U497" s="5" t="s">
        <v>981</v>
      </c>
      <c r="V497" s="5">
        <v>1</v>
      </c>
      <c r="W497" s="5">
        <v>3</v>
      </c>
      <c r="X497" s="5">
        <v>4</v>
      </c>
      <c r="Y497" s="5">
        <v>8</v>
      </c>
      <c r="Z497" s="5" t="s">
        <v>981</v>
      </c>
      <c r="AA497" s="5">
        <v>3</v>
      </c>
      <c r="AB497" s="5">
        <v>3</v>
      </c>
      <c r="AC497" s="5">
        <v>2</v>
      </c>
      <c r="AD497" s="5">
        <v>4</v>
      </c>
      <c r="AE497" s="5">
        <v>12</v>
      </c>
      <c r="AF497" s="5" t="s">
        <v>981</v>
      </c>
      <c r="AG497" s="5">
        <v>4</v>
      </c>
      <c r="AH497" s="5">
        <v>4</v>
      </c>
      <c r="AI497" s="5">
        <v>4</v>
      </c>
      <c r="AJ497" s="5">
        <v>12</v>
      </c>
      <c r="AK497" s="5" t="s">
        <v>981</v>
      </c>
      <c r="AL497" s="5">
        <v>4</v>
      </c>
      <c r="AM497" s="5">
        <v>4</v>
      </c>
      <c r="AN497" s="5">
        <v>1</v>
      </c>
      <c r="AO497" s="5">
        <v>9</v>
      </c>
      <c r="AP497" s="5" t="s">
        <v>981</v>
      </c>
      <c r="AQ497" s="5">
        <v>1</v>
      </c>
      <c r="AR497" s="5">
        <v>1</v>
      </c>
      <c r="AS497" s="5">
        <v>0</v>
      </c>
      <c r="AT497" s="5">
        <v>0</v>
      </c>
      <c r="AU497" s="5">
        <v>0</v>
      </c>
      <c r="AV497" s="5">
        <v>0</v>
      </c>
      <c r="AW497" s="5">
        <v>0</v>
      </c>
      <c r="AX497" s="5">
        <v>2</v>
      </c>
      <c r="AY497" s="5" t="s">
        <v>982</v>
      </c>
      <c r="AZ497" s="1">
        <v>1</v>
      </c>
      <c r="BA497" s="1">
        <v>0</v>
      </c>
      <c r="BB497" s="1">
        <v>1</v>
      </c>
      <c r="BC497" s="1">
        <v>1</v>
      </c>
      <c r="BD497" s="1">
        <v>1</v>
      </c>
      <c r="BE497" s="1">
        <v>1</v>
      </c>
      <c r="BF497" s="1">
        <v>0</v>
      </c>
      <c r="BG497" s="1">
        <v>1</v>
      </c>
      <c r="BI497" s="1">
        <v>1</v>
      </c>
      <c r="BJ497" s="1">
        <v>0</v>
      </c>
      <c r="BK497" s="1">
        <v>2</v>
      </c>
    </row>
    <row r="498" spans="1:63" ht="12.75" customHeight="1" x14ac:dyDescent="0.15">
      <c r="A498" s="5" t="s">
        <v>238</v>
      </c>
      <c r="B498" s="5" t="s">
        <v>238</v>
      </c>
      <c r="C498" s="5">
        <v>1</v>
      </c>
      <c r="D498" s="5">
        <v>1</v>
      </c>
      <c r="E498" s="5">
        <v>1</v>
      </c>
      <c r="F498" s="5">
        <v>1</v>
      </c>
      <c r="G498" s="5">
        <v>1</v>
      </c>
      <c r="H498" s="5">
        <v>1</v>
      </c>
      <c r="I498" s="5">
        <v>1</v>
      </c>
      <c r="J498" s="5">
        <v>1</v>
      </c>
      <c r="K498" s="5">
        <v>1</v>
      </c>
      <c r="L498" s="5">
        <v>1</v>
      </c>
      <c r="M498" s="5">
        <v>1</v>
      </c>
      <c r="N498" s="5">
        <v>1</v>
      </c>
      <c r="O498" s="5">
        <v>12</v>
      </c>
      <c r="P498" s="5" t="s">
        <v>983</v>
      </c>
      <c r="Q498" s="5">
        <v>0</v>
      </c>
      <c r="R498" s="5">
        <v>0</v>
      </c>
      <c r="S498" s="5">
        <v>0</v>
      </c>
      <c r="T498" s="5">
        <v>0</v>
      </c>
      <c r="U498" s="5" t="s">
        <v>983</v>
      </c>
      <c r="V498" s="5">
        <v>0</v>
      </c>
      <c r="W498" s="5">
        <v>0</v>
      </c>
      <c r="X498" s="5">
        <v>0</v>
      </c>
      <c r="Y498" s="5">
        <v>0</v>
      </c>
      <c r="Z498" s="5" t="s">
        <v>983</v>
      </c>
      <c r="AA498" s="5">
        <v>4</v>
      </c>
      <c r="AB498" s="5">
        <v>4</v>
      </c>
      <c r="AC498" s="5">
        <v>4</v>
      </c>
      <c r="AD498" s="5">
        <v>4</v>
      </c>
      <c r="AE498" s="5">
        <v>16</v>
      </c>
      <c r="AF498" s="5" t="s">
        <v>981</v>
      </c>
      <c r="AG498" s="5">
        <v>0</v>
      </c>
      <c r="AH498" s="5">
        <v>0</v>
      </c>
      <c r="AI498" s="5">
        <v>0</v>
      </c>
      <c r="AJ498" s="5">
        <v>0</v>
      </c>
      <c r="AK498" s="5" t="s">
        <v>983</v>
      </c>
      <c r="AL498" s="5">
        <v>0</v>
      </c>
      <c r="AM498" s="5">
        <v>0</v>
      </c>
      <c r="AN498" s="5">
        <v>0</v>
      </c>
      <c r="AO498" s="5">
        <v>0</v>
      </c>
      <c r="AP498" s="5" t="s">
        <v>983</v>
      </c>
      <c r="AQ498" s="5">
        <v>0</v>
      </c>
      <c r="AR498" s="5">
        <v>2</v>
      </c>
      <c r="AS498" s="5">
        <v>0</v>
      </c>
      <c r="AT498" s="5">
        <v>2</v>
      </c>
      <c r="AU498" s="5">
        <v>0</v>
      </c>
      <c r="AV498" s="5">
        <v>2</v>
      </c>
      <c r="AW498" s="5">
        <v>0</v>
      </c>
      <c r="AX498" s="5">
        <v>6</v>
      </c>
      <c r="AY498" s="5" t="s">
        <v>982</v>
      </c>
      <c r="AZ498" s="1">
        <v>1</v>
      </c>
      <c r="BA498" s="1">
        <v>0</v>
      </c>
      <c r="BB498" s="1">
        <v>0</v>
      </c>
      <c r="BC498" s="1">
        <v>1</v>
      </c>
      <c r="BD498" s="1">
        <v>1</v>
      </c>
      <c r="BE498" s="1">
        <v>1</v>
      </c>
      <c r="BF498" s="1">
        <v>48</v>
      </c>
      <c r="BG498" s="1">
        <v>1</v>
      </c>
      <c r="BH498" s="1">
        <v>14</v>
      </c>
      <c r="BI498" s="1">
        <v>34</v>
      </c>
      <c r="BJ498" s="1">
        <v>0</v>
      </c>
      <c r="BK498" s="1">
        <v>2</v>
      </c>
    </row>
    <row r="499" spans="1:63" ht="12.75" customHeight="1" x14ac:dyDescent="0.15">
      <c r="A499" s="5" t="s">
        <v>238</v>
      </c>
      <c r="B499" s="5" t="s">
        <v>238</v>
      </c>
      <c r="C499" s="5">
        <v>1</v>
      </c>
      <c r="D499" s="5">
        <v>2</v>
      </c>
      <c r="E499" s="5">
        <v>2</v>
      </c>
      <c r="F499" s="5">
        <v>1</v>
      </c>
      <c r="G499" s="5">
        <v>1</v>
      </c>
      <c r="H499" s="5">
        <v>1</v>
      </c>
      <c r="I499" s="5">
        <v>1</v>
      </c>
      <c r="J499" s="5">
        <v>1</v>
      </c>
      <c r="K499" s="5">
        <v>1</v>
      </c>
      <c r="L499" s="5">
        <v>2</v>
      </c>
      <c r="M499" s="5">
        <v>1</v>
      </c>
      <c r="N499" s="5">
        <v>1</v>
      </c>
      <c r="O499" s="5">
        <v>15</v>
      </c>
      <c r="P499" s="5" t="s">
        <v>983</v>
      </c>
      <c r="Q499" s="5">
        <v>1</v>
      </c>
      <c r="R499" s="5">
        <v>1</v>
      </c>
      <c r="S499" s="5">
        <v>1</v>
      </c>
      <c r="T499" s="5">
        <v>3</v>
      </c>
      <c r="U499" s="5" t="s">
        <v>982</v>
      </c>
      <c r="V499" s="5">
        <v>1</v>
      </c>
      <c r="W499" s="5">
        <v>1</v>
      </c>
      <c r="X499" s="5">
        <v>4</v>
      </c>
      <c r="Y499" s="5">
        <v>6</v>
      </c>
      <c r="Z499" s="5" t="s">
        <v>981</v>
      </c>
      <c r="AA499" s="5">
        <v>3</v>
      </c>
      <c r="AB499" s="5">
        <v>4</v>
      </c>
      <c r="AC499" s="5">
        <v>0</v>
      </c>
      <c r="AD499" s="5">
        <v>0</v>
      </c>
      <c r="AE499" s="5">
        <v>7</v>
      </c>
      <c r="AF499" s="5" t="s">
        <v>981</v>
      </c>
      <c r="AG499" s="5">
        <v>0</v>
      </c>
      <c r="AH499" s="5">
        <v>0</v>
      </c>
      <c r="AI499" s="5">
        <v>0</v>
      </c>
      <c r="AJ499" s="5">
        <v>0</v>
      </c>
      <c r="AK499" s="5" t="s">
        <v>983</v>
      </c>
      <c r="AL499" s="5">
        <v>4</v>
      </c>
      <c r="AM499" s="5">
        <v>4</v>
      </c>
      <c r="AN499" s="5">
        <v>4</v>
      </c>
      <c r="AO499" s="5">
        <v>12</v>
      </c>
      <c r="AP499" s="5" t="s">
        <v>981</v>
      </c>
      <c r="AQ499" s="5">
        <v>0</v>
      </c>
      <c r="AR499" s="5">
        <v>0</v>
      </c>
      <c r="AS499" s="5">
        <v>0</v>
      </c>
      <c r="AT499" s="5">
        <v>0</v>
      </c>
      <c r="AU499" s="5">
        <v>0</v>
      </c>
      <c r="AV499" s="5">
        <v>0</v>
      </c>
      <c r="AW499" s="5">
        <v>0</v>
      </c>
      <c r="AX499" s="5">
        <v>0</v>
      </c>
      <c r="AY499" s="5" t="s">
        <v>983</v>
      </c>
      <c r="AZ499" s="1">
        <v>1</v>
      </c>
      <c r="BA499" s="1">
        <v>0</v>
      </c>
      <c r="BB499" s="1">
        <v>0</v>
      </c>
      <c r="BC499" s="1">
        <v>1</v>
      </c>
      <c r="BD499" s="1">
        <v>1</v>
      </c>
      <c r="BE499" s="1">
        <v>1</v>
      </c>
      <c r="BF499" s="1">
        <v>34</v>
      </c>
      <c r="BG499" s="1">
        <v>0</v>
      </c>
      <c r="BH499" s="1">
        <v>17</v>
      </c>
      <c r="BI499" s="1">
        <v>11</v>
      </c>
      <c r="BJ499" s="1">
        <v>27000</v>
      </c>
      <c r="BK499" s="1">
        <v>2</v>
      </c>
    </row>
    <row r="500" spans="1:63" ht="12.75" customHeight="1" x14ac:dyDescent="0.15">
      <c r="A500" s="5" t="s">
        <v>330</v>
      </c>
      <c r="B500" s="5" t="s">
        <v>984</v>
      </c>
      <c r="C500" s="5">
        <v>3</v>
      </c>
      <c r="D500" s="5">
        <v>2</v>
      </c>
      <c r="E500" s="5">
        <v>2</v>
      </c>
      <c r="F500" s="5">
        <v>1</v>
      </c>
      <c r="G500" s="5">
        <v>2</v>
      </c>
      <c r="H500" s="5">
        <v>1</v>
      </c>
      <c r="I500" s="5">
        <v>1</v>
      </c>
      <c r="J500" s="5">
        <v>1</v>
      </c>
      <c r="K500" s="5">
        <v>1</v>
      </c>
      <c r="L500" s="5">
        <v>2</v>
      </c>
      <c r="M500" s="5">
        <v>2</v>
      </c>
      <c r="N500" s="5">
        <v>2</v>
      </c>
      <c r="O500" s="5">
        <v>20</v>
      </c>
      <c r="P500" s="5" t="s">
        <v>982</v>
      </c>
      <c r="Q500" s="5">
        <v>1</v>
      </c>
      <c r="R500" s="5">
        <v>1</v>
      </c>
      <c r="S500" s="5">
        <v>0</v>
      </c>
      <c r="T500" s="5">
        <v>2</v>
      </c>
      <c r="U500" s="5" t="s">
        <v>982</v>
      </c>
      <c r="V500" s="5">
        <v>1</v>
      </c>
      <c r="W500" s="5">
        <v>0</v>
      </c>
      <c r="X500" s="5">
        <v>0</v>
      </c>
      <c r="Y500" s="5">
        <v>1</v>
      </c>
      <c r="Z500" s="5" t="s">
        <v>983</v>
      </c>
      <c r="AA500" s="5">
        <v>3</v>
      </c>
      <c r="AB500" s="5">
        <v>3</v>
      </c>
      <c r="AC500" s="5">
        <v>2</v>
      </c>
      <c r="AD500" s="5">
        <v>2</v>
      </c>
      <c r="AE500" s="5">
        <v>10</v>
      </c>
      <c r="AF500" s="5" t="s">
        <v>981</v>
      </c>
      <c r="AG500" s="5">
        <v>0</v>
      </c>
      <c r="AH500" s="5">
        <v>0</v>
      </c>
      <c r="AI500" s="5">
        <v>0</v>
      </c>
      <c r="AJ500" s="5">
        <v>0</v>
      </c>
      <c r="AK500" s="5" t="s">
        <v>983</v>
      </c>
      <c r="AL500" s="5">
        <v>1</v>
      </c>
      <c r="AM500" s="5">
        <v>1</v>
      </c>
      <c r="AN500" s="5">
        <v>1</v>
      </c>
      <c r="AO500" s="5">
        <v>3</v>
      </c>
      <c r="AP500" s="5" t="s">
        <v>982</v>
      </c>
      <c r="AQ500" s="5">
        <v>0</v>
      </c>
      <c r="AR500" s="5">
        <v>1</v>
      </c>
      <c r="AS500" s="5">
        <v>0</v>
      </c>
      <c r="AT500" s="5">
        <v>0</v>
      </c>
      <c r="AU500" s="5">
        <v>0</v>
      </c>
      <c r="AV500" s="5">
        <v>0</v>
      </c>
      <c r="AW500" s="5">
        <v>0</v>
      </c>
      <c r="AX500" s="5">
        <v>1</v>
      </c>
      <c r="AY500" s="5" t="s">
        <v>982</v>
      </c>
      <c r="AZ500" s="1">
        <v>0</v>
      </c>
      <c r="BA500" s="1">
        <v>1</v>
      </c>
      <c r="BB500" s="1">
        <v>0</v>
      </c>
      <c r="BC500" s="1">
        <v>1</v>
      </c>
      <c r="BD500" s="1">
        <v>1</v>
      </c>
      <c r="BE500" s="1">
        <v>0</v>
      </c>
      <c r="BF500" s="1">
        <v>55</v>
      </c>
      <c r="BG500" s="1">
        <v>1</v>
      </c>
      <c r="BH500" s="1">
        <v>14</v>
      </c>
      <c r="BI500" s="1">
        <v>24</v>
      </c>
      <c r="BJ500" s="1">
        <v>600000</v>
      </c>
      <c r="BK500" s="1">
        <v>2</v>
      </c>
    </row>
    <row r="501" spans="1:63" ht="12.75" customHeight="1" x14ac:dyDescent="0.15">
      <c r="A501" s="5" t="s">
        <v>330</v>
      </c>
      <c r="B501" s="5" t="s">
        <v>984</v>
      </c>
      <c r="C501" s="5">
        <v>2</v>
      </c>
      <c r="D501" s="5">
        <v>2</v>
      </c>
      <c r="E501" s="5">
        <v>1</v>
      </c>
      <c r="F501" s="5">
        <v>2</v>
      </c>
      <c r="G501" s="5">
        <v>1</v>
      </c>
      <c r="H501" s="5">
        <v>1</v>
      </c>
      <c r="I501" s="5">
        <v>1</v>
      </c>
      <c r="J501" s="5">
        <v>1</v>
      </c>
      <c r="K501" s="5">
        <v>1</v>
      </c>
      <c r="L501" s="5">
        <v>1</v>
      </c>
      <c r="M501" s="5">
        <v>1</v>
      </c>
      <c r="N501" s="5">
        <v>1</v>
      </c>
      <c r="O501" s="5">
        <v>15</v>
      </c>
      <c r="P501" s="5" t="s">
        <v>983</v>
      </c>
      <c r="Q501" s="5">
        <v>2</v>
      </c>
      <c r="R501" s="5">
        <v>1</v>
      </c>
      <c r="S501" s="5">
        <v>0</v>
      </c>
      <c r="T501" s="5">
        <v>3</v>
      </c>
      <c r="U501" s="5" t="s">
        <v>982</v>
      </c>
      <c r="V501" s="5">
        <v>1</v>
      </c>
      <c r="W501" s="5">
        <v>2</v>
      </c>
      <c r="X501" s="5">
        <v>2</v>
      </c>
      <c r="Y501" s="5">
        <v>5</v>
      </c>
      <c r="Z501" s="5" t="s">
        <v>982</v>
      </c>
      <c r="AA501" s="5">
        <v>1</v>
      </c>
      <c r="AB501" s="5">
        <v>0</v>
      </c>
      <c r="AC501" s="5">
        <v>0</v>
      </c>
      <c r="AD501" s="5">
        <v>0</v>
      </c>
      <c r="AE501" s="5">
        <v>1</v>
      </c>
      <c r="AF501" s="5" t="s">
        <v>982</v>
      </c>
      <c r="AG501" s="5">
        <v>0</v>
      </c>
      <c r="AH501" s="5">
        <v>0</v>
      </c>
      <c r="AI501" s="5">
        <v>0</v>
      </c>
      <c r="AJ501" s="5">
        <v>0</v>
      </c>
      <c r="AK501" s="5" t="s">
        <v>983</v>
      </c>
      <c r="AL501" s="5">
        <v>0</v>
      </c>
      <c r="AM501" s="5">
        <v>1</v>
      </c>
      <c r="AN501" s="5">
        <v>1</v>
      </c>
      <c r="AO501" s="5">
        <v>2</v>
      </c>
      <c r="AP501" s="5" t="s">
        <v>983</v>
      </c>
      <c r="AQ501" s="5">
        <v>1</v>
      </c>
      <c r="AR501" s="5">
        <v>1</v>
      </c>
      <c r="AS501" s="5">
        <v>1</v>
      </c>
      <c r="AT501" s="5">
        <v>0</v>
      </c>
      <c r="AU501" s="5">
        <v>0</v>
      </c>
      <c r="AV501" s="5">
        <v>1</v>
      </c>
      <c r="AW501" s="5">
        <v>1</v>
      </c>
      <c r="AX501" s="5">
        <v>5</v>
      </c>
      <c r="AY501" s="5" t="s">
        <v>982</v>
      </c>
      <c r="AZ501" s="1">
        <v>0</v>
      </c>
      <c r="BA501" s="1">
        <v>0</v>
      </c>
      <c r="BB501" s="1">
        <v>1</v>
      </c>
      <c r="BC501" s="1">
        <v>1</v>
      </c>
      <c r="BD501" s="1">
        <v>1</v>
      </c>
      <c r="BE501" s="1">
        <v>1</v>
      </c>
      <c r="BF501" s="1">
        <v>0</v>
      </c>
      <c r="BG501" s="1">
        <v>0</v>
      </c>
      <c r="BI501" s="1">
        <v>6</v>
      </c>
      <c r="BJ501" s="1">
        <v>0</v>
      </c>
      <c r="BK501" s="1">
        <v>1</v>
      </c>
    </row>
    <row r="502" spans="1:63" ht="12.75" customHeight="1" x14ac:dyDescent="0.15">
      <c r="A502" s="5" t="s">
        <v>238</v>
      </c>
      <c r="B502" s="5" t="s">
        <v>238</v>
      </c>
      <c r="C502" s="5">
        <v>1</v>
      </c>
      <c r="D502" s="5">
        <v>1</v>
      </c>
      <c r="E502" s="5">
        <v>1</v>
      </c>
      <c r="F502" s="5">
        <v>4</v>
      </c>
      <c r="G502" s="5">
        <v>3</v>
      </c>
      <c r="H502" s="5">
        <v>2</v>
      </c>
      <c r="I502" s="5">
        <v>1</v>
      </c>
      <c r="J502" s="5">
        <v>1</v>
      </c>
      <c r="K502" s="5">
        <v>1</v>
      </c>
      <c r="L502" s="5">
        <v>1</v>
      </c>
      <c r="M502" s="5">
        <v>1</v>
      </c>
      <c r="N502" s="5">
        <v>1</v>
      </c>
      <c r="O502" s="5">
        <v>18</v>
      </c>
      <c r="P502" s="5" t="s">
        <v>983</v>
      </c>
      <c r="Q502" s="5">
        <v>2</v>
      </c>
      <c r="R502" s="5">
        <v>3</v>
      </c>
      <c r="S502" s="5">
        <v>1</v>
      </c>
      <c r="T502" s="5">
        <v>6</v>
      </c>
      <c r="U502" s="5" t="s">
        <v>981</v>
      </c>
      <c r="V502" s="5">
        <v>0</v>
      </c>
      <c r="W502" s="5">
        <v>0</v>
      </c>
      <c r="X502" s="5">
        <v>0</v>
      </c>
      <c r="Y502" s="5">
        <v>0</v>
      </c>
      <c r="Z502" s="5" t="s">
        <v>983</v>
      </c>
      <c r="AA502" s="5">
        <v>4</v>
      </c>
      <c r="AB502" s="5">
        <v>4</v>
      </c>
      <c r="AC502" s="5">
        <v>0</v>
      </c>
      <c r="AD502" s="5">
        <v>0</v>
      </c>
      <c r="AE502" s="5">
        <v>8</v>
      </c>
      <c r="AF502" s="5" t="s">
        <v>981</v>
      </c>
      <c r="AG502" s="5">
        <v>0</v>
      </c>
      <c r="AH502" s="5">
        <v>0</v>
      </c>
      <c r="AI502" s="5">
        <v>0</v>
      </c>
      <c r="AJ502" s="5">
        <v>0</v>
      </c>
      <c r="AK502" s="5" t="s">
        <v>983</v>
      </c>
      <c r="AL502" s="5">
        <v>0</v>
      </c>
      <c r="AM502" s="5">
        <v>0</v>
      </c>
      <c r="AN502" s="5">
        <v>0</v>
      </c>
      <c r="AO502" s="5">
        <v>0</v>
      </c>
      <c r="AP502" s="5" t="s">
        <v>983</v>
      </c>
      <c r="AQ502" s="5">
        <v>0</v>
      </c>
      <c r="AR502" s="5">
        <v>0</v>
      </c>
      <c r="AS502" s="5">
        <v>0</v>
      </c>
      <c r="AT502" s="5">
        <v>0</v>
      </c>
      <c r="AU502" s="5">
        <v>0</v>
      </c>
      <c r="AV502" s="5">
        <v>0</v>
      </c>
      <c r="AW502" s="5">
        <v>0</v>
      </c>
      <c r="AX502" s="5">
        <v>0</v>
      </c>
      <c r="AY502" s="5" t="s">
        <v>983</v>
      </c>
      <c r="AZ502" s="1">
        <v>0</v>
      </c>
      <c r="BA502" s="1">
        <v>0</v>
      </c>
      <c r="BB502" s="1">
        <v>0</v>
      </c>
      <c r="BC502" s="1">
        <v>1</v>
      </c>
      <c r="BD502" s="1">
        <v>0</v>
      </c>
      <c r="BE502" s="1">
        <v>1</v>
      </c>
      <c r="BF502" s="1">
        <v>0</v>
      </c>
      <c r="BG502" s="1">
        <v>0</v>
      </c>
      <c r="BI502" s="1">
        <v>29</v>
      </c>
      <c r="BJ502" s="1">
        <v>0</v>
      </c>
      <c r="BK502" s="1">
        <v>2</v>
      </c>
    </row>
    <row r="503" spans="1:63" ht="12.75" customHeight="1" x14ac:dyDescent="0.15">
      <c r="A503" s="5" t="s">
        <v>238</v>
      </c>
      <c r="B503" s="5" t="s">
        <v>238</v>
      </c>
      <c r="C503" s="5">
        <v>1</v>
      </c>
      <c r="D503" s="5">
        <v>1</v>
      </c>
      <c r="E503" s="5">
        <v>1</v>
      </c>
      <c r="F503" s="5">
        <v>1</v>
      </c>
      <c r="G503" s="5">
        <v>1</v>
      </c>
      <c r="H503" s="5">
        <v>1</v>
      </c>
      <c r="I503" s="5">
        <v>1</v>
      </c>
      <c r="J503" s="5">
        <v>1</v>
      </c>
      <c r="K503" s="5">
        <v>2</v>
      </c>
      <c r="L503" s="5">
        <v>2</v>
      </c>
      <c r="M503" s="5">
        <v>2</v>
      </c>
      <c r="N503" s="5">
        <v>2</v>
      </c>
      <c r="O503" s="5">
        <v>16</v>
      </c>
      <c r="P503" s="5" t="s">
        <v>983</v>
      </c>
      <c r="Q503" s="5">
        <v>2</v>
      </c>
      <c r="R503" s="5">
        <v>1</v>
      </c>
      <c r="S503" s="5">
        <v>0</v>
      </c>
      <c r="T503" s="5">
        <v>3</v>
      </c>
      <c r="U503" s="5" t="s">
        <v>982</v>
      </c>
      <c r="V503" s="5">
        <v>0</v>
      </c>
      <c r="W503" s="5">
        <v>4</v>
      </c>
      <c r="X503" s="5">
        <v>3</v>
      </c>
      <c r="Y503" s="5">
        <v>7</v>
      </c>
      <c r="Z503" s="5" t="s">
        <v>981</v>
      </c>
      <c r="AA503" s="5">
        <v>4</v>
      </c>
      <c r="AB503" s="5">
        <v>4</v>
      </c>
      <c r="AC503" s="5">
        <v>1</v>
      </c>
      <c r="AD503" s="5">
        <v>1</v>
      </c>
      <c r="AE503" s="5">
        <v>10</v>
      </c>
      <c r="AF503" s="5" t="s">
        <v>981</v>
      </c>
      <c r="AG503" s="5">
        <v>0</v>
      </c>
      <c r="AH503" s="5">
        <v>0</v>
      </c>
      <c r="AI503" s="5">
        <v>0</v>
      </c>
      <c r="AJ503" s="5">
        <v>0</v>
      </c>
      <c r="AK503" s="5" t="s">
        <v>983</v>
      </c>
      <c r="AL503" s="5">
        <v>0</v>
      </c>
      <c r="AM503" s="5">
        <v>0</v>
      </c>
      <c r="AN503" s="5">
        <v>1</v>
      </c>
      <c r="AO503" s="5">
        <v>1</v>
      </c>
      <c r="AP503" s="5" t="s">
        <v>983</v>
      </c>
      <c r="AQ503" s="5">
        <v>0</v>
      </c>
      <c r="AR503" s="5">
        <v>0</v>
      </c>
      <c r="AS503" s="5">
        <v>0</v>
      </c>
      <c r="AT503" s="5">
        <v>0</v>
      </c>
      <c r="AU503" s="5">
        <v>0</v>
      </c>
      <c r="AV503" s="5">
        <v>0</v>
      </c>
      <c r="AW503" s="5">
        <v>0</v>
      </c>
      <c r="AX503" s="5">
        <v>0</v>
      </c>
      <c r="AY503" s="5" t="s">
        <v>983</v>
      </c>
      <c r="AZ503" s="1">
        <v>1</v>
      </c>
      <c r="BA503" s="1">
        <v>1</v>
      </c>
      <c r="BB503" s="1">
        <v>0</v>
      </c>
      <c r="BC503" s="1">
        <v>1</v>
      </c>
      <c r="BD503" s="1">
        <v>0</v>
      </c>
      <c r="BE503" s="1">
        <v>1</v>
      </c>
      <c r="BF503" s="1">
        <v>32</v>
      </c>
      <c r="BG503" s="1">
        <v>0</v>
      </c>
      <c r="BH503" s="1">
        <v>14</v>
      </c>
      <c r="BI503" s="1">
        <v>30</v>
      </c>
      <c r="BJ503" s="1">
        <v>300000</v>
      </c>
      <c r="BK503" s="1">
        <v>2</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topLeftCell="F4" workbookViewId="0">
      <selection activeCell="M2" sqref="M2"/>
    </sheetView>
  </sheetViews>
  <sheetFormatPr baseColWidth="10" defaultColWidth="12.5" defaultRowHeight="15" customHeight="1" x14ac:dyDescent="0.15"/>
  <cols>
    <col min="1" max="1" width="47.83203125" customWidth="1"/>
    <col min="2" max="2" width="8.5" customWidth="1"/>
    <col min="3" max="3" width="37.83203125" customWidth="1"/>
    <col min="4" max="4" width="8.5" customWidth="1"/>
    <col min="5" max="5" width="46.83203125" customWidth="1"/>
    <col min="6" max="6" width="21.5" customWidth="1"/>
    <col min="7" max="7" width="8.5" customWidth="1"/>
    <col min="8" max="8" width="16.33203125" customWidth="1"/>
    <col min="9" max="9" width="30.83203125" customWidth="1"/>
    <col min="10" max="10" width="33.5" customWidth="1"/>
    <col min="11" max="11" width="21.5" customWidth="1"/>
    <col min="12" max="12" width="33.5" customWidth="1"/>
    <col min="13" max="13" width="8.5" customWidth="1"/>
    <col min="14" max="14" width="21.1640625" customWidth="1"/>
    <col min="15" max="15" width="8.5" customWidth="1"/>
    <col min="16" max="16" width="15.33203125" customWidth="1"/>
    <col min="17" max="17" width="15.5" customWidth="1"/>
    <col min="18" max="18" width="23.5" customWidth="1"/>
    <col min="19" max="19" width="23.33203125" customWidth="1"/>
    <col min="20" max="26" width="8.5" customWidth="1"/>
  </cols>
  <sheetData>
    <row r="1" spans="1:21" ht="12.75" customHeight="1" x14ac:dyDescent="0.15">
      <c r="A1" s="2" t="s">
        <v>47</v>
      </c>
      <c r="B1" s="7" t="s">
        <v>985</v>
      </c>
      <c r="C1" s="2" t="s">
        <v>88</v>
      </c>
      <c r="D1" s="1" t="s">
        <v>970</v>
      </c>
      <c r="E1" s="2" t="s">
        <v>51</v>
      </c>
      <c r="F1" s="1" t="s">
        <v>971</v>
      </c>
      <c r="G1" s="2" t="s">
        <v>57</v>
      </c>
      <c r="H1" s="1" t="s">
        <v>972</v>
      </c>
      <c r="I1" s="2" t="s">
        <v>58</v>
      </c>
      <c r="J1" s="1" t="s">
        <v>973</v>
      </c>
      <c r="K1" s="2" t="s">
        <v>59</v>
      </c>
      <c r="L1" s="1" t="s">
        <v>974</v>
      </c>
      <c r="M1" s="1" t="s">
        <v>975</v>
      </c>
      <c r="N1" s="1" t="s">
        <v>986</v>
      </c>
      <c r="O1" s="7" t="s">
        <v>976</v>
      </c>
      <c r="P1" s="1" t="s">
        <v>977</v>
      </c>
      <c r="Q1" s="1" t="s">
        <v>978</v>
      </c>
      <c r="R1" s="1" t="s">
        <v>979</v>
      </c>
      <c r="S1" s="1" t="s">
        <v>980</v>
      </c>
    </row>
    <row r="2" spans="1:21" ht="12.75" customHeight="1" x14ac:dyDescent="0.15">
      <c r="A2" s="5" t="s">
        <v>285</v>
      </c>
      <c r="B2" s="1" t="e">
        <f ca="1">_xludf.LET(_xlpm.x,LOWER(TRIM(A2)),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 s="5" t="s">
        <v>223</v>
      </c>
      <c r="D2" s="1">
        <f t="shared" ref="D2:D65" si="0">IF(C2="Chilena (exclusivamente)",0,1)</f>
        <v>0</v>
      </c>
      <c r="F2" s="1" t="str">
        <f t="shared" ref="F2:F65" si="1">IF(ISBLANK(E2),"",IF(OR(E2="Sí",E2="Si"),1,IF(E2="No",0,"")))</f>
        <v/>
      </c>
      <c r="G2" s="5" t="s">
        <v>204</v>
      </c>
      <c r="H2" s="1">
        <f t="shared" ref="H2:H65" si="2">IF(ISBLANK(G2),"",IF(OR(G2="Sí",G2="Si"),1,IF(G2="No",0,"")))</f>
        <v>1</v>
      </c>
      <c r="I2" s="5" t="s">
        <v>278</v>
      </c>
      <c r="J2" s="1">
        <f t="shared" ref="J2:J65" si="3">IF(OR(ISBLANK(I2),TRIM(I2)="No respondió",TRIM(I2)="No respondio",TRIM(I2)="No aplica"),
   "",
   IF(TRIM(I2)="Entre 1 a 2 horas",1,
     IF(TRIM(I2)="Más de 2 horas y menos de 4 horas",2,
       IF(TRIM(I2)="Entre 4 a 6 horas",3,
         IF(TRIM(I2)="Más de 6 horas y menos de 8 horas",4,
           IF(TRIM(I2)="Más de 8 horas",5,"")
         )
       )
     )
   )
)</f>
        <v>5</v>
      </c>
      <c r="K2" s="5" t="s">
        <v>215</v>
      </c>
      <c r="L2" s="1">
        <f t="shared" ref="L2:L65" si="4">IF(OR(ISBLANK(K2),TRIM(K2)="No respondió",TRIM(K2)="No respondio",TRIM(K2)="No aplica"),
   "",
   IF(TRIM(K2)="Entre 1 a 2 horas",1,
     IF(TRIM(K2)="Más de 2 horas y menos de 4 horas",2,
       IF(TRIM(K2)="Entre 4 a 6 horas",3,
         IF(TRIM(K2)="Más de 6 horas y menos de 8 horas",4,
           IF(TRIM(K2)="Más de 8 horas",5,"")
         )
       )
     )
   )
)</f>
        <v>2</v>
      </c>
      <c r="M2" s="8">
        <v>0</v>
      </c>
      <c r="N2" s="1" t="s">
        <v>990</v>
      </c>
      <c r="O2" s="1">
        <f t="shared" ref="O2:O65" si="5">IF(N2="METROPOLITANA",1,0)</f>
        <v>0</v>
      </c>
      <c r="Q2" s="1">
        <v>34</v>
      </c>
      <c r="R2" s="9"/>
      <c r="S2" s="1">
        <v>2</v>
      </c>
    </row>
    <row r="3" spans="1:21" ht="12.75" customHeight="1" x14ac:dyDescent="0.15">
      <c r="A3" s="5" t="s">
        <v>302</v>
      </c>
      <c r="B3" s="1" t="e">
        <f ca="1">_xludf.LET(_xlpm.x,LOWER(TRIM(A3)),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 s="5" t="s">
        <v>223</v>
      </c>
      <c r="D3" s="1">
        <f t="shared" si="0"/>
        <v>0</v>
      </c>
      <c r="F3" s="1" t="str">
        <f t="shared" si="1"/>
        <v/>
      </c>
      <c r="G3" s="5" t="s">
        <v>204</v>
      </c>
      <c r="H3" s="1">
        <f t="shared" si="2"/>
        <v>1</v>
      </c>
      <c r="I3" s="5" t="s">
        <v>278</v>
      </c>
      <c r="J3" s="1">
        <f t="shared" si="3"/>
        <v>5</v>
      </c>
      <c r="K3" s="5" t="s">
        <v>278</v>
      </c>
      <c r="L3" s="1">
        <f t="shared" si="4"/>
        <v>5</v>
      </c>
      <c r="M3" s="8">
        <v>0</v>
      </c>
      <c r="N3" s="1" t="s">
        <v>989</v>
      </c>
      <c r="O3" s="1">
        <f t="shared" si="5"/>
        <v>1</v>
      </c>
      <c r="Q3" s="1">
        <v>11</v>
      </c>
      <c r="S3" s="1">
        <v>2</v>
      </c>
    </row>
    <row r="4" spans="1:21" ht="12.75" customHeight="1" x14ac:dyDescent="0.15">
      <c r="A4" s="5" t="s">
        <v>285</v>
      </c>
      <c r="B4" s="1" t="e">
        <f ca="1">_xludf.LET(_xlpm.x,LOWER(TRIM(A4)),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 s="5" t="s">
        <v>223</v>
      </c>
      <c r="D4" s="1">
        <f t="shared" si="0"/>
        <v>0</v>
      </c>
      <c r="E4" s="5" t="s">
        <v>204</v>
      </c>
      <c r="F4" s="1">
        <f t="shared" si="1"/>
        <v>1</v>
      </c>
      <c r="G4" s="5" t="s">
        <v>204</v>
      </c>
      <c r="H4" s="1">
        <f t="shared" si="2"/>
        <v>1</v>
      </c>
      <c r="I4" s="5" t="s">
        <v>242</v>
      </c>
      <c r="J4" s="1">
        <f t="shared" si="3"/>
        <v>3</v>
      </c>
      <c r="K4" s="5" t="s">
        <v>242</v>
      </c>
      <c r="L4" s="1">
        <f t="shared" si="4"/>
        <v>3</v>
      </c>
      <c r="M4" s="8">
        <v>0</v>
      </c>
      <c r="N4" s="1" t="s">
        <v>990</v>
      </c>
      <c r="O4" s="1">
        <f t="shared" si="5"/>
        <v>0</v>
      </c>
      <c r="P4" s="1">
        <v>14</v>
      </c>
      <c r="Q4" s="1">
        <v>3</v>
      </c>
      <c r="R4" s="9">
        <v>-99</v>
      </c>
      <c r="S4" s="1">
        <v>3</v>
      </c>
    </row>
    <row r="5" spans="1:21" ht="12.75" customHeight="1" x14ac:dyDescent="0.15">
      <c r="A5" s="5" t="s">
        <v>285</v>
      </c>
      <c r="B5" s="1" t="e">
        <f ca="1">_xludf.LET(_xlpm.x,LOWER(TRIM(A5)),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 s="5" t="s">
        <v>223</v>
      </c>
      <c r="D5" s="1">
        <f t="shared" si="0"/>
        <v>0</v>
      </c>
      <c r="F5" s="1" t="str">
        <f t="shared" si="1"/>
        <v/>
      </c>
      <c r="G5" s="5" t="s">
        <v>204</v>
      </c>
      <c r="H5" s="1">
        <f t="shared" si="2"/>
        <v>1</v>
      </c>
      <c r="I5" s="5" t="s">
        <v>278</v>
      </c>
      <c r="J5" s="1">
        <f t="shared" si="3"/>
        <v>5</v>
      </c>
      <c r="K5" s="5" t="s">
        <v>242</v>
      </c>
      <c r="L5" s="1">
        <f t="shared" si="4"/>
        <v>3</v>
      </c>
      <c r="M5" s="8">
        <v>0</v>
      </c>
      <c r="N5" s="1" t="s">
        <v>989</v>
      </c>
      <c r="O5" s="1">
        <f t="shared" si="5"/>
        <v>1</v>
      </c>
      <c r="Q5" s="1">
        <v>11</v>
      </c>
      <c r="S5" s="1">
        <v>2</v>
      </c>
    </row>
    <row r="6" spans="1:21" ht="12.75" customHeight="1" x14ac:dyDescent="0.15">
      <c r="A6" s="5" t="s">
        <v>213</v>
      </c>
      <c r="B6" s="1" t="e">
        <f ca="1">_xludf.LET(_xlpm.x,LOWER(TRIM(A6)),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 s="5" t="s">
        <v>223</v>
      </c>
      <c r="D6" s="1">
        <f t="shared" si="0"/>
        <v>0</v>
      </c>
      <c r="E6" s="5" t="s">
        <v>204</v>
      </c>
      <c r="F6" s="1">
        <f t="shared" si="1"/>
        <v>1</v>
      </c>
      <c r="G6" s="5" t="s">
        <v>204</v>
      </c>
      <c r="H6" s="1">
        <f t="shared" si="2"/>
        <v>1</v>
      </c>
      <c r="I6" s="5" t="s">
        <v>278</v>
      </c>
      <c r="J6" s="1">
        <f t="shared" si="3"/>
        <v>5</v>
      </c>
      <c r="K6" s="5" t="s">
        <v>242</v>
      </c>
      <c r="L6" s="1">
        <f t="shared" si="4"/>
        <v>3</v>
      </c>
      <c r="M6" s="8">
        <v>0</v>
      </c>
      <c r="N6" s="1" t="s">
        <v>994</v>
      </c>
      <c r="O6" s="1">
        <f t="shared" si="5"/>
        <v>0</v>
      </c>
      <c r="Q6" s="1">
        <v>24</v>
      </c>
      <c r="S6" s="1">
        <v>6</v>
      </c>
    </row>
    <row r="7" spans="1:21" ht="12.75" customHeight="1" x14ac:dyDescent="0.15">
      <c r="A7" s="5" t="s">
        <v>213</v>
      </c>
      <c r="B7" s="1" t="e">
        <f ca="1">_xludf.LET(_xlpm.x,LOWER(TRIM(A7)),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 s="5" t="s">
        <v>223</v>
      </c>
      <c r="D7" s="1">
        <f t="shared" si="0"/>
        <v>0</v>
      </c>
      <c r="E7" s="5" t="s">
        <v>206</v>
      </c>
      <c r="F7" s="1">
        <f t="shared" si="1"/>
        <v>0</v>
      </c>
      <c r="G7" s="5" t="s">
        <v>204</v>
      </c>
      <c r="H7" s="1">
        <f t="shared" si="2"/>
        <v>1</v>
      </c>
      <c r="I7" s="5" t="s">
        <v>207</v>
      </c>
      <c r="J7" s="1" t="str">
        <f t="shared" si="3"/>
        <v/>
      </c>
      <c r="K7" s="5" t="s">
        <v>215</v>
      </c>
      <c r="L7" s="1">
        <f t="shared" si="4"/>
        <v>2</v>
      </c>
      <c r="M7" s="8">
        <v>0</v>
      </c>
      <c r="N7" s="1" t="s">
        <v>987</v>
      </c>
      <c r="O7" s="1">
        <f t="shared" si="5"/>
        <v>0</v>
      </c>
      <c r="Q7" s="1">
        <v>11</v>
      </c>
      <c r="S7" s="1">
        <v>3</v>
      </c>
    </row>
    <row r="8" spans="1:21" ht="12.75" customHeight="1" x14ac:dyDescent="0.15">
      <c r="A8" s="5" t="s">
        <v>269</v>
      </c>
      <c r="B8" s="1" t="e">
        <f ca="1">_xludf.LET(_xlpm.x,LOWER(TRIM(A8)),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 s="5" t="s">
        <v>223</v>
      </c>
      <c r="D8" s="1">
        <f t="shared" si="0"/>
        <v>0</v>
      </c>
      <c r="E8" s="5" t="s">
        <v>204</v>
      </c>
      <c r="F8" s="1">
        <f t="shared" si="1"/>
        <v>1</v>
      </c>
      <c r="G8" s="5" t="s">
        <v>204</v>
      </c>
      <c r="H8" s="1">
        <f t="shared" si="2"/>
        <v>1</v>
      </c>
      <c r="I8" s="5" t="s">
        <v>278</v>
      </c>
      <c r="J8" s="1">
        <f t="shared" si="3"/>
        <v>5</v>
      </c>
      <c r="K8" s="5" t="s">
        <v>278</v>
      </c>
      <c r="L8" s="1">
        <f t="shared" si="4"/>
        <v>5</v>
      </c>
      <c r="M8" s="8">
        <v>0</v>
      </c>
      <c r="N8" s="1" t="s">
        <v>987</v>
      </c>
      <c r="O8" s="1">
        <f t="shared" si="5"/>
        <v>0</v>
      </c>
      <c r="Q8" s="1">
        <v>11</v>
      </c>
      <c r="R8" s="10"/>
      <c r="S8" s="1">
        <v>3</v>
      </c>
    </row>
    <row r="9" spans="1:21" ht="12.75" customHeight="1" x14ac:dyDescent="0.15">
      <c r="A9" s="5" t="s">
        <v>213</v>
      </c>
      <c r="B9" s="1" t="e">
        <f ca="1">_xludf.LET(_xlpm.x,LOWER(TRIM(A9)),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 s="5" t="s">
        <v>223</v>
      </c>
      <c r="D9" s="1">
        <f t="shared" si="0"/>
        <v>0</v>
      </c>
      <c r="F9" s="1" t="str">
        <f t="shared" si="1"/>
        <v/>
      </c>
      <c r="G9" s="5" t="s">
        <v>204</v>
      </c>
      <c r="H9" s="1">
        <f t="shared" si="2"/>
        <v>1</v>
      </c>
      <c r="I9" s="5" t="s">
        <v>278</v>
      </c>
      <c r="J9" s="1">
        <f t="shared" si="3"/>
        <v>5</v>
      </c>
      <c r="K9" s="5" t="s">
        <v>278</v>
      </c>
      <c r="L9" s="1">
        <f t="shared" si="4"/>
        <v>5</v>
      </c>
      <c r="M9" s="8">
        <v>0</v>
      </c>
      <c r="N9" s="1" t="s">
        <v>990</v>
      </c>
      <c r="O9" s="1">
        <f t="shared" si="5"/>
        <v>0</v>
      </c>
      <c r="Q9" s="1">
        <v>11</v>
      </c>
      <c r="S9" s="1">
        <v>5</v>
      </c>
    </row>
    <row r="10" spans="1:21" ht="12.75" customHeight="1" x14ac:dyDescent="0.15">
      <c r="A10" s="5" t="s">
        <v>213</v>
      </c>
      <c r="B10" s="1" t="e">
        <f ca="1">_xludf.LET(_xlpm.x,LOWER(TRIM(A10)),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 s="5" t="s">
        <v>223</v>
      </c>
      <c r="D10" s="1">
        <f t="shared" si="0"/>
        <v>0</v>
      </c>
      <c r="E10" s="5" t="s">
        <v>204</v>
      </c>
      <c r="F10" s="1">
        <f t="shared" si="1"/>
        <v>1</v>
      </c>
      <c r="G10" s="5" t="s">
        <v>204</v>
      </c>
      <c r="H10" s="1">
        <f t="shared" si="2"/>
        <v>1</v>
      </c>
      <c r="I10" s="5" t="s">
        <v>278</v>
      </c>
      <c r="J10" s="1">
        <f t="shared" si="3"/>
        <v>5</v>
      </c>
      <c r="K10" s="5" t="s">
        <v>278</v>
      </c>
      <c r="L10" s="1">
        <f t="shared" si="4"/>
        <v>5</v>
      </c>
      <c r="M10" s="8">
        <v>0</v>
      </c>
      <c r="N10" s="1" t="s">
        <v>990</v>
      </c>
      <c r="O10" s="1">
        <f t="shared" si="5"/>
        <v>0</v>
      </c>
      <c r="Q10" s="1">
        <v>11</v>
      </c>
      <c r="S10" s="1">
        <v>5</v>
      </c>
    </row>
    <row r="11" spans="1:21" ht="12.75" customHeight="1" x14ac:dyDescent="0.15">
      <c r="A11" s="5" t="s">
        <v>213</v>
      </c>
      <c r="B11" s="1" t="e">
        <f ca="1">_xludf.LET(_xlpm.x,LOWER(TRIM(A11)),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 s="5" t="s">
        <v>223</v>
      </c>
      <c r="D11" s="1">
        <f t="shared" si="0"/>
        <v>0</v>
      </c>
      <c r="F11" s="1" t="str">
        <f t="shared" si="1"/>
        <v/>
      </c>
      <c r="G11" s="5" t="s">
        <v>204</v>
      </c>
      <c r="H11" s="1">
        <f t="shared" si="2"/>
        <v>1</v>
      </c>
      <c r="I11" s="5" t="s">
        <v>207</v>
      </c>
      <c r="J11" s="1" t="str">
        <f t="shared" si="3"/>
        <v/>
      </c>
      <c r="K11" s="5" t="s">
        <v>271</v>
      </c>
      <c r="L11" s="1">
        <f t="shared" si="4"/>
        <v>4</v>
      </c>
      <c r="M11" s="8">
        <v>0</v>
      </c>
      <c r="N11" s="1" t="s">
        <v>989</v>
      </c>
      <c r="O11" s="1">
        <f t="shared" si="5"/>
        <v>1</v>
      </c>
      <c r="Q11" s="1">
        <v>3</v>
      </c>
      <c r="S11" s="1">
        <v>2</v>
      </c>
    </row>
    <row r="12" spans="1:21" ht="12.75" customHeight="1" x14ac:dyDescent="0.15">
      <c r="A12" s="5" t="s">
        <v>269</v>
      </c>
      <c r="B12" s="1" t="e">
        <f ca="1">_xludf.LET(_xlpm.x,LOWER(TRIM(A12)),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 s="5" t="s">
        <v>223</v>
      </c>
      <c r="D12" s="1">
        <f t="shared" si="0"/>
        <v>0</v>
      </c>
      <c r="E12" s="5" t="s">
        <v>204</v>
      </c>
      <c r="F12" s="1">
        <f t="shared" si="1"/>
        <v>1</v>
      </c>
      <c r="G12" s="5" t="s">
        <v>204</v>
      </c>
      <c r="H12" s="1">
        <f t="shared" si="2"/>
        <v>1</v>
      </c>
      <c r="I12" s="5" t="s">
        <v>207</v>
      </c>
      <c r="J12" s="1" t="str">
        <f t="shared" si="3"/>
        <v/>
      </c>
      <c r="K12" s="5" t="s">
        <v>264</v>
      </c>
      <c r="L12" s="1">
        <f t="shared" si="4"/>
        <v>1</v>
      </c>
      <c r="M12" s="8">
        <v>0</v>
      </c>
      <c r="N12" s="1" t="s">
        <v>999</v>
      </c>
      <c r="O12" s="1">
        <f t="shared" si="5"/>
        <v>0</v>
      </c>
      <c r="Q12" s="1">
        <v>24</v>
      </c>
      <c r="S12" s="1">
        <v>4</v>
      </c>
    </row>
    <row r="13" spans="1:21" ht="12.75" customHeight="1" x14ac:dyDescent="0.15">
      <c r="A13" s="5" t="s">
        <v>213</v>
      </c>
      <c r="B13" s="1" t="e">
        <f ca="1">_xludf.LET(_xlpm.x,LOWER(TRIM(A13)),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 s="5" t="s">
        <v>223</v>
      </c>
      <c r="D13" s="1">
        <f t="shared" si="0"/>
        <v>0</v>
      </c>
      <c r="F13" s="1" t="str">
        <f t="shared" si="1"/>
        <v/>
      </c>
      <c r="G13" s="5" t="s">
        <v>204</v>
      </c>
      <c r="H13" s="1">
        <f t="shared" si="2"/>
        <v>1</v>
      </c>
      <c r="I13" s="5" t="s">
        <v>207</v>
      </c>
      <c r="J13" s="1" t="str">
        <f t="shared" si="3"/>
        <v/>
      </c>
      <c r="K13" s="5" t="s">
        <v>215</v>
      </c>
      <c r="L13" s="1">
        <f t="shared" si="4"/>
        <v>2</v>
      </c>
      <c r="M13" s="8">
        <v>0</v>
      </c>
      <c r="N13" s="1" t="s">
        <v>989</v>
      </c>
      <c r="O13" s="1">
        <f t="shared" si="5"/>
        <v>1</v>
      </c>
      <c r="Q13" s="1">
        <v>11</v>
      </c>
      <c r="R13" s="10"/>
      <c r="S13" s="1">
        <v>1</v>
      </c>
      <c r="U13" s="7" t="s">
        <v>993</v>
      </c>
    </row>
    <row r="14" spans="1:21" ht="12.75" customHeight="1" x14ac:dyDescent="0.15">
      <c r="A14" s="5" t="s">
        <v>269</v>
      </c>
      <c r="B14" s="1" t="e">
        <f ca="1">_xludf.LET(_xlpm.x,LOWER(TRIM(A14)),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 s="5" t="s">
        <v>223</v>
      </c>
      <c r="D14" s="1">
        <f t="shared" si="0"/>
        <v>0</v>
      </c>
      <c r="E14" s="5" t="s">
        <v>204</v>
      </c>
      <c r="F14" s="1">
        <f t="shared" si="1"/>
        <v>1</v>
      </c>
      <c r="G14" s="5" t="s">
        <v>204</v>
      </c>
      <c r="H14" s="1">
        <f t="shared" si="2"/>
        <v>1</v>
      </c>
      <c r="I14" s="5" t="s">
        <v>278</v>
      </c>
      <c r="J14" s="1">
        <f t="shared" si="3"/>
        <v>5</v>
      </c>
      <c r="K14" s="5" t="s">
        <v>278</v>
      </c>
      <c r="L14" s="1">
        <f t="shared" si="4"/>
        <v>5</v>
      </c>
      <c r="M14" s="8">
        <v>0</v>
      </c>
      <c r="N14" s="1" t="s">
        <v>1000</v>
      </c>
      <c r="O14" s="1">
        <f t="shared" si="5"/>
        <v>0</v>
      </c>
      <c r="Q14" s="1">
        <v>24</v>
      </c>
      <c r="S14" s="1">
        <v>7</v>
      </c>
    </row>
    <row r="15" spans="1:21" ht="12.75" customHeight="1" x14ac:dyDescent="0.15">
      <c r="A15" s="5" t="s">
        <v>285</v>
      </c>
      <c r="B15" s="1" t="e">
        <f ca="1">_xludf.LET(_xlpm.x,LOWER(TRIM(A15)),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 s="5" t="s">
        <v>223</v>
      </c>
      <c r="D15" s="1">
        <f t="shared" si="0"/>
        <v>0</v>
      </c>
      <c r="E15" s="5" t="s">
        <v>204</v>
      </c>
      <c r="F15" s="1">
        <f t="shared" si="1"/>
        <v>1</v>
      </c>
      <c r="G15" s="5" t="s">
        <v>204</v>
      </c>
      <c r="H15" s="1">
        <f t="shared" si="2"/>
        <v>1</v>
      </c>
      <c r="I15" s="5" t="s">
        <v>215</v>
      </c>
      <c r="J15" s="1">
        <f t="shared" si="3"/>
        <v>2</v>
      </c>
      <c r="K15" s="5" t="s">
        <v>215</v>
      </c>
      <c r="L15" s="1">
        <f t="shared" si="4"/>
        <v>2</v>
      </c>
      <c r="M15" s="8">
        <v>0</v>
      </c>
      <c r="N15" s="1" t="s">
        <v>989</v>
      </c>
      <c r="O15" s="1">
        <f t="shared" si="5"/>
        <v>1</v>
      </c>
      <c r="Q15" s="1">
        <v>34</v>
      </c>
      <c r="S15" s="1">
        <v>4</v>
      </c>
    </row>
    <row r="16" spans="1:21" ht="12.75" customHeight="1" x14ac:dyDescent="0.15">
      <c r="A16" s="5" t="s">
        <v>269</v>
      </c>
      <c r="B16" s="1" t="e">
        <f ca="1">_xludf.LET(_xlpm.x,LOWER(TRIM(A16)),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 s="5" t="s">
        <v>223</v>
      </c>
      <c r="D16" s="1">
        <f t="shared" si="0"/>
        <v>0</v>
      </c>
      <c r="E16" s="5" t="s">
        <v>204</v>
      </c>
      <c r="F16" s="1">
        <f t="shared" si="1"/>
        <v>1</v>
      </c>
      <c r="G16" s="5" t="s">
        <v>204</v>
      </c>
      <c r="H16" s="1">
        <f t="shared" si="2"/>
        <v>1</v>
      </c>
      <c r="I16" s="5" t="s">
        <v>242</v>
      </c>
      <c r="J16" s="1">
        <f t="shared" si="3"/>
        <v>3</v>
      </c>
      <c r="K16" s="5" t="s">
        <v>271</v>
      </c>
      <c r="L16" s="1">
        <f t="shared" si="4"/>
        <v>4</v>
      </c>
      <c r="M16" s="8">
        <v>0</v>
      </c>
      <c r="N16" s="1" t="s">
        <v>989</v>
      </c>
      <c r="O16" s="1">
        <f t="shared" si="5"/>
        <v>1</v>
      </c>
      <c r="P16" s="1">
        <v>17</v>
      </c>
      <c r="Q16" s="1">
        <v>34</v>
      </c>
      <c r="R16" s="1">
        <v>850000</v>
      </c>
      <c r="S16" s="1">
        <v>3</v>
      </c>
    </row>
    <row r="17" spans="1:19" ht="12.75" customHeight="1" x14ac:dyDescent="0.15">
      <c r="A17" s="5" t="s">
        <v>285</v>
      </c>
      <c r="B17" s="1" t="e">
        <f ca="1">_xludf.LET(_xlpm.x,LOWER(TRIM(A17)),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 s="5" t="s">
        <v>223</v>
      </c>
      <c r="D17" s="1">
        <f t="shared" si="0"/>
        <v>0</v>
      </c>
      <c r="E17" s="5" t="s">
        <v>204</v>
      </c>
      <c r="F17" s="1">
        <f t="shared" si="1"/>
        <v>1</v>
      </c>
      <c r="G17" s="5" t="s">
        <v>204</v>
      </c>
      <c r="H17" s="1">
        <f t="shared" si="2"/>
        <v>1</v>
      </c>
      <c r="I17" s="5" t="s">
        <v>278</v>
      </c>
      <c r="J17" s="1">
        <f t="shared" si="3"/>
        <v>5</v>
      </c>
      <c r="K17" s="5" t="s">
        <v>271</v>
      </c>
      <c r="L17" s="1">
        <f t="shared" si="4"/>
        <v>4</v>
      </c>
      <c r="M17" s="8">
        <v>0</v>
      </c>
      <c r="N17" s="1" t="s">
        <v>987</v>
      </c>
      <c r="O17" s="1">
        <f t="shared" si="5"/>
        <v>0</v>
      </c>
      <c r="P17" s="1">
        <v>16</v>
      </c>
      <c r="Q17" s="1">
        <v>7</v>
      </c>
      <c r="R17" s="1">
        <v>1400</v>
      </c>
      <c r="S17" s="1">
        <v>1</v>
      </c>
    </row>
    <row r="18" spans="1:19" ht="12.75" customHeight="1" x14ac:dyDescent="0.15">
      <c r="A18" s="5" t="s">
        <v>457</v>
      </c>
      <c r="B18" s="1" t="e">
        <f ca="1">_xludf.LET(_xlpm.x,LOWER(TRIM(A18)),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 s="5" t="s">
        <v>223</v>
      </c>
      <c r="D18" s="1">
        <f t="shared" si="0"/>
        <v>0</v>
      </c>
      <c r="F18" s="1" t="str">
        <f t="shared" si="1"/>
        <v/>
      </c>
      <c r="G18" s="5" t="s">
        <v>204</v>
      </c>
      <c r="H18" s="1">
        <f t="shared" si="2"/>
        <v>1</v>
      </c>
      <c r="I18" s="5" t="s">
        <v>278</v>
      </c>
      <c r="J18" s="1">
        <f t="shared" si="3"/>
        <v>5</v>
      </c>
      <c r="K18" s="5" t="s">
        <v>271</v>
      </c>
      <c r="L18" s="1">
        <f t="shared" si="4"/>
        <v>4</v>
      </c>
      <c r="M18" s="8">
        <v>0</v>
      </c>
      <c r="N18" s="1" t="s">
        <v>995</v>
      </c>
      <c r="O18" s="1">
        <f t="shared" si="5"/>
        <v>0</v>
      </c>
      <c r="Q18" s="1">
        <v>2</v>
      </c>
      <c r="S18" s="1">
        <v>3</v>
      </c>
    </row>
    <row r="19" spans="1:19" ht="12.75" customHeight="1" x14ac:dyDescent="0.15">
      <c r="A19" s="5" t="s">
        <v>213</v>
      </c>
      <c r="B19" s="1" t="e">
        <f ca="1">_xludf.LET(_xlpm.x,LOWER(TRIM(A19)),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 s="5" t="s">
        <v>223</v>
      </c>
      <c r="D19" s="1">
        <f t="shared" si="0"/>
        <v>0</v>
      </c>
      <c r="F19" s="1" t="str">
        <f t="shared" si="1"/>
        <v/>
      </c>
      <c r="G19" s="5" t="s">
        <v>204</v>
      </c>
      <c r="H19" s="1">
        <f t="shared" si="2"/>
        <v>1</v>
      </c>
      <c r="I19" s="5" t="s">
        <v>264</v>
      </c>
      <c r="J19" s="1">
        <f t="shared" si="3"/>
        <v>1</v>
      </c>
      <c r="K19" s="5" t="s">
        <v>215</v>
      </c>
      <c r="L19" s="1">
        <f t="shared" si="4"/>
        <v>2</v>
      </c>
      <c r="M19" s="8">
        <v>0</v>
      </c>
      <c r="N19" s="1" t="s">
        <v>995</v>
      </c>
      <c r="O19" s="1">
        <f t="shared" si="5"/>
        <v>0</v>
      </c>
      <c r="Q19" s="1">
        <v>3</v>
      </c>
      <c r="S19" s="1">
        <v>3</v>
      </c>
    </row>
    <row r="20" spans="1:19" ht="12.75" customHeight="1" x14ac:dyDescent="0.15">
      <c r="A20" s="5" t="s">
        <v>213</v>
      </c>
      <c r="B20" s="1" t="e">
        <f ca="1">_xludf.LET(_xlpm.x,LOWER(TRIM(A20)),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 s="5" t="s">
        <v>223</v>
      </c>
      <c r="D20" s="1">
        <f t="shared" si="0"/>
        <v>0</v>
      </c>
      <c r="F20" s="1" t="str">
        <f t="shared" si="1"/>
        <v/>
      </c>
      <c r="G20" s="5" t="s">
        <v>204</v>
      </c>
      <c r="H20" s="1">
        <f t="shared" si="2"/>
        <v>1</v>
      </c>
      <c r="I20" s="5" t="s">
        <v>242</v>
      </c>
      <c r="J20" s="1">
        <f t="shared" si="3"/>
        <v>3</v>
      </c>
      <c r="K20" s="5" t="s">
        <v>271</v>
      </c>
      <c r="L20" s="1">
        <f t="shared" si="4"/>
        <v>4</v>
      </c>
      <c r="M20" s="8">
        <v>0</v>
      </c>
      <c r="N20" s="1" t="s">
        <v>999</v>
      </c>
      <c r="O20" s="1">
        <f t="shared" si="5"/>
        <v>0</v>
      </c>
      <c r="Q20" s="1">
        <v>3</v>
      </c>
      <c r="S20" s="1">
        <v>2</v>
      </c>
    </row>
    <row r="21" spans="1:19" ht="12.75" customHeight="1" x14ac:dyDescent="0.15">
      <c r="A21" s="5" t="s">
        <v>285</v>
      </c>
      <c r="B21" s="1" t="e">
        <f ca="1">_xludf.LET(_xlpm.x,LOWER(TRIM(A21)),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 s="5" t="s">
        <v>223</v>
      </c>
      <c r="D21" s="1">
        <f t="shared" si="0"/>
        <v>0</v>
      </c>
      <c r="E21" s="5" t="s">
        <v>204</v>
      </c>
      <c r="F21" s="1">
        <f t="shared" si="1"/>
        <v>1</v>
      </c>
      <c r="G21" s="5" t="s">
        <v>204</v>
      </c>
      <c r="H21" s="1">
        <f t="shared" si="2"/>
        <v>1</v>
      </c>
      <c r="I21" s="5" t="s">
        <v>278</v>
      </c>
      <c r="J21" s="1">
        <f t="shared" si="3"/>
        <v>5</v>
      </c>
      <c r="K21" s="5" t="s">
        <v>278</v>
      </c>
      <c r="L21" s="1">
        <f t="shared" si="4"/>
        <v>5</v>
      </c>
      <c r="M21" s="8">
        <v>0</v>
      </c>
      <c r="N21" s="1" t="s">
        <v>989</v>
      </c>
      <c r="O21" s="1">
        <f t="shared" si="5"/>
        <v>1</v>
      </c>
      <c r="Q21" s="1">
        <v>11</v>
      </c>
      <c r="S21" s="1">
        <v>3</v>
      </c>
    </row>
    <row r="22" spans="1:19" ht="12.75" customHeight="1" x14ac:dyDescent="0.15">
      <c r="A22" s="5" t="s">
        <v>285</v>
      </c>
      <c r="B22" s="1" t="e">
        <f ca="1">_xludf.LET(_xlpm.x,LOWER(TRIM(A22)),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 s="5" t="s">
        <v>223</v>
      </c>
      <c r="D22" s="1">
        <f t="shared" si="0"/>
        <v>0</v>
      </c>
      <c r="F22" s="1" t="str">
        <f t="shared" si="1"/>
        <v/>
      </c>
      <c r="G22" s="5" t="s">
        <v>204</v>
      </c>
      <c r="H22" s="1">
        <f t="shared" si="2"/>
        <v>1</v>
      </c>
      <c r="I22" s="5" t="s">
        <v>215</v>
      </c>
      <c r="J22" s="1">
        <f t="shared" si="3"/>
        <v>2</v>
      </c>
      <c r="K22" s="5" t="s">
        <v>264</v>
      </c>
      <c r="L22" s="1">
        <f t="shared" si="4"/>
        <v>1</v>
      </c>
      <c r="M22" s="8">
        <v>0</v>
      </c>
      <c r="N22" s="1" t="s">
        <v>989</v>
      </c>
      <c r="O22" s="1">
        <f t="shared" si="5"/>
        <v>1</v>
      </c>
      <c r="Q22" s="1">
        <v>3</v>
      </c>
      <c r="S22" s="1">
        <v>3</v>
      </c>
    </row>
    <row r="23" spans="1:19" ht="12.75" customHeight="1" x14ac:dyDescent="0.15">
      <c r="A23" s="5" t="s">
        <v>285</v>
      </c>
      <c r="B23" s="1" t="e">
        <f ca="1">_xludf.LET(_xlpm.x,LOWER(TRIM(A23)),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 s="5" t="s">
        <v>223</v>
      </c>
      <c r="D23" s="1">
        <f t="shared" si="0"/>
        <v>0</v>
      </c>
      <c r="E23" s="5" t="s">
        <v>204</v>
      </c>
      <c r="F23" s="1">
        <f t="shared" si="1"/>
        <v>1</v>
      </c>
      <c r="G23" s="5" t="s">
        <v>204</v>
      </c>
      <c r="H23" s="1">
        <f t="shared" si="2"/>
        <v>1</v>
      </c>
      <c r="I23" s="5" t="s">
        <v>215</v>
      </c>
      <c r="J23" s="1">
        <f t="shared" si="3"/>
        <v>2</v>
      </c>
      <c r="K23" s="5" t="s">
        <v>242</v>
      </c>
      <c r="L23" s="1">
        <f t="shared" si="4"/>
        <v>3</v>
      </c>
      <c r="M23" s="1">
        <v>0</v>
      </c>
      <c r="N23" s="1" t="s">
        <v>987</v>
      </c>
      <c r="O23" s="1">
        <f t="shared" si="5"/>
        <v>0</v>
      </c>
      <c r="P23" s="1">
        <v>16</v>
      </c>
      <c r="Q23" s="1">
        <v>11</v>
      </c>
      <c r="R23" s="1">
        <v>300000</v>
      </c>
      <c r="S23" s="1">
        <v>5</v>
      </c>
    </row>
    <row r="24" spans="1:19" ht="12.75" customHeight="1" x14ac:dyDescent="0.15">
      <c r="A24" s="5" t="s">
        <v>277</v>
      </c>
      <c r="B24" s="1" t="e">
        <f ca="1">_xludf.LET(_xlpm.x,LOWER(TRIM(A24)),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 s="5" t="s">
        <v>223</v>
      </c>
      <c r="D24" s="1">
        <f t="shared" si="0"/>
        <v>0</v>
      </c>
      <c r="E24" s="5" t="s">
        <v>204</v>
      </c>
      <c r="F24" s="1">
        <f t="shared" si="1"/>
        <v>1</v>
      </c>
      <c r="G24" s="5" t="s">
        <v>204</v>
      </c>
      <c r="H24" s="1">
        <f t="shared" si="2"/>
        <v>1</v>
      </c>
      <c r="I24" s="5" t="s">
        <v>242</v>
      </c>
      <c r="J24" s="1">
        <f t="shared" si="3"/>
        <v>3</v>
      </c>
      <c r="K24" s="5" t="s">
        <v>242</v>
      </c>
      <c r="L24" s="1">
        <f t="shared" si="4"/>
        <v>3</v>
      </c>
      <c r="M24" s="8">
        <v>0</v>
      </c>
      <c r="N24" s="1" t="s">
        <v>995</v>
      </c>
      <c r="O24" s="1">
        <f t="shared" si="5"/>
        <v>0</v>
      </c>
      <c r="Q24" s="1">
        <v>24</v>
      </c>
      <c r="S24" s="1">
        <v>3</v>
      </c>
    </row>
    <row r="25" spans="1:19" ht="12.75" customHeight="1" x14ac:dyDescent="0.15">
      <c r="A25" s="5" t="s">
        <v>213</v>
      </c>
      <c r="B25" s="1" t="e">
        <f ca="1">_xludf.LET(_xlpm.x,LOWER(TRIM(A25)),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 s="5" t="s">
        <v>223</v>
      </c>
      <c r="D25" s="1">
        <f t="shared" si="0"/>
        <v>0</v>
      </c>
      <c r="F25" s="1" t="str">
        <f t="shared" si="1"/>
        <v/>
      </c>
      <c r="G25" s="5" t="s">
        <v>204</v>
      </c>
      <c r="H25" s="1">
        <f t="shared" si="2"/>
        <v>1</v>
      </c>
      <c r="I25" s="5" t="s">
        <v>242</v>
      </c>
      <c r="J25" s="1">
        <f t="shared" si="3"/>
        <v>3</v>
      </c>
      <c r="K25" s="5" t="s">
        <v>242</v>
      </c>
      <c r="L25" s="1">
        <f t="shared" si="4"/>
        <v>3</v>
      </c>
      <c r="M25" s="8">
        <v>0</v>
      </c>
      <c r="N25" s="1" t="s">
        <v>989</v>
      </c>
      <c r="O25" s="1">
        <f t="shared" si="5"/>
        <v>1</v>
      </c>
      <c r="Q25" s="1">
        <v>30</v>
      </c>
      <c r="S25" s="1">
        <v>3</v>
      </c>
    </row>
    <row r="26" spans="1:19" ht="12.75" customHeight="1" x14ac:dyDescent="0.15">
      <c r="A26" s="5" t="s">
        <v>285</v>
      </c>
      <c r="B26" s="1" t="e">
        <f ca="1">_xludf.LET(_xlpm.x,LOWER(TRIM(A26)),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 s="5" t="s">
        <v>223</v>
      </c>
      <c r="D26" s="1">
        <f t="shared" si="0"/>
        <v>0</v>
      </c>
      <c r="E26" s="5" t="s">
        <v>204</v>
      </c>
      <c r="F26" s="1">
        <f t="shared" si="1"/>
        <v>1</v>
      </c>
      <c r="G26" s="5" t="s">
        <v>204</v>
      </c>
      <c r="H26" s="1">
        <f t="shared" si="2"/>
        <v>1</v>
      </c>
      <c r="I26" s="5" t="s">
        <v>215</v>
      </c>
      <c r="J26" s="1">
        <f t="shared" si="3"/>
        <v>2</v>
      </c>
      <c r="K26" s="5" t="s">
        <v>242</v>
      </c>
      <c r="L26" s="1">
        <f t="shared" si="4"/>
        <v>3</v>
      </c>
      <c r="M26" s="1">
        <v>0</v>
      </c>
      <c r="N26" s="1" t="s">
        <v>989</v>
      </c>
      <c r="O26" s="1">
        <f t="shared" si="5"/>
        <v>1</v>
      </c>
      <c r="P26" s="1">
        <v>0</v>
      </c>
      <c r="Q26" s="1">
        <v>14</v>
      </c>
      <c r="R26" s="1">
        <v>0</v>
      </c>
      <c r="S26" s="1">
        <v>1</v>
      </c>
    </row>
    <row r="27" spans="1:19" ht="12.75" customHeight="1" x14ac:dyDescent="0.15">
      <c r="A27" s="5" t="s">
        <v>213</v>
      </c>
      <c r="B27" s="1" t="e">
        <f ca="1">_xludf.LET(_xlpm.x,LOWER(TRIM(A27)),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 s="5" t="s">
        <v>223</v>
      </c>
      <c r="D27" s="1">
        <f t="shared" si="0"/>
        <v>0</v>
      </c>
      <c r="E27" s="5" t="s">
        <v>204</v>
      </c>
      <c r="F27" s="1">
        <f t="shared" si="1"/>
        <v>1</v>
      </c>
      <c r="G27" s="5" t="s">
        <v>204</v>
      </c>
      <c r="H27" s="1">
        <f t="shared" si="2"/>
        <v>1</v>
      </c>
      <c r="I27" s="5" t="s">
        <v>278</v>
      </c>
      <c r="J27" s="1">
        <f t="shared" si="3"/>
        <v>5</v>
      </c>
      <c r="K27" s="5" t="s">
        <v>271</v>
      </c>
      <c r="L27" s="1">
        <f t="shared" si="4"/>
        <v>4</v>
      </c>
      <c r="M27" s="8">
        <v>0</v>
      </c>
      <c r="N27" s="1" t="s">
        <v>1000</v>
      </c>
      <c r="O27" s="1">
        <f t="shared" si="5"/>
        <v>0</v>
      </c>
      <c r="Q27" s="1">
        <v>31</v>
      </c>
      <c r="S27" s="1">
        <v>8</v>
      </c>
    </row>
    <row r="28" spans="1:19" ht="12.75" customHeight="1" x14ac:dyDescent="0.15">
      <c r="A28" s="5" t="s">
        <v>269</v>
      </c>
      <c r="B28" s="1" t="e">
        <f ca="1">_xludf.LET(_xlpm.x,LOWER(TRIM(A28)),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 s="5" t="s">
        <v>223</v>
      </c>
      <c r="D28" s="1">
        <f t="shared" si="0"/>
        <v>0</v>
      </c>
      <c r="E28" s="5" t="s">
        <v>204</v>
      </c>
      <c r="F28" s="1">
        <f t="shared" si="1"/>
        <v>1</v>
      </c>
      <c r="G28" s="5" t="s">
        <v>204</v>
      </c>
      <c r="H28" s="1">
        <f t="shared" si="2"/>
        <v>1</v>
      </c>
      <c r="I28" s="5" t="s">
        <v>242</v>
      </c>
      <c r="J28" s="1">
        <f t="shared" si="3"/>
        <v>3</v>
      </c>
      <c r="K28" s="5" t="s">
        <v>215</v>
      </c>
      <c r="L28" s="1">
        <f t="shared" si="4"/>
        <v>2</v>
      </c>
      <c r="M28" s="8">
        <v>0</v>
      </c>
      <c r="N28" s="1" t="s">
        <v>989</v>
      </c>
      <c r="O28" s="1">
        <f t="shared" si="5"/>
        <v>1</v>
      </c>
      <c r="P28" s="1">
        <v>14</v>
      </c>
      <c r="Q28" s="1">
        <v>24</v>
      </c>
      <c r="R28" s="1">
        <v>-99</v>
      </c>
      <c r="S28" s="1">
        <v>4</v>
      </c>
    </row>
    <row r="29" spans="1:19" ht="12.75" customHeight="1" x14ac:dyDescent="0.15">
      <c r="A29" s="5" t="s">
        <v>285</v>
      </c>
      <c r="B29" s="1" t="e">
        <f ca="1">_xludf.LET(_xlpm.x,LOWER(TRIM(A29)),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 s="5" t="s">
        <v>223</v>
      </c>
      <c r="D29" s="1">
        <f t="shared" si="0"/>
        <v>0</v>
      </c>
      <c r="E29" s="5" t="s">
        <v>204</v>
      </c>
      <c r="F29" s="1">
        <f t="shared" si="1"/>
        <v>1</v>
      </c>
      <c r="G29" s="5" t="s">
        <v>204</v>
      </c>
      <c r="H29" s="1">
        <f t="shared" si="2"/>
        <v>1</v>
      </c>
      <c r="I29" s="5" t="s">
        <v>242</v>
      </c>
      <c r="J29" s="1">
        <f t="shared" si="3"/>
        <v>3</v>
      </c>
      <c r="K29" s="5" t="s">
        <v>264</v>
      </c>
      <c r="L29" s="1">
        <f t="shared" si="4"/>
        <v>1</v>
      </c>
      <c r="M29" s="1">
        <v>0</v>
      </c>
      <c r="N29" s="1" t="s">
        <v>990</v>
      </c>
      <c r="O29" s="1">
        <f t="shared" si="5"/>
        <v>0</v>
      </c>
      <c r="P29" s="1">
        <v>0</v>
      </c>
      <c r="Q29" s="1">
        <v>1</v>
      </c>
      <c r="R29" s="1">
        <v>0</v>
      </c>
      <c r="S29" s="1">
        <v>1</v>
      </c>
    </row>
    <row r="30" spans="1:19" ht="12.75" customHeight="1" x14ac:dyDescent="0.15">
      <c r="A30" s="5" t="s">
        <v>285</v>
      </c>
      <c r="B30" s="1" t="e">
        <f ca="1">_xludf.LET(_xlpm.x,LOWER(TRIM(A30)),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 s="5" t="s">
        <v>223</v>
      </c>
      <c r="D30" s="1">
        <f t="shared" si="0"/>
        <v>0</v>
      </c>
      <c r="E30" s="5" t="s">
        <v>204</v>
      </c>
      <c r="F30" s="1">
        <f t="shared" si="1"/>
        <v>1</v>
      </c>
      <c r="G30" s="5" t="s">
        <v>204</v>
      </c>
      <c r="H30" s="1">
        <f t="shared" si="2"/>
        <v>1</v>
      </c>
      <c r="I30" s="5" t="s">
        <v>207</v>
      </c>
      <c r="J30" s="1" t="str">
        <f t="shared" si="3"/>
        <v/>
      </c>
      <c r="K30" s="5" t="s">
        <v>264</v>
      </c>
      <c r="L30" s="1">
        <f t="shared" si="4"/>
        <v>1</v>
      </c>
      <c r="M30" s="8">
        <v>0</v>
      </c>
      <c r="N30" s="1" t="s">
        <v>999</v>
      </c>
      <c r="O30" s="1">
        <f t="shared" si="5"/>
        <v>0</v>
      </c>
      <c r="Q30" s="1">
        <v>6</v>
      </c>
      <c r="S30" s="1">
        <v>1</v>
      </c>
    </row>
    <row r="31" spans="1:19" ht="12.75" customHeight="1" x14ac:dyDescent="0.15">
      <c r="A31" s="5" t="s">
        <v>213</v>
      </c>
      <c r="B31" s="1" t="e">
        <f ca="1">_xludf.LET(_xlpm.x,LOWER(TRIM(A31)),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 s="5" t="s">
        <v>223</v>
      </c>
      <c r="D31" s="1">
        <f t="shared" si="0"/>
        <v>0</v>
      </c>
      <c r="E31" s="5" t="s">
        <v>204</v>
      </c>
      <c r="F31" s="1">
        <f t="shared" si="1"/>
        <v>1</v>
      </c>
      <c r="G31" s="5" t="s">
        <v>204</v>
      </c>
      <c r="H31" s="1">
        <f t="shared" si="2"/>
        <v>1</v>
      </c>
      <c r="I31" s="5" t="s">
        <v>278</v>
      </c>
      <c r="J31" s="1">
        <f t="shared" si="3"/>
        <v>5</v>
      </c>
      <c r="K31" s="5" t="s">
        <v>278</v>
      </c>
      <c r="L31" s="1">
        <f t="shared" si="4"/>
        <v>5</v>
      </c>
      <c r="M31" s="8">
        <v>0</v>
      </c>
      <c r="N31" s="1" t="s">
        <v>989</v>
      </c>
      <c r="O31" s="1">
        <f t="shared" si="5"/>
        <v>1</v>
      </c>
      <c r="P31" s="1">
        <v>8</v>
      </c>
      <c r="Q31" s="1">
        <v>34</v>
      </c>
      <c r="R31" s="1">
        <v>-99</v>
      </c>
      <c r="S31" s="1">
        <v>1</v>
      </c>
    </row>
    <row r="32" spans="1:19" ht="12.75" customHeight="1" x14ac:dyDescent="0.15">
      <c r="A32" s="5" t="s">
        <v>285</v>
      </c>
      <c r="B32" s="1" t="e">
        <f ca="1">_xludf.LET(_xlpm.x,LOWER(TRIM(A32)),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 s="5" t="s">
        <v>223</v>
      </c>
      <c r="D32" s="1">
        <f t="shared" si="0"/>
        <v>0</v>
      </c>
      <c r="E32" s="5" t="s">
        <v>204</v>
      </c>
      <c r="F32" s="1">
        <f t="shared" si="1"/>
        <v>1</v>
      </c>
      <c r="G32" s="5" t="s">
        <v>204</v>
      </c>
      <c r="H32" s="1">
        <f t="shared" si="2"/>
        <v>1</v>
      </c>
      <c r="I32" s="5" t="s">
        <v>278</v>
      </c>
      <c r="J32" s="1">
        <f t="shared" si="3"/>
        <v>5</v>
      </c>
      <c r="K32" s="5" t="s">
        <v>242</v>
      </c>
      <c r="L32" s="1">
        <f t="shared" si="4"/>
        <v>3</v>
      </c>
      <c r="M32" s="8">
        <v>0</v>
      </c>
      <c r="N32" s="1" t="s">
        <v>989</v>
      </c>
      <c r="O32" s="1">
        <f t="shared" si="5"/>
        <v>1</v>
      </c>
      <c r="P32" s="1">
        <v>8</v>
      </c>
      <c r="Q32" s="1">
        <v>34</v>
      </c>
      <c r="R32" s="1">
        <v>-99</v>
      </c>
      <c r="S32" s="1">
        <v>1</v>
      </c>
    </row>
    <row r="33" spans="1:19" ht="12.75" customHeight="1" x14ac:dyDescent="0.15">
      <c r="A33" s="5" t="s">
        <v>213</v>
      </c>
      <c r="B33" s="1" t="e">
        <f ca="1">_xludf.LET(_xlpm.x,LOWER(TRIM(A33)),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 s="5" t="s">
        <v>223</v>
      </c>
      <c r="D33" s="1">
        <f t="shared" si="0"/>
        <v>0</v>
      </c>
      <c r="F33" s="1" t="str">
        <f t="shared" si="1"/>
        <v/>
      </c>
      <c r="G33" s="5" t="s">
        <v>204</v>
      </c>
      <c r="H33" s="1">
        <f t="shared" si="2"/>
        <v>1</v>
      </c>
      <c r="I33" s="5" t="s">
        <v>242</v>
      </c>
      <c r="J33" s="1">
        <f t="shared" si="3"/>
        <v>3</v>
      </c>
      <c r="K33" s="5" t="s">
        <v>215</v>
      </c>
      <c r="L33" s="1">
        <f t="shared" si="4"/>
        <v>2</v>
      </c>
      <c r="M33" s="8">
        <v>0</v>
      </c>
      <c r="N33" s="1" t="s">
        <v>990</v>
      </c>
      <c r="O33" s="1">
        <f t="shared" si="5"/>
        <v>0</v>
      </c>
      <c r="Q33" s="1">
        <v>6</v>
      </c>
      <c r="S33" s="1">
        <v>2</v>
      </c>
    </row>
    <row r="34" spans="1:19" ht="12.75" customHeight="1" x14ac:dyDescent="0.15">
      <c r="A34" s="5" t="s">
        <v>269</v>
      </c>
      <c r="B34" s="1" t="e">
        <f ca="1">_xludf.LET(_xlpm.x,LOWER(TRIM(A34)),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 s="5" t="s">
        <v>223</v>
      </c>
      <c r="D34" s="1">
        <f t="shared" si="0"/>
        <v>0</v>
      </c>
      <c r="E34" s="5" t="s">
        <v>204</v>
      </c>
      <c r="F34" s="1">
        <f t="shared" si="1"/>
        <v>1</v>
      </c>
      <c r="G34" s="5" t="s">
        <v>204</v>
      </c>
      <c r="H34" s="1">
        <f t="shared" si="2"/>
        <v>1</v>
      </c>
      <c r="I34" s="5" t="s">
        <v>242</v>
      </c>
      <c r="J34" s="1">
        <f t="shared" si="3"/>
        <v>3</v>
      </c>
      <c r="K34" s="5" t="s">
        <v>242</v>
      </c>
      <c r="L34" s="1">
        <f t="shared" si="4"/>
        <v>3</v>
      </c>
      <c r="M34" s="8">
        <v>0</v>
      </c>
      <c r="N34" s="1" t="s">
        <v>990</v>
      </c>
      <c r="O34" s="1">
        <f t="shared" si="5"/>
        <v>0</v>
      </c>
      <c r="Q34" s="1">
        <v>6</v>
      </c>
      <c r="S34" s="1">
        <v>2</v>
      </c>
    </row>
    <row r="35" spans="1:19" ht="12.75" customHeight="1" x14ac:dyDescent="0.15">
      <c r="A35" s="5" t="s">
        <v>285</v>
      </c>
      <c r="B35" s="1" t="e">
        <f ca="1">_xludf.LET(_xlpm.x,LOWER(TRIM(A35)),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 s="5" t="s">
        <v>223</v>
      </c>
      <c r="D35" s="1">
        <f t="shared" si="0"/>
        <v>0</v>
      </c>
      <c r="E35" s="5" t="s">
        <v>204</v>
      </c>
      <c r="F35" s="1">
        <f t="shared" si="1"/>
        <v>1</v>
      </c>
      <c r="G35" s="5" t="s">
        <v>204</v>
      </c>
      <c r="H35" s="1">
        <f t="shared" si="2"/>
        <v>1</v>
      </c>
      <c r="I35" s="5" t="s">
        <v>242</v>
      </c>
      <c r="J35" s="1">
        <f t="shared" si="3"/>
        <v>3</v>
      </c>
      <c r="K35" s="5" t="s">
        <v>264</v>
      </c>
      <c r="L35" s="1">
        <f t="shared" si="4"/>
        <v>1</v>
      </c>
      <c r="M35" s="8">
        <v>0</v>
      </c>
      <c r="N35" s="1" t="s">
        <v>995</v>
      </c>
      <c r="O35" s="1">
        <f t="shared" si="5"/>
        <v>0</v>
      </c>
      <c r="Q35" s="1">
        <v>7</v>
      </c>
      <c r="S35" s="1">
        <v>5</v>
      </c>
    </row>
    <row r="36" spans="1:19" ht="12.75" customHeight="1" x14ac:dyDescent="0.15">
      <c r="A36" s="5" t="s">
        <v>285</v>
      </c>
      <c r="B36" s="1" t="e">
        <f ca="1">_xludf.LET(_xlpm.x,LOWER(TRIM(A36)),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 s="5" t="s">
        <v>223</v>
      </c>
      <c r="D36" s="1">
        <f t="shared" si="0"/>
        <v>0</v>
      </c>
      <c r="E36" s="5" t="s">
        <v>204</v>
      </c>
      <c r="F36" s="1">
        <f t="shared" si="1"/>
        <v>1</v>
      </c>
      <c r="G36" s="5" t="s">
        <v>204</v>
      </c>
      <c r="H36" s="1">
        <f t="shared" si="2"/>
        <v>1</v>
      </c>
      <c r="I36" s="5" t="s">
        <v>207</v>
      </c>
      <c r="J36" s="1" t="str">
        <f t="shared" si="3"/>
        <v/>
      </c>
      <c r="K36" s="5" t="s">
        <v>215</v>
      </c>
      <c r="L36" s="1">
        <f t="shared" si="4"/>
        <v>2</v>
      </c>
      <c r="M36" s="8">
        <v>0</v>
      </c>
      <c r="N36" s="1" t="s">
        <v>995</v>
      </c>
      <c r="O36" s="1">
        <f t="shared" si="5"/>
        <v>0</v>
      </c>
      <c r="Q36" s="1">
        <v>7</v>
      </c>
      <c r="S36" s="1">
        <v>5</v>
      </c>
    </row>
    <row r="37" spans="1:19" ht="12.75" customHeight="1" x14ac:dyDescent="0.15">
      <c r="A37" s="5" t="s">
        <v>269</v>
      </c>
      <c r="B37" s="1" t="e">
        <f ca="1">_xludf.LET(_xlpm.x,LOWER(TRIM(A37)),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 s="5" t="s">
        <v>223</v>
      </c>
      <c r="D37" s="1">
        <f t="shared" si="0"/>
        <v>0</v>
      </c>
      <c r="E37" s="5" t="s">
        <v>204</v>
      </c>
      <c r="F37" s="1">
        <f t="shared" si="1"/>
        <v>1</v>
      </c>
      <c r="G37" s="5" t="s">
        <v>206</v>
      </c>
      <c r="H37" s="1">
        <f t="shared" si="2"/>
        <v>0</v>
      </c>
      <c r="J37" s="1" t="str">
        <f t="shared" si="3"/>
        <v/>
      </c>
      <c r="L37" s="1" t="str">
        <f t="shared" si="4"/>
        <v/>
      </c>
      <c r="M37" s="8">
        <v>0</v>
      </c>
      <c r="N37" s="1" t="s">
        <v>989</v>
      </c>
      <c r="O37" s="1">
        <f t="shared" si="5"/>
        <v>1</v>
      </c>
      <c r="Q37" s="1">
        <v>29</v>
      </c>
      <c r="S37" s="1">
        <v>4</v>
      </c>
    </row>
    <row r="38" spans="1:19" ht="12.75" customHeight="1" x14ac:dyDescent="0.15">
      <c r="A38" s="5" t="s">
        <v>285</v>
      </c>
      <c r="B38" s="1" t="e">
        <f ca="1">_xludf.LET(_xlpm.x,LOWER(TRIM(A38)),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 s="5" t="s">
        <v>223</v>
      </c>
      <c r="D38" s="1">
        <f t="shared" si="0"/>
        <v>0</v>
      </c>
      <c r="E38" s="5" t="s">
        <v>204</v>
      </c>
      <c r="F38" s="1">
        <f t="shared" si="1"/>
        <v>1</v>
      </c>
      <c r="G38" s="5" t="s">
        <v>204</v>
      </c>
      <c r="H38" s="1">
        <f t="shared" si="2"/>
        <v>1</v>
      </c>
      <c r="I38" s="5" t="s">
        <v>278</v>
      </c>
      <c r="J38" s="1">
        <f t="shared" si="3"/>
        <v>5</v>
      </c>
      <c r="K38" s="5" t="s">
        <v>278</v>
      </c>
      <c r="L38" s="1">
        <f t="shared" si="4"/>
        <v>5</v>
      </c>
      <c r="M38" s="8">
        <v>0</v>
      </c>
      <c r="N38" s="1" t="s">
        <v>989</v>
      </c>
      <c r="O38" s="1">
        <f t="shared" si="5"/>
        <v>1</v>
      </c>
      <c r="P38" s="1">
        <v>3</v>
      </c>
      <c r="Q38" s="1">
        <v>4</v>
      </c>
      <c r="R38" s="1">
        <v>-99</v>
      </c>
      <c r="S38" s="1">
        <v>2</v>
      </c>
    </row>
    <row r="39" spans="1:19" ht="12.75" customHeight="1" x14ac:dyDescent="0.15">
      <c r="A39" s="5" t="s">
        <v>213</v>
      </c>
      <c r="B39" s="1" t="e">
        <f ca="1">_xludf.LET(_xlpm.x,LOWER(TRIM(A39)),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 s="5" t="s">
        <v>223</v>
      </c>
      <c r="D39" s="1">
        <f t="shared" si="0"/>
        <v>0</v>
      </c>
      <c r="F39" s="1" t="str">
        <f t="shared" si="1"/>
        <v/>
      </c>
      <c r="G39" s="5" t="s">
        <v>206</v>
      </c>
      <c r="H39" s="1">
        <f t="shared" si="2"/>
        <v>0</v>
      </c>
      <c r="J39" s="1" t="str">
        <f t="shared" si="3"/>
        <v/>
      </c>
      <c r="L39" s="1" t="str">
        <f t="shared" si="4"/>
        <v/>
      </c>
      <c r="M39" s="8">
        <v>0</v>
      </c>
      <c r="N39" s="1" t="s">
        <v>1000</v>
      </c>
      <c r="O39" s="1">
        <f t="shared" si="5"/>
        <v>0</v>
      </c>
      <c r="Q39" s="1">
        <v>29</v>
      </c>
      <c r="S39" s="1">
        <v>3</v>
      </c>
    </row>
    <row r="40" spans="1:19" ht="12.75" customHeight="1" x14ac:dyDescent="0.15">
      <c r="A40" s="5" t="s">
        <v>285</v>
      </c>
      <c r="B40" s="1" t="e">
        <f ca="1">_xludf.LET(_xlpm.x,LOWER(TRIM(A40)),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 s="5" t="s">
        <v>223</v>
      </c>
      <c r="D40" s="1">
        <f t="shared" si="0"/>
        <v>0</v>
      </c>
      <c r="E40" s="5" t="s">
        <v>204</v>
      </c>
      <c r="F40" s="1">
        <f t="shared" si="1"/>
        <v>1</v>
      </c>
      <c r="G40" s="5" t="s">
        <v>204</v>
      </c>
      <c r="H40" s="1">
        <f t="shared" si="2"/>
        <v>1</v>
      </c>
      <c r="I40" s="5" t="s">
        <v>242</v>
      </c>
      <c r="J40" s="1">
        <f t="shared" si="3"/>
        <v>3</v>
      </c>
      <c r="K40" s="5" t="s">
        <v>242</v>
      </c>
      <c r="L40" s="1">
        <f t="shared" si="4"/>
        <v>3</v>
      </c>
      <c r="M40" s="8">
        <v>0</v>
      </c>
      <c r="N40" s="1" t="s">
        <v>987</v>
      </c>
      <c r="O40" s="1">
        <f t="shared" si="5"/>
        <v>0</v>
      </c>
      <c r="Q40" s="1">
        <v>1</v>
      </c>
      <c r="S40" s="1">
        <v>4</v>
      </c>
    </row>
    <row r="41" spans="1:19" ht="12.75" customHeight="1" x14ac:dyDescent="0.15">
      <c r="A41" s="5" t="s">
        <v>213</v>
      </c>
      <c r="B41" s="1" t="e">
        <f ca="1">_xludf.LET(_xlpm.x,LOWER(TRIM(A41)),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 s="5" t="s">
        <v>223</v>
      </c>
      <c r="D41" s="1">
        <f t="shared" si="0"/>
        <v>0</v>
      </c>
      <c r="F41" s="1" t="str">
        <f t="shared" si="1"/>
        <v/>
      </c>
      <c r="G41" s="5" t="s">
        <v>204</v>
      </c>
      <c r="H41" s="1">
        <f t="shared" si="2"/>
        <v>1</v>
      </c>
      <c r="I41" s="5" t="s">
        <v>278</v>
      </c>
      <c r="J41" s="1">
        <f t="shared" si="3"/>
        <v>5</v>
      </c>
      <c r="K41" s="5" t="s">
        <v>278</v>
      </c>
      <c r="L41" s="1">
        <f t="shared" si="4"/>
        <v>5</v>
      </c>
      <c r="M41" s="1">
        <v>0</v>
      </c>
      <c r="N41" s="1" t="s">
        <v>987</v>
      </c>
      <c r="O41" s="1">
        <f t="shared" si="5"/>
        <v>0</v>
      </c>
      <c r="P41" s="1">
        <v>0</v>
      </c>
      <c r="Q41" s="1">
        <v>2</v>
      </c>
      <c r="R41" s="1">
        <v>0</v>
      </c>
      <c r="S41" s="1">
        <v>2</v>
      </c>
    </row>
    <row r="42" spans="1:19" ht="12.75" customHeight="1" x14ac:dyDescent="0.15">
      <c r="A42" s="5" t="s">
        <v>285</v>
      </c>
      <c r="B42" s="1" t="e">
        <f ca="1">_xludf.LET(_xlpm.x,LOWER(TRIM(A42)),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 s="5" t="s">
        <v>223</v>
      </c>
      <c r="D42" s="1">
        <f t="shared" si="0"/>
        <v>0</v>
      </c>
      <c r="E42" s="5" t="s">
        <v>204</v>
      </c>
      <c r="F42" s="1">
        <f t="shared" si="1"/>
        <v>1</v>
      </c>
      <c r="G42" s="5" t="s">
        <v>204</v>
      </c>
      <c r="H42" s="1">
        <f t="shared" si="2"/>
        <v>1</v>
      </c>
      <c r="I42" s="5" t="s">
        <v>271</v>
      </c>
      <c r="J42" s="1">
        <f t="shared" si="3"/>
        <v>4</v>
      </c>
      <c r="K42" s="5" t="s">
        <v>242</v>
      </c>
      <c r="L42" s="1">
        <f t="shared" si="4"/>
        <v>3</v>
      </c>
      <c r="M42" s="8">
        <v>0</v>
      </c>
      <c r="N42" s="1" t="s">
        <v>987</v>
      </c>
      <c r="O42" s="1">
        <f t="shared" si="5"/>
        <v>0</v>
      </c>
      <c r="Q42" s="1">
        <v>34</v>
      </c>
      <c r="S42" s="1">
        <v>2</v>
      </c>
    </row>
    <row r="43" spans="1:19" ht="12.75" customHeight="1" x14ac:dyDescent="0.15">
      <c r="A43" s="5" t="s">
        <v>285</v>
      </c>
      <c r="B43" s="1" t="e">
        <f ca="1">_xludf.LET(_xlpm.x,LOWER(TRIM(A43)),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 s="5" t="s">
        <v>223</v>
      </c>
      <c r="D43" s="1">
        <f t="shared" si="0"/>
        <v>0</v>
      </c>
      <c r="E43" s="5" t="s">
        <v>204</v>
      </c>
      <c r="F43" s="1">
        <f t="shared" si="1"/>
        <v>1</v>
      </c>
      <c r="G43" s="5" t="s">
        <v>204</v>
      </c>
      <c r="H43" s="1">
        <f t="shared" si="2"/>
        <v>1</v>
      </c>
      <c r="I43" s="5" t="s">
        <v>207</v>
      </c>
      <c r="J43" s="1" t="str">
        <f t="shared" si="3"/>
        <v/>
      </c>
      <c r="K43" s="5" t="s">
        <v>207</v>
      </c>
      <c r="L43" s="1" t="str">
        <f t="shared" si="4"/>
        <v/>
      </c>
      <c r="M43" s="8">
        <v>0</v>
      </c>
      <c r="N43" s="1" t="s">
        <v>987</v>
      </c>
      <c r="O43" s="1">
        <f t="shared" si="5"/>
        <v>0</v>
      </c>
      <c r="Q43" s="1">
        <v>18</v>
      </c>
      <c r="S43" s="1">
        <v>2</v>
      </c>
    </row>
    <row r="44" spans="1:19" ht="12.75" customHeight="1" x14ac:dyDescent="0.15">
      <c r="A44" s="5" t="s">
        <v>285</v>
      </c>
      <c r="B44" s="1" t="e">
        <f ca="1">_xludf.LET(_xlpm.x,LOWER(TRIM(A44)),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 s="5" t="s">
        <v>223</v>
      </c>
      <c r="D44" s="1">
        <f t="shared" si="0"/>
        <v>0</v>
      </c>
      <c r="E44" s="5" t="s">
        <v>204</v>
      </c>
      <c r="F44" s="1">
        <f t="shared" si="1"/>
        <v>1</v>
      </c>
      <c r="G44" s="5" t="s">
        <v>204</v>
      </c>
      <c r="H44" s="1">
        <f t="shared" si="2"/>
        <v>1</v>
      </c>
      <c r="I44" s="5" t="s">
        <v>278</v>
      </c>
      <c r="J44" s="1">
        <f t="shared" si="3"/>
        <v>5</v>
      </c>
      <c r="K44" s="5" t="s">
        <v>278</v>
      </c>
      <c r="L44" s="1">
        <f t="shared" si="4"/>
        <v>5</v>
      </c>
      <c r="M44" s="8">
        <v>0</v>
      </c>
      <c r="N44" s="1" t="s">
        <v>995</v>
      </c>
      <c r="O44" s="1">
        <f t="shared" si="5"/>
        <v>0</v>
      </c>
      <c r="Q44" s="1">
        <v>34</v>
      </c>
      <c r="S44" s="1">
        <v>1</v>
      </c>
    </row>
    <row r="45" spans="1:19" ht="12.75" customHeight="1" x14ac:dyDescent="0.15">
      <c r="A45" s="5" t="s">
        <v>269</v>
      </c>
      <c r="B45" s="1" t="e">
        <f ca="1">_xludf.LET(_xlpm.x,LOWER(TRIM(A45)),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 s="5" t="s">
        <v>223</v>
      </c>
      <c r="D45" s="1">
        <f t="shared" si="0"/>
        <v>0</v>
      </c>
      <c r="E45" s="5" t="s">
        <v>204</v>
      </c>
      <c r="F45" s="1">
        <f t="shared" si="1"/>
        <v>1</v>
      </c>
      <c r="G45" s="5" t="s">
        <v>204</v>
      </c>
      <c r="H45" s="1">
        <f t="shared" si="2"/>
        <v>1</v>
      </c>
      <c r="I45" s="5" t="s">
        <v>278</v>
      </c>
      <c r="J45" s="1">
        <f t="shared" si="3"/>
        <v>5</v>
      </c>
      <c r="K45" s="5" t="s">
        <v>242</v>
      </c>
      <c r="L45" s="1">
        <f t="shared" si="4"/>
        <v>3</v>
      </c>
      <c r="M45" s="8">
        <v>0</v>
      </c>
      <c r="N45" s="1" t="s">
        <v>989</v>
      </c>
      <c r="O45" s="1">
        <f t="shared" si="5"/>
        <v>1</v>
      </c>
      <c r="Q45" s="1">
        <v>6</v>
      </c>
      <c r="S45" s="1">
        <v>4</v>
      </c>
    </row>
    <row r="46" spans="1:19" ht="12.75" customHeight="1" x14ac:dyDescent="0.15">
      <c r="A46" s="5" t="s">
        <v>285</v>
      </c>
      <c r="B46" s="1" t="e">
        <f ca="1">_xludf.LET(_xlpm.x,LOWER(TRIM(A46)),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 s="5" t="s">
        <v>223</v>
      </c>
      <c r="D46" s="1">
        <f t="shared" si="0"/>
        <v>0</v>
      </c>
      <c r="E46" s="5" t="s">
        <v>204</v>
      </c>
      <c r="F46" s="1">
        <f t="shared" si="1"/>
        <v>1</v>
      </c>
      <c r="G46" s="5" t="s">
        <v>204</v>
      </c>
      <c r="H46" s="1">
        <f t="shared" si="2"/>
        <v>1</v>
      </c>
      <c r="I46" s="5" t="s">
        <v>242</v>
      </c>
      <c r="J46" s="1">
        <f t="shared" si="3"/>
        <v>3</v>
      </c>
      <c r="K46" s="5" t="s">
        <v>242</v>
      </c>
      <c r="L46" s="1">
        <f t="shared" si="4"/>
        <v>3</v>
      </c>
      <c r="M46" s="8">
        <v>0</v>
      </c>
      <c r="N46" s="1" t="s">
        <v>989</v>
      </c>
      <c r="O46" s="1">
        <f t="shared" si="5"/>
        <v>1</v>
      </c>
      <c r="Q46" s="1">
        <v>34</v>
      </c>
      <c r="S46" s="1">
        <v>1</v>
      </c>
    </row>
    <row r="47" spans="1:19" ht="12.75" customHeight="1" x14ac:dyDescent="0.15">
      <c r="A47" s="5" t="s">
        <v>277</v>
      </c>
      <c r="B47" s="1" t="e">
        <f ca="1">_xludf.LET(_xlpm.x,LOWER(TRIM(A47)),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 s="5" t="s">
        <v>223</v>
      </c>
      <c r="D47" s="1">
        <f t="shared" si="0"/>
        <v>0</v>
      </c>
      <c r="F47" s="1" t="str">
        <f t="shared" si="1"/>
        <v/>
      </c>
      <c r="G47" s="5" t="s">
        <v>204</v>
      </c>
      <c r="H47" s="1">
        <f t="shared" si="2"/>
        <v>1</v>
      </c>
      <c r="I47" s="5" t="s">
        <v>207</v>
      </c>
      <c r="J47" s="1" t="str">
        <f t="shared" si="3"/>
        <v/>
      </c>
      <c r="K47" s="5" t="s">
        <v>215</v>
      </c>
      <c r="L47" s="1">
        <f t="shared" si="4"/>
        <v>2</v>
      </c>
      <c r="M47" s="8">
        <v>0</v>
      </c>
      <c r="N47" s="1" t="s">
        <v>987</v>
      </c>
      <c r="O47" s="1">
        <f t="shared" si="5"/>
        <v>0</v>
      </c>
      <c r="Q47" s="1">
        <v>13</v>
      </c>
      <c r="S47" s="1">
        <v>2</v>
      </c>
    </row>
    <row r="48" spans="1:19" ht="12.75" customHeight="1" x14ac:dyDescent="0.15">
      <c r="A48" s="5" t="s">
        <v>285</v>
      </c>
      <c r="B48" s="1" t="e">
        <f ca="1">_xludf.LET(_xlpm.x,LOWER(TRIM(A48)),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 s="5" t="s">
        <v>223</v>
      </c>
      <c r="D48" s="1">
        <f t="shared" si="0"/>
        <v>0</v>
      </c>
      <c r="E48" s="5" t="s">
        <v>204</v>
      </c>
      <c r="F48" s="1">
        <f t="shared" si="1"/>
        <v>1</v>
      </c>
      <c r="G48" s="5" t="s">
        <v>204</v>
      </c>
      <c r="H48" s="1">
        <f t="shared" si="2"/>
        <v>1</v>
      </c>
      <c r="I48" s="5" t="s">
        <v>215</v>
      </c>
      <c r="J48" s="1">
        <f t="shared" si="3"/>
        <v>2</v>
      </c>
      <c r="K48" s="5" t="s">
        <v>215</v>
      </c>
      <c r="L48" s="1">
        <f t="shared" si="4"/>
        <v>2</v>
      </c>
      <c r="M48" s="8">
        <v>0</v>
      </c>
      <c r="N48" s="1" t="s">
        <v>989</v>
      </c>
      <c r="O48" s="1">
        <f t="shared" si="5"/>
        <v>1</v>
      </c>
      <c r="P48" s="1">
        <v>18</v>
      </c>
      <c r="Q48" s="1">
        <v>34</v>
      </c>
      <c r="R48" s="1">
        <v>80000</v>
      </c>
      <c r="S48" s="1">
        <v>5</v>
      </c>
    </row>
    <row r="49" spans="1:19" ht="12.75" customHeight="1" x14ac:dyDescent="0.15">
      <c r="A49" s="5" t="s">
        <v>317</v>
      </c>
      <c r="B49" s="1" t="e">
        <f ca="1">_xludf.LET(_xlpm.x,LOWER(TRIM(A49)),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 s="5" t="s">
        <v>223</v>
      </c>
      <c r="D49" s="1">
        <f t="shared" si="0"/>
        <v>0</v>
      </c>
      <c r="F49" s="1" t="str">
        <f t="shared" si="1"/>
        <v/>
      </c>
      <c r="G49" s="5" t="s">
        <v>204</v>
      </c>
      <c r="H49" s="1">
        <f t="shared" si="2"/>
        <v>1</v>
      </c>
      <c r="I49" s="5" t="s">
        <v>207</v>
      </c>
      <c r="J49" s="1" t="str">
        <f t="shared" si="3"/>
        <v/>
      </c>
      <c r="K49" s="5" t="s">
        <v>264</v>
      </c>
      <c r="L49" s="1">
        <f t="shared" si="4"/>
        <v>1</v>
      </c>
      <c r="M49" s="8">
        <v>0</v>
      </c>
      <c r="N49" s="1" t="s">
        <v>1000</v>
      </c>
      <c r="O49" s="1">
        <f t="shared" si="5"/>
        <v>0</v>
      </c>
      <c r="Q49" s="1">
        <v>20</v>
      </c>
      <c r="S49" s="1">
        <v>2</v>
      </c>
    </row>
    <row r="50" spans="1:19" ht="12.75" customHeight="1" x14ac:dyDescent="0.15">
      <c r="A50" s="5" t="s">
        <v>213</v>
      </c>
      <c r="B50" s="1" t="e">
        <f ca="1">_xludf.LET(_xlpm.x,LOWER(TRIM(A50)),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 s="5" t="s">
        <v>223</v>
      </c>
      <c r="D50" s="1">
        <f t="shared" si="0"/>
        <v>0</v>
      </c>
      <c r="E50" s="5" t="s">
        <v>206</v>
      </c>
      <c r="F50" s="1">
        <f t="shared" si="1"/>
        <v>0</v>
      </c>
      <c r="G50" s="5" t="s">
        <v>204</v>
      </c>
      <c r="H50" s="1">
        <f t="shared" si="2"/>
        <v>1</v>
      </c>
      <c r="I50" s="5" t="s">
        <v>215</v>
      </c>
      <c r="J50" s="1">
        <f t="shared" si="3"/>
        <v>2</v>
      </c>
      <c r="K50" s="5" t="s">
        <v>242</v>
      </c>
      <c r="L50" s="1">
        <f t="shared" si="4"/>
        <v>3</v>
      </c>
      <c r="M50" s="8">
        <v>0</v>
      </c>
      <c r="N50" s="1" t="s">
        <v>987</v>
      </c>
      <c r="O50" s="1">
        <f t="shared" si="5"/>
        <v>0</v>
      </c>
      <c r="Q50" s="1">
        <v>6</v>
      </c>
      <c r="S50" s="1">
        <v>2</v>
      </c>
    </row>
    <row r="51" spans="1:19" ht="12.75" customHeight="1" x14ac:dyDescent="0.15">
      <c r="A51" s="5" t="s">
        <v>285</v>
      </c>
      <c r="B51" s="1" t="e">
        <f ca="1">_xludf.LET(_xlpm.x,LOWER(TRIM(A51)),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1" s="5" t="s">
        <v>223</v>
      </c>
      <c r="D51" s="1">
        <f t="shared" si="0"/>
        <v>0</v>
      </c>
      <c r="E51" s="5" t="s">
        <v>204</v>
      </c>
      <c r="F51" s="1">
        <f t="shared" si="1"/>
        <v>1</v>
      </c>
      <c r="G51" s="5" t="s">
        <v>204</v>
      </c>
      <c r="H51" s="1">
        <f t="shared" si="2"/>
        <v>1</v>
      </c>
      <c r="I51" s="5" t="s">
        <v>215</v>
      </c>
      <c r="J51" s="1">
        <f t="shared" si="3"/>
        <v>2</v>
      </c>
      <c r="K51" s="5" t="s">
        <v>215</v>
      </c>
      <c r="L51" s="1">
        <f t="shared" si="4"/>
        <v>2</v>
      </c>
      <c r="M51" s="8">
        <v>0</v>
      </c>
      <c r="N51" s="1" t="s">
        <v>989</v>
      </c>
      <c r="O51" s="1">
        <f t="shared" si="5"/>
        <v>1</v>
      </c>
      <c r="Q51" s="1">
        <v>7</v>
      </c>
      <c r="S51" s="1">
        <v>1</v>
      </c>
    </row>
    <row r="52" spans="1:19" ht="12.75" customHeight="1" x14ac:dyDescent="0.15">
      <c r="A52" s="5" t="s">
        <v>213</v>
      </c>
      <c r="B52" s="1" t="e">
        <f ca="1">_xludf.LET(_xlpm.x,LOWER(TRIM(A52)),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2" s="5" t="s">
        <v>223</v>
      </c>
      <c r="D52" s="1">
        <f t="shared" si="0"/>
        <v>0</v>
      </c>
      <c r="F52" s="1" t="str">
        <f t="shared" si="1"/>
        <v/>
      </c>
      <c r="G52" s="5" t="s">
        <v>204</v>
      </c>
      <c r="H52" s="1">
        <f t="shared" si="2"/>
        <v>1</v>
      </c>
      <c r="I52" s="5" t="s">
        <v>207</v>
      </c>
      <c r="J52" s="1" t="str">
        <f t="shared" si="3"/>
        <v/>
      </c>
      <c r="K52" s="5" t="s">
        <v>215</v>
      </c>
      <c r="L52" s="1">
        <f t="shared" si="4"/>
        <v>2</v>
      </c>
      <c r="M52" s="8">
        <v>0</v>
      </c>
      <c r="N52" s="1" t="s">
        <v>997</v>
      </c>
      <c r="O52" s="1">
        <f t="shared" si="5"/>
        <v>0</v>
      </c>
      <c r="Q52" s="1">
        <v>24</v>
      </c>
      <c r="S52" s="1">
        <v>1</v>
      </c>
    </row>
    <row r="53" spans="1:19" ht="12.75" customHeight="1" x14ac:dyDescent="0.15">
      <c r="A53" s="5" t="s">
        <v>213</v>
      </c>
      <c r="B53" s="1" t="e">
        <f ca="1">_xludf.LET(_xlpm.x,LOWER(TRIM(A53)),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3" s="5" t="s">
        <v>223</v>
      </c>
      <c r="D53" s="1">
        <f t="shared" si="0"/>
        <v>0</v>
      </c>
      <c r="F53" s="1" t="str">
        <f t="shared" si="1"/>
        <v/>
      </c>
      <c r="G53" s="5" t="s">
        <v>204</v>
      </c>
      <c r="H53" s="1">
        <f t="shared" si="2"/>
        <v>1</v>
      </c>
      <c r="I53" s="5" t="s">
        <v>207</v>
      </c>
      <c r="J53" s="1" t="str">
        <f t="shared" si="3"/>
        <v/>
      </c>
      <c r="K53" s="5" t="s">
        <v>264</v>
      </c>
      <c r="L53" s="1">
        <f t="shared" si="4"/>
        <v>1</v>
      </c>
      <c r="M53" s="8">
        <v>0</v>
      </c>
      <c r="N53" s="1" t="s">
        <v>990</v>
      </c>
      <c r="O53" s="1">
        <f t="shared" si="5"/>
        <v>0</v>
      </c>
      <c r="Q53" s="1">
        <v>7</v>
      </c>
      <c r="S53" s="1">
        <v>1</v>
      </c>
    </row>
    <row r="54" spans="1:19" ht="12.75" customHeight="1" x14ac:dyDescent="0.15">
      <c r="A54" s="5" t="s">
        <v>213</v>
      </c>
      <c r="B54" s="1" t="e">
        <f ca="1">_xludf.LET(_xlpm.x,LOWER(TRIM(A54)),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4" s="5" t="s">
        <v>223</v>
      </c>
      <c r="D54" s="1">
        <f t="shared" si="0"/>
        <v>0</v>
      </c>
      <c r="E54" s="5" t="s">
        <v>204</v>
      </c>
      <c r="F54" s="1">
        <f t="shared" si="1"/>
        <v>1</v>
      </c>
      <c r="G54" s="5" t="s">
        <v>204</v>
      </c>
      <c r="H54" s="1">
        <f t="shared" si="2"/>
        <v>1</v>
      </c>
      <c r="I54" s="5" t="s">
        <v>215</v>
      </c>
      <c r="J54" s="1">
        <f t="shared" si="3"/>
        <v>2</v>
      </c>
      <c r="K54" s="5" t="s">
        <v>264</v>
      </c>
      <c r="L54" s="1">
        <f t="shared" si="4"/>
        <v>1</v>
      </c>
      <c r="M54" s="8">
        <v>0</v>
      </c>
      <c r="N54" s="1" t="s">
        <v>989</v>
      </c>
      <c r="O54" s="1">
        <f t="shared" si="5"/>
        <v>1</v>
      </c>
      <c r="Q54" s="1">
        <v>6</v>
      </c>
      <c r="S54" s="1">
        <v>7</v>
      </c>
    </row>
    <row r="55" spans="1:19" ht="12.75" customHeight="1" x14ac:dyDescent="0.15">
      <c r="A55" s="5" t="s">
        <v>269</v>
      </c>
      <c r="B55" s="1" t="e">
        <f ca="1">_xludf.LET(_xlpm.x,LOWER(TRIM(A55)),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5" s="5" t="s">
        <v>414</v>
      </c>
      <c r="D55" s="1">
        <f t="shared" si="0"/>
        <v>1</v>
      </c>
      <c r="E55" s="5" t="s">
        <v>206</v>
      </c>
      <c r="F55" s="1">
        <f t="shared" si="1"/>
        <v>0</v>
      </c>
      <c r="G55" s="5" t="s">
        <v>204</v>
      </c>
      <c r="H55" s="1">
        <f t="shared" si="2"/>
        <v>1</v>
      </c>
      <c r="I55" s="5" t="s">
        <v>207</v>
      </c>
      <c r="J55" s="1" t="str">
        <f t="shared" si="3"/>
        <v/>
      </c>
      <c r="K55" s="5" t="s">
        <v>207</v>
      </c>
      <c r="L55" s="1" t="str">
        <f t="shared" si="4"/>
        <v/>
      </c>
      <c r="M55" s="8">
        <v>0</v>
      </c>
      <c r="N55" s="1" t="s">
        <v>989</v>
      </c>
      <c r="O55" s="1">
        <f t="shared" si="5"/>
        <v>1</v>
      </c>
      <c r="Q55" s="1">
        <v>24</v>
      </c>
      <c r="S55" s="1">
        <v>3</v>
      </c>
    </row>
    <row r="56" spans="1:19" ht="12.75" customHeight="1" x14ac:dyDescent="0.15">
      <c r="A56" s="5" t="s">
        <v>213</v>
      </c>
      <c r="B56" s="1" t="e">
        <f ca="1">_xludf.LET(_xlpm.x,LOWER(TRIM(A56)),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6" s="5" t="s">
        <v>223</v>
      </c>
      <c r="D56" s="1">
        <f t="shared" si="0"/>
        <v>0</v>
      </c>
      <c r="E56" s="5" t="s">
        <v>206</v>
      </c>
      <c r="F56" s="1">
        <f t="shared" si="1"/>
        <v>0</v>
      </c>
      <c r="G56" s="5" t="s">
        <v>204</v>
      </c>
      <c r="H56" s="1">
        <f t="shared" si="2"/>
        <v>1</v>
      </c>
      <c r="I56" s="5" t="s">
        <v>207</v>
      </c>
      <c r="J56" s="1" t="str">
        <f t="shared" si="3"/>
        <v/>
      </c>
      <c r="K56" s="5" t="s">
        <v>264</v>
      </c>
      <c r="L56" s="1">
        <f t="shared" si="4"/>
        <v>1</v>
      </c>
      <c r="M56" s="8">
        <v>0</v>
      </c>
      <c r="N56" s="1" t="s">
        <v>989</v>
      </c>
      <c r="O56" s="1">
        <f t="shared" si="5"/>
        <v>1</v>
      </c>
      <c r="Q56" s="1">
        <v>24</v>
      </c>
      <c r="S56" s="1">
        <v>3</v>
      </c>
    </row>
    <row r="57" spans="1:19" ht="12.75" customHeight="1" x14ac:dyDescent="0.15">
      <c r="A57" s="5" t="s">
        <v>213</v>
      </c>
      <c r="B57" s="1" t="e">
        <f ca="1">_xludf.LET(_xlpm.x,LOWER(TRIM(A57)),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7" s="5" t="s">
        <v>223</v>
      </c>
      <c r="D57" s="1">
        <f t="shared" si="0"/>
        <v>0</v>
      </c>
      <c r="F57" s="1" t="str">
        <f t="shared" si="1"/>
        <v/>
      </c>
      <c r="G57" s="5" t="s">
        <v>206</v>
      </c>
      <c r="H57" s="1">
        <f t="shared" si="2"/>
        <v>0</v>
      </c>
      <c r="J57" s="1" t="str">
        <f t="shared" si="3"/>
        <v/>
      </c>
      <c r="L57" s="1" t="str">
        <f t="shared" si="4"/>
        <v/>
      </c>
      <c r="M57" s="8">
        <v>0</v>
      </c>
      <c r="N57" s="1" t="s">
        <v>1000</v>
      </c>
      <c r="O57" s="1">
        <f t="shared" si="5"/>
        <v>0</v>
      </c>
      <c r="Q57" s="1">
        <v>5</v>
      </c>
      <c r="S57" s="1">
        <v>8</v>
      </c>
    </row>
    <row r="58" spans="1:19" ht="12.75" customHeight="1" x14ac:dyDescent="0.15">
      <c r="A58" s="5" t="s">
        <v>269</v>
      </c>
      <c r="B58" s="1" t="e">
        <f ca="1">_xludf.LET(_xlpm.x,LOWER(TRIM(A58)),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8" s="5" t="s">
        <v>223</v>
      </c>
      <c r="D58" s="1">
        <f t="shared" si="0"/>
        <v>0</v>
      </c>
      <c r="E58" s="5" t="s">
        <v>204</v>
      </c>
      <c r="F58" s="1">
        <f t="shared" si="1"/>
        <v>1</v>
      </c>
      <c r="G58" s="5" t="s">
        <v>204</v>
      </c>
      <c r="H58" s="1">
        <f t="shared" si="2"/>
        <v>1</v>
      </c>
      <c r="I58" s="5" t="s">
        <v>278</v>
      </c>
      <c r="J58" s="1">
        <f t="shared" si="3"/>
        <v>5</v>
      </c>
      <c r="K58" s="5" t="s">
        <v>278</v>
      </c>
      <c r="L58" s="1">
        <f t="shared" si="4"/>
        <v>5</v>
      </c>
      <c r="M58" s="8">
        <v>0</v>
      </c>
      <c r="N58" s="1" t="s">
        <v>1000</v>
      </c>
      <c r="O58" s="1">
        <f t="shared" si="5"/>
        <v>0</v>
      </c>
      <c r="Q58" s="1">
        <v>5</v>
      </c>
      <c r="S58" s="1">
        <v>8</v>
      </c>
    </row>
    <row r="59" spans="1:19" ht="12.75" customHeight="1" x14ac:dyDescent="0.15">
      <c r="A59" s="5" t="s">
        <v>213</v>
      </c>
      <c r="B59" s="1" t="e">
        <f ca="1">_xludf.LET(_xlpm.x,LOWER(TRIM(A59)),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9" s="5" t="s">
        <v>223</v>
      </c>
      <c r="D59" s="1">
        <f t="shared" si="0"/>
        <v>0</v>
      </c>
      <c r="F59" s="1" t="str">
        <f t="shared" si="1"/>
        <v/>
      </c>
      <c r="G59" s="5" t="s">
        <v>204</v>
      </c>
      <c r="H59" s="1">
        <f t="shared" si="2"/>
        <v>1</v>
      </c>
      <c r="I59" s="5" t="s">
        <v>207</v>
      </c>
      <c r="J59" s="1" t="str">
        <f t="shared" si="3"/>
        <v/>
      </c>
      <c r="K59" s="5" t="s">
        <v>242</v>
      </c>
      <c r="L59" s="1">
        <f t="shared" si="4"/>
        <v>3</v>
      </c>
      <c r="M59" s="8">
        <v>0</v>
      </c>
      <c r="N59" s="1" t="s">
        <v>997</v>
      </c>
      <c r="O59" s="1">
        <f t="shared" si="5"/>
        <v>0</v>
      </c>
      <c r="Q59" s="1">
        <v>25</v>
      </c>
      <c r="S59" s="1">
        <v>3</v>
      </c>
    </row>
    <row r="60" spans="1:19" ht="12.75" customHeight="1" x14ac:dyDescent="0.15">
      <c r="A60" s="5" t="s">
        <v>277</v>
      </c>
      <c r="B60" s="1" t="e">
        <f ca="1">_xludf.LET(_xlpm.x,LOWER(TRIM(A60)),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0" s="5" t="s">
        <v>223</v>
      </c>
      <c r="D60" s="1">
        <f t="shared" si="0"/>
        <v>0</v>
      </c>
      <c r="F60" s="1" t="str">
        <f t="shared" si="1"/>
        <v/>
      </c>
      <c r="G60" s="5" t="s">
        <v>204</v>
      </c>
      <c r="H60" s="1">
        <f t="shared" si="2"/>
        <v>1</v>
      </c>
      <c r="I60" s="5" t="s">
        <v>264</v>
      </c>
      <c r="J60" s="1">
        <f t="shared" si="3"/>
        <v>1</v>
      </c>
      <c r="K60" s="5" t="s">
        <v>215</v>
      </c>
      <c r="L60" s="1">
        <f t="shared" si="4"/>
        <v>2</v>
      </c>
      <c r="M60" s="1">
        <v>0</v>
      </c>
      <c r="N60" s="1" t="s">
        <v>1000</v>
      </c>
      <c r="O60" s="1">
        <f t="shared" si="5"/>
        <v>0</v>
      </c>
      <c r="P60" s="1">
        <v>4</v>
      </c>
      <c r="Q60" s="1">
        <v>32</v>
      </c>
      <c r="R60" s="1">
        <v>-99</v>
      </c>
      <c r="S60" s="1">
        <v>2</v>
      </c>
    </row>
    <row r="61" spans="1:19" ht="12.75" customHeight="1" x14ac:dyDescent="0.15">
      <c r="A61" s="5" t="s">
        <v>277</v>
      </c>
      <c r="B61" s="1" t="e">
        <f ca="1">_xludf.LET(_xlpm.x,LOWER(TRIM(A61)),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1" s="5" t="s">
        <v>223</v>
      </c>
      <c r="D61" s="1">
        <f t="shared" si="0"/>
        <v>0</v>
      </c>
      <c r="E61" s="5" t="s">
        <v>206</v>
      </c>
      <c r="F61" s="1">
        <f t="shared" si="1"/>
        <v>0</v>
      </c>
      <c r="G61" s="5" t="s">
        <v>204</v>
      </c>
      <c r="H61" s="1">
        <f t="shared" si="2"/>
        <v>1</v>
      </c>
      <c r="I61" s="5" t="s">
        <v>207</v>
      </c>
      <c r="J61" s="1" t="str">
        <f t="shared" si="3"/>
        <v/>
      </c>
      <c r="K61" s="5" t="s">
        <v>264</v>
      </c>
      <c r="L61" s="1">
        <f t="shared" si="4"/>
        <v>1</v>
      </c>
      <c r="M61" s="1">
        <v>0</v>
      </c>
      <c r="N61" s="1" t="s">
        <v>994</v>
      </c>
      <c r="O61" s="1">
        <f t="shared" si="5"/>
        <v>0</v>
      </c>
      <c r="P61" s="1">
        <v>0</v>
      </c>
      <c r="Q61" s="1">
        <v>2</v>
      </c>
      <c r="R61" s="1">
        <v>0</v>
      </c>
      <c r="S61" s="1">
        <v>1</v>
      </c>
    </row>
    <row r="62" spans="1:19" ht="12.75" customHeight="1" x14ac:dyDescent="0.15">
      <c r="A62" s="5" t="s">
        <v>269</v>
      </c>
      <c r="B62" s="1" t="e">
        <f ca="1">_xludf.LET(_xlpm.x,LOWER(TRIM(A62)),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2" s="5" t="s">
        <v>223</v>
      </c>
      <c r="D62" s="1">
        <f t="shared" si="0"/>
        <v>0</v>
      </c>
      <c r="E62" s="5" t="s">
        <v>204</v>
      </c>
      <c r="F62" s="1">
        <f t="shared" si="1"/>
        <v>1</v>
      </c>
      <c r="G62" s="5" t="s">
        <v>204</v>
      </c>
      <c r="H62" s="1">
        <f t="shared" si="2"/>
        <v>1</v>
      </c>
      <c r="I62" s="5" t="s">
        <v>215</v>
      </c>
      <c r="J62" s="1">
        <f t="shared" si="3"/>
        <v>2</v>
      </c>
      <c r="K62" s="5" t="s">
        <v>264</v>
      </c>
      <c r="L62" s="1">
        <f t="shared" si="4"/>
        <v>1</v>
      </c>
      <c r="M62" s="8">
        <v>0</v>
      </c>
      <c r="N62" s="1" t="s">
        <v>989</v>
      </c>
      <c r="O62" s="1">
        <f t="shared" si="5"/>
        <v>1</v>
      </c>
      <c r="Q62" s="1">
        <v>4</v>
      </c>
      <c r="S62" s="1">
        <v>7</v>
      </c>
    </row>
    <row r="63" spans="1:19" ht="12.75" customHeight="1" x14ac:dyDescent="0.15">
      <c r="A63" s="5" t="s">
        <v>269</v>
      </c>
      <c r="B63" s="1" t="e">
        <f ca="1">_xludf.LET(_xlpm.x,LOWER(TRIM(A63)),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3" s="5" t="s">
        <v>223</v>
      </c>
      <c r="D63" s="1">
        <f t="shared" si="0"/>
        <v>0</v>
      </c>
      <c r="F63" s="1" t="str">
        <f t="shared" si="1"/>
        <v/>
      </c>
      <c r="G63" s="5" t="s">
        <v>204</v>
      </c>
      <c r="H63" s="1">
        <f t="shared" si="2"/>
        <v>1</v>
      </c>
      <c r="I63" s="5" t="s">
        <v>242</v>
      </c>
      <c r="J63" s="1">
        <f t="shared" si="3"/>
        <v>3</v>
      </c>
      <c r="K63" s="5" t="s">
        <v>215</v>
      </c>
      <c r="L63" s="1">
        <f t="shared" si="4"/>
        <v>2</v>
      </c>
      <c r="M63" s="8">
        <v>0</v>
      </c>
      <c r="N63" s="1" t="s">
        <v>989</v>
      </c>
      <c r="O63" s="1">
        <f t="shared" si="5"/>
        <v>1</v>
      </c>
      <c r="Q63" s="1">
        <v>3</v>
      </c>
      <c r="S63" s="1">
        <v>3</v>
      </c>
    </row>
    <row r="64" spans="1:19" ht="12.75" customHeight="1" x14ac:dyDescent="0.15">
      <c r="A64" s="5" t="s">
        <v>269</v>
      </c>
      <c r="B64" s="1" t="e">
        <f ca="1">_xludf.LET(_xlpm.x,LOWER(TRIM(A64)),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4" s="5" t="s">
        <v>223</v>
      </c>
      <c r="D64" s="1">
        <f t="shared" si="0"/>
        <v>0</v>
      </c>
      <c r="E64" s="5" t="s">
        <v>204</v>
      </c>
      <c r="F64" s="1">
        <f t="shared" si="1"/>
        <v>1</v>
      </c>
      <c r="G64" s="5" t="s">
        <v>204</v>
      </c>
      <c r="H64" s="1">
        <f t="shared" si="2"/>
        <v>1</v>
      </c>
      <c r="I64" s="5" t="s">
        <v>278</v>
      </c>
      <c r="J64" s="1">
        <f t="shared" si="3"/>
        <v>5</v>
      </c>
      <c r="K64" s="5" t="s">
        <v>278</v>
      </c>
      <c r="L64" s="1">
        <f t="shared" si="4"/>
        <v>5</v>
      </c>
      <c r="M64" s="8">
        <v>0</v>
      </c>
      <c r="N64" s="1" t="s">
        <v>989</v>
      </c>
      <c r="O64" s="1">
        <f t="shared" si="5"/>
        <v>1</v>
      </c>
      <c r="Q64" s="1">
        <v>2</v>
      </c>
      <c r="S64" s="1">
        <v>3</v>
      </c>
    </row>
    <row r="65" spans="1:19" ht="12.75" customHeight="1" x14ac:dyDescent="0.15">
      <c r="A65" s="5" t="s">
        <v>285</v>
      </c>
      <c r="B65" s="1" t="e">
        <f ca="1">_xludf.LET(_xlpm.x,LOWER(TRIM(A65)),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5" s="5" t="s">
        <v>223</v>
      </c>
      <c r="D65" s="1">
        <f t="shared" si="0"/>
        <v>0</v>
      </c>
      <c r="F65" s="1" t="str">
        <f t="shared" si="1"/>
        <v/>
      </c>
      <c r="G65" s="5" t="s">
        <v>204</v>
      </c>
      <c r="H65" s="1">
        <f t="shared" si="2"/>
        <v>1</v>
      </c>
      <c r="I65" s="5" t="s">
        <v>207</v>
      </c>
      <c r="J65" s="1" t="str">
        <f t="shared" si="3"/>
        <v/>
      </c>
      <c r="K65" s="5" t="s">
        <v>242</v>
      </c>
      <c r="L65" s="1">
        <f t="shared" si="4"/>
        <v>3</v>
      </c>
      <c r="M65" s="8">
        <v>0</v>
      </c>
      <c r="N65" s="1" t="s">
        <v>989</v>
      </c>
      <c r="O65" s="1">
        <f t="shared" si="5"/>
        <v>1</v>
      </c>
      <c r="Q65" s="1">
        <v>1</v>
      </c>
      <c r="S65" s="1">
        <v>2</v>
      </c>
    </row>
    <row r="66" spans="1:19" ht="12.75" customHeight="1" x14ac:dyDescent="0.15">
      <c r="A66" s="5" t="s">
        <v>213</v>
      </c>
      <c r="B66" s="1" t="e">
        <f ca="1">_xludf.LET(_xlpm.x,LOWER(TRIM(A66)),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6" s="5" t="s">
        <v>223</v>
      </c>
      <c r="D66" s="1">
        <f t="shared" ref="D66:D129" si="6">IF(C66="Chilena (exclusivamente)",0,1)</f>
        <v>0</v>
      </c>
      <c r="F66" s="1" t="str">
        <f t="shared" ref="F66:F129" si="7">IF(ISBLANK(E66),"",IF(OR(E66="Sí",E66="Si"),1,IF(E66="No",0,"")))</f>
        <v/>
      </c>
      <c r="G66" s="5" t="s">
        <v>204</v>
      </c>
      <c r="H66" s="1">
        <f t="shared" ref="H66:H129" si="8">IF(ISBLANK(G66),"",IF(OR(G66="Sí",G66="Si"),1,IF(G66="No",0,"")))</f>
        <v>1</v>
      </c>
      <c r="I66" s="5" t="s">
        <v>278</v>
      </c>
      <c r="J66" s="1">
        <f t="shared" ref="J66:J129" si="9">IF(OR(ISBLANK(I66),TRIM(I66)="No respondió",TRIM(I66)="No respondio",TRIM(I66)="No aplica"),
   "",
   IF(TRIM(I66)="Entre 1 a 2 horas",1,
     IF(TRIM(I66)="Más de 2 horas y menos de 4 horas",2,
       IF(TRIM(I66)="Entre 4 a 6 horas",3,
         IF(TRIM(I66)="Más de 6 horas y menos de 8 horas",4,
           IF(TRIM(I66)="Más de 8 horas",5,"")
         )
       )
     )
   )
)</f>
        <v>5</v>
      </c>
      <c r="K66" s="5" t="s">
        <v>242</v>
      </c>
      <c r="L66" s="1">
        <f t="shared" ref="L66:L129" si="10">IF(OR(ISBLANK(K66),TRIM(K66)="No respondió",TRIM(K66)="No respondio",TRIM(K66)="No aplica"),
   "",
   IF(TRIM(K66)="Entre 1 a 2 horas",1,
     IF(TRIM(K66)="Más de 2 horas y menos de 4 horas",2,
       IF(TRIM(K66)="Entre 4 a 6 horas",3,
         IF(TRIM(K66)="Más de 6 horas y menos de 8 horas",4,
           IF(TRIM(K66)="Más de 8 horas",5,"")
         )
       )
     )
   )
)</f>
        <v>3</v>
      </c>
      <c r="M66" s="8">
        <v>0</v>
      </c>
      <c r="N66" s="1" t="s">
        <v>989</v>
      </c>
      <c r="O66" s="1">
        <f t="shared" ref="O66:O129" si="11">IF(N66="METROPOLITANA",1,0)</f>
        <v>1</v>
      </c>
      <c r="Q66" s="1">
        <v>32</v>
      </c>
      <c r="S66" s="1">
        <v>2</v>
      </c>
    </row>
    <row r="67" spans="1:19" ht="12.75" customHeight="1" x14ac:dyDescent="0.15">
      <c r="A67" s="5" t="s">
        <v>269</v>
      </c>
      <c r="B67" s="1" t="e">
        <f ca="1">_xludf.LET(_xlpm.x,LOWER(TRIM(A67)),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7" s="5" t="s">
        <v>223</v>
      </c>
      <c r="D67" s="1">
        <f t="shared" si="6"/>
        <v>0</v>
      </c>
      <c r="E67" s="5" t="s">
        <v>204</v>
      </c>
      <c r="F67" s="1">
        <f t="shared" si="7"/>
        <v>1</v>
      </c>
      <c r="G67" s="5" t="s">
        <v>204</v>
      </c>
      <c r="H67" s="1">
        <f t="shared" si="8"/>
        <v>1</v>
      </c>
      <c r="I67" s="5" t="s">
        <v>242</v>
      </c>
      <c r="J67" s="1">
        <f t="shared" si="9"/>
        <v>3</v>
      </c>
      <c r="K67" s="5" t="s">
        <v>215</v>
      </c>
      <c r="L67" s="1">
        <f t="shared" si="10"/>
        <v>2</v>
      </c>
      <c r="M67" s="8">
        <v>0</v>
      </c>
      <c r="N67" s="1" t="s">
        <v>989</v>
      </c>
      <c r="O67" s="1">
        <f t="shared" si="11"/>
        <v>1</v>
      </c>
      <c r="Q67" s="1">
        <v>32</v>
      </c>
      <c r="S67" s="1">
        <v>2</v>
      </c>
    </row>
    <row r="68" spans="1:19" ht="12.75" customHeight="1" x14ac:dyDescent="0.15">
      <c r="A68" s="5" t="s">
        <v>213</v>
      </c>
      <c r="B68" s="1" t="e">
        <f ca="1">_xludf.LET(_xlpm.x,LOWER(TRIM(A68)),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8" s="5" t="s">
        <v>414</v>
      </c>
      <c r="D68" s="1">
        <f t="shared" si="6"/>
        <v>1</v>
      </c>
      <c r="E68" s="5" t="s">
        <v>204</v>
      </c>
      <c r="F68" s="1">
        <f t="shared" si="7"/>
        <v>1</v>
      </c>
      <c r="G68" s="5" t="s">
        <v>204</v>
      </c>
      <c r="H68" s="1">
        <f t="shared" si="8"/>
        <v>1</v>
      </c>
      <c r="I68" s="5" t="s">
        <v>278</v>
      </c>
      <c r="J68" s="1">
        <f t="shared" si="9"/>
        <v>5</v>
      </c>
      <c r="K68" s="5" t="s">
        <v>271</v>
      </c>
      <c r="L68" s="1">
        <f t="shared" si="10"/>
        <v>4</v>
      </c>
      <c r="M68" s="8">
        <v>0</v>
      </c>
      <c r="N68" s="1" t="s">
        <v>989</v>
      </c>
      <c r="O68" s="1">
        <f t="shared" si="11"/>
        <v>1</v>
      </c>
      <c r="Q68" s="1">
        <v>28</v>
      </c>
      <c r="S68" s="1">
        <v>3</v>
      </c>
    </row>
    <row r="69" spans="1:19" ht="12.75" customHeight="1" x14ac:dyDescent="0.15">
      <c r="A69" s="5" t="s">
        <v>269</v>
      </c>
      <c r="B69" s="1" t="e">
        <f ca="1">_xludf.LET(_xlpm.x,LOWER(TRIM(A69)),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9" s="5" t="s">
        <v>223</v>
      </c>
      <c r="D69" s="1">
        <f t="shared" si="6"/>
        <v>0</v>
      </c>
      <c r="E69" s="5" t="s">
        <v>204</v>
      </c>
      <c r="F69" s="1">
        <f t="shared" si="7"/>
        <v>1</v>
      </c>
      <c r="G69" s="5" t="s">
        <v>204</v>
      </c>
      <c r="H69" s="1">
        <f t="shared" si="8"/>
        <v>1</v>
      </c>
      <c r="I69" s="5" t="s">
        <v>242</v>
      </c>
      <c r="J69" s="1">
        <f t="shared" si="9"/>
        <v>3</v>
      </c>
      <c r="K69" s="5" t="s">
        <v>215</v>
      </c>
      <c r="L69" s="1">
        <f t="shared" si="10"/>
        <v>2</v>
      </c>
      <c r="M69" s="1">
        <v>0</v>
      </c>
      <c r="N69" s="1" t="s">
        <v>994</v>
      </c>
      <c r="O69" s="1">
        <f t="shared" si="11"/>
        <v>0</v>
      </c>
      <c r="P69" s="1">
        <v>14</v>
      </c>
      <c r="Q69" s="1">
        <v>2</v>
      </c>
      <c r="R69" s="1">
        <v>0</v>
      </c>
      <c r="S69" s="1">
        <v>1</v>
      </c>
    </row>
    <row r="70" spans="1:19" ht="12.75" customHeight="1" x14ac:dyDescent="0.15">
      <c r="A70" s="5" t="s">
        <v>213</v>
      </c>
      <c r="B70" s="1" t="e">
        <f ca="1">_xludf.LET(_xlpm.x,LOWER(TRIM(A70)),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0" s="5" t="s">
        <v>223</v>
      </c>
      <c r="D70" s="1">
        <f t="shared" si="6"/>
        <v>0</v>
      </c>
      <c r="F70" s="1" t="str">
        <f t="shared" si="7"/>
        <v/>
      </c>
      <c r="G70" s="5" t="s">
        <v>204</v>
      </c>
      <c r="H70" s="1">
        <f t="shared" si="8"/>
        <v>1</v>
      </c>
      <c r="I70" s="5" t="s">
        <v>242</v>
      </c>
      <c r="J70" s="1">
        <f t="shared" si="9"/>
        <v>3</v>
      </c>
      <c r="K70" s="5" t="s">
        <v>215</v>
      </c>
      <c r="L70" s="1">
        <f t="shared" si="10"/>
        <v>2</v>
      </c>
      <c r="M70" s="8">
        <v>0</v>
      </c>
      <c r="N70" s="1" t="s">
        <v>990</v>
      </c>
      <c r="O70" s="1">
        <f t="shared" si="11"/>
        <v>0</v>
      </c>
      <c r="Q70" s="1">
        <v>13</v>
      </c>
      <c r="S70" s="1">
        <v>4</v>
      </c>
    </row>
    <row r="71" spans="1:19" ht="12.75" customHeight="1" x14ac:dyDescent="0.15">
      <c r="A71" s="5" t="s">
        <v>269</v>
      </c>
      <c r="B71" s="1" t="e">
        <f ca="1">_xludf.LET(_xlpm.x,LOWER(TRIM(A71)),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1" s="5" t="s">
        <v>223</v>
      </c>
      <c r="D71" s="1">
        <f t="shared" si="6"/>
        <v>0</v>
      </c>
      <c r="F71" s="1" t="str">
        <f t="shared" si="7"/>
        <v/>
      </c>
      <c r="G71" s="5" t="s">
        <v>204</v>
      </c>
      <c r="H71" s="1">
        <f t="shared" si="8"/>
        <v>1</v>
      </c>
      <c r="I71" s="5" t="s">
        <v>207</v>
      </c>
      <c r="J71" s="1" t="str">
        <f t="shared" si="9"/>
        <v/>
      </c>
      <c r="K71" s="5" t="s">
        <v>242</v>
      </c>
      <c r="L71" s="1">
        <f t="shared" si="10"/>
        <v>3</v>
      </c>
      <c r="M71" s="8">
        <v>0</v>
      </c>
      <c r="N71" s="1" t="s">
        <v>990</v>
      </c>
      <c r="O71" s="1">
        <f t="shared" si="11"/>
        <v>0</v>
      </c>
      <c r="Q71" s="1">
        <v>13</v>
      </c>
      <c r="S71" s="1">
        <v>4</v>
      </c>
    </row>
    <row r="72" spans="1:19" ht="12.75" customHeight="1" x14ac:dyDescent="0.15">
      <c r="A72" s="5" t="s">
        <v>269</v>
      </c>
      <c r="B72" s="1" t="e">
        <f ca="1">_xludf.LET(_xlpm.x,LOWER(TRIM(A72)),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2" s="5" t="s">
        <v>223</v>
      </c>
      <c r="D72" s="1">
        <f t="shared" si="6"/>
        <v>0</v>
      </c>
      <c r="E72" s="5" t="s">
        <v>204</v>
      </c>
      <c r="F72" s="1">
        <f t="shared" si="7"/>
        <v>1</v>
      </c>
      <c r="G72" s="5" t="s">
        <v>204</v>
      </c>
      <c r="H72" s="1">
        <f t="shared" si="8"/>
        <v>1</v>
      </c>
      <c r="I72" s="5" t="s">
        <v>278</v>
      </c>
      <c r="J72" s="1">
        <f t="shared" si="9"/>
        <v>5</v>
      </c>
      <c r="K72" s="5" t="s">
        <v>242</v>
      </c>
      <c r="L72" s="1">
        <f t="shared" si="10"/>
        <v>3</v>
      </c>
      <c r="M72" s="8">
        <v>0</v>
      </c>
      <c r="N72" s="1" t="s">
        <v>995</v>
      </c>
      <c r="O72" s="1">
        <f t="shared" si="11"/>
        <v>0</v>
      </c>
      <c r="Q72" s="1">
        <v>10</v>
      </c>
      <c r="S72" s="1">
        <v>2</v>
      </c>
    </row>
    <row r="73" spans="1:19" ht="12.75" customHeight="1" x14ac:dyDescent="0.15">
      <c r="A73" s="5" t="s">
        <v>285</v>
      </c>
      <c r="B73" s="1" t="e">
        <f ca="1">_xludf.LET(_xlpm.x,LOWER(TRIM(A73)),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3" s="5" t="s">
        <v>223</v>
      </c>
      <c r="D73" s="1">
        <f t="shared" si="6"/>
        <v>0</v>
      </c>
      <c r="F73" s="1" t="str">
        <f t="shared" si="7"/>
        <v/>
      </c>
      <c r="G73" s="5" t="s">
        <v>204</v>
      </c>
      <c r="H73" s="1">
        <f t="shared" si="8"/>
        <v>1</v>
      </c>
      <c r="I73" s="5" t="s">
        <v>278</v>
      </c>
      <c r="J73" s="1">
        <f t="shared" si="9"/>
        <v>5</v>
      </c>
      <c r="K73" s="5" t="s">
        <v>271</v>
      </c>
      <c r="L73" s="1">
        <f t="shared" si="10"/>
        <v>4</v>
      </c>
      <c r="M73" s="8">
        <v>0</v>
      </c>
      <c r="N73" s="1" t="s">
        <v>989</v>
      </c>
      <c r="O73" s="1">
        <f t="shared" si="11"/>
        <v>1</v>
      </c>
      <c r="Q73" s="1">
        <v>3</v>
      </c>
      <c r="S73" s="1">
        <v>3</v>
      </c>
    </row>
    <row r="74" spans="1:19" ht="12.75" customHeight="1" x14ac:dyDescent="0.15">
      <c r="A74" s="5" t="s">
        <v>302</v>
      </c>
      <c r="B74" s="1" t="e">
        <f ca="1">_xludf.LET(_xlpm.x,LOWER(TRIM(A74)),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4" s="5" t="s">
        <v>223</v>
      </c>
      <c r="D74" s="1">
        <f t="shared" si="6"/>
        <v>0</v>
      </c>
      <c r="F74" s="1" t="str">
        <f t="shared" si="7"/>
        <v/>
      </c>
      <c r="G74" s="5" t="s">
        <v>204</v>
      </c>
      <c r="H74" s="1">
        <f t="shared" si="8"/>
        <v>1</v>
      </c>
      <c r="I74" s="5" t="s">
        <v>207</v>
      </c>
      <c r="J74" s="1" t="str">
        <f t="shared" si="9"/>
        <v/>
      </c>
      <c r="K74" s="5" t="s">
        <v>264</v>
      </c>
      <c r="L74" s="1">
        <f t="shared" si="10"/>
        <v>1</v>
      </c>
      <c r="M74" s="8">
        <v>0</v>
      </c>
      <c r="N74" s="1" t="s">
        <v>995</v>
      </c>
      <c r="O74" s="1">
        <f t="shared" si="11"/>
        <v>0</v>
      </c>
      <c r="Q74" s="1">
        <v>34</v>
      </c>
      <c r="S74" s="1">
        <v>2</v>
      </c>
    </row>
    <row r="75" spans="1:19" ht="12.75" customHeight="1" x14ac:dyDescent="0.15">
      <c r="A75" s="5" t="s">
        <v>213</v>
      </c>
      <c r="B75" s="1" t="e">
        <f ca="1">_xludf.LET(_xlpm.x,LOWER(TRIM(A75)),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5" s="5" t="s">
        <v>433</v>
      </c>
      <c r="D75" s="1">
        <f t="shared" si="6"/>
        <v>1</v>
      </c>
      <c r="F75" s="1" t="str">
        <f t="shared" si="7"/>
        <v/>
      </c>
      <c r="G75" s="5" t="s">
        <v>204</v>
      </c>
      <c r="H75" s="1">
        <f t="shared" si="8"/>
        <v>1</v>
      </c>
      <c r="I75" s="5" t="s">
        <v>207</v>
      </c>
      <c r="J75" s="1" t="str">
        <f t="shared" si="9"/>
        <v/>
      </c>
      <c r="K75" s="5" t="s">
        <v>215</v>
      </c>
      <c r="L75" s="1">
        <f t="shared" si="10"/>
        <v>2</v>
      </c>
      <c r="M75" s="8">
        <v>0</v>
      </c>
      <c r="N75" s="1" t="s">
        <v>999</v>
      </c>
      <c r="O75" s="1">
        <f t="shared" si="11"/>
        <v>0</v>
      </c>
      <c r="Q75" s="1">
        <v>1</v>
      </c>
      <c r="S75" s="1">
        <v>2</v>
      </c>
    </row>
    <row r="76" spans="1:19" ht="12.75" customHeight="1" x14ac:dyDescent="0.15">
      <c r="A76" s="5" t="s">
        <v>302</v>
      </c>
      <c r="B76" s="1" t="e">
        <f ca="1">_xludf.LET(_xlpm.x,LOWER(TRIM(A76)),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6" s="5" t="s">
        <v>223</v>
      </c>
      <c r="D76" s="1">
        <f t="shared" si="6"/>
        <v>0</v>
      </c>
      <c r="F76" s="1" t="str">
        <f t="shared" si="7"/>
        <v/>
      </c>
      <c r="G76" s="5" t="s">
        <v>204</v>
      </c>
      <c r="H76" s="1">
        <f t="shared" si="8"/>
        <v>1</v>
      </c>
      <c r="I76" s="5" t="s">
        <v>207</v>
      </c>
      <c r="J76" s="1" t="str">
        <f t="shared" si="9"/>
        <v/>
      </c>
      <c r="K76" s="5" t="s">
        <v>215</v>
      </c>
      <c r="L76" s="1">
        <f t="shared" si="10"/>
        <v>2</v>
      </c>
      <c r="M76" s="8">
        <v>0</v>
      </c>
      <c r="N76" s="1" t="s">
        <v>995</v>
      </c>
      <c r="O76" s="1">
        <f t="shared" si="11"/>
        <v>0</v>
      </c>
      <c r="Q76" s="1">
        <v>2</v>
      </c>
      <c r="S76" s="1">
        <v>3</v>
      </c>
    </row>
    <row r="77" spans="1:19" ht="12.75" customHeight="1" x14ac:dyDescent="0.15">
      <c r="A77" s="5" t="s">
        <v>213</v>
      </c>
      <c r="B77" s="1" t="e">
        <f ca="1">_xludf.LET(_xlpm.x,LOWER(TRIM(A77)),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7" s="5" t="s">
        <v>223</v>
      </c>
      <c r="D77" s="1">
        <f t="shared" si="6"/>
        <v>0</v>
      </c>
      <c r="F77" s="1" t="str">
        <f t="shared" si="7"/>
        <v/>
      </c>
      <c r="G77" s="5" t="s">
        <v>204</v>
      </c>
      <c r="H77" s="1">
        <f t="shared" si="8"/>
        <v>1</v>
      </c>
      <c r="I77" s="5" t="s">
        <v>271</v>
      </c>
      <c r="J77" s="1">
        <f t="shared" si="9"/>
        <v>4</v>
      </c>
      <c r="K77" s="5" t="s">
        <v>271</v>
      </c>
      <c r="L77" s="1">
        <f t="shared" si="10"/>
        <v>4</v>
      </c>
      <c r="M77" s="8">
        <v>0</v>
      </c>
      <c r="N77" s="1" t="s">
        <v>989</v>
      </c>
      <c r="O77" s="1">
        <f t="shared" si="11"/>
        <v>1</v>
      </c>
      <c r="Q77" s="1">
        <v>33</v>
      </c>
      <c r="S77" s="1">
        <v>3</v>
      </c>
    </row>
    <row r="78" spans="1:19" ht="12.75" customHeight="1" x14ac:dyDescent="0.15">
      <c r="A78" s="5" t="s">
        <v>269</v>
      </c>
      <c r="B78" s="1" t="e">
        <f ca="1">_xludf.LET(_xlpm.x,LOWER(TRIM(A78)),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8" s="5" t="s">
        <v>223</v>
      </c>
      <c r="D78" s="1">
        <f t="shared" si="6"/>
        <v>0</v>
      </c>
      <c r="E78" s="5" t="s">
        <v>204</v>
      </c>
      <c r="F78" s="1">
        <f t="shared" si="7"/>
        <v>1</v>
      </c>
      <c r="G78" s="5" t="s">
        <v>204</v>
      </c>
      <c r="H78" s="1">
        <f t="shared" si="8"/>
        <v>1</v>
      </c>
      <c r="I78" s="5" t="s">
        <v>278</v>
      </c>
      <c r="J78" s="1">
        <f t="shared" si="9"/>
        <v>5</v>
      </c>
      <c r="K78" s="5" t="s">
        <v>242</v>
      </c>
      <c r="L78" s="1">
        <f t="shared" si="10"/>
        <v>3</v>
      </c>
      <c r="M78" s="1">
        <v>0</v>
      </c>
      <c r="N78" s="1" t="s">
        <v>989</v>
      </c>
      <c r="O78" s="1">
        <f t="shared" si="11"/>
        <v>1</v>
      </c>
      <c r="P78" s="1">
        <v>18</v>
      </c>
      <c r="Q78" s="1">
        <v>31</v>
      </c>
      <c r="R78" s="1">
        <v>-99</v>
      </c>
      <c r="S78" s="1">
        <v>3</v>
      </c>
    </row>
    <row r="79" spans="1:19" ht="12.75" customHeight="1" x14ac:dyDescent="0.15">
      <c r="A79" s="5" t="s">
        <v>213</v>
      </c>
      <c r="B79" s="1" t="e">
        <f ca="1">_xludf.LET(_xlpm.x,LOWER(TRIM(A79)),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9" s="5" t="s">
        <v>223</v>
      </c>
      <c r="D79" s="1">
        <f t="shared" si="6"/>
        <v>0</v>
      </c>
      <c r="F79" s="1" t="str">
        <f t="shared" si="7"/>
        <v/>
      </c>
      <c r="G79" s="5" t="s">
        <v>204</v>
      </c>
      <c r="H79" s="1">
        <f t="shared" si="8"/>
        <v>1</v>
      </c>
      <c r="I79" s="5" t="s">
        <v>278</v>
      </c>
      <c r="J79" s="1">
        <f t="shared" si="9"/>
        <v>5</v>
      </c>
      <c r="K79" s="5" t="s">
        <v>278</v>
      </c>
      <c r="L79" s="1">
        <f t="shared" si="10"/>
        <v>5</v>
      </c>
      <c r="M79" s="8">
        <v>0</v>
      </c>
      <c r="N79" s="1" t="s">
        <v>998</v>
      </c>
      <c r="O79" s="1">
        <f t="shared" si="11"/>
        <v>0</v>
      </c>
      <c r="Q79" s="1">
        <v>10</v>
      </c>
      <c r="S79" s="1">
        <v>4</v>
      </c>
    </row>
    <row r="80" spans="1:19" ht="12.75" customHeight="1" x14ac:dyDescent="0.15">
      <c r="A80" s="5" t="s">
        <v>213</v>
      </c>
      <c r="B80" s="1" t="e">
        <f ca="1">_xludf.LET(_xlpm.x,LOWER(TRIM(A80)),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0" s="5" t="s">
        <v>223</v>
      </c>
      <c r="D80" s="1">
        <f t="shared" si="6"/>
        <v>0</v>
      </c>
      <c r="F80" s="1" t="str">
        <f t="shared" si="7"/>
        <v/>
      </c>
      <c r="G80" s="5" t="s">
        <v>204</v>
      </c>
      <c r="H80" s="1">
        <f t="shared" si="8"/>
        <v>1</v>
      </c>
      <c r="I80" s="5" t="s">
        <v>278</v>
      </c>
      <c r="J80" s="1">
        <f t="shared" si="9"/>
        <v>5</v>
      </c>
      <c r="K80" s="5" t="s">
        <v>278</v>
      </c>
      <c r="L80" s="1">
        <f t="shared" si="10"/>
        <v>5</v>
      </c>
      <c r="M80" s="8">
        <v>0</v>
      </c>
      <c r="N80" s="1" t="s">
        <v>998</v>
      </c>
      <c r="O80" s="1">
        <f t="shared" si="11"/>
        <v>0</v>
      </c>
      <c r="Q80" s="1">
        <v>10</v>
      </c>
      <c r="S80" s="1">
        <v>4</v>
      </c>
    </row>
    <row r="81" spans="1:19" ht="12.75" customHeight="1" x14ac:dyDescent="0.15">
      <c r="A81" s="5" t="s">
        <v>213</v>
      </c>
      <c r="B81" s="1" t="e">
        <f ca="1">_xludf.LET(_xlpm.x,LOWER(TRIM(A81)),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1" s="5" t="s">
        <v>358</v>
      </c>
      <c r="D81" s="1">
        <f t="shared" si="6"/>
        <v>1</v>
      </c>
      <c r="F81" s="1" t="str">
        <f t="shared" si="7"/>
        <v/>
      </c>
      <c r="G81" s="5" t="s">
        <v>204</v>
      </c>
      <c r="H81" s="1">
        <f t="shared" si="8"/>
        <v>1</v>
      </c>
      <c r="I81" s="5" t="s">
        <v>264</v>
      </c>
      <c r="J81" s="1">
        <f t="shared" si="9"/>
        <v>1</v>
      </c>
      <c r="K81" s="5" t="s">
        <v>215</v>
      </c>
      <c r="L81" s="1">
        <f t="shared" si="10"/>
        <v>2</v>
      </c>
      <c r="M81" s="8">
        <v>0</v>
      </c>
      <c r="N81" s="1" t="s">
        <v>1001</v>
      </c>
      <c r="O81" s="1">
        <f t="shared" si="11"/>
        <v>0</v>
      </c>
      <c r="Q81" s="1">
        <v>1</v>
      </c>
      <c r="S81" s="1">
        <v>1</v>
      </c>
    </row>
    <row r="82" spans="1:19" ht="12.75" customHeight="1" x14ac:dyDescent="0.15">
      <c r="A82" s="5" t="s">
        <v>269</v>
      </c>
      <c r="B82" s="1" t="e">
        <f ca="1">_xludf.LET(_xlpm.x,LOWER(TRIM(A82)),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2" s="5" t="s">
        <v>223</v>
      </c>
      <c r="D82" s="1">
        <f t="shared" si="6"/>
        <v>0</v>
      </c>
      <c r="E82" s="5" t="s">
        <v>204</v>
      </c>
      <c r="F82" s="1">
        <f t="shared" si="7"/>
        <v>1</v>
      </c>
      <c r="G82" s="5" t="s">
        <v>204</v>
      </c>
      <c r="H82" s="1">
        <f t="shared" si="8"/>
        <v>1</v>
      </c>
      <c r="I82" s="5" t="s">
        <v>271</v>
      </c>
      <c r="J82" s="1">
        <f t="shared" si="9"/>
        <v>4</v>
      </c>
      <c r="K82" s="5" t="s">
        <v>242</v>
      </c>
      <c r="L82" s="1">
        <f t="shared" si="10"/>
        <v>3</v>
      </c>
      <c r="M82" s="8">
        <v>0</v>
      </c>
      <c r="N82" s="1" t="s">
        <v>1001</v>
      </c>
      <c r="O82" s="1">
        <f t="shared" si="11"/>
        <v>0</v>
      </c>
      <c r="Q82" s="1">
        <v>1</v>
      </c>
      <c r="S82" s="1">
        <v>1</v>
      </c>
    </row>
    <row r="83" spans="1:19" ht="12.75" customHeight="1" x14ac:dyDescent="0.15">
      <c r="A83" s="5" t="s">
        <v>457</v>
      </c>
      <c r="B83" s="1" t="e">
        <f ca="1">_xludf.LET(_xlpm.x,LOWER(TRIM(A83)),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3" s="5" t="s">
        <v>223</v>
      </c>
      <c r="D83" s="1">
        <f t="shared" si="6"/>
        <v>0</v>
      </c>
      <c r="F83" s="1" t="str">
        <f t="shared" si="7"/>
        <v/>
      </c>
      <c r="G83" s="5" t="s">
        <v>204</v>
      </c>
      <c r="H83" s="1">
        <f t="shared" si="8"/>
        <v>1</v>
      </c>
      <c r="I83" s="5" t="s">
        <v>207</v>
      </c>
      <c r="J83" s="1" t="str">
        <f t="shared" si="9"/>
        <v/>
      </c>
      <c r="K83" s="5" t="s">
        <v>215</v>
      </c>
      <c r="L83" s="1">
        <f t="shared" si="10"/>
        <v>2</v>
      </c>
      <c r="M83" s="8">
        <v>0</v>
      </c>
      <c r="N83" s="1" t="s">
        <v>990</v>
      </c>
      <c r="O83" s="1">
        <f t="shared" si="11"/>
        <v>0</v>
      </c>
      <c r="Q83" s="1">
        <v>11</v>
      </c>
      <c r="S83" s="1">
        <v>3</v>
      </c>
    </row>
    <row r="84" spans="1:19" ht="12.75" customHeight="1" x14ac:dyDescent="0.15">
      <c r="A84" s="5" t="s">
        <v>285</v>
      </c>
      <c r="B84" s="1" t="e">
        <f ca="1">_xludf.LET(_xlpm.x,LOWER(TRIM(A84)),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4" s="5" t="s">
        <v>223</v>
      </c>
      <c r="D84" s="1">
        <f t="shared" si="6"/>
        <v>0</v>
      </c>
      <c r="E84" s="5" t="s">
        <v>204</v>
      </c>
      <c r="F84" s="1">
        <f t="shared" si="7"/>
        <v>1</v>
      </c>
      <c r="G84" s="5" t="s">
        <v>204</v>
      </c>
      <c r="H84" s="1">
        <f t="shared" si="8"/>
        <v>1</v>
      </c>
      <c r="I84" s="5" t="s">
        <v>215</v>
      </c>
      <c r="J84" s="1">
        <f t="shared" si="9"/>
        <v>2</v>
      </c>
      <c r="K84" s="5" t="s">
        <v>264</v>
      </c>
      <c r="L84" s="1">
        <f t="shared" si="10"/>
        <v>1</v>
      </c>
      <c r="M84" s="8">
        <v>0</v>
      </c>
      <c r="N84" s="1" t="s">
        <v>990</v>
      </c>
      <c r="O84" s="1">
        <f t="shared" si="11"/>
        <v>0</v>
      </c>
      <c r="Q84" s="1">
        <v>11</v>
      </c>
      <c r="S84" s="1">
        <v>3</v>
      </c>
    </row>
    <row r="85" spans="1:19" ht="12.75" customHeight="1" x14ac:dyDescent="0.15">
      <c r="A85" s="5" t="s">
        <v>269</v>
      </c>
      <c r="B85" s="1" t="e">
        <f ca="1">_xludf.LET(_xlpm.x,LOWER(TRIM(A85)),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5" s="5" t="s">
        <v>223</v>
      </c>
      <c r="D85" s="1">
        <f t="shared" si="6"/>
        <v>0</v>
      </c>
      <c r="E85" s="5" t="s">
        <v>204</v>
      </c>
      <c r="F85" s="1">
        <f t="shared" si="7"/>
        <v>1</v>
      </c>
      <c r="G85" s="5" t="s">
        <v>204</v>
      </c>
      <c r="H85" s="1">
        <f t="shared" si="8"/>
        <v>1</v>
      </c>
      <c r="I85" s="5" t="s">
        <v>242</v>
      </c>
      <c r="J85" s="1">
        <f t="shared" si="9"/>
        <v>3</v>
      </c>
      <c r="K85" s="5" t="s">
        <v>242</v>
      </c>
      <c r="L85" s="1">
        <f t="shared" si="10"/>
        <v>3</v>
      </c>
      <c r="M85" s="8">
        <v>0</v>
      </c>
      <c r="N85" s="1" t="s">
        <v>999</v>
      </c>
      <c r="O85" s="1">
        <f t="shared" si="11"/>
        <v>0</v>
      </c>
      <c r="Q85" s="1">
        <v>7</v>
      </c>
      <c r="S85" s="1">
        <v>4</v>
      </c>
    </row>
    <row r="86" spans="1:19" ht="12.75" customHeight="1" x14ac:dyDescent="0.15">
      <c r="A86" s="5" t="s">
        <v>285</v>
      </c>
      <c r="B86" s="1" t="e">
        <f ca="1">_xludf.LET(_xlpm.x,LOWER(TRIM(A86)),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6" s="5" t="s">
        <v>223</v>
      </c>
      <c r="D86" s="1">
        <f t="shared" si="6"/>
        <v>0</v>
      </c>
      <c r="E86" s="5" t="s">
        <v>204</v>
      </c>
      <c r="F86" s="1">
        <f t="shared" si="7"/>
        <v>1</v>
      </c>
      <c r="G86" s="5" t="s">
        <v>204</v>
      </c>
      <c r="H86" s="1">
        <f t="shared" si="8"/>
        <v>1</v>
      </c>
      <c r="I86" s="5" t="s">
        <v>278</v>
      </c>
      <c r="J86" s="1">
        <f t="shared" si="9"/>
        <v>5</v>
      </c>
      <c r="K86" s="5" t="s">
        <v>271</v>
      </c>
      <c r="L86" s="1">
        <f t="shared" si="10"/>
        <v>4</v>
      </c>
      <c r="M86" s="8">
        <v>0</v>
      </c>
      <c r="N86" s="1" t="s">
        <v>989</v>
      </c>
      <c r="O86" s="1">
        <f t="shared" si="11"/>
        <v>1</v>
      </c>
      <c r="Q86" s="1">
        <v>1</v>
      </c>
      <c r="S86" s="1">
        <v>2</v>
      </c>
    </row>
    <row r="87" spans="1:19" ht="12.75" customHeight="1" x14ac:dyDescent="0.15">
      <c r="A87" s="5" t="s">
        <v>302</v>
      </c>
      <c r="B87" s="1" t="e">
        <f ca="1">_xludf.LET(_xlpm.x,LOWER(TRIM(A87)),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7" s="5" t="s">
        <v>223</v>
      </c>
      <c r="D87" s="1">
        <f t="shared" si="6"/>
        <v>0</v>
      </c>
      <c r="E87" s="5" t="s">
        <v>204</v>
      </c>
      <c r="F87" s="1">
        <f t="shared" si="7"/>
        <v>1</v>
      </c>
      <c r="G87" s="5" t="s">
        <v>204</v>
      </c>
      <c r="H87" s="1">
        <f t="shared" si="8"/>
        <v>1</v>
      </c>
      <c r="I87" s="5" t="s">
        <v>242</v>
      </c>
      <c r="J87" s="1">
        <f t="shared" si="9"/>
        <v>3</v>
      </c>
      <c r="K87" s="5" t="s">
        <v>215</v>
      </c>
      <c r="L87" s="1">
        <f t="shared" si="10"/>
        <v>2</v>
      </c>
      <c r="M87" s="8">
        <v>0</v>
      </c>
      <c r="N87" s="1" t="s">
        <v>996</v>
      </c>
      <c r="O87" s="1">
        <f t="shared" si="11"/>
        <v>0</v>
      </c>
      <c r="Q87" s="1">
        <v>6</v>
      </c>
      <c r="S87" s="1">
        <v>1</v>
      </c>
    </row>
    <row r="88" spans="1:19" ht="12.75" customHeight="1" x14ac:dyDescent="0.15">
      <c r="A88" s="5" t="s">
        <v>457</v>
      </c>
      <c r="B88" s="1" t="e">
        <f ca="1">_xludf.LET(_xlpm.x,LOWER(TRIM(A88)),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8" s="5" t="s">
        <v>223</v>
      </c>
      <c r="D88" s="1">
        <f t="shared" si="6"/>
        <v>0</v>
      </c>
      <c r="F88" s="1" t="str">
        <f t="shared" si="7"/>
        <v/>
      </c>
      <c r="G88" s="5" t="s">
        <v>204</v>
      </c>
      <c r="H88" s="1">
        <f t="shared" si="8"/>
        <v>1</v>
      </c>
      <c r="I88" s="5" t="s">
        <v>207</v>
      </c>
      <c r="J88" s="1" t="str">
        <f t="shared" si="9"/>
        <v/>
      </c>
      <c r="K88" s="5" t="s">
        <v>215</v>
      </c>
      <c r="L88" s="1">
        <f t="shared" si="10"/>
        <v>2</v>
      </c>
      <c r="M88" s="8">
        <v>0</v>
      </c>
      <c r="N88" s="1" t="s">
        <v>998</v>
      </c>
      <c r="O88" s="1">
        <f t="shared" si="11"/>
        <v>0</v>
      </c>
      <c r="Q88" s="1">
        <v>29</v>
      </c>
      <c r="S88" s="1">
        <v>2</v>
      </c>
    </row>
    <row r="89" spans="1:19" ht="12.75" customHeight="1" x14ac:dyDescent="0.15">
      <c r="A89" s="5" t="s">
        <v>213</v>
      </c>
      <c r="B89" s="1" t="e">
        <f ca="1">_xludf.LET(_xlpm.x,LOWER(TRIM(A89)),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9" s="5" t="s">
        <v>223</v>
      </c>
      <c r="D89" s="1">
        <f t="shared" si="6"/>
        <v>0</v>
      </c>
      <c r="F89" s="1" t="str">
        <f t="shared" si="7"/>
        <v/>
      </c>
      <c r="G89" s="5" t="s">
        <v>204</v>
      </c>
      <c r="H89" s="1">
        <f t="shared" si="8"/>
        <v>1</v>
      </c>
      <c r="I89" s="5" t="s">
        <v>242</v>
      </c>
      <c r="J89" s="1">
        <f t="shared" si="9"/>
        <v>3</v>
      </c>
      <c r="K89" s="5" t="s">
        <v>242</v>
      </c>
      <c r="L89" s="1">
        <f t="shared" si="10"/>
        <v>3</v>
      </c>
      <c r="M89" s="1">
        <v>11</v>
      </c>
      <c r="N89" s="1" t="s">
        <v>989</v>
      </c>
      <c r="O89" s="1">
        <f t="shared" si="11"/>
        <v>1</v>
      </c>
      <c r="P89" s="1">
        <v>8</v>
      </c>
      <c r="Q89" s="1">
        <v>11</v>
      </c>
      <c r="R89" s="1">
        <v>650000</v>
      </c>
      <c r="S89" s="1">
        <v>3</v>
      </c>
    </row>
    <row r="90" spans="1:19" ht="12.75" customHeight="1" x14ac:dyDescent="0.15">
      <c r="A90" s="5" t="s">
        <v>213</v>
      </c>
      <c r="B90" s="1" t="e">
        <f ca="1">_xludf.LET(_xlpm.x,LOWER(TRIM(A90)),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0" s="5" t="s">
        <v>223</v>
      </c>
      <c r="D90" s="1">
        <f t="shared" si="6"/>
        <v>0</v>
      </c>
      <c r="F90" s="1" t="str">
        <f t="shared" si="7"/>
        <v/>
      </c>
      <c r="G90" s="5" t="s">
        <v>204</v>
      </c>
      <c r="H90" s="1">
        <f t="shared" si="8"/>
        <v>1</v>
      </c>
      <c r="I90" s="5" t="s">
        <v>242</v>
      </c>
      <c r="J90" s="1">
        <f t="shared" si="9"/>
        <v>3</v>
      </c>
      <c r="K90" s="5" t="s">
        <v>264</v>
      </c>
      <c r="L90" s="1">
        <f t="shared" si="10"/>
        <v>1</v>
      </c>
      <c r="M90" s="1">
        <v>20</v>
      </c>
      <c r="N90" s="1" t="s">
        <v>999</v>
      </c>
      <c r="O90" s="1">
        <f t="shared" si="11"/>
        <v>0</v>
      </c>
      <c r="P90" s="1">
        <v>5</v>
      </c>
      <c r="Q90" s="1">
        <v>3</v>
      </c>
      <c r="R90" s="1">
        <v>-99</v>
      </c>
      <c r="S90" s="1">
        <v>4</v>
      </c>
    </row>
    <row r="91" spans="1:19" ht="12.75" customHeight="1" x14ac:dyDescent="0.15">
      <c r="A91" s="5" t="s">
        <v>285</v>
      </c>
      <c r="B91" s="1" t="e">
        <f ca="1">_xludf.LET(_xlpm.x,LOWER(TRIM(A91)),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1" s="5" t="s">
        <v>223</v>
      </c>
      <c r="D91" s="1">
        <f t="shared" si="6"/>
        <v>0</v>
      </c>
      <c r="E91" s="5" t="s">
        <v>204</v>
      </c>
      <c r="F91" s="1">
        <f t="shared" si="7"/>
        <v>1</v>
      </c>
      <c r="G91" s="5" t="s">
        <v>204</v>
      </c>
      <c r="H91" s="1">
        <f t="shared" si="8"/>
        <v>1</v>
      </c>
      <c r="I91" s="5" t="s">
        <v>278</v>
      </c>
      <c r="J91" s="1">
        <f t="shared" si="9"/>
        <v>5</v>
      </c>
      <c r="K91" s="5" t="s">
        <v>278</v>
      </c>
      <c r="L91" s="1">
        <f t="shared" si="10"/>
        <v>5</v>
      </c>
      <c r="M91" s="1">
        <v>21</v>
      </c>
      <c r="N91" s="1" t="s">
        <v>989</v>
      </c>
      <c r="O91" s="1">
        <f t="shared" si="11"/>
        <v>1</v>
      </c>
      <c r="P91" s="1">
        <v>5</v>
      </c>
      <c r="Q91" s="1">
        <v>24</v>
      </c>
      <c r="R91" s="1">
        <v>-99</v>
      </c>
      <c r="S91" s="1">
        <v>4</v>
      </c>
    </row>
    <row r="92" spans="1:19" ht="12.75" customHeight="1" x14ac:dyDescent="0.15">
      <c r="A92" s="5" t="s">
        <v>285</v>
      </c>
      <c r="B92" s="1" t="e">
        <f ca="1">_xludf.LET(_xlpm.x,LOWER(TRIM(A92)),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2" s="5" t="s">
        <v>223</v>
      </c>
      <c r="D92" s="1">
        <f t="shared" si="6"/>
        <v>0</v>
      </c>
      <c r="E92" s="5" t="s">
        <v>204</v>
      </c>
      <c r="F92" s="1">
        <f t="shared" si="7"/>
        <v>1</v>
      </c>
      <c r="G92" s="5" t="s">
        <v>204</v>
      </c>
      <c r="H92" s="1">
        <f t="shared" si="8"/>
        <v>1</v>
      </c>
      <c r="I92" s="5" t="s">
        <v>264</v>
      </c>
      <c r="J92" s="1">
        <f t="shared" si="9"/>
        <v>1</v>
      </c>
      <c r="K92" s="5" t="s">
        <v>215</v>
      </c>
      <c r="L92" s="1">
        <f t="shared" si="10"/>
        <v>2</v>
      </c>
      <c r="M92" s="1">
        <v>22</v>
      </c>
      <c r="N92" s="1" t="s">
        <v>991</v>
      </c>
      <c r="O92" s="1">
        <f t="shared" si="11"/>
        <v>0</v>
      </c>
      <c r="P92" s="1">
        <v>17</v>
      </c>
      <c r="Q92" s="1">
        <v>6</v>
      </c>
      <c r="R92" s="1">
        <v>200000</v>
      </c>
      <c r="S92" s="1">
        <v>2</v>
      </c>
    </row>
    <row r="93" spans="1:19" ht="12.75" customHeight="1" x14ac:dyDescent="0.15">
      <c r="A93" s="5" t="s">
        <v>213</v>
      </c>
      <c r="B93" s="1" t="e">
        <f ca="1">_xludf.LET(_xlpm.x,LOWER(TRIM(A93)),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3" s="5" t="s">
        <v>223</v>
      </c>
      <c r="D93" s="1">
        <f t="shared" si="6"/>
        <v>0</v>
      </c>
      <c r="E93" s="5" t="s">
        <v>204</v>
      </c>
      <c r="F93" s="1">
        <f t="shared" si="7"/>
        <v>1</v>
      </c>
      <c r="G93" s="5" t="s">
        <v>204</v>
      </c>
      <c r="H93" s="1">
        <f t="shared" si="8"/>
        <v>1</v>
      </c>
      <c r="I93" s="5" t="s">
        <v>271</v>
      </c>
      <c r="J93" s="1">
        <f t="shared" si="9"/>
        <v>4</v>
      </c>
      <c r="K93" s="5" t="s">
        <v>271</v>
      </c>
      <c r="L93" s="1">
        <f t="shared" si="10"/>
        <v>4</v>
      </c>
      <c r="M93" s="1">
        <v>24</v>
      </c>
      <c r="N93" s="1" t="s">
        <v>990</v>
      </c>
      <c r="O93" s="1">
        <f t="shared" si="11"/>
        <v>0</v>
      </c>
      <c r="P93" s="1">
        <v>16</v>
      </c>
      <c r="Q93" s="1">
        <v>34</v>
      </c>
      <c r="R93" s="1">
        <v>450000</v>
      </c>
      <c r="S93" s="1">
        <v>6</v>
      </c>
    </row>
    <row r="94" spans="1:19" ht="12.75" customHeight="1" x14ac:dyDescent="0.15">
      <c r="A94" s="5" t="s">
        <v>213</v>
      </c>
      <c r="B94" s="1" t="e">
        <f ca="1">_xludf.LET(_xlpm.x,LOWER(TRIM(A94)),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4" s="5" t="s">
        <v>223</v>
      </c>
      <c r="D94" s="1">
        <f t="shared" si="6"/>
        <v>0</v>
      </c>
      <c r="F94" s="1" t="str">
        <f t="shared" si="7"/>
        <v/>
      </c>
      <c r="G94" s="5" t="s">
        <v>204</v>
      </c>
      <c r="H94" s="1">
        <f t="shared" si="8"/>
        <v>1</v>
      </c>
      <c r="I94" s="5" t="s">
        <v>207</v>
      </c>
      <c r="J94" s="1" t="str">
        <f t="shared" si="9"/>
        <v/>
      </c>
      <c r="K94" s="5" t="s">
        <v>264</v>
      </c>
      <c r="L94" s="1">
        <f t="shared" si="10"/>
        <v>1</v>
      </c>
      <c r="M94" s="1">
        <v>25</v>
      </c>
      <c r="N94" s="1" t="s">
        <v>989</v>
      </c>
      <c r="O94" s="1">
        <f t="shared" si="11"/>
        <v>1</v>
      </c>
      <c r="P94" s="1">
        <v>2</v>
      </c>
      <c r="Q94" s="1">
        <v>3</v>
      </c>
      <c r="R94" s="1">
        <v>410000</v>
      </c>
      <c r="S94" s="1">
        <v>3</v>
      </c>
    </row>
    <row r="95" spans="1:19" ht="12.75" customHeight="1" x14ac:dyDescent="0.15">
      <c r="A95" s="5" t="s">
        <v>302</v>
      </c>
      <c r="B95" s="1" t="e">
        <f ca="1">_xludf.LET(_xlpm.x,LOWER(TRIM(A95)),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5" s="5" t="s">
        <v>618</v>
      </c>
      <c r="D95" s="1">
        <f t="shared" si="6"/>
        <v>1</v>
      </c>
      <c r="F95" s="1" t="str">
        <f t="shared" si="7"/>
        <v/>
      </c>
      <c r="G95" s="5" t="s">
        <v>204</v>
      </c>
      <c r="H95" s="1">
        <f t="shared" si="8"/>
        <v>1</v>
      </c>
      <c r="I95" s="5" t="s">
        <v>242</v>
      </c>
      <c r="J95" s="1">
        <f t="shared" si="9"/>
        <v>3</v>
      </c>
      <c r="K95" s="5" t="s">
        <v>242</v>
      </c>
      <c r="L95" s="1">
        <f t="shared" si="10"/>
        <v>3</v>
      </c>
      <c r="M95" s="1">
        <v>25</v>
      </c>
      <c r="N95" s="1" t="s">
        <v>987</v>
      </c>
      <c r="O95" s="1">
        <f t="shared" si="11"/>
        <v>0</v>
      </c>
      <c r="P95" s="1">
        <v>18</v>
      </c>
      <c r="Q95" s="1">
        <v>24</v>
      </c>
      <c r="R95" s="1">
        <v>450000</v>
      </c>
      <c r="S95" s="1">
        <v>2</v>
      </c>
    </row>
    <row r="96" spans="1:19" ht="12.75" customHeight="1" x14ac:dyDescent="0.15">
      <c r="A96" s="5" t="s">
        <v>213</v>
      </c>
      <c r="B96" s="1" t="e">
        <f ca="1">_xludf.LET(_xlpm.x,LOWER(TRIM(A96)),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6" s="5" t="s">
        <v>223</v>
      </c>
      <c r="D96" s="1">
        <f t="shared" si="6"/>
        <v>0</v>
      </c>
      <c r="F96" s="1" t="str">
        <f t="shared" si="7"/>
        <v/>
      </c>
      <c r="G96" s="5" t="s">
        <v>204</v>
      </c>
      <c r="H96" s="1">
        <f t="shared" si="8"/>
        <v>1</v>
      </c>
      <c r="I96" s="5" t="s">
        <v>207</v>
      </c>
      <c r="J96" s="1" t="str">
        <f t="shared" si="9"/>
        <v/>
      </c>
      <c r="K96" s="5" t="s">
        <v>207</v>
      </c>
      <c r="L96" s="1" t="str">
        <f t="shared" si="10"/>
        <v/>
      </c>
      <c r="M96" s="1">
        <v>25</v>
      </c>
      <c r="N96" s="1" t="s">
        <v>989</v>
      </c>
      <c r="O96" s="1">
        <f t="shared" si="11"/>
        <v>1</v>
      </c>
      <c r="P96" s="1">
        <v>2</v>
      </c>
      <c r="Q96" s="1">
        <v>34</v>
      </c>
      <c r="R96" s="1">
        <v>1200000</v>
      </c>
      <c r="S96" s="1">
        <v>1</v>
      </c>
    </row>
    <row r="97" spans="1:19" ht="12.75" customHeight="1" x14ac:dyDescent="0.15">
      <c r="A97" s="5" t="s">
        <v>302</v>
      </c>
      <c r="B97" s="1" t="e">
        <f ca="1">_xludf.LET(_xlpm.x,LOWER(TRIM(A97)),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7" s="5" t="s">
        <v>223</v>
      </c>
      <c r="D97" s="1">
        <f t="shared" si="6"/>
        <v>0</v>
      </c>
      <c r="F97" s="1" t="str">
        <f t="shared" si="7"/>
        <v/>
      </c>
      <c r="G97" s="5" t="s">
        <v>204</v>
      </c>
      <c r="H97" s="1">
        <f t="shared" si="8"/>
        <v>1</v>
      </c>
      <c r="I97" s="5" t="s">
        <v>271</v>
      </c>
      <c r="J97" s="1">
        <f t="shared" si="9"/>
        <v>4</v>
      </c>
      <c r="K97" s="5" t="s">
        <v>271</v>
      </c>
      <c r="L97" s="1">
        <f t="shared" si="10"/>
        <v>4</v>
      </c>
      <c r="M97" s="1">
        <v>25</v>
      </c>
      <c r="N97" s="1" t="s">
        <v>1000</v>
      </c>
      <c r="O97" s="1">
        <f t="shared" si="11"/>
        <v>0</v>
      </c>
      <c r="P97" s="1">
        <v>6</v>
      </c>
      <c r="Q97" s="1">
        <v>9</v>
      </c>
      <c r="R97" s="1">
        <v>100000</v>
      </c>
      <c r="S97" s="1">
        <v>2</v>
      </c>
    </row>
    <row r="98" spans="1:19" ht="12.75" customHeight="1" x14ac:dyDescent="0.15">
      <c r="A98" s="5" t="s">
        <v>213</v>
      </c>
      <c r="B98" s="1" t="e">
        <f ca="1">_xludf.LET(_xlpm.x,LOWER(TRIM(A98)),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8" s="5" t="s">
        <v>223</v>
      </c>
      <c r="D98" s="1">
        <f t="shared" si="6"/>
        <v>0</v>
      </c>
      <c r="F98" s="1" t="str">
        <f t="shared" si="7"/>
        <v/>
      </c>
      <c r="G98" s="5" t="s">
        <v>204</v>
      </c>
      <c r="H98" s="1">
        <f t="shared" si="8"/>
        <v>1</v>
      </c>
      <c r="I98" s="5" t="s">
        <v>278</v>
      </c>
      <c r="J98" s="1">
        <f t="shared" si="9"/>
        <v>5</v>
      </c>
      <c r="K98" s="5" t="s">
        <v>278</v>
      </c>
      <c r="L98" s="1">
        <f t="shared" si="10"/>
        <v>5</v>
      </c>
      <c r="M98" s="1">
        <v>26</v>
      </c>
      <c r="N98" s="1" t="s">
        <v>987</v>
      </c>
      <c r="O98" s="1">
        <f t="shared" si="11"/>
        <v>0</v>
      </c>
      <c r="P98" s="1">
        <v>16</v>
      </c>
      <c r="Q98" s="1">
        <v>3</v>
      </c>
      <c r="R98" s="1">
        <v>450000</v>
      </c>
      <c r="S98" s="1">
        <v>2</v>
      </c>
    </row>
    <row r="99" spans="1:19" ht="12.75" customHeight="1" x14ac:dyDescent="0.15">
      <c r="A99" s="5" t="s">
        <v>285</v>
      </c>
      <c r="B99" s="1" t="e">
        <f ca="1">_xludf.LET(_xlpm.x,LOWER(TRIM(A99)),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9" s="5" t="s">
        <v>223</v>
      </c>
      <c r="D99" s="1">
        <f t="shared" si="6"/>
        <v>0</v>
      </c>
      <c r="F99" s="1" t="str">
        <f t="shared" si="7"/>
        <v/>
      </c>
      <c r="G99" s="5" t="s">
        <v>204</v>
      </c>
      <c r="H99" s="1">
        <f t="shared" si="8"/>
        <v>1</v>
      </c>
      <c r="I99" s="5" t="s">
        <v>207</v>
      </c>
      <c r="J99" s="1" t="str">
        <f t="shared" si="9"/>
        <v/>
      </c>
      <c r="K99" s="5" t="s">
        <v>215</v>
      </c>
      <c r="L99" s="1">
        <f t="shared" si="10"/>
        <v>2</v>
      </c>
      <c r="M99" s="1">
        <v>26</v>
      </c>
      <c r="N99" s="1" t="s">
        <v>1001</v>
      </c>
      <c r="O99" s="1">
        <f t="shared" si="11"/>
        <v>0</v>
      </c>
      <c r="P99" s="1">
        <v>14</v>
      </c>
      <c r="Q99" s="1">
        <v>14</v>
      </c>
      <c r="R99" s="1">
        <v>300000</v>
      </c>
      <c r="S99" s="1">
        <v>6</v>
      </c>
    </row>
    <row r="100" spans="1:19" ht="12.75" customHeight="1" x14ac:dyDescent="0.15">
      <c r="A100" s="5" t="s">
        <v>269</v>
      </c>
      <c r="B100" s="1" t="e">
        <f ca="1">_xludf.LET(_xlpm.x,LOWER(TRIM(A100)),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0" s="5" t="s">
        <v>223</v>
      </c>
      <c r="D100" s="1">
        <f t="shared" si="6"/>
        <v>0</v>
      </c>
      <c r="E100" s="5" t="s">
        <v>204</v>
      </c>
      <c r="F100" s="1">
        <f t="shared" si="7"/>
        <v>1</v>
      </c>
      <c r="G100" s="5" t="s">
        <v>204</v>
      </c>
      <c r="H100" s="1">
        <f t="shared" si="8"/>
        <v>1</v>
      </c>
      <c r="I100" s="5" t="s">
        <v>207</v>
      </c>
      <c r="J100" s="1" t="str">
        <f t="shared" si="9"/>
        <v/>
      </c>
      <c r="K100" s="5" t="s">
        <v>215</v>
      </c>
      <c r="L100" s="1">
        <f t="shared" si="10"/>
        <v>2</v>
      </c>
      <c r="M100" s="1">
        <v>26</v>
      </c>
      <c r="N100" s="1" t="s">
        <v>998</v>
      </c>
      <c r="O100" s="1">
        <f t="shared" si="11"/>
        <v>0</v>
      </c>
      <c r="P100" s="1">
        <v>14</v>
      </c>
      <c r="Q100" s="1">
        <v>2</v>
      </c>
      <c r="R100" s="1">
        <v>600000</v>
      </c>
      <c r="S100" s="1">
        <v>2</v>
      </c>
    </row>
    <row r="101" spans="1:19" ht="12.75" customHeight="1" x14ac:dyDescent="0.15">
      <c r="A101" s="5" t="s">
        <v>269</v>
      </c>
      <c r="B101" s="1" t="e">
        <f ca="1">_xludf.LET(_xlpm.x,LOWER(TRIM(A101)),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1" s="5" t="s">
        <v>358</v>
      </c>
      <c r="D101" s="1">
        <f t="shared" si="6"/>
        <v>1</v>
      </c>
      <c r="E101" s="5" t="s">
        <v>204</v>
      </c>
      <c r="F101" s="1">
        <f t="shared" si="7"/>
        <v>1</v>
      </c>
      <c r="G101" s="5" t="s">
        <v>204</v>
      </c>
      <c r="H101" s="1">
        <f t="shared" si="8"/>
        <v>1</v>
      </c>
      <c r="I101" s="5" t="s">
        <v>207</v>
      </c>
      <c r="J101" s="1" t="str">
        <f t="shared" si="9"/>
        <v/>
      </c>
      <c r="K101" s="5" t="s">
        <v>264</v>
      </c>
      <c r="L101" s="1">
        <f t="shared" si="10"/>
        <v>1</v>
      </c>
      <c r="M101" s="1">
        <v>26</v>
      </c>
      <c r="N101" s="1" t="s">
        <v>1000</v>
      </c>
      <c r="O101" s="1">
        <f t="shared" si="11"/>
        <v>0</v>
      </c>
      <c r="P101" s="1">
        <v>15</v>
      </c>
      <c r="Q101" s="1">
        <v>24</v>
      </c>
      <c r="R101" s="1">
        <v>350000</v>
      </c>
      <c r="S101" s="1">
        <v>2</v>
      </c>
    </row>
    <row r="102" spans="1:19" ht="12.75" customHeight="1" x14ac:dyDescent="0.15">
      <c r="A102" s="5" t="s">
        <v>269</v>
      </c>
      <c r="B102" s="1" t="e">
        <f ca="1">_xludf.LET(_xlpm.x,LOWER(TRIM(A102)),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2" s="5" t="s">
        <v>433</v>
      </c>
      <c r="D102" s="1">
        <f t="shared" si="6"/>
        <v>1</v>
      </c>
      <c r="F102" s="1" t="str">
        <f t="shared" si="7"/>
        <v/>
      </c>
      <c r="G102" s="5" t="s">
        <v>204</v>
      </c>
      <c r="H102" s="1">
        <f t="shared" si="8"/>
        <v>1</v>
      </c>
      <c r="I102" s="5" t="s">
        <v>215</v>
      </c>
      <c r="J102" s="1">
        <f t="shared" si="9"/>
        <v>2</v>
      </c>
      <c r="K102" s="5" t="s">
        <v>264</v>
      </c>
      <c r="L102" s="1">
        <f t="shared" si="10"/>
        <v>1</v>
      </c>
      <c r="M102" s="1">
        <v>26</v>
      </c>
      <c r="N102" s="1" t="s">
        <v>997</v>
      </c>
      <c r="O102" s="1">
        <f t="shared" si="11"/>
        <v>0</v>
      </c>
      <c r="P102" s="1">
        <v>18</v>
      </c>
      <c r="Q102" s="1">
        <v>2</v>
      </c>
      <c r="R102" s="1">
        <v>550000</v>
      </c>
      <c r="S102" s="1">
        <v>2</v>
      </c>
    </row>
    <row r="103" spans="1:19" ht="12.75" customHeight="1" x14ac:dyDescent="0.15">
      <c r="A103" s="5" t="s">
        <v>269</v>
      </c>
      <c r="B103" s="1" t="e">
        <f ca="1">_xludf.LET(_xlpm.x,LOWER(TRIM(A103)),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3" s="5" t="s">
        <v>648</v>
      </c>
      <c r="D103" s="1">
        <f t="shared" si="6"/>
        <v>1</v>
      </c>
      <c r="E103" s="5" t="s">
        <v>204</v>
      </c>
      <c r="F103" s="1">
        <f t="shared" si="7"/>
        <v>1</v>
      </c>
      <c r="G103" s="5" t="s">
        <v>204</v>
      </c>
      <c r="H103" s="1">
        <f t="shared" si="8"/>
        <v>1</v>
      </c>
      <c r="I103" s="5" t="s">
        <v>278</v>
      </c>
      <c r="J103" s="1">
        <f t="shared" si="9"/>
        <v>5</v>
      </c>
      <c r="K103" s="5" t="s">
        <v>278</v>
      </c>
      <c r="L103" s="1">
        <f t="shared" si="10"/>
        <v>5</v>
      </c>
      <c r="M103" s="1">
        <v>26</v>
      </c>
      <c r="N103" s="1" t="s">
        <v>1001</v>
      </c>
      <c r="O103" s="1">
        <f t="shared" si="11"/>
        <v>0</v>
      </c>
      <c r="P103" s="1">
        <v>15</v>
      </c>
      <c r="Q103" s="1">
        <v>34</v>
      </c>
      <c r="R103" s="1">
        <v>60000</v>
      </c>
      <c r="S103" s="1">
        <v>4</v>
      </c>
    </row>
    <row r="104" spans="1:19" ht="12.75" customHeight="1" x14ac:dyDescent="0.15">
      <c r="A104" s="5" t="s">
        <v>269</v>
      </c>
      <c r="B104" s="1" t="e">
        <f ca="1">_xludf.LET(_xlpm.x,LOWER(TRIM(A104)),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4" s="5" t="s">
        <v>223</v>
      </c>
      <c r="D104" s="1">
        <f t="shared" si="6"/>
        <v>0</v>
      </c>
      <c r="F104" s="1" t="str">
        <f t="shared" si="7"/>
        <v/>
      </c>
      <c r="G104" s="5" t="s">
        <v>204</v>
      </c>
      <c r="H104" s="1">
        <f t="shared" si="8"/>
        <v>1</v>
      </c>
      <c r="I104" s="5" t="s">
        <v>242</v>
      </c>
      <c r="J104" s="1">
        <f t="shared" si="9"/>
        <v>3</v>
      </c>
      <c r="K104" s="5" t="s">
        <v>242</v>
      </c>
      <c r="L104" s="1">
        <f t="shared" si="10"/>
        <v>3</v>
      </c>
      <c r="M104" s="1">
        <v>26</v>
      </c>
      <c r="N104" s="1" t="s">
        <v>990</v>
      </c>
      <c r="O104" s="1">
        <f t="shared" si="11"/>
        <v>0</v>
      </c>
      <c r="P104" s="1">
        <v>2</v>
      </c>
      <c r="Q104" s="1">
        <v>24</v>
      </c>
      <c r="R104" s="1">
        <v>-99</v>
      </c>
      <c r="S104" s="1">
        <v>1</v>
      </c>
    </row>
    <row r="105" spans="1:19" ht="12.75" customHeight="1" x14ac:dyDescent="0.15">
      <c r="A105" s="5" t="s">
        <v>277</v>
      </c>
      <c r="B105" s="1" t="e">
        <f ca="1">_xludf.LET(_xlpm.x,LOWER(TRIM(A105)),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5" s="5" t="s">
        <v>223</v>
      </c>
      <c r="D105" s="1">
        <f t="shared" si="6"/>
        <v>0</v>
      </c>
      <c r="E105" s="5" t="s">
        <v>204</v>
      </c>
      <c r="F105" s="1">
        <f t="shared" si="7"/>
        <v>1</v>
      </c>
      <c r="G105" s="5" t="s">
        <v>204</v>
      </c>
      <c r="H105" s="1">
        <f t="shared" si="8"/>
        <v>1</v>
      </c>
      <c r="I105" s="5" t="s">
        <v>242</v>
      </c>
      <c r="J105" s="1">
        <f t="shared" si="9"/>
        <v>3</v>
      </c>
      <c r="K105" s="5" t="s">
        <v>278</v>
      </c>
      <c r="L105" s="1">
        <f t="shared" si="10"/>
        <v>5</v>
      </c>
      <c r="M105" s="1">
        <v>27</v>
      </c>
      <c r="N105" s="1" t="s">
        <v>989</v>
      </c>
      <c r="O105" s="1">
        <f t="shared" si="11"/>
        <v>1</v>
      </c>
      <c r="P105" s="1">
        <v>18</v>
      </c>
      <c r="Q105" s="1">
        <v>24</v>
      </c>
      <c r="R105" s="1">
        <v>900000</v>
      </c>
      <c r="S105" s="1">
        <v>4</v>
      </c>
    </row>
    <row r="106" spans="1:19" ht="12.75" customHeight="1" x14ac:dyDescent="0.15">
      <c r="A106" s="5" t="s">
        <v>277</v>
      </c>
      <c r="B106" s="1" t="e">
        <f ca="1">_xludf.LET(_xlpm.x,LOWER(TRIM(A106)),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6" s="5" t="s">
        <v>223</v>
      </c>
      <c r="D106" s="1">
        <f t="shared" si="6"/>
        <v>0</v>
      </c>
      <c r="F106" s="1" t="str">
        <f t="shared" si="7"/>
        <v/>
      </c>
      <c r="G106" s="5" t="s">
        <v>204</v>
      </c>
      <c r="H106" s="1">
        <f t="shared" si="8"/>
        <v>1</v>
      </c>
      <c r="I106" s="5" t="s">
        <v>271</v>
      </c>
      <c r="J106" s="1">
        <f t="shared" si="9"/>
        <v>4</v>
      </c>
      <c r="K106" s="5" t="s">
        <v>242</v>
      </c>
      <c r="L106" s="1">
        <f t="shared" si="10"/>
        <v>3</v>
      </c>
      <c r="M106" s="1">
        <v>28</v>
      </c>
      <c r="N106" s="1" t="s">
        <v>1000</v>
      </c>
      <c r="O106" s="1">
        <f t="shared" si="11"/>
        <v>0</v>
      </c>
      <c r="P106" s="1">
        <v>17</v>
      </c>
      <c r="Q106" s="1">
        <v>3</v>
      </c>
      <c r="R106" s="1">
        <v>240000</v>
      </c>
      <c r="S106" s="1">
        <v>3</v>
      </c>
    </row>
    <row r="107" spans="1:19" ht="12.75" customHeight="1" x14ac:dyDescent="0.15">
      <c r="A107" s="5" t="s">
        <v>213</v>
      </c>
      <c r="B107" s="1" t="e">
        <f ca="1">_xludf.LET(_xlpm.x,LOWER(TRIM(A107)),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7" s="5" t="s">
        <v>223</v>
      </c>
      <c r="D107" s="1">
        <f t="shared" si="6"/>
        <v>0</v>
      </c>
      <c r="E107" s="5" t="s">
        <v>204</v>
      </c>
      <c r="F107" s="1">
        <f t="shared" si="7"/>
        <v>1</v>
      </c>
      <c r="G107" s="5" t="s">
        <v>204</v>
      </c>
      <c r="H107" s="1">
        <f t="shared" si="8"/>
        <v>1</v>
      </c>
      <c r="I107" s="5" t="s">
        <v>207</v>
      </c>
      <c r="J107" s="1" t="str">
        <f t="shared" si="9"/>
        <v/>
      </c>
      <c r="K107" s="5" t="s">
        <v>215</v>
      </c>
      <c r="L107" s="1">
        <f t="shared" si="10"/>
        <v>2</v>
      </c>
      <c r="M107" s="1">
        <v>28</v>
      </c>
      <c r="N107" s="1" t="s">
        <v>989</v>
      </c>
      <c r="O107" s="1">
        <f t="shared" si="11"/>
        <v>1</v>
      </c>
      <c r="P107" s="1">
        <v>17</v>
      </c>
      <c r="Q107" s="1">
        <v>2</v>
      </c>
      <c r="R107" s="1">
        <v>-99</v>
      </c>
      <c r="S107" s="1">
        <v>2</v>
      </c>
    </row>
    <row r="108" spans="1:19" ht="12.75" customHeight="1" x14ac:dyDescent="0.15">
      <c r="A108" s="5" t="s">
        <v>213</v>
      </c>
      <c r="B108" s="1" t="e">
        <f ca="1">_xludf.LET(_xlpm.x,LOWER(TRIM(A108)),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8" s="5" t="s">
        <v>223</v>
      </c>
      <c r="D108" s="1">
        <f t="shared" si="6"/>
        <v>0</v>
      </c>
      <c r="F108" s="1" t="str">
        <f t="shared" si="7"/>
        <v/>
      </c>
      <c r="G108" s="5" t="s">
        <v>204</v>
      </c>
      <c r="H108" s="1">
        <f t="shared" si="8"/>
        <v>1</v>
      </c>
      <c r="I108" s="5" t="s">
        <v>278</v>
      </c>
      <c r="J108" s="1">
        <f t="shared" si="9"/>
        <v>5</v>
      </c>
      <c r="K108" s="5" t="s">
        <v>242</v>
      </c>
      <c r="L108" s="1">
        <f t="shared" si="10"/>
        <v>3</v>
      </c>
      <c r="M108" s="1">
        <v>28</v>
      </c>
      <c r="N108" s="1" t="s">
        <v>1001</v>
      </c>
      <c r="O108" s="1">
        <f t="shared" si="11"/>
        <v>0</v>
      </c>
      <c r="P108" s="1">
        <v>14</v>
      </c>
      <c r="Q108" s="1">
        <v>14</v>
      </c>
      <c r="R108" s="1">
        <v>100000</v>
      </c>
      <c r="S108" s="1">
        <v>2</v>
      </c>
    </row>
    <row r="109" spans="1:19" ht="12.75" customHeight="1" x14ac:dyDescent="0.15">
      <c r="A109" s="5" t="s">
        <v>285</v>
      </c>
      <c r="B109" s="1" t="e">
        <f ca="1">_xludf.LET(_xlpm.x,LOWER(TRIM(A109)),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9" s="5" t="s">
        <v>223</v>
      </c>
      <c r="D109" s="1">
        <f t="shared" si="6"/>
        <v>0</v>
      </c>
      <c r="E109" s="5" t="s">
        <v>204</v>
      </c>
      <c r="F109" s="1">
        <f t="shared" si="7"/>
        <v>1</v>
      </c>
      <c r="G109" s="5" t="s">
        <v>204</v>
      </c>
      <c r="H109" s="1">
        <f t="shared" si="8"/>
        <v>1</v>
      </c>
      <c r="I109" s="5" t="s">
        <v>207</v>
      </c>
      <c r="J109" s="1" t="str">
        <f t="shared" si="9"/>
        <v/>
      </c>
      <c r="K109" s="5" t="s">
        <v>278</v>
      </c>
      <c r="L109" s="1">
        <f t="shared" si="10"/>
        <v>5</v>
      </c>
      <c r="M109" s="1">
        <v>28</v>
      </c>
      <c r="N109" s="1" t="s">
        <v>990</v>
      </c>
      <c r="O109" s="1">
        <f t="shared" si="11"/>
        <v>0</v>
      </c>
      <c r="P109" s="1">
        <v>3</v>
      </c>
      <c r="Q109" s="1">
        <v>2</v>
      </c>
      <c r="R109" s="1">
        <v>300000</v>
      </c>
      <c r="S109" s="1">
        <v>3</v>
      </c>
    </row>
    <row r="110" spans="1:19" ht="12.75" customHeight="1" x14ac:dyDescent="0.15">
      <c r="A110" s="5" t="s">
        <v>213</v>
      </c>
      <c r="B110" s="1" t="e">
        <f ca="1">_xludf.LET(_xlpm.x,LOWER(TRIM(A110)),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0" s="5" t="s">
        <v>223</v>
      </c>
      <c r="D110" s="1">
        <f t="shared" si="6"/>
        <v>0</v>
      </c>
      <c r="F110" s="1" t="str">
        <f t="shared" si="7"/>
        <v/>
      </c>
      <c r="G110" s="5" t="s">
        <v>204</v>
      </c>
      <c r="H110" s="1">
        <f t="shared" si="8"/>
        <v>1</v>
      </c>
      <c r="I110" s="5" t="s">
        <v>207</v>
      </c>
      <c r="J110" s="1" t="str">
        <f t="shared" si="9"/>
        <v/>
      </c>
      <c r="K110" s="5" t="s">
        <v>215</v>
      </c>
      <c r="L110" s="1">
        <f t="shared" si="10"/>
        <v>2</v>
      </c>
      <c r="M110" s="1">
        <v>29</v>
      </c>
      <c r="N110" s="1" t="s">
        <v>995</v>
      </c>
      <c r="O110" s="1">
        <f t="shared" si="11"/>
        <v>0</v>
      </c>
      <c r="P110" s="1">
        <v>14</v>
      </c>
      <c r="Q110" s="1">
        <v>1</v>
      </c>
      <c r="R110" s="1">
        <v>420000</v>
      </c>
      <c r="S110" s="1">
        <v>2</v>
      </c>
    </row>
    <row r="111" spans="1:19" ht="12.75" customHeight="1" x14ac:dyDescent="0.15">
      <c r="A111" s="5" t="s">
        <v>269</v>
      </c>
      <c r="B111" s="1" t="e">
        <f ca="1">_xludf.LET(_xlpm.x,LOWER(TRIM(A111)),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1" s="5" t="s">
        <v>223</v>
      </c>
      <c r="D111" s="1">
        <f t="shared" si="6"/>
        <v>0</v>
      </c>
      <c r="F111" s="1" t="str">
        <f t="shared" si="7"/>
        <v/>
      </c>
      <c r="G111" s="5" t="s">
        <v>204</v>
      </c>
      <c r="H111" s="1">
        <f t="shared" si="8"/>
        <v>1</v>
      </c>
      <c r="I111" s="5" t="s">
        <v>271</v>
      </c>
      <c r="J111" s="1">
        <f t="shared" si="9"/>
        <v>4</v>
      </c>
      <c r="K111" s="5" t="s">
        <v>242</v>
      </c>
      <c r="L111" s="1">
        <f t="shared" si="10"/>
        <v>3</v>
      </c>
      <c r="M111" s="1">
        <v>29</v>
      </c>
      <c r="N111" s="1" t="s">
        <v>989</v>
      </c>
      <c r="O111" s="1">
        <f t="shared" si="11"/>
        <v>1</v>
      </c>
      <c r="P111" s="1">
        <v>14</v>
      </c>
      <c r="Q111" s="1">
        <v>11</v>
      </c>
      <c r="R111" s="1">
        <v>0</v>
      </c>
      <c r="S111" s="1">
        <v>2</v>
      </c>
    </row>
    <row r="112" spans="1:19" ht="12.75" customHeight="1" x14ac:dyDescent="0.15">
      <c r="A112" s="5" t="s">
        <v>269</v>
      </c>
      <c r="B112" s="1" t="e">
        <f ca="1">_xludf.LET(_xlpm.x,LOWER(TRIM(A112)),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2" s="5" t="s">
        <v>223</v>
      </c>
      <c r="D112" s="1">
        <f t="shared" si="6"/>
        <v>0</v>
      </c>
      <c r="E112" s="5" t="s">
        <v>204</v>
      </c>
      <c r="F112" s="1">
        <f t="shared" si="7"/>
        <v>1</v>
      </c>
      <c r="G112" s="5" t="s">
        <v>204</v>
      </c>
      <c r="H112" s="1">
        <f t="shared" si="8"/>
        <v>1</v>
      </c>
      <c r="I112" s="5" t="s">
        <v>278</v>
      </c>
      <c r="J112" s="1">
        <f t="shared" si="9"/>
        <v>5</v>
      </c>
      <c r="K112" s="5" t="s">
        <v>278</v>
      </c>
      <c r="L112" s="1">
        <f t="shared" si="10"/>
        <v>5</v>
      </c>
      <c r="M112" s="1">
        <v>29</v>
      </c>
      <c r="N112" s="1" t="s">
        <v>991</v>
      </c>
      <c r="O112" s="1">
        <f t="shared" si="11"/>
        <v>0</v>
      </c>
      <c r="P112" s="1">
        <v>8</v>
      </c>
      <c r="Q112" s="1">
        <v>1</v>
      </c>
      <c r="R112" s="1">
        <v>380000</v>
      </c>
      <c r="S112" s="1">
        <v>3</v>
      </c>
    </row>
    <row r="113" spans="1:19" ht="12.75" customHeight="1" x14ac:dyDescent="0.15">
      <c r="A113" s="5" t="s">
        <v>269</v>
      </c>
      <c r="B113" s="1" t="e">
        <f ca="1">_xludf.LET(_xlpm.x,LOWER(TRIM(A113)),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3" s="5" t="s">
        <v>223</v>
      </c>
      <c r="D113" s="1">
        <f t="shared" si="6"/>
        <v>0</v>
      </c>
      <c r="E113" s="5" t="s">
        <v>204</v>
      </c>
      <c r="F113" s="1">
        <f t="shared" si="7"/>
        <v>1</v>
      </c>
      <c r="G113" s="5" t="s">
        <v>204</v>
      </c>
      <c r="H113" s="1">
        <f t="shared" si="8"/>
        <v>1</v>
      </c>
      <c r="I113" s="5" t="s">
        <v>278</v>
      </c>
      <c r="J113" s="1">
        <f t="shared" si="9"/>
        <v>5</v>
      </c>
      <c r="K113" s="5" t="s">
        <v>271</v>
      </c>
      <c r="L113" s="1">
        <f t="shared" si="10"/>
        <v>4</v>
      </c>
      <c r="M113" s="1">
        <v>29</v>
      </c>
      <c r="N113" s="1" t="s">
        <v>987</v>
      </c>
      <c r="O113" s="1">
        <f t="shared" si="11"/>
        <v>0</v>
      </c>
      <c r="P113" s="1">
        <v>4</v>
      </c>
      <c r="Q113" s="1">
        <v>2</v>
      </c>
      <c r="R113" s="1">
        <v>50000</v>
      </c>
      <c r="S113" s="1">
        <v>3</v>
      </c>
    </row>
    <row r="114" spans="1:19" ht="12.75" customHeight="1" x14ac:dyDescent="0.15">
      <c r="A114" s="5" t="s">
        <v>269</v>
      </c>
      <c r="B114" s="1" t="e">
        <f ca="1">_xludf.LET(_xlpm.x,LOWER(TRIM(A114)),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4" s="5" t="s">
        <v>223</v>
      </c>
      <c r="D114" s="1">
        <f t="shared" si="6"/>
        <v>0</v>
      </c>
      <c r="E114" s="5" t="s">
        <v>204</v>
      </c>
      <c r="F114" s="1">
        <f t="shared" si="7"/>
        <v>1</v>
      </c>
      <c r="G114" s="5" t="s">
        <v>204</v>
      </c>
      <c r="H114" s="1">
        <f t="shared" si="8"/>
        <v>1</v>
      </c>
      <c r="I114" s="5" t="s">
        <v>242</v>
      </c>
      <c r="J114" s="1">
        <f t="shared" si="9"/>
        <v>3</v>
      </c>
      <c r="K114" s="5" t="s">
        <v>264</v>
      </c>
      <c r="L114" s="1">
        <f t="shared" si="10"/>
        <v>1</v>
      </c>
      <c r="M114" s="1">
        <v>29</v>
      </c>
      <c r="N114" s="1" t="s">
        <v>987</v>
      </c>
      <c r="O114" s="1">
        <f t="shared" si="11"/>
        <v>0</v>
      </c>
      <c r="P114" s="1">
        <v>15</v>
      </c>
      <c r="Q114" s="1">
        <v>2</v>
      </c>
      <c r="R114" s="1">
        <v>250000</v>
      </c>
      <c r="S114" s="1">
        <v>2</v>
      </c>
    </row>
    <row r="115" spans="1:19" ht="12.75" customHeight="1" x14ac:dyDescent="0.15">
      <c r="A115" s="5" t="s">
        <v>285</v>
      </c>
      <c r="B115" s="1" t="e">
        <f ca="1">_xludf.LET(_xlpm.x,LOWER(TRIM(A115)),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5" s="5" t="s">
        <v>223</v>
      </c>
      <c r="D115" s="1">
        <f t="shared" si="6"/>
        <v>0</v>
      </c>
      <c r="E115" s="5" t="s">
        <v>204</v>
      </c>
      <c r="F115" s="1">
        <f t="shared" si="7"/>
        <v>1</v>
      </c>
      <c r="G115" s="5" t="s">
        <v>204</v>
      </c>
      <c r="H115" s="1">
        <f t="shared" si="8"/>
        <v>1</v>
      </c>
      <c r="I115" s="5" t="s">
        <v>278</v>
      </c>
      <c r="J115" s="1">
        <f t="shared" si="9"/>
        <v>5</v>
      </c>
      <c r="K115" s="5" t="s">
        <v>278</v>
      </c>
      <c r="L115" s="1">
        <f t="shared" si="10"/>
        <v>5</v>
      </c>
      <c r="M115" s="1">
        <v>29</v>
      </c>
      <c r="N115" s="1" t="s">
        <v>990</v>
      </c>
      <c r="O115" s="1">
        <f t="shared" si="11"/>
        <v>0</v>
      </c>
      <c r="P115" s="1">
        <v>14</v>
      </c>
      <c r="Q115" s="1">
        <v>34</v>
      </c>
      <c r="R115" s="1">
        <v>-99</v>
      </c>
      <c r="S115" s="1">
        <v>2</v>
      </c>
    </row>
    <row r="116" spans="1:19" ht="12.75" customHeight="1" x14ac:dyDescent="0.15">
      <c r="A116" s="5" t="s">
        <v>213</v>
      </c>
      <c r="B116" s="1" t="e">
        <f ca="1">_xludf.LET(_xlpm.x,LOWER(TRIM(A116)),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6" s="5" t="s">
        <v>223</v>
      </c>
      <c r="D116" s="1">
        <f t="shared" si="6"/>
        <v>0</v>
      </c>
      <c r="F116" s="1" t="str">
        <f t="shared" si="7"/>
        <v/>
      </c>
      <c r="G116" s="5" t="s">
        <v>204</v>
      </c>
      <c r="H116" s="1">
        <f t="shared" si="8"/>
        <v>1</v>
      </c>
      <c r="I116" s="5" t="s">
        <v>278</v>
      </c>
      <c r="J116" s="1">
        <f t="shared" si="9"/>
        <v>5</v>
      </c>
      <c r="K116" s="5" t="s">
        <v>278</v>
      </c>
      <c r="L116" s="1">
        <f t="shared" si="10"/>
        <v>5</v>
      </c>
      <c r="M116" s="1">
        <v>29</v>
      </c>
      <c r="N116" s="1" t="s">
        <v>989</v>
      </c>
      <c r="O116" s="1">
        <f t="shared" si="11"/>
        <v>1</v>
      </c>
      <c r="P116" s="1">
        <v>17</v>
      </c>
      <c r="Q116" s="1">
        <v>6</v>
      </c>
      <c r="R116" s="1">
        <v>410000</v>
      </c>
      <c r="S116" s="1">
        <v>3</v>
      </c>
    </row>
    <row r="117" spans="1:19" ht="12.75" customHeight="1" x14ac:dyDescent="0.15">
      <c r="A117" s="5" t="s">
        <v>269</v>
      </c>
      <c r="B117" s="1" t="e">
        <f ca="1">_xludf.LET(_xlpm.x,LOWER(TRIM(A117)),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7" s="5" t="s">
        <v>223</v>
      </c>
      <c r="D117" s="1">
        <f t="shared" si="6"/>
        <v>0</v>
      </c>
      <c r="F117" s="1" t="str">
        <f t="shared" si="7"/>
        <v/>
      </c>
      <c r="G117" s="5" t="s">
        <v>204</v>
      </c>
      <c r="H117" s="1">
        <f t="shared" si="8"/>
        <v>1</v>
      </c>
      <c r="I117" s="5" t="s">
        <v>271</v>
      </c>
      <c r="J117" s="1">
        <f t="shared" si="9"/>
        <v>4</v>
      </c>
      <c r="K117" s="5" t="s">
        <v>278</v>
      </c>
      <c r="L117" s="1">
        <f t="shared" si="10"/>
        <v>5</v>
      </c>
      <c r="M117" s="1">
        <v>29</v>
      </c>
      <c r="N117" s="1" t="s">
        <v>999</v>
      </c>
      <c r="O117" s="1">
        <f t="shared" si="11"/>
        <v>0</v>
      </c>
      <c r="P117" s="1">
        <v>6</v>
      </c>
      <c r="Q117" s="1">
        <v>34</v>
      </c>
      <c r="R117" s="1">
        <v>1000000</v>
      </c>
      <c r="S117" s="1">
        <v>4</v>
      </c>
    </row>
    <row r="118" spans="1:19" ht="12.75" customHeight="1" x14ac:dyDescent="0.15">
      <c r="A118" s="5" t="s">
        <v>302</v>
      </c>
      <c r="B118" s="1" t="e">
        <f ca="1">_xludf.LET(_xlpm.x,LOWER(TRIM(A118)),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8" s="5" t="s">
        <v>223</v>
      </c>
      <c r="D118" s="1">
        <f t="shared" si="6"/>
        <v>0</v>
      </c>
      <c r="F118" s="1" t="str">
        <f t="shared" si="7"/>
        <v/>
      </c>
      <c r="G118" s="5" t="s">
        <v>204</v>
      </c>
      <c r="H118" s="1">
        <f t="shared" si="8"/>
        <v>1</v>
      </c>
      <c r="I118" s="5" t="s">
        <v>278</v>
      </c>
      <c r="J118" s="1">
        <f t="shared" si="9"/>
        <v>5</v>
      </c>
      <c r="K118" s="5" t="s">
        <v>242</v>
      </c>
      <c r="L118" s="1">
        <f t="shared" si="10"/>
        <v>3</v>
      </c>
      <c r="M118" s="1">
        <v>29</v>
      </c>
      <c r="N118" s="1" t="s">
        <v>996</v>
      </c>
      <c r="O118" s="1">
        <f t="shared" si="11"/>
        <v>0</v>
      </c>
      <c r="P118" s="1">
        <v>16</v>
      </c>
      <c r="Q118" s="1">
        <v>34</v>
      </c>
      <c r="R118" s="1">
        <v>250000</v>
      </c>
      <c r="S118" s="1">
        <v>3</v>
      </c>
    </row>
    <row r="119" spans="1:19" ht="12.75" customHeight="1" x14ac:dyDescent="0.15">
      <c r="A119" s="5" t="s">
        <v>285</v>
      </c>
      <c r="B119" s="1" t="e">
        <f ca="1">_xludf.LET(_xlpm.x,LOWER(TRIM(A119)),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9" s="5" t="s">
        <v>349</v>
      </c>
      <c r="D119" s="1">
        <f t="shared" si="6"/>
        <v>1</v>
      </c>
      <c r="F119" s="1" t="str">
        <f t="shared" si="7"/>
        <v/>
      </c>
      <c r="G119" s="5" t="s">
        <v>204</v>
      </c>
      <c r="H119" s="1">
        <f t="shared" si="8"/>
        <v>1</v>
      </c>
      <c r="I119" s="5" t="s">
        <v>207</v>
      </c>
      <c r="J119" s="1" t="str">
        <f t="shared" si="9"/>
        <v/>
      </c>
      <c r="K119" s="5" t="s">
        <v>264</v>
      </c>
      <c r="L119" s="1">
        <f t="shared" si="10"/>
        <v>1</v>
      </c>
      <c r="M119" s="1">
        <v>29</v>
      </c>
      <c r="N119" s="1" t="s">
        <v>1000</v>
      </c>
      <c r="O119" s="1">
        <f t="shared" si="11"/>
        <v>0</v>
      </c>
      <c r="P119" s="1">
        <v>2</v>
      </c>
      <c r="Q119" s="1">
        <v>2</v>
      </c>
      <c r="R119" s="1">
        <v>650000</v>
      </c>
      <c r="S119" s="1">
        <v>1</v>
      </c>
    </row>
    <row r="120" spans="1:19" ht="12.75" customHeight="1" x14ac:dyDescent="0.15">
      <c r="A120" s="5" t="s">
        <v>277</v>
      </c>
      <c r="B120" s="1" t="e">
        <f ca="1">_xludf.LET(_xlpm.x,LOWER(TRIM(A120)),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0" s="5" t="s">
        <v>223</v>
      </c>
      <c r="D120" s="1">
        <f t="shared" si="6"/>
        <v>0</v>
      </c>
      <c r="F120" s="1" t="str">
        <f t="shared" si="7"/>
        <v/>
      </c>
      <c r="G120" s="5" t="s">
        <v>204</v>
      </c>
      <c r="H120" s="1">
        <f t="shared" si="8"/>
        <v>1</v>
      </c>
      <c r="I120" s="5" t="s">
        <v>215</v>
      </c>
      <c r="J120" s="1">
        <f t="shared" si="9"/>
        <v>2</v>
      </c>
      <c r="K120" s="5" t="s">
        <v>215</v>
      </c>
      <c r="L120" s="1">
        <f t="shared" si="10"/>
        <v>2</v>
      </c>
      <c r="M120" s="1">
        <v>30</v>
      </c>
      <c r="N120" s="1" t="s">
        <v>992</v>
      </c>
      <c r="O120" s="1">
        <f t="shared" si="11"/>
        <v>0</v>
      </c>
      <c r="P120" s="1">
        <v>14</v>
      </c>
      <c r="Q120" s="1">
        <v>24</v>
      </c>
      <c r="R120" s="1">
        <v>500000</v>
      </c>
      <c r="S120" s="1">
        <v>5</v>
      </c>
    </row>
    <row r="121" spans="1:19" ht="12.75" customHeight="1" x14ac:dyDescent="0.15">
      <c r="A121" s="5" t="s">
        <v>213</v>
      </c>
      <c r="B121" s="1" t="e">
        <f ca="1">_xludf.LET(_xlpm.x,LOWER(TRIM(A121)),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1" s="5" t="s">
        <v>223</v>
      </c>
      <c r="D121" s="1">
        <f t="shared" si="6"/>
        <v>0</v>
      </c>
      <c r="F121" s="1" t="str">
        <f t="shared" si="7"/>
        <v/>
      </c>
      <c r="G121" s="5" t="s">
        <v>204</v>
      </c>
      <c r="H121" s="1">
        <f t="shared" si="8"/>
        <v>1</v>
      </c>
      <c r="I121" s="5" t="s">
        <v>242</v>
      </c>
      <c r="J121" s="1">
        <f t="shared" si="9"/>
        <v>3</v>
      </c>
      <c r="K121" s="5" t="s">
        <v>242</v>
      </c>
      <c r="L121" s="1">
        <f t="shared" si="10"/>
        <v>3</v>
      </c>
      <c r="M121" s="1">
        <v>30</v>
      </c>
      <c r="N121" s="1" t="s">
        <v>987</v>
      </c>
      <c r="O121" s="1">
        <f t="shared" si="11"/>
        <v>0</v>
      </c>
      <c r="P121" s="1">
        <v>16</v>
      </c>
      <c r="Q121" s="1">
        <v>1</v>
      </c>
      <c r="R121" s="1">
        <v>600000</v>
      </c>
      <c r="S121" s="1">
        <v>1</v>
      </c>
    </row>
    <row r="122" spans="1:19" ht="12.75" customHeight="1" x14ac:dyDescent="0.15">
      <c r="A122" s="5" t="s">
        <v>213</v>
      </c>
      <c r="B122" s="1" t="e">
        <f ca="1">_xludf.LET(_xlpm.x,LOWER(TRIM(A122)),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2" s="5" t="s">
        <v>223</v>
      </c>
      <c r="D122" s="1">
        <f t="shared" si="6"/>
        <v>0</v>
      </c>
      <c r="F122" s="1" t="str">
        <f t="shared" si="7"/>
        <v/>
      </c>
      <c r="G122" s="5" t="s">
        <v>204</v>
      </c>
      <c r="H122" s="1">
        <f t="shared" si="8"/>
        <v>1</v>
      </c>
      <c r="I122" s="5" t="s">
        <v>242</v>
      </c>
      <c r="J122" s="1">
        <f t="shared" si="9"/>
        <v>3</v>
      </c>
      <c r="K122" s="5" t="s">
        <v>242</v>
      </c>
      <c r="L122" s="1">
        <f t="shared" si="10"/>
        <v>3</v>
      </c>
      <c r="M122" s="1">
        <v>30</v>
      </c>
      <c r="N122" s="1" t="s">
        <v>989</v>
      </c>
      <c r="O122" s="1">
        <f t="shared" si="11"/>
        <v>1</v>
      </c>
      <c r="P122" s="1">
        <v>17</v>
      </c>
      <c r="Q122" s="1">
        <v>24</v>
      </c>
      <c r="R122" s="1">
        <v>400000</v>
      </c>
      <c r="S122" s="1">
        <v>4</v>
      </c>
    </row>
    <row r="123" spans="1:19" ht="12.75" customHeight="1" x14ac:dyDescent="0.15">
      <c r="A123" s="5" t="s">
        <v>302</v>
      </c>
      <c r="B123" s="1" t="e">
        <f ca="1">_xludf.LET(_xlpm.x,LOWER(TRIM(A123)),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3" s="5" t="s">
        <v>223</v>
      </c>
      <c r="D123" s="1">
        <f t="shared" si="6"/>
        <v>0</v>
      </c>
      <c r="F123" s="1" t="str">
        <f t="shared" si="7"/>
        <v/>
      </c>
      <c r="G123" s="5" t="s">
        <v>204</v>
      </c>
      <c r="H123" s="1">
        <f t="shared" si="8"/>
        <v>1</v>
      </c>
      <c r="I123" s="5" t="s">
        <v>271</v>
      </c>
      <c r="J123" s="1">
        <f t="shared" si="9"/>
        <v>4</v>
      </c>
      <c r="K123" s="5" t="s">
        <v>271</v>
      </c>
      <c r="L123" s="1">
        <f t="shared" si="10"/>
        <v>4</v>
      </c>
      <c r="M123" s="1">
        <v>30</v>
      </c>
      <c r="N123" s="1" t="s">
        <v>989</v>
      </c>
      <c r="O123" s="1">
        <f t="shared" si="11"/>
        <v>1</v>
      </c>
      <c r="P123" s="1">
        <v>4</v>
      </c>
      <c r="Q123" s="1">
        <v>24</v>
      </c>
      <c r="R123" s="1">
        <v>500000</v>
      </c>
      <c r="S123" s="1">
        <v>1</v>
      </c>
    </row>
    <row r="124" spans="1:19" ht="12.75" customHeight="1" x14ac:dyDescent="0.15">
      <c r="A124" s="5" t="s">
        <v>213</v>
      </c>
      <c r="B124" s="1" t="e">
        <f ca="1">_xludf.LET(_xlpm.x,LOWER(TRIM(A124)),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4" s="5" t="s">
        <v>223</v>
      </c>
      <c r="D124" s="1">
        <f t="shared" si="6"/>
        <v>0</v>
      </c>
      <c r="F124" s="1" t="str">
        <f t="shared" si="7"/>
        <v/>
      </c>
      <c r="G124" s="5" t="s">
        <v>204</v>
      </c>
      <c r="H124" s="1">
        <f t="shared" si="8"/>
        <v>1</v>
      </c>
      <c r="I124" s="5" t="s">
        <v>278</v>
      </c>
      <c r="J124" s="1">
        <f t="shared" si="9"/>
        <v>5</v>
      </c>
      <c r="K124" s="5" t="s">
        <v>242</v>
      </c>
      <c r="L124" s="1">
        <f t="shared" si="10"/>
        <v>3</v>
      </c>
      <c r="M124" s="1">
        <v>30</v>
      </c>
      <c r="N124" s="1" t="s">
        <v>989</v>
      </c>
      <c r="O124" s="1">
        <f t="shared" si="11"/>
        <v>1</v>
      </c>
      <c r="P124" s="1">
        <v>0</v>
      </c>
      <c r="Q124" s="1">
        <v>24</v>
      </c>
      <c r="R124" s="1">
        <v>100000</v>
      </c>
      <c r="S124" s="1">
        <v>4</v>
      </c>
    </row>
    <row r="125" spans="1:19" ht="12.75" customHeight="1" x14ac:dyDescent="0.15">
      <c r="A125" s="5" t="s">
        <v>213</v>
      </c>
      <c r="B125" s="1" t="e">
        <f ca="1">_xludf.LET(_xlpm.x,LOWER(TRIM(A125)),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5" s="5" t="s">
        <v>223</v>
      </c>
      <c r="D125" s="1">
        <f t="shared" si="6"/>
        <v>0</v>
      </c>
      <c r="F125" s="1" t="str">
        <f t="shared" si="7"/>
        <v/>
      </c>
      <c r="G125" s="5" t="s">
        <v>206</v>
      </c>
      <c r="H125" s="1">
        <f t="shared" si="8"/>
        <v>0</v>
      </c>
      <c r="J125" s="1" t="str">
        <f t="shared" si="9"/>
        <v/>
      </c>
      <c r="L125" s="1" t="str">
        <f t="shared" si="10"/>
        <v/>
      </c>
      <c r="M125" s="1">
        <v>30</v>
      </c>
      <c r="N125" s="1" t="s">
        <v>991</v>
      </c>
      <c r="O125" s="1">
        <f t="shared" si="11"/>
        <v>0</v>
      </c>
      <c r="P125" s="1">
        <v>4</v>
      </c>
      <c r="Q125" s="1">
        <v>34</v>
      </c>
      <c r="R125" s="1">
        <v>250000</v>
      </c>
      <c r="S125" s="1">
        <v>1</v>
      </c>
    </row>
    <row r="126" spans="1:19" ht="12.75" customHeight="1" x14ac:dyDescent="0.15">
      <c r="A126" s="5" t="s">
        <v>269</v>
      </c>
      <c r="B126" s="1" t="e">
        <f ca="1">_xludf.LET(_xlpm.x,LOWER(TRIM(A126)),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6" s="5" t="s">
        <v>414</v>
      </c>
      <c r="D126" s="1">
        <f t="shared" si="6"/>
        <v>1</v>
      </c>
      <c r="E126" s="5" t="s">
        <v>204</v>
      </c>
      <c r="F126" s="1">
        <f t="shared" si="7"/>
        <v>1</v>
      </c>
      <c r="G126" s="5" t="s">
        <v>204</v>
      </c>
      <c r="H126" s="1">
        <f t="shared" si="8"/>
        <v>1</v>
      </c>
      <c r="I126" s="5" t="s">
        <v>278</v>
      </c>
      <c r="J126" s="1">
        <f t="shared" si="9"/>
        <v>5</v>
      </c>
      <c r="K126" s="5" t="s">
        <v>271</v>
      </c>
      <c r="L126" s="1">
        <f t="shared" si="10"/>
        <v>4</v>
      </c>
      <c r="M126" s="1">
        <v>30</v>
      </c>
      <c r="N126" s="1" t="s">
        <v>991</v>
      </c>
      <c r="O126" s="1">
        <f t="shared" si="11"/>
        <v>0</v>
      </c>
      <c r="P126" s="1">
        <v>13</v>
      </c>
      <c r="Q126" s="1">
        <v>8</v>
      </c>
      <c r="R126" s="1">
        <v>100000</v>
      </c>
      <c r="S126" s="1">
        <v>1</v>
      </c>
    </row>
    <row r="127" spans="1:19" ht="12.75" customHeight="1" x14ac:dyDescent="0.15">
      <c r="A127" s="5" t="s">
        <v>277</v>
      </c>
      <c r="B127" s="1" t="e">
        <f ca="1">_xludf.LET(_xlpm.x,LOWER(TRIM(A127)),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7" s="5" t="s">
        <v>223</v>
      </c>
      <c r="D127" s="1">
        <f t="shared" si="6"/>
        <v>0</v>
      </c>
      <c r="F127" s="1" t="str">
        <f t="shared" si="7"/>
        <v/>
      </c>
      <c r="G127" s="5" t="s">
        <v>204</v>
      </c>
      <c r="H127" s="1">
        <f t="shared" si="8"/>
        <v>1</v>
      </c>
      <c r="I127" s="5" t="s">
        <v>207</v>
      </c>
      <c r="J127" s="1" t="str">
        <f t="shared" si="9"/>
        <v/>
      </c>
      <c r="K127" s="5" t="s">
        <v>207</v>
      </c>
      <c r="L127" s="1" t="str">
        <f t="shared" si="10"/>
        <v/>
      </c>
      <c r="M127" s="1">
        <v>30</v>
      </c>
      <c r="N127" s="1" t="s">
        <v>989</v>
      </c>
      <c r="O127" s="1">
        <f t="shared" si="11"/>
        <v>1</v>
      </c>
      <c r="P127" s="1">
        <v>13</v>
      </c>
      <c r="Q127" s="1">
        <v>2</v>
      </c>
      <c r="R127" s="1">
        <v>350000</v>
      </c>
      <c r="S127" s="1">
        <v>3</v>
      </c>
    </row>
    <row r="128" spans="1:19" ht="12.75" customHeight="1" x14ac:dyDescent="0.15">
      <c r="A128" s="5" t="s">
        <v>269</v>
      </c>
      <c r="B128" s="1" t="e">
        <f ca="1">_xludf.LET(_xlpm.x,LOWER(TRIM(A128)),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8" s="5" t="s">
        <v>223</v>
      </c>
      <c r="D128" s="1">
        <f t="shared" si="6"/>
        <v>0</v>
      </c>
      <c r="E128" s="5" t="s">
        <v>204</v>
      </c>
      <c r="F128" s="1">
        <f t="shared" si="7"/>
        <v>1</v>
      </c>
      <c r="G128" s="5" t="s">
        <v>204</v>
      </c>
      <c r="H128" s="1">
        <f t="shared" si="8"/>
        <v>1</v>
      </c>
      <c r="I128" s="5" t="s">
        <v>271</v>
      </c>
      <c r="J128" s="1">
        <f t="shared" si="9"/>
        <v>4</v>
      </c>
      <c r="K128" s="5" t="s">
        <v>242</v>
      </c>
      <c r="L128" s="1">
        <f t="shared" si="10"/>
        <v>3</v>
      </c>
      <c r="M128" s="1">
        <v>30</v>
      </c>
      <c r="N128" s="1" t="s">
        <v>989</v>
      </c>
      <c r="O128" s="1">
        <f t="shared" si="11"/>
        <v>1</v>
      </c>
      <c r="P128" s="1">
        <v>10</v>
      </c>
      <c r="Q128" s="1">
        <v>8</v>
      </c>
      <c r="R128" s="1">
        <v>-99</v>
      </c>
      <c r="S128" s="1">
        <v>3</v>
      </c>
    </row>
    <row r="129" spans="1:19" ht="12.75" customHeight="1" x14ac:dyDescent="0.15">
      <c r="A129" s="5" t="s">
        <v>213</v>
      </c>
      <c r="B129" s="1" t="e">
        <f ca="1">_xludf.LET(_xlpm.x,LOWER(TRIM(A129)),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9" s="5" t="s">
        <v>223</v>
      </c>
      <c r="D129" s="1">
        <f t="shared" si="6"/>
        <v>0</v>
      </c>
      <c r="F129" s="1" t="str">
        <f t="shared" si="7"/>
        <v/>
      </c>
      <c r="G129" s="5" t="s">
        <v>204</v>
      </c>
      <c r="H129" s="1">
        <f t="shared" si="8"/>
        <v>1</v>
      </c>
      <c r="I129" s="5" t="s">
        <v>215</v>
      </c>
      <c r="J129" s="1">
        <f t="shared" si="9"/>
        <v>2</v>
      </c>
      <c r="K129" s="5" t="s">
        <v>215</v>
      </c>
      <c r="L129" s="1">
        <f t="shared" si="10"/>
        <v>2</v>
      </c>
      <c r="M129" s="1">
        <v>30</v>
      </c>
      <c r="N129" s="1" t="s">
        <v>995</v>
      </c>
      <c r="O129" s="1">
        <f t="shared" si="11"/>
        <v>0</v>
      </c>
      <c r="P129" s="1">
        <v>2</v>
      </c>
      <c r="Q129" s="1">
        <v>15</v>
      </c>
      <c r="R129" s="1">
        <v>300000</v>
      </c>
      <c r="S129" s="1">
        <v>4</v>
      </c>
    </row>
    <row r="130" spans="1:19" ht="12.75" customHeight="1" x14ac:dyDescent="0.15">
      <c r="A130" s="5" t="s">
        <v>277</v>
      </c>
      <c r="B130" s="1" t="e">
        <f ca="1">_xludf.LET(_xlpm.x,LOWER(TRIM(A130)),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0" s="5" t="s">
        <v>223</v>
      </c>
      <c r="D130" s="1">
        <f t="shared" ref="D130:D193" si="12">IF(C130="Chilena (exclusivamente)",0,1)</f>
        <v>0</v>
      </c>
      <c r="E130" s="5" t="s">
        <v>206</v>
      </c>
      <c r="F130" s="1">
        <f t="shared" ref="F130:F193" si="13">IF(ISBLANK(E130),"",IF(OR(E130="Sí",E130="Si"),1,IF(E130="No",0,"")))</f>
        <v>0</v>
      </c>
      <c r="G130" s="5" t="s">
        <v>204</v>
      </c>
      <c r="H130" s="1">
        <f t="shared" ref="H130:H193" si="14">IF(ISBLANK(G130),"",IF(OR(G130="Sí",G130="Si"),1,IF(G130="No",0,"")))</f>
        <v>1</v>
      </c>
      <c r="I130" s="5" t="s">
        <v>215</v>
      </c>
      <c r="J130" s="1">
        <f t="shared" ref="J130:J193" si="15">IF(OR(ISBLANK(I130),TRIM(I130)="No respondió",TRIM(I130)="No respondio",TRIM(I130)="No aplica"),
   "",
   IF(TRIM(I130)="Entre 1 a 2 horas",1,
     IF(TRIM(I130)="Más de 2 horas y menos de 4 horas",2,
       IF(TRIM(I130)="Entre 4 a 6 horas",3,
         IF(TRIM(I130)="Más de 6 horas y menos de 8 horas",4,
           IF(TRIM(I130)="Más de 8 horas",5,"")
         )
       )
     )
   )
)</f>
        <v>2</v>
      </c>
      <c r="K130" s="5" t="s">
        <v>242</v>
      </c>
      <c r="L130" s="1">
        <f t="shared" ref="L130:L193" si="16">IF(OR(ISBLANK(K130),TRIM(K130)="No respondió",TRIM(K130)="No respondio",TRIM(K130)="No aplica"),
   "",
   IF(TRIM(K130)="Entre 1 a 2 horas",1,
     IF(TRIM(K130)="Más de 2 horas y menos de 4 horas",2,
       IF(TRIM(K130)="Entre 4 a 6 horas",3,
         IF(TRIM(K130)="Más de 6 horas y menos de 8 horas",4,
           IF(TRIM(K130)="Más de 8 horas",5,"")
         )
       )
     )
   )
)</f>
        <v>3</v>
      </c>
      <c r="M130" s="1">
        <v>31</v>
      </c>
      <c r="N130" s="1" t="s">
        <v>995</v>
      </c>
      <c r="O130" s="1">
        <f t="shared" ref="O130:O193" si="17">IF(N130="METROPOLITANA",1,0)</f>
        <v>0</v>
      </c>
      <c r="P130" s="1">
        <v>16</v>
      </c>
      <c r="Q130" s="1">
        <v>28</v>
      </c>
      <c r="R130" s="1">
        <v>650000</v>
      </c>
      <c r="S130" s="1">
        <v>4</v>
      </c>
    </row>
    <row r="131" spans="1:19" ht="12.75" customHeight="1" x14ac:dyDescent="0.15">
      <c r="A131" s="5" t="s">
        <v>285</v>
      </c>
      <c r="B131" s="1" t="e">
        <f ca="1">_xludf.LET(_xlpm.x,LOWER(TRIM(A131)),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1" s="5" t="s">
        <v>223</v>
      </c>
      <c r="D131" s="1">
        <f t="shared" si="12"/>
        <v>0</v>
      </c>
      <c r="E131" s="5" t="s">
        <v>204</v>
      </c>
      <c r="F131" s="1">
        <f t="shared" si="13"/>
        <v>1</v>
      </c>
      <c r="G131" s="5" t="s">
        <v>204</v>
      </c>
      <c r="H131" s="1">
        <f t="shared" si="14"/>
        <v>1</v>
      </c>
      <c r="I131" s="5" t="s">
        <v>207</v>
      </c>
      <c r="J131" s="1" t="str">
        <f t="shared" si="15"/>
        <v/>
      </c>
      <c r="K131" s="5" t="s">
        <v>242</v>
      </c>
      <c r="L131" s="1">
        <f t="shared" si="16"/>
        <v>3</v>
      </c>
      <c r="M131" s="1">
        <v>31</v>
      </c>
      <c r="N131" s="1" t="s">
        <v>995</v>
      </c>
      <c r="O131" s="1">
        <f t="shared" si="17"/>
        <v>0</v>
      </c>
      <c r="P131" s="1">
        <v>16</v>
      </c>
      <c r="Q131" s="1">
        <v>5</v>
      </c>
      <c r="R131" s="1">
        <v>700000</v>
      </c>
      <c r="S131" s="1">
        <v>4</v>
      </c>
    </row>
    <row r="132" spans="1:19" ht="12.75" customHeight="1" x14ac:dyDescent="0.15">
      <c r="A132" s="5" t="s">
        <v>285</v>
      </c>
      <c r="B132" s="1" t="e">
        <f ca="1">_xludf.LET(_xlpm.x,LOWER(TRIM(A132)),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2" s="5" t="s">
        <v>223</v>
      </c>
      <c r="D132" s="1">
        <f t="shared" si="12"/>
        <v>0</v>
      </c>
      <c r="E132" s="5" t="s">
        <v>204</v>
      </c>
      <c r="F132" s="1">
        <f t="shared" si="13"/>
        <v>1</v>
      </c>
      <c r="G132" s="5" t="s">
        <v>204</v>
      </c>
      <c r="H132" s="1">
        <f t="shared" si="14"/>
        <v>1</v>
      </c>
      <c r="I132" s="5" t="s">
        <v>242</v>
      </c>
      <c r="J132" s="1">
        <f t="shared" si="15"/>
        <v>3</v>
      </c>
      <c r="K132" s="5" t="s">
        <v>215</v>
      </c>
      <c r="L132" s="1">
        <f t="shared" si="16"/>
        <v>2</v>
      </c>
      <c r="M132" s="1">
        <v>31</v>
      </c>
      <c r="N132" s="1" t="s">
        <v>995</v>
      </c>
      <c r="O132" s="1">
        <f t="shared" si="17"/>
        <v>0</v>
      </c>
      <c r="P132" s="1">
        <v>18</v>
      </c>
      <c r="Q132" s="1">
        <v>25</v>
      </c>
      <c r="R132" s="1">
        <v>700000</v>
      </c>
      <c r="S132" s="1">
        <v>1</v>
      </c>
    </row>
    <row r="133" spans="1:19" ht="12.75" customHeight="1" x14ac:dyDescent="0.15">
      <c r="A133" s="5" t="s">
        <v>213</v>
      </c>
      <c r="B133" s="1" t="e">
        <f ca="1">_xludf.LET(_xlpm.x,LOWER(TRIM(A133)),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3" s="5" t="s">
        <v>618</v>
      </c>
      <c r="D133" s="1">
        <f t="shared" si="12"/>
        <v>1</v>
      </c>
      <c r="F133" s="1" t="str">
        <f t="shared" si="13"/>
        <v/>
      </c>
      <c r="G133" s="5" t="s">
        <v>204</v>
      </c>
      <c r="H133" s="1">
        <f t="shared" si="14"/>
        <v>1</v>
      </c>
      <c r="I133" s="5" t="s">
        <v>207</v>
      </c>
      <c r="J133" s="1" t="str">
        <f t="shared" si="15"/>
        <v/>
      </c>
      <c r="K133" s="5" t="s">
        <v>264</v>
      </c>
      <c r="L133" s="1">
        <f t="shared" si="16"/>
        <v>1</v>
      </c>
      <c r="M133" s="1">
        <v>31</v>
      </c>
      <c r="N133" s="1" t="s">
        <v>989</v>
      </c>
      <c r="O133" s="1">
        <f t="shared" si="17"/>
        <v>1</v>
      </c>
      <c r="P133" s="1">
        <v>14</v>
      </c>
      <c r="Q133" s="1">
        <v>15</v>
      </c>
      <c r="R133" s="1">
        <v>100000</v>
      </c>
      <c r="S133" s="1">
        <v>4</v>
      </c>
    </row>
    <row r="134" spans="1:19" ht="12.75" customHeight="1" x14ac:dyDescent="0.15">
      <c r="A134" s="5" t="s">
        <v>269</v>
      </c>
      <c r="B134" s="1" t="e">
        <f ca="1">_xludf.LET(_xlpm.x,LOWER(TRIM(A134)),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4" s="5" t="s">
        <v>223</v>
      </c>
      <c r="D134" s="1">
        <f t="shared" si="12"/>
        <v>0</v>
      </c>
      <c r="E134" s="5" t="s">
        <v>204</v>
      </c>
      <c r="F134" s="1">
        <f t="shared" si="13"/>
        <v>1</v>
      </c>
      <c r="G134" s="5" t="s">
        <v>204</v>
      </c>
      <c r="H134" s="1">
        <f t="shared" si="14"/>
        <v>1</v>
      </c>
      <c r="I134" s="5" t="s">
        <v>207</v>
      </c>
      <c r="J134" s="1" t="str">
        <f t="shared" si="15"/>
        <v/>
      </c>
      <c r="K134" s="5" t="s">
        <v>271</v>
      </c>
      <c r="L134" s="1">
        <f t="shared" si="16"/>
        <v>4</v>
      </c>
      <c r="M134" s="1">
        <v>31</v>
      </c>
      <c r="N134" s="1" t="s">
        <v>1001</v>
      </c>
      <c r="O134" s="1">
        <f t="shared" si="17"/>
        <v>0</v>
      </c>
      <c r="P134" s="1">
        <v>16</v>
      </c>
      <c r="Q134" s="1">
        <v>33</v>
      </c>
      <c r="R134" s="1">
        <v>150000</v>
      </c>
      <c r="S134" s="1">
        <v>1</v>
      </c>
    </row>
    <row r="135" spans="1:19" ht="12.75" customHeight="1" x14ac:dyDescent="0.15">
      <c r="A135" s="5" t="s">
        <v>285</v>
      </c>
      <c r="B135" s="1" t="e">
        <f ca="1">_xludf.LET(_xlpm.x,LOWER(TRIM(A135)),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5" s="5" t="s">
        <v>223</v>
      </c>
      <c r="D135" s="1">
        <f t="shared" si="12"/>
        <v>0</v>
      </c>
      <c r="E135" s="5" t="s">
        <v>204</v>
      </c>
      <c r="F135" s="1">
        <f t="shared" si="13"/>
        <v>1</v>
      </c>
      <c r="G135" s="5" t="s">
        <v>204</v>
      </c>
      <c r="H135" s="1">
        <f t="shared" si="14"/>
        <v>1</v>
      </c>
      <c r="I135" s="5" t="s">
        <v>207</v>
      </c>
      <c r="J135" s="1" t="str">
        <f t="shared" si="15"/>
        <v/>
      </c>
      <c r="K135" s="5" t="s">
        <v>215</v>
      </c>
      <c r="L135" s="1">
        <f t="shared" si="16"/>
        <v>2</v>
      </c>
      <c r="M135" s="1">
        <v>31</v>
      </c>
      <c r="N135" s="1" t="s">
        <v>990</v>
      </c>
      <c r="O135" s="1">
        <f t="shared" si="17"/>
        <v>0</v>
      </c>
      <c r="P135" s="1">
        <v>18</v>
      </c>
      <c r="Q135" s="1">
        <v>6</v>
      </c>
      <c r="R135" s="1">
        <v>350000</v>
      </c>
      <c r="S135" s="1">
        <v>2</v>
      </c>
    </row>
    <row r="136" spans="1:19" ht="12.75" customHeight="1" x14ac:dyDescent="0.15">
      <c r="A136" s="5" t="s">
        <v>285</v>
      </c>
      <c r="B136" s="1" t="e">
        <f ca="1">_xludf.LET(_xlpm.x,LOWER(TRIM(A136)),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6" s="5" t="s">
        <v>223</v>
      </c>
      <c r="D136" s="1">
        <f t="shared" si="12"/>
        <v>0</v>
      </c>
      <c r="E136" s="5" t="s">
        <v>204</v>
      </c>
      <c r="F136" s="1">
        <f t="shared" si="13"/>
        <v>1</v>
      </c>
      <c r="G136" s="5" t="s">
        <v>204</v>
      </c>
      <c r="H136" s="1">
        <f t="shared" si="14"/>
        <v>1</v>
      </c>
      <c r="I136" s="5" t="s">
        <v>278</v>
      </c>
      <c r="J136" s="1">
        <f t="shared" si="15"/>
        <v>5</v>
      </c>
      <c r="K136" s="5" t="s">
        <v>215</v>
      </c>
      <c r="L136" s="1">
        <f t="shared" si="16"/>
        <v>2</v>
      </c>
      <c r="M136" s="1">
        <v>31</v>
      </c>
      <c r="N136" s="1" t="s">
        <v>999</v>
      </c>
      <c r="O136" s="1">
        <f t="shared" si="17"/>
        <v>0</v>
      </c>
      <c r="P136" s="1">
        <v>17</v>
      </c>
      <c r="Q136" s="1">
        <v>24</v>
      </c>
      <c r="R136" s="1">
        <v>500000</v>
      </c>
      <c r="S136" s="1">
        <v>3</v>
      </c>
    </row>
    <row r="137" spans="1:19" ht="12.75" customHeight="1" x14ac:dyDescent="0.15">
      <c r="A137" s="5" t="s">
        <v>269</v>
      </c>
      <c r="B137" s="1" t="e">
        <f ca="1">_xludf.LET(_xlpm.x,LOWER(TRIM(A137)),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7" s="5" t="s">
        <v>223</v>
      </c>
      <c r="D137" s="1">
        <f t="shared" si="12"/>
        <v>0</v>
      </c>
      <c r="E137" s="5" t="s">
        <v>204</v>
      </c>
      <c r="F137" s="1">
        <f t="shared" si="13"/>
        <v>1</v>
      </c>
      <c r="G137" s="5" t="s">
        <v>204</v>
      </c>
      <c r="H137" s="1">
        <f t="shared" si="14"/>
        <v>1</v>
      </c>
      <c r="I137" s="5" t="s">
        <v>207</v>
      </c>
      <c r="J137" s="1" t="str">
        <f t="shared" si="15"/>
        <v/>
      </c>
      <c r="K137" s="5" t="s">
        <v>215</v>
      </c>
      <c r="L137" s="1">
        <f t="shared" si="16"/>
        <v>2</v>
      </c>
      <c r="M137" s="1">
        <v>31</v>
      </c>
      <c r="N137" s="1" t="s">
        <v>989</v>
      </c>
      <c r="O137" s="1">
        <f t="shared" si="17"/>
        <v>1</v>
      </c>
      <c r="P137" s="1">
        <v>6</v>
      </c>
      <c r="Q137" s="1">
        <v>6</v>
      </c>
      <c r="R137" s="1">
        <v>500000</v>
      </c>
      <c r="S137" s="1">
        <v>2</v>
      </c>
    </row>
    <row r="138" spans="1:19" ht="12.75" customHeight="1" x14ac:dyDescent="0.15">
      <c r="A138" s="5" t="s">
        <v>285</v>
      </c>
      <c r="B138" s="1" t="e">
        <f ca="1">_xludf.LET(_xlpm.x,LOWER(TRIM(A138)),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8" s="5" t="s">
        <v>223</v>
      </c>
      <c r="D138" s="1">
        <f t="shared" si="12"/>
        <v>0</v>
      </c>
      <c r="E138" s="5" t="s">
        <v>204</v>
      </c>
      <c r="F138" s="1">
        <f t="shared" si="13"/>
        <v>1</v>
      </c>
      <c r="G138" s="5" t="s">
        <v>204</v>
      </c>
      <c r="H138" s="1">
        <f t="shared" si="14"/>
        <v>1</v>
      </c>
      <c r="I138" s="5" t="s">
        <v>215</v>
      </c>
      <c r="J138" s="1">
        <f t="shared" si="15"/>
        <v>2</v>
      </c>
      <c r="K138" s="5" t="s">
        <v>264</v>
      </c>
      <c r="L138" s="1">
        <f t="shared" si="16"/>
        <v>1</v>
      </c>
      <c r="M138" s="1">
        <v>31</v>
      </c>
      <c r="N138" s="1" t="s">
        <v>998</v>
      </c>
      <c r="O138" s="1">
        <f t="shared" si="17"/>
        <v>0</v>
      </c>
      <c r="P138" s="1">
        <v>6</v>
      </c>
      <c r="Q138" s="1">
        <v>5</v>
      </c>
      <c r="R138" s="1">
        <v>150000</v>
      </c>
      <c r="S138" s="1">
        <v>1</v>
      </c>
    </row>
    <row r="139" spans="1:19" ht="12.75" customHeight="1" x14ac:dyDescent="0.15">
      <c r="A139" s="5" t="s">
        <v>302</v>
      </c>
      <c r="B139" s="1" t="e">
        <f ca="1">_xludf.LET(_xlpm.x,LOWER(TRIM(A139)),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9" s="5" t="s">
        <v>223</v>
      </c>
      <c r="D139" s="1">
        <f t="shared" si="12"/>
        <v>0</v>
      </c>
      <c r="E139" s="5" t="s">
        <v>204</v>
      </c>
      <c r="F139" s="1">
        <f t="shared" si="13"/>
        <v>1</v>
      </c>
      <c r="G139" s="5" t="s">
        <v>206</v>
      </c>
      <c r="H139" s="1">
        <f t="shared" si="14"/>
        <v>0</v>
      </c>
      <c r="J139" s="1" t="str">
        <f t="shared" si="15"/>
        <v/>
      </c>
      <c r="L139" s="1" t="str">
        <f t="shared" si="16"/>
        <v/>
      </c>
      <c r="M139" s="1">
        <v>32</v>
      </c>
      <c r="N139" s="1" t="s">
        <v>991</v>
      </c>
      <c r="O139" s="1">
        <f t="shared" si="17"/>
        <v>0</v>
      </c>
      <c r="P139" s="1">
        <v>14</v>
      </c>
      <c r="Q139" s="1">
        <v>2</v>
      </c>
      <c r="R139" s="1">
        <v>450000</v>
      </c>
      <c r="S139" s="1">
        <v>2</v>
      </c>
    </row>
    <row r="140" spans="1:19" ht="12.75" customHeight="1" x14ac:dyDescent="0.15">
      <c r="A140" s="5" t="s">
        <v>302</v>
      </c>
      <c r="B140" s="1" t="e">
        <f ca="1">_xludf.LET(_xlpm.x,LOWER(TRIM(A140)),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0" s="5" t="s">
        <v>223</v>
      </c>
      <c r="D140" s="1">
        <f t="shared" si="12"/>
        <v>0</v>
      </c>
      <c r="E140" s="5" t="s">
        <v>204</v>
      </c>
      <c r="F140" s="1">
        <f t="shared" si="13"/>
        <v>1</v>
      </c>
      <c r="G140" s="5" t="s">
        <v>204</v>
      </c>
      <c r="H140" s="1">
        <f t="shared" si="14"/>
        <v>1</v>
      </c>
      <c r="I140" s="5" t="s">
        <v>242</v>
      </c>
      <c r="J140" s="1">
        <f t="shared" si="15"/>
        <v>3</v>
      </c>
      <c r="K140" s="5" t="s">
        <v>215</v>
      </c>
      <c r="L140" s="1">
        <f t="shared" si="16"/>
        <v>2</v>
      </c>
      <c r="M140" s="1">
        <v>32</v>
      </c>
      <c r="N140" s="1" t="s">
        <v>991</v>
      </c>
      <c r="O140" s="1">
        <f t="shared" si="17"/>
        <v>0</v>
      </c>
      <c r="P140" s="1">
        <v>14</v>
      </c>
      <c r="Q140" s="1">
        <v>2</v>
      </c>
      <c r="R140" s="1">
        <v>450000</v>
      </c>
      <c r="S140" s="1">
        <v>2</v>
      </c>
    </row>
    <row r="141" spans="1:19" ht="12.75" customHeight="1" x14ac:dyDescent="0.15">
      <c r="A141" s="5" t="s">
        <v>302</v>
      </c>
      <c r="B141" s="1" t="e">
        <f ca="1">_xludf.LET(_xlpm.x,LOWER(TRIM(A141)),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1" s="5" t="s">
        <v>223</v>
      </c>
      <c r="D141" s="1">
        <f t="shared" si="12"/>
        <v>0</v>
      </c>
      <c r="F141" s="1" t="str">
        <f t="shared" si="13"/>
        <v/>
      </c>
      <c r="G141" s="5" t="s">
        <v>204</v>
      </c>
      <c r="H141" s="1">
        <f t="shared" si="14"/>
        <v>1</v>
      </c>
      <c r="I141" s="5" t="s">
        <v>207</v>
      </c>
      <c r="J141" s="1" t="str">
        <f t="shared" si="15"/>
        <v/>
      </c>
      <c r="K141" s="5" t="s">
        <v>242</v>
      </c>
      <c r="L141" s="1">
        <f t="shared" si="16"/>
        <v>3</v>
      </c>
      <c r="M141" s="1">
        <v>32</v>
      </c>
      <c r="N141" s="1" t="s">
        <v>997</v>
      </c>
      <c r="O141" s="1">
        <f t="shared" si="17"/>
        <v>0</v>
      </c>
      <c r="P141" s="1">
        <v>14</v>
      </c>
      <c r="Q141" s="1">
        <v>22</v>
      </c>
      <c r="R141" s="1">
        <v>400000</v>
      </c>
      <c r="S141" s="1">
        <v>3</v>
      </c>
    </row>
    <row r="142" spans="1:19" ht="12.75" customHeight="1" x14ac:dyDescent="0.15">
      <c r="A142" s="5" t="s">
        <v>262</v>
      </c>
      <c r="B142" s="1" t="e">
        <f ca="1">_xludf.LET(_xlpm.x,LOWER(TRIM(A142)),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2" s="5" t="s">
        <v>358</v>
      </c>
      <c r="D142" s="1">
        <f t="shared" si="12"/>
        <v>1</v>
      </c>
      <c r="E142" s="5" t="s">
        <v>204</v>
      </c>
      <c r="F142" s="1">
        <f t="shared" si="13"/>
        <v>1</v>
      </c>
      <c r="G142" s="5" t="s">
        <v>204</v>
      </c>
      <c r="H142" s="1">
        <f t="shared" si="14"/>
        <v>1</v>
      </c>
      <c r="I142" s="5" t="s">
        <v>207</v>
      </c>
      <c r="J142" s="1" t="str">
        <f t="shared" si="15"/>
        <v/>
      </c>
      <c r="K142" s="5" t="s">
        <v>215</v>
      </c>
      <c r="L142" s="1">
        <f t="shared" si="16"/>
        <v>2</v>
      </c>
      <c r="M142" s="1">
        <v>32</v>
      </c>
      <c r="N142" s="1" t="s">
        <v>996</v>
      </c>
      <c r="O142" s="1">
        <f t="shared" si="17"/>
        <v>0</v>
      </c>
      <c r="P142" s="1">
        <v>14</v>
      </c>
      <c r="Q142" s="1">
        <v>8</v>
      </c>
      <c r="R142" s="1">
        <v>520000</v>
      </c>
      <c r="S142" s="1">
        <v>2</v>
      </c>
    </row>
    <row r="143" spans="1:19" ht="12.75" customHeight="1" x14ac:dyDescent="0.15">
      <c r="A143" s="5" t="s">
        <v>277</v>
      </c>
      <c r="B143" s="1" t="e">
        <f ca="1">_xludf.LET(_xlpm.x,LOWER(TRIM(A143)),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3" s="5" t="s">
        <v>223</v>
      </c>
      <c r="D143" s="1">
        <f t="shared" si="12"/>
        <v>0</v>
      </c>
      <c r="F143" s="1" t="str">
        <f t="shared" si="13"/>
        <v/>
      </c>
      <c r="G143" s="5" t="s">
        <v>204</v>
      </c>
      <c r="H143" s="1">
        <f t="shared" si="14"/>
        <v>1</v>
      </c>
      <c r="I143" s="5" t="s">
        <v>207</v>
      </c>
      <c r="J143" s="1" t="str">
        <f t="shared" si="15"/>
        <v/>
      </c>
      <c r="K143" s="5" t="s">
        <v>215</v>
      </c>
      <c r="L143" s="1">
        <f t="shared" si="16"/>
        <v>2</v>
      </c>
      <c r="M143" s="1">
        <v>32</v>
      </c>
      <c r="N143" s="1" t="s">
        <v>1001</v>
      </c>
      <c r="O143" s="1">
        <f t="shared" si="17"/>
        <v>0</v>
      </c>
      <c r="P143" s="1">
        <v>14</v>
      </c>
      <c r="Q143" s="1">
        <v>34</v>
      </c>
      <c r="R143" s="1">
        <v>560000</v>
      </c>
      <c r="S143" s="1">
        <v>3</v>
      </c>
    </row>
    <row r="144" spans="1:19" ht="12.75" customHeight="1" x14ac:dyDescent="0.15">
      <c r="A144" s="5" t="s">
        <v>213</v>
      </c>
      <c r="B144" s="1" t="e">
        <f ca="1">_xludf.LET(_xlpm.x,LOWER(TRIM(A144)),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4" s="5" t="s">
        <v>223</v>
      </c>
      <c r="D144" s="1">
        <f t="shared" si="12"/>
        <v>0</v>
      </c>
      <c r="F144" s="1" t="str">
        <f t="shared" si="13"/>
        <v/>
      </c>
      <c r="G144" s="5" t="s">
        <v>204</v>
      </c>
      <c r="H144" s="1">
        <f t="shared" si="14"/>
        <v>1</v>
      </c>
      <c r="I144" s="5" t="s">
        <v>278</v>
      </c>
      <c r="J144" s="1">
        <f t="shared" si="15"/>
        <v>5</v>
      </c>
      <c r="K144" s="5" t="s">
        <v>278</v>
      </c>
      <c r="L144" s="1">
        <f t="shared" si="16"/>
        <v>5</v>
      </c>
      <c r="M144" s="1">
        <v>32</v>
      </c>
      <c r="N144" s="1" t="s">
        <v>989</v>
      </c>
      <c r="O144" s="1">
        <f t="shared" si="17"/>
        <v>1</v>
      </c>
      <c r="P144" s="1">
        <v>4</v>
      </c>
      <c r="Q144" s="1">
        <v>34</v>
      </c>
      <c r="R144" s="1">
        <v>103000</v>
      </c>
      <c r="S144" s="1">
        <v>2</v>
      </c>
    </row>
    <row r="145" spans="1:19" ht="12.75" customHeight="1" x14ac:dyDescent="0.15">
      <c r="A145" s="5" t="s">
        <v>269</v>
      </c>
      <c r="B145" s="1" t="e">
        <f ca="1">_xludf.LET(_xlpm.x,LOWER(TRIM(A145)),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5" s="5" t="s">
        <v>223</v>
      </c>
      <c r="D145" s="1">
        <f t="shared" si="12"/>
        <v>0</v>
      </c>
      <c r="F145" s="1" t="str">
        <f t="shared" si="13"/>
        <v/>
      </c>
      <c r="G145" s="5" t="s">
        <v>206</v>
      </c>
      <c r="H145" s="1">
        <f t="shared" si="14"/>
        <v>0</v>
      </c>
      <c r="J145" s="1" t="str">
        <f t="shared" si="15"/>
        <v/>
      </c>
      <c r="L145" s="1" t="str">
        <f t="shared" si="16"/>
        <v/>
      </c>
      <c r="M145" s="1">
        <v>32</v>
      </c>
      <c r="N145" s="1" t="s">
        <v>990</v>
      </c>
      <c r="O145" s="1">
        <f t="shared" si="17"/>
        <v>0</v>
      </c>
      <c r="P145" s="1">
        <v>14</v>
      </c>
      <c r="Q145" s="1">
        <v>34</v>
      </c>
      <c r="R145" s="1">
        <v>500000</v>
      </c>
      <c r="S145" s="1">
        <v>4</v>
      </c>
    </row>
    <row r="146" spans="1:19" ht="12.75" customHeight="1" x14ac:dyDescent="0.15">
      <c r="A146" s="5" t="s">
        <v>285</v>
      </c>
      <c r="B146" s="1" t="e">
        <f ca="1">_xludf.LET(_xlpm.x,LOWER(TRIM(A146)),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6" s="5" t="s">
        <v>223</v>
      </c>
      <c r="D146" s="1">
        <f t="shared" si="12"/>
        <v>0</v>
      </c>
      <c r="E146" s="5" t="s">
        <v>204</v>
      </c>
      <c r="F146" s="1">
        <f t="shared" si="13"/>
        <v>1</v>
      </c>
      <c r="G146" s="5" t="s">
        <v>204</v>
      </c>
      <c r="H146" s="1">
        <f t="shared" si="14"/>
        <v>1</v>
      </c>
      <c r="I146" s="5" t="s">
        <v>242</v>
      </c>
      <c r="J146" s="1">
        <f t="shared" si="15"/>
        <v>3</v>
      </c>
      <c r="K146" s="5" t="s">
        <v>242</v>
      </c>
      <c r="L146" s="1">
        <f t="shared" si="16"/>
        <v>3</v>
      </c>
      <c r="M146" s="1">
        <v>32</v>
      </c>
      <c r="N146" s="1" t="s">
        <v>992</v>
      </c>
      <c r="O146" s="1">
        <f t="shared" si="17"/>
        <v>0</v>
      </c>
      <c r="P146" s="1">
        <v>16</v>
      </c>
      <c r="Q146" s="1">
        <v>34</v>
      </c>
      <c r="R146" s="1">
        <v>750000</v>
      </c>
      <c r="S146" s="1">
        <v>4</v>
      </c>
    </row>
    <row r="147" spans="1:19" ht="12.75" customHeight="1" x14ac:dyDescent="0.15">
      <c r="A147" s="5" t="s">
        <v>269</v>
      </c>
      <c r="B147" s="1" t="e">
        <f ca="1">_xludf.LET(_xlpm.x,LOWER(TRIM(A147)),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7" s="5" t="s">
        <v>433</v>
      </c>
      <c r="D147" s="1">
        <f t="shared" si="12"/>
        <v>1</v>
      </c>
      <c r="F147" s="1" t="str">
        <f t="shared" si="13"/>
        <v/>
      </c>
      <c r="G147" s="5" t="s">
        <v>204</v>
      </c>
      <c r="H147" s="1">
        <f t="shared" si="14"/>
        <v>1</v>
      </c>
      <c r="I147" s="5" t="s">
        <v>207</v>
      </c>
      <c r="J147" s="1" t="str">
        <f t="shared" si="15"/>
        <v/>
      </c>
      <c r="K147" s="5" t="s">
        <v>215</v>
      </c>
      <c r="L147" s="1">
        <f t="shared" si="16"/>
        <v>2</v>
      </c>
      <c r="M147" s="1">
        <v>32</v>
      </c>
      <c r="N147" s="1" t="s">
        <v>988</v>
      </c>
      <c r="O147" s="1">
        <f t="shared" si="17"/>
        <v>0</v>
      </c>
      <c r="P147" s="1">
        <v>14</v>
      </c>
      <c r="Q147" s="1">
        <v>30</v>
      </c>
      <c r="R147" s="1">
        <v>300000</v>
      </c>
      <c r="S147" s="1">
        <v>2</v>
      </c>
    </row>
    <row r="148" spans="1:19" ht="12.75" customHeight="1" x14ac:dyDescent="0.15">
      <c r="A148" s="5" t="s">
        <v>285</v>
      </c>
      <c r="B148" s="1" t="e">
        <f ca="1">_xludf.LET(_xlpm.x,LOWER(TRIM(A148)),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8" s="5" t="s">
        <v>223</v>
      </c>
      <c r="D148" s="1">
        <f t="shared" si="12"/>
        <v>0</v>
      </c>
      <c r="E148" s="5" t="s">
        <v>204</v>
      </c>
      <c r="F148" s="1">
        <f t="shared" si="13"/>
        <v>1</v>
      </c>
      <c r="G148" s="5" t="s">
        <v>204</v>
      </c>
      <c r="H148" s="1">
        <f t="shared" si="14"/>
        <v>1</v>
      </c>
      <c r="I148" s="5" t="s">
        <v>242</v>
      </c>
      <c r="J148" s="1">
        <f t="shared" si="15"/>
        <v>3</v>
      </c>
      <c r="K148" s="5" t="s">
        <v>242</v>
      </c>
      <c r="L148" s="1">
        <f t="shared" si="16"/>
        <v>3</v>
      </c>
      <c r="M148" s="1">
        <v>33</v>
      </c>
      <c r="N148" s="1" t="s">
        <v>989</v>
      </c>
      <c r="O148" s="1">
        <f t="shared" si="17"/>
        <v>1</v>
      </c>
      <c r="P148" s="1">
        <v>14</v>
      </c>
      <c r="Q148" s="1">
        <v>9</v>
      </c>
      <c r="R148" s="1">
        <v>200000</v>
      </c>
      <c r="S148" s="1">
        <v>4</v>
      </c>
    </row>
    <row r="149" spans="1:19" ht="12.75" customHeight="1" x14ac:dyDescent="0.15">
      <c r="A149" s="5" t="s">
        <v>277</v>
      </c>
      <c r="B149" s="1" t="e">
        <f ca="1">_xludf.LET(_xlpm.x,LOWER(TRIM(A149)),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9" s="5" t="s">
        <v>223</v>
      </c>
      <c r="D149" s="1">
        <f t="shared" si="12"/>
        <v>0</v>
      </c>
      <c r="F149" s="1" t="str">
        <f t="shared" si="13"/>
        <v/>
      </c>
      <c r="G149" s="5" t="s">
        <v>204</v>
      </c>
      <c r="H149" s="1">
        <f t="shared" si="14"/>
        <v>1</v>
      </c>
      <c r="I149" s="5" t="s">
        <v>207</v>
      </c>
      <c r="J149" s="1" t="str">
        <f t="shared" si="15"/>
        <v/>
      </c>
      <c r="K149" s="5" t="s">
        <v>264</v>
      </c>
      <c r="L149" s="1">
        <f t="shared" si="16"/>
        <v>1</v>
      </c>
      <c r="M149" s="1">
        <v>33</v>
      </c>
      <c r="N149" s="1" t="s">
        <v>991</v>
      </c>
      <c r="O149" s="1">
        <f t="shared" si="17"/>
        <v>0</v>
      </c>
      <c r="P149" s="1">
        <v>18</v>
      </c>
      <c r="Q149" s="1">
        <v>34</v>
      </c>
      <c r="R149" s="1">
        <v>800000</v>
      </c>
      <c r="S149" s="1">
        <v>2</v>
      </c>
    </row>
    <row r="150" spans="1:19" ht="12.75" customHeight="1" x14ac:dyDescent="0.15">
      <c r="A150" s="5" t="s">
        <v>285</v>
      </c>
      <c r="B150" s="1" t="e">
        <f ca="1">_xludf.LET(_xlpm.x,LOWER(TRIM(A150)),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0" s="5" t="s">
        <v>223</v>
      </c>
      <c r="D150" s="1">
        <f t="shared" si="12"/>
        <v>0</v>
      </c>
      <c r="E150" s="5" t="s">
        <v>204</v>
      </c>
      <c r="F150" s="1">
        <f t="shared" si="13"/>
        <v>1</v>
      </c>
      <c r="G150" s="5" t="s">
        <v>204</v>
      </c>
      <c r="H150" s="1">
        <f t="shared" si="14"/>
        <v>1</v>
      </c>
      <c r="I150" s="5" t="s">
        <v>242</v>
      </c>
      <c r="J150" s="1">
        <f t="shared" si="15"/>
        <v>3</v>
      </c>
      <c r="K150" s="5" t="s">
        <v>242</v>
      </c>
      <c r="L150" s="1">
        <f t="shared" si="16"/>
        <v>3</v>
      </c>
      <c r="M150" s="1">
        <v>33</v>
      </c>
      <c r="N150" s="1" t="s">
        <v>989</v>
      </c>
      <c r="O150" s="1">
        <f t="shared" si="17"/>
        <v>1</v>
      </c>
      <c r="P150" s="1">
        <v>18</v>
      </c>
      <c r="Q150" s="1">
        <v>6</v>
      </c>
      <c r="R150" s="1">
        <v>2000000</v>
      </c>
      <c r="S150" s="1">
        <v>3</v>
      </c>
    </row>
    <row r="151" spans="1:19" ht="12.75" customHeight="1" x14ac:dyDescent="0.15">
      <c r="A151" s="5" t="s">
        <v>213</v>
      </c>
      <c r="B151" s="1" t="e">
        <f ca="1">_xludf.LET(_xlpm.x,LOWER(TRIM(A151)),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1" s="5" t="s">
        <v>223</v>
      </c>
      <c r="D151" s="1">
        <f t="shared" si="12"/>
        <v>0</v>
      </c>
      <c r="F151" s="1" t="str">
        <f t="shared" si="13"/>
        <v/>
      </c>
      <c r="G151" s="5" t="s">
        <v>204</v>
      </c>
      <c r="H151" s="1">
        <f t="shared" si="14"/>
        <v>1</v>
      </c>
      <c r="I151" s="5" t="s">
        <v>278</v>
      </c>
      <c r="J151" s="1">
        <f t="shared" si="15"/>
        <v>5</v>
      </c>
      <c r="K151" s="5" t="s">
        <v>278</v>
      </c>
      <c r="L151" s="1">
        <f t="shared" si="16"/>
        <v>5</v>
      </c>
      <c r="M151" s="1">
        <v>33</v>
      </c>
      <c r="N151" s="1" t="s">
        <v>990</v>
      </c>
      <c r="O151" s="1">
        <f t="shared" si="17"/>
        <v>0</v>
      </c>
      <c r="P151" s="1">
        <v>14</v>
      </c>
      <c r="Q151" s="1">
        <v>1</v>
      </c>
      <c r="R151" s="1">
        <v>80000</v>
      </c>
      <c r="S151" s="1">
        <v>4</v>
      </c>
    </row>
    <row r="152" spans="1:19" ht="12.75" customHeight="1" x14ac:dyDescent="0.15">
      <c r="A152" s="5" t="s">
        <v>277</v>
      </c>
      <c r="B152" s="1" t="e">
        <f ca="1">_xludf.LET(_xlpm.x,LOWER(TRIM(A152)),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2" s="5" t="s">
        <v>223</v>
      </c>
      <c r="D152" s="1">
        <f t="shared" si="12"/>
        <v>0</v>
      </c>
      <c r="F152" s="1" t="str">
        <f t="shared" si="13"/>
        <v/>
      </c>
      <c r="G152" s="5" t="s">
        <v>206</v>
      </c>
      <c r="H152" s="1">
        <f t="shared" si="14"/>
        <v>0</v>
      </c>
      <c r="J152" s="1" t="str">
        <f t="shared" si="15"/>
        <v/>
      </c>
      <c r="L152" s="1" t="str">
        <f t="shared" si="16"/>
        <v/>
      </c>
      <c r="M152" s="1">
        <v>33</v>
      </c>
      <c r="N152" s="1" t="s">
        <v>990</v>
      </c>
      <c r="O152" s="1">
        <f t="shared" si="17"/>
        <v>0</v>
      </c>
      <c r="P152" s="1">
        <v>14</v>
      </c>
      <c r="Q152" s="1">
        <v>1</v>
      </c>
      <c r="R152" s="1">
        <v>100000</v>
      </c>
      <c r="S152" s="1">
        <v>3</v>
      </c>
    </row>
    <row r="153" spans="1:19" ht="12.75" customHeight="1" x14ac:dyDescent="0.15">
      <c r="A153" s="5" t="s">
        <v>285</v>
      </c>
      <c r="B153" s="1" t="e">
        <f ca="1">_xludf.LET(_xlpm.x,LOWER(TRIM(A153)),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3" s="5" t="s">
        <v>223</v>
      </c>
      <c r="D153" s="1">
        <f t="shared" si="12"/>
        <v>0</v>
      </c>
      <c r="E153" s="5" t="s">
        <v>204</v>
      </c>
      <c r="F153" s="1">
        <f t="shared" si="13"/>
        <v>1</v>
      </c>
      <c r="G153" s="5" t="s">
        <v>204</v>
      </c>
      <c r="H153" s="1">
        <f t="shared" si="14"/>
        <v>1</v>
      </c>
      <c r="I153" s="5" t="s">
        <v>207</v>
      </c>
      <c r="J153" s="1" t="str">
        <f t="shared" si="15"/>
        <v/>
      </c>
      <c r="K153" s="5" t="s">
        <v>278</v>
      </c>
      <c r="L153" s="1">
        <f t="shared" si="16"/>
        <v>5</v>
      </c>
      <c r="M153" s="1">
        <v>33</v>
      </c>
      <c r="N153" s="1" t="s">
        <v>990</v>
      </c>
      <c r="O153" s="1">
        <f t="shared" si="17"/>
        <v>0</v>
      </c>
      <c r="P153" s="1">
        <v>14</v>
      </c>
      <c r="Q153" s="1">
        <v>1</v>
      </c>
      <c r="R153" s="1">
        <v>100000</v>
      </c>
      <c r="S153" s="1">
        <v>3</v>
      </c>
    </row>
    <row r="154" spans="1:19" ht="12.75" customHeight="1" x14ac:dyDescent="0.15">
      <c r="A154" s="5" t="s">
        <v>285</v>
      </c>
      <c r="B154" s="1" t="e">
        <f ca="1">_xludf.LET(_xlpm.x,LOWER(TRIM(A154)),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4" s="5" t="s">
        <v>223</v>
      </c>
      <c r="D154" s="1">
        <f t="shared" si="12"/>
        <v>0</v>
      </c>
      <c r="F154" s="1" t="str">
        <f t="shared" si="13"/>
        <v/>
      </c>
      <c r="G154" s="5" t="s">
        <v>204</v>
      </c>
      <c r="H154" s="1">
        <f t="shared" si="14"/>
        <v>1</v>
      </c>
      <c r="I154" s="5" t="s">
        <v>215</v>
      </c>
      <c r="J154" s="1">
        <f t="shared" si="15"/>
        <v>2</v>
      </c>
      <c r="K154" s="5" t="s">
        <v>242</v>
      </c>
      <c r="L154" s="1">
        <f t="shared" si="16"/>
        <v>3</v>
      </c>
      <c r="M154" s="1">
        <v>33</v>
      </c>
      <c r="N154" s="1" t="s">
        <v>998</v>
      </c>
      <c r="O154" s="1">
        <f t="shared" si="17"/>
        <v>0</v>
      </c>
      <c r="P154" s="1">
        <v>16</v>
      </c>
      <c r="Q154" s="1">
        <v>7</v>
      </c>
      <c r="R154" s="1">
        <v>360000</v>
      </c>
      <c r="S154" s="1">
        <v>4</v>
      </c>
    </row>
    <row r="155" spans="1:19" ht="12.75" customHeight="1" x14ac:dyDescent="0.15">
      <c r="A155" s="5" t="s">
        <v>213</v>
      </c>
      <c r="B155" s="1" t="e">
        <f ca="1">_xludf.LET(_xlpm.x,LOWER(TRIM(A155)),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5" s="5" t="s">
        <v>223</v>
      </c>
      <c r="D155" s="1">
        <f t="shared" si="12"/>
        <v>0</v>
      </c>
      <c r="F155" s="1" t="str">
        <f t="shared" si="13"/>
        <v/>
      </c>
      <c r="G155" s="5" t="s">
        <v>204</v>
      </c>
      <c r="H155" s="1">
        <f t="shared" si="14"/>
        <v>1</v>
      </c>
      <c r="I155" s="5" t="s">
        <v>242</v>
      </c>
      <c r="J155" s="1">
        <f t="shared" si="15"/>
        <v>3</v>
      </c>
      <c r="K155" s="5" t="s">
        <v>207</v>
      </c>
      <c r="L155" s="1" t="str">
        <f t="shared" si="16"/>
        <v/>
      </c>
      <c r="M155" s="1">
        <v>33</v>
      </c>
      <c r="N155" s="1" t="s">
        <v>998</v>
      </c>
      <c r="O155" s="1">
        <f t="shared" si="17"/>
        <v>0</v>
      </c>
      <c r="P155" s="1">
        <v>16</v>
      </c>
      <c r="Q155" s="1">
        <v>7</v>
      </c>
      <c r="R155" s="1">
        <v>360000</v>
      </c>
      <c r="S155" s="1">
        <v>4</v>
      </c>
    </row>
    <row r="156" spans="1:19" ht="12.75" customHeight="1" x14ac:dyDescent="0.15">
      <c r="A156" s="5" t="s">
        <v>285</v>
      </c>
      <c r="B156" s="1" t="e">
        <f ca="1">_xludf.LET(_xlpm.x,LOWER(TRIM(A156)),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6" s="5" t="s">
        <v>223</v>
      </c>
      <c r="D156" s="1">
        <f t="shared" si="12"/>
        <v>0</v>
      </c>
      <c r="E156" s="5" t="s">
        <v>204</v>
      </c>
      <c r="F156" s="1">
        <f t="shared" si="13"/>
        <v>1</v>
      </c>
      <c r="G156" s="5" t="s">
        <v>204</v>
      </c>
      <c r="H156" s="1">
        <f t="shared" si="14"/>
        <v>1</v>
      </c>
      <c r="I156" s="5" t="s">
        <v>215</v>
      </c>
      <c r="J156" s="1">
        <f t="shared" si="15"/>
        <v>2</v>
      </c>
      <c r="K156" s="5" t="s">
        <v>215</v>
      </c>
      <c r="L156" s="1">
        <f t="shared" si="16"/>
        <v>2</v>
      </c>
      <c r="M156" s="1">
        <v>33</v>
      </c>
      <c r="N156" s="1" t="s">
        <v>990</v>
      </c>
      <c r="O156" s="1">
        <f t="shared" si="17"/>
        <v>0</v>
      </c>
      <c r="P156" s="1">
        <v>18</v>
      </c>
      <c r="Q156" s="1">
        <v>31</v>
      </c>
      <c r="R156" s="1">
        <v>500000</v>
      </c>
      <c r="S156" s="1">
        <v>4</v>
      </c>
    </row>
    <row r="157" spans="1:19" ht="12.75" customHeight="1" x14ac:dyDescent="0.15">
      <c r="A157" s="5" t="s">
        <v>269</v>
      </c>
      <c r="B157" s="1" t="e">
        <f ca="1">_xludf.LET(_xlpm.x,LOWER(TRIM(A157)),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7" s="5" t="s">
        <v>223</v>
      </c>
      <c r="D157" s="1">
        <f t="shared" si="12"/>
        <v>0</v>
      </c>
      <c r="E157" s="5" t="s">
        <v>204</v>
      </c>
      <c r="F157" s="1">
        <f t="shared" si="13"/>
        <v>1</v>
      </c>
      <c r="G157" s="5" t="s">
        <v>204</v>
      </c>
      <c r="H157" s="1">
        <f t="shared" si="14"/>
        <v>1</v>
      </c>
      <c r="I157" s="5" t="s">
        <v>264</v>
      </c>
      <c r="J157" s="1">
        <f t="shared" si="15"/>
        <v>1</v>
      </c>
      <c r="K157" s="5" t="s">
        <v>264</v>
      </c>
      <c r="L157" s="1">
        <f t="shared" si="16"/>
        <v>1</v>
      </c>
      <c r="M157" s="1">
        <v>33</v>
      </c>
      <c r="N157" s="1" t="s">
        <v>989</v>
      </c>
      <c r="O157" s="1">
        <f t="shared" si="17"/>
        <v>1</v>
      </c>
      <c r="P157" s="1">
        <v>18</v>
      </c>
      <c r="Q157" s="1">
        <v>34</v>
      </c>
      <c r="R157" s="1">
        <v>-99</v>
      </c>
      <c r="S157" s="1">
        <v>1</v>
      </c>
    </row>
    <row r="158" spans="1:19" ht="12.75" customHeight="1" x14ac:dyDescent="0.15">
      <c r="A158" s="5" t="s">
        <v>302</v>
      </c>
      <c r="B158" s="1" t="e">
        <f ca="1">_xludf.LET(_xlpm.x,LOWER(TRIM(A158)),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8" s="5" t="s">
        <v>223</v>
      </c>
      <c r="D158" s="1">
        <f t="shared" si="12"/>
        <v>0</v>
      </c>
      <c r="F158" s="1" t="str">
        <f t="shared" si="13"/>
        <v/>
      </c>
      <c r="G158" s="5" t="s">
        <v>204</v>
      </c>
      <c r="H158" s="1">
        <f t="shared" si="14"/>
        <v>1</v>
      </c>
      <c r="I158" s="5" t="s">
        <v>278</v>
      </c>
      <c r="J158" s="1">
        <f t="shared" si="15"/>
        <v>5</v>
      </c>
      <c r="K158" s="5" t="s">
        <v>242</v>
      </c>
      <c r="L158" s="1">
        <f t="shared" si="16"/>
        <v>3</v>
      </c>
      <c r="M158" s="1">
        <v>33</v>
      </c>
      <c r="N158" s="1" t="s">
        <v>989</v>
      </c>
      <c r="O158" s="1">
        <f t="shared" si="17"/>
        <v>1</v>
      </c>
      <c r="P158" s="1">
        <v>16</v>
      </c>
      <c r="Q158" s="1">
        <v>2</v>
      </c>
      <c r="R158" s="1">
        <v>0</v>
      </c>
      <c r="S158" s="1">
        <v>1</v>
      </c>
    </row>
    <row r="159" spans="1:19" ht="12.75" customHeight="1" x14ac:dyDescent="0.15">
      <c r="A159" s="5" t="s">
        <v>213</v>
      </c>
      <c r="B159" s="1" t="e">
        <f ca="1">_xludf.LET(_xlpm.x,LOWER(TRIM(A159)),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9" s="5" t="s">
        <v>223</v>
      </c>
      <c r="D159" s="1">
        <f t="shared" si="12"/>
        <v>0</v>
      </c>
      <c r="F159" s="1" t="str">
        <f t="shared" si="13"/>
        <v/>
      </c>
      <c r="G159" s="5" t="s">
        <v>206</v>
      </c>
      <c r="H159" s="1">
        <f t="shared" si="14"/>
        <v>0</v>
      </c>
      <c r="J159" s="1" t="str">
        <f t="shared" si="15"/>
        <v/>
      </c>
      <c r="L159" s="1" t="str">
        <f t="shared" si="16"/>
        <v/>
      </c>
      <c r="M159" s="1">
        <v>33</v>
      </c>
      <c r="N159" s="1" t="s">
        <v>1001</v>
      </c>
      <c r="O159" s="1">
        <f t="shared" si="17"/>
        <v>0</v>
      </c>
      <c r="P159" s="1">
        <v>16</v>
      </c>
      <c r="Q159" s="1">
        <v>34</v>
      </c>
      <c r="R159" s="1">
        <v>120000</v>
      </c>
      <c r="S159" s="1">
        <v>2</v>
      </c>
    </row>
    <row r="160" spans="1:19" ht="12.75" customHeight="1" x14ac:dyDescent="0.15">
      <c r="A160" s="5" t="s">
        <v>457</v>
      </c>
      <c r="B160" s="1" t="e">
        <f ca="1">_xludf.LET(_xlpm.x,LOWER(TRIM(A160)),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0" s="5" t="s">
        <v>223</v>
      </c>
      <c r="D160" s="1">
        <f t="shared" si="12"/>
        <v>0</v>
      </c>
      <c r="F160" s="1" t="str">
        <f t="shared" si="13"/>
        <v/>
      </c>
      <c r="G160" s="5" t="s">
        <v>204</v>
      </c>
      <c r="H160" s="1">
        <f t="shared" si="14"/>
        <v>1</v>
      </c>
      <c r="I160" s="5" t="s">
        <v>215</v>
      </c>
      <c r="J160" s="1">
        <f t="shared" si="15"/>
        <v>2</v>
      </c>
      <c r="K160" s="5" t="s">
        <v>264</v>
      </c>
      <c r="L160" s="1">
        <f t="shared" si="16"/>
        <v>1</v>
      </c>
      <c r="M160" s="1">
        <v>33</v>
      </c>
      <c r="N160" s="1" t="s">
        <v>1001</v>
      </c>
      <c r="O160" s="1">
        <f t="shared" si="17"/>
        <v>0</v>
      </c>
      <c r="P160" s="1">
        <v>16</v>
      </c>
      <c r="Q160" s="1">
        <v>34</v>
      </c>
      <c r="R160" s="1">
        <v>120000</v>
      </c>
      <c r="S160" s="1">
        <v>2</v>
      </c>
    </row>
    <row r="161" spans="1:19" ht="12.75" customHeight="1" x14ac:dyDescent="0.15">
      <c r="A161" s="5" t="s">
        <v>285</v>
      </c>
      <c r="B161" s="1" t="e">
        <f ca="1">_xludf.LET(_xlpm.x,LOWER(TRIM(A161)),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1" s="5" t="s">
        <v>223</v>
      </c>
      <c r="D161" s="1">
        <f t="shared" si="12"/>
        <v>0</v>
      </c>
      <c r="F161" s="1" t="str">
        <f t="shared" si="13"/>
        <v/>
      </c>
      <c r="G161" s="5" t="s">
        <v>204</v>
      </c>
      <c r="H161" s="1">
        <f t="shared" si="14"/>
        <v>1</v>
      </c>
      <c r="I161" s="5" t="s">
        <v>207</v>
      </c>
      <c r="J161" s="1" t="str">
        <f t="shared" si="15"/>
        <v/>
      </c>
      <c r="K161" s="5" t="s">
        <v>215</v>
      </c>
      <c r="L161" s="1">
        <f t="shared" si="16"/>
        <v>2</v>
      </c>
      <c r="M161" s="1">
        <v>33</v>
      </c>
      <c r="N161" s="1" t="s">
        <v>992</v>
      </c>
      <c r="O161" s="1">
        <f t="shared" si="17"/>
        <v>0</v>
      </c>
      <c r="P161" s="1">
        <v>10</v>
      </c>
      <c r="Q161" s="1">
        <v>34</v>
      </c>
      <c r="R161" s="1">
        <v>400000</v>
      </c>
      <c r="S161" s="1">
        <v>7</v>
      </c>
    </row>
    <row r="162" spans="1:19" ht="12.75" customHeight="1" x14ac:dyDescent="0.15">
      <c r="A162" s="5" t="s">
        <v>285</v>
      </c>
      <c r="B162" s="1" t="e">
        <f ca="1">_xludf.LET(_xlpm.x,LOWER(TRIM(A162)),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2" s="5" t="s">
        <v>358</v>
      </c>
      <c r="D162" s="1">
        <f t="shared" si="12"/>
        <v>1</v>
      </c>
      <c r="F162" s="1" t="str">
        <f t="shared" si="13"/>
        <v/>
      </c>
      <c r="G162" s="5" t="s">
        <v>204</v>
      </c>
      <c r="H162" s="1">
        <f t="shared" si="14"/>
        <v>1</v>
      </c>
      <c r="I162" s="5" t="s">
        <v>271</v>
      </c>
      <c r="J162" s="1">
        <f t="shared" si="15"/>
        <v>4</v>
      </c>
      <c r="K162" s="5" t="s">
        <v>242</v>
      </c>
      <c r="L162" s="1">
        <f t="shared" si="16"/>
        <v>3</v>
      </c>
      <c r="M162" s="1">
        <v>33</v>
      </c>
      <c r="N162" s="1" t="s">
        <v>988</v>
      </c>
      <c r="O162" s="1">
        <f t="shared" si="17"/>
        <v>0</v>
      </c>
      <c r="P162" s="1">
        <v>2</v>
      </c>
      <c r="Q162" s="1">
        <v>10</v>
      </c>
      <c r="R162" s="1">
        <v>150000</v>
      </c>
      <c r="S162" s="1">
        <v>3</v>
      </c>
    </row>
    <row r="163" spans="1:19" ht="12.75" customHeight="1" x14ac:dyDescent="0.15">
      <c r="A163" s="5" t="s">
        <v>285</v>
      </c>
      <c r="B163" s="1" t="e">
        <f ca="1">_xludf.LET(_xlpm.x,LOWER(TRIM(A163)),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3" s="5" t="s">
        <v>223</v>
      </c>
      <c r="D163" s="1">
        <f t="shared" si="12"/>
        <v>0</v>
      </c>
      <c r="E163" s="5" t="s">
        <v>204</v>
      </c>
      <c r="F163" s="1">
        <f t="shared" si="13"/>
        <v>1</v>
      </c>
      <c r="G163" s="5" t="s">
        <v>204</v>
      </c>
      <c r="H163" s="1">
        <f t="shared" si="14"/>
        <v>1</v>
      </c>
      <c r="I163" s="5" t="s">
        <v>242</v>
      </c>
      <c r="J163" s="1">
        <f t="shared" si="15"/>
        <v>3</v>
      </c>
      <c r="K163" s="5" t="s">
        <v>242</v>
      </c>
      <c r="L163" s="1">
        <f t="shared" si="16"/>
        <v>3</v>
      </c>
      <c r="M163" s="1">
        <v>33</v>
      </c>
      <c r="N163" s="1" t="s">
        <v>991</v>
      </c>
      <c r="O163" s="1">
        <f t="shared" si="17"/>
        <v>0</v>
      </c>
      <c r="P163" s="1">
        <v>14</v>
      </c>
      <c r="Q163" s="1">
        <v>2</v>
      </c>
      <c r="R163" s="1">
        <v>300000</v>
      </c>
      <c r="S163" s="1">
        <v>4</v>
      </c>
    </row>
    <row r="164" spans="1:19" ht="12.75" customHeight="1" x14ac:dyDescent="0.15">
      <c r="A164" s="5" t="s">
        <v>285</v>
      </c>
      <c r="B164" s="1" t="e">
        <f ca="1">_xludf.LET(_xlpm.x,LOWER(TRIM(A164)),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4" s="5" t="s">
        <v>223</v>
      </c>
      <c r="D164" s="1">
        <f t="shared" si="12"/>
        <v>0</v>
      </c>
      <c r="E164" s="5" t="s">
        <v>204</v>
      </c>
      <c r="F164" s="1">
        <f t="shared" si="13"/>
        <v>1</v>
      </c>
      <c r="G164" s="5" t="s">
        <v>204</v>
      </c>
      <c r="H164" s="1">
        <f t="shared" si="14"/>
        <v>1</v>
      </c>
      <c r="I164" s="5" t="s">
        <v>242</v>
      </c>
      <c r="J164" s="1">
        <f t="shared" si="15"/>
        <v>3</v>
      </c>
      <c r="K164" s="5" t="s">
        <v>242</v>
      </c>
      <c r="L164" s="1">
        <f t="shared" si="16"/>
        <v>3</v>
      </c>
      <c r="M164" s="1">
        <v>33</v>
      </c>
      <c r="N164" s="1" t="s">
        <v>991</v>
      </c>
      <c r="O164" s="1">
        <f t="shared" si="17"/>
        <v>0</v>
      </c>
      <c r="P164" s="1">
        <v>14</v>
      </c>
      <c r="Q164" s="1">
        <v>2</v>
      </c>
      <c r="R164" s="1">
        <v>300000</v>
      </c>
      <c r="S164" s="1">
        <v>4</v>
      </c>
    </row>
    <row r="165" spans="1:19" ht="12.75" customHeight="1" x14ac:dyDescent="0.15">
      <c r="A165" s="5" t="s">
        <v>269</v>
      </c>
      <c r="B165" s="1" t="e">
        <f ca="1">_xludf.LET(_xlpm.x,LOWER(TRIM(A165)),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5" s="5" t="s">
        <v>223</v>
      </c>
      <c r="D165" s="1">
        <f t="shared" si="12"/>
        <v>0</v>
      </c>
      <c r="E165" s="5" t="s">
        <v>204</v>
      </c>
      <c r="F165" s="1">
        <f t="shared" si="13"/>
        <v>1</v>
      </c>
      <c r="G165" s="5" t="s">
        <v>204</v>
      </c>
      <c r="H165" s="1">
        <f t="shared" si="14"/>
        <v>1</v>
      </c>
      <c r="I165" s="5" t="s">
        <v>278</v>
      </c>
      <c r="J165" s="1">
        <f t="shared" si="15"/>
        <v>5</v>
      </c>
      <c r="K165" s="5" t="s">
        <v>242</v>
      </c>
      <c r="L165" s="1">
        <f t="shared" si="16"/>
        <v>3</v>
      </c>
      <c r="M165" s="1">
        <v>34</v>
      </c>
      <c r="N165" s="1" t="s">
        <v>989</v>
      </c>
      <c r="O165" s="1">
        <f t="shared" si="17"/>
        <v>1</v>
      </c>
      <c r="P165" s="1">
        <v>14</v>
      </c>
      <c r="Q165" s="1">
        <v>29</v>
      </c>
      <c r="R165" s="1">
        <v>0</v>
      </c>
      <c r="S165" s="1">
        <v>5</v>
      </c>
    </row>
    <row r="166" spans="1:19" ht="12.75" customHeight="1" x14ac:dyDescent="0.15">
      <c r="A166" s="5" t="s">
        <v>285</v>
      </c>
      <c r="B166" s="1" t="e">
        <f ca="1">_xludf.LET(_xlpm.x,LOWER(TRIM(A166)),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6" s="5" t="s">
        <v>223</v>
      </c>
      <c r="D166" s="1">
        <f t="shared" si="12"/>
        <v>0</v>
      </c>
      <c r="E166" s="5" t="s">
        <v>204</v>
      </c>
      <c r="F166" s="1">
        <f t="shared" si="13"/>
        <v>1</v>
      </c>
      <c r="G166" s="5" t="s">
        <v>204</v>
      </c>
      <c r="H166" s="1">
        <f t="shared" si="14"/>
        <v>1</v>
      </c>
      <c r="I166" s="5" t="s">
        <v>207</v>
      </c>
      <c r="J166" s="1" t="str">
        <f t="shared" si="15"/>
        <v/>
      </c>
      <c r="K166" s="5" t="s">
        <v>215</v>
      </c>
      <c r="L166" s="1">
        <f t="shared" si="16"/>
        <v>2</v>
      </c>
      <c r="M166" s="1">
        <v>34</v>
      </c>
      <c r="N166" s="1" t="s">
        <v>989</v>
      </c>
      <c r="O166" s="1">
        <f t="shared" si="17"/>
        <v>1</v>
      </c>
      <c r="P166" s="1">
        <v>10</v>
      </c>
      <c r="Q166" s="1">
        <v>34</v>
      </c>
      <c r="R166" s="1">
        <v>0</v>
      </c>
      <c r="S166" s="1">
        <v>3</v>
      </c>
    </row>
    <row r="167" spans="1:19" ht="12.75" customHeight="1" x14ac:dyDescent="0.15">
      <c r="A167" s="5" t="s">
        <v>213</v>
      </c>
      <c r="B167" s="1" t="e">
        <f ca="1">_xludf.LET(_xlpm.x,LOWER(TRIM(A167)),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7" s="5" t="s">
        <v>223</v>
      </c>
      <c r="D167" s="1">
        <f t="shared" si="12"/>
        <v>0</v>
      </c>
      <c r="F167" s="1" t="str">
        <f t="shared" si="13"/>
        <v/>
      </c>
      <c r="G167" s="5" t="s">
        <v>204</v>
      </c>
      <c r="H167" s="1">
        <f t="shared" si="14"/>
        <v>1</v>
      </c>
      <c r="I167" s="5" t="s">
        <v>242</v>
      </c>
      <c r="J167" s="1">
        <f t="shared" si="15"/>
        <v>3</v>
      </c>
      <c r="K167" s="5" t="s">
        <v>242</v>
      </c>
      <c r="L167" s="1">
        <f t="shared" si="16"/>
        <v>3</v>
      </c>
      <c r="M167" s="1">
        <v>34</v>
      </c>
      <c r="N167" s="1" t="s">
        <v>990</v>
      </c>
      <c r="O167" s="1">
        <f t="shared" si="17"/>
        <v>0</v>
      </c>
      <c r="P167" s="1">
        <v>14</v>
      </c>
      <c r="Q167" s="1">
        <v>34</v>
      </c>
      <c r="R167" s="1">
        <v>500000</v>
      </c>
      <c r="S167" s="1">
        <v>2</v>
      </c>
    </row>
    <row r="168" spans="1:19" ht="12.75" customHeight="1" x14ac:dyDescent="0.15">
      <c r="A168" s="5" t="s">
        <v>285</v>
      </c>
      <c r="B168" s="1" t="e">
        <f ca="1">_xludf.LET(_xlpm.x,LOWER(TRIM(A168)),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8" s="5" t="s">
        <v>223</v>
      </c>
      <c r="D168" s="1">
        <f t="shared" si="12"/>
        <v>0</v>
      </c>
      <c r="E168" s="5" t="s">
        <v>204</v>
      </c>
      <c r="F168" s="1">
        <f t="shared" si="13"/>
        <v>1</v>
      </c>
      <c r="G168" s="5" t="s">
        <v>204</v>
      </c>
      <c r="H168" s="1">
        <f t="shared" si="14"/>
        <v>1</v>
      </c>
      <c r="I168" s="5" t="s">
        <v>278</v>
      </c>
      <c r="J168" s="1">
        <f t="shared" si="15"/>
        <v>5</v>
      </c>
      <c r="K168" s="5" t="s">
        <v>271</v>
      </c>
      <c r="L168" s="1">
        <f t="shared" si="16"/>
        <v>4</v>
      </c>
      <c r="M168" s="1">
        <v>34</v>
      </c>
      <c r="N168" s="1" t="s">
        <v>990</v>
      </c>
      <c r="O168" s="1">
        <f t="shared" si="17"/>
        <v>0</v>
      </c>
      <c r="P168" s="1">
        <v>14</v>
      </c>
      <c r="Q168" s="1">
        <v>24</v>
      </c>
      <c r="R168" s="1">
        <v>2000000</v>
      </c>
      <c r="S168" s="1">
        <v>4</v>
      </c>
    </row>
    <row r="169" spans="1:19" ht="12.75" customHeight="1" x14ac:dyDescent="0.15">
      <c r="A169" s="5" t="s">
        <v>302</v>
      </c>
      <c r="B169" s="1" t="e">
        <f ca="1">_xludf.LET(_xlpm.x,LOWER(TRIM(A169)),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9" s="5" t="s">
        <v>223</v>
      </c>
      <c r="D169" s="1">
        <f t="shared" si="12"/>
        <v>0</v>
      </c>
      <c r="F169" s="1" t="str">
        <f t="shared" si="13"/>
        <v/>
      </c>
      <c r="G169" s="5" t="s">
        <v>204</v>
      </c>
      <c r="H169" s="1">
        <f t="shared" si="14"/>
        <v>1</v>
      </c>
      <c r="I169" s="5" t="s">
        <v>215</v>
      </c>
      <c r="J169" s="1">
        <f t="shared" si="15"/>
        <v>2</v>
      </c>
      <c r="K169" s="5" t="s">
        <v>215</v>
      </c>
      <c r="L169" s="1">
        <f t="shared" si="16"/>
        <v>2</v>
      </c>
      <c r="M169" s="1">
        <v>34</v>
      </c>
      <c r="N169" s="1" t="s">
        <v>995</v>
      </c>
      <c r="O169" s="1">
        <f t="shared" si="17"/>
        <v>0</v>
      </c>
      <c r="P169" s="1">
        <v>14</v>
      </c>
      <c r="Q169" s="1">
        <v>34</v>
      </c>
      <c r="R169" s="1">
        <v>190000</v>
      </c>
      <c r="S169" s="1">
        <v>4</v>
      </c>
    </row>
    <row r="170" spans="1:19" ht="12.75" customHeight="1" x14ac:dyDescent="0.15">
      <c r="A170" s="5" t="s">
        <v>285</v>
      </c>
      <c r="B170" s="1" t="e">
        <f ca="1">_xludf.LET(_xlpm.x,LOWER(TRIM(A170)),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0" s="5" t="s">
        <v>223</v>
      </c>
      <c r="D170" s="1">
        <f t="shared" si="12"/>
        <v>0</v>
      </c>
      <c r="E170" s="5" t="s">
        <v>204</v>
      </c>
      <c r="F170" s="1">
        <f t="shared" si="13"/>
        <v>1</v>
      </c>
      <c r="G170" s="5" t="s">
        <v>206</v>
      </c>
      <c r="H170" s="1">
        <f t="shared" si="14"/>
        <v>0</v>
      </c>
      <c r="J170" s="1" t="str">
        <f t="shared" si="15"/>
        <v/>
      </c>
      <c r="L170" s="1" t="str">
        <f t="shared" si="16"/>
        <v/>
      </c>
      <c r="M170" s="1">
        <v>34</v>
      </c>
      <c r="N170" s="1" t="s">
        <v>989</v>
      </c>
      <c r="O170" s="1">
        <f t="shared" si="17"/>
        <v>1</v>
      </c>
      <c r="P170" s="1">
        <v>14</v>
      </c>
      <c r="Q170" s="1">
        <v>2</v>
      </c>
      <c r="R170" s="1">
        <v>800000</v>
      </c>
      <c r="S170" s="1">
        <v>5</v>
      </c>
    </row>
    <row r="171" spans="1:19" ht="12.75" customHeight="1" x14ac:dyDescent="0.15">
      <c r="A171" s="5" t="s">
        <v>285</v>
      </c>
      <c r="B171" s="1" t="e">
        <f ca="1">_xludf.LET(_xlpm.x,LOWER(TRIM(A171)),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1" s="5" t="s">
        <v>223</v>
      </c>
      <c r="D171" s="1">
        <f t="shared" si="12"/>
        <v>0</v>
      </c>
      <c r="E171" s="5" t="s">
        <v>204</v>
      </c>
      <c r="F171" s="1">
        <f t="shared" si="13"/>
        <v>1</v>
      </c>
      <c r="G171" s="5" t="s">
        <v>204</v>
      </c>
      <c r="H171" s="1">
        <f t="shared" si="14"/>
        <v>1</v>
      </c>
      <c r="I171" s="5" t="s">
        <v>207</v>
      </c>
      <c r="J171" s="1" t="str">
        <f t="shared" si="15"/>
        <v/>
      </c>
      <c r="K171" s="5" t="s">
        <v>207</v>
      </c>
      <c r="L171" s="1" t="str">
        <f t="shared" si="16"/>
        <v/>
      </c>
      <c r="M171" s="1">
        <v>34</v>
      </c>
      <c r="N171" s="1" t="s">
        <v>990</v>
      </c>
      <c r="O171" s="1">
        <f t="shared" si="17"/>
        <v>0</v>
      </c>
      <c r="P171" s="1">
        <v>18</v>
      </c>
      <c r="Q171" s="1">
        <v>34</v>
      </c>
      <c r="R171" s="1">
        <v>700000</v>
      </c>
      <c r="S171" s="1">
        <v>3</v>
      </c>
    </row>
    <row r="172" spans="1:19" ht="12.75" customHeight="1" x14ac:dyDescent="0.15">
      <c r="A172" s="5" t="s">
        <v>213</v>
      </c>
      <c r="B172" s="1" t="e">
        <f ca="1">_xludf.LET(_xlpm.x,LOWER(TRIM(A172)),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2" s="5" t="s">
        <v>223</v>
      </c>
      <c r="D172" s="1">
        <f t="shared" si="12"/>
        <v>0</v>
      </c>
      <c r="F172" s="1" t="str">
        <f t="shared" si="13"/>
        <v/>
      </c>
      <c r="G172" s="5" t="s">
        <v>204</v>
      </c>
      <c r="H172" s="1">
        <f t="shared" si="14"/>
        <v>1</v>
      </c>
      <c r="I172" s="5" t="s">
        <v>278</v>
      </c>
      <c r="J172" s="1">
        <f t="shared" si="15"/>
        <v>5</v>
      </c>
      <c r="K172" s="5" t="s">
        <v>271</v>
      </c>
      <c r="L172" s="1">
        <f t="shared" si="16"/>
        <v>4</v>
      </c>
      <c r="M172" s="1">
        <v>34</v>
      </c>
      <c r="N172" s="1" t="s">
        <v>990</v>
      </c>
      <c r="O172" s="1">
        <f t="shared" si="17"/>
        <v>0</v>
      </c>
      <c r="P172" s="1">
        <v>18</v>
      </c>
      <c r="Q172" s="1">
        <v>34</v>
      </c>
      <c r="R172" s="1">
        <v>700000</v>
      </c>
      <c r="S172" s="1">
        <v>3</v>
      </c>
    </row>
    <row r="173" spans="1:19" ht="12.75" customHeight="1" x14ac:dyDescent="0.15">
      <c r="A173" s="5" t="s">
        <v>285</v>
      </c>
      <c r="B173" s="1" t="e">
        <f ca="1">_xludf.LET(_xlpm.x,LOWER(TRIM(A173)),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3" s="5" t="s">
        <v>223</v>
      </c>
      <c r="D173" s="1">
        <f t="shared" si="12"/>
        <v>0</v>
      </c>
      <c r="F173" s="1" t="str">
        <f t="shared" si="13"/>
        <v/>
      </c>
      <c r="G173" s="5" t="s">
        <v>204</v>
      </c>
      <c r="H173" s="1">
        <f t="shared" si="14"/>
        <v>1</v>
      </c>
      <c r="I173" s="5" t="s">
        <v>271</v>
      </c>
      <c r="J173" s="1">
        <f t="shared" si="15"/>
        <v>4</v>
      </c>
      <c r="K173" s="5" t="s">
        <v>271</v>
      </c>
      <c r="L173" s="1">
        <f t="shared" si="16"/>
        <v>4</v>
      </c>
      <c r="M173" s="1">
        <v>34</v>
      </c>
      <c r="N173" s="1" t="s">
        <v>989</v>
      </c>
      <c r="O173" s="1">
        <f t="shared" si="17"/>
        <v>1</v>
      </c>
      <c r="P173" s="1">
        <v>14</v>
      </c>
      <c r="Q173" s="1">
        <v>18</v>
      </c>
      <c r="R173" s="1">
        <v>47000</v>
      </c>
      <c r="S173" s="1">
        <v>1</v>
      </c>
    </row>
    <row r="174" spans="1:19" ht="12.75" customHeight="1" x14ac:dyDescent="0.15">
      <c r="A174" s="5" t="s">
        <v>213</v>
      </c>
      <c r="B174" s="1" t="e">
        <f ca="1">_xludf.LET(_xlpm.x,LOWER(TRIM(A174)),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4" s="5" t="s">
        <v>223</v>
      </c>
      <c r="D174" s="1">
        <f t="shared" si="12"/>
        <v>0</v>
      </c>
      <c r="F174" s="1" t="str">
        <f t="shared" si="13"/>
        <v/>
      </c>
      <c r="G174" s="5" t="s">
        <v>204</v>
      </c>
      <c r="H174" s="1">
        <f t="shared" si="14"/>
        <v>1</v>
      </c>
      <c r="I174" s="5" t="s">
        <v>242</v>
      </c>
      <c r="J174" s="1">
        <f t="shared" si="15"/>
        <v>3</v>
      </c>
      <c r="K174" s="5" t="s">
        <v>242</v>
      </c>
      <c r="L174" s="1">
        <f t="shared" si="16"/>
        <v>3</v>
      </c>
      <c r="M174" s="1">
        <v>34</v>
      </c>
      <c r="N174" s="1" t="s">
        <v>989</v>
      </c>
      <c r="O174" s="1">
        <f t="shared" si="17"/>
        <v>1</v>
      </c>
      <c r="P174" s="1">
        <v>14</v>
      </c>
      <c r="Q174" s="1">
        <v>18</v>
      </c>
      <c r="R174" s="1">
        <v>47000</v>
      </c>
      <c r="S174" s="1">
        <v>1</v>
      </c>
    </row>
    <row r="175" spans="1:19" ht="12.75" customHeight="1" x14ac:dyDescent="0.15">
      <c r="A175" s="5" t="s">
        <v>285</v>
      </c>
      <c r="B175" s="1" t="e">
        <f ca="1">_xludf.LET(_xlpm.x,LOWER(TRIM(A175)),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5" s="5" t="s">
        <v>223</v>
      </c>
      <c r="D175" s="1">
        <f t="shared" si="12"/>
        <v>0</v>
      </c>
      <c r="F175" s="1" t="str">
        <f t="shared" si="13"/>
        <v/>
      </c>
      <c r="G175" s="5" t="s">
        <v>204</v>
      </c>
      <c r="H175" s="1">
        <f t="shared" si="14"/>
        <v>1</v>
      </c>
      <c r="I175" s="5" t="s">
        <v>207</v>
      </c>
      <c r="J175" s="1" t="str">
        <f t="shared" si="15"/>
        <v/>
      </c>
      <c r="K175" s="5" t="s">
        <v>207</v>
      </c>
      <c r="L175" s="1" t="str">
        <f t="shared" si="16"/>
        <v/>
      </c>
      <c r="M175" s="1">
        <v>34</v>
      </c>
      <c r="N175" s="1" t="s">
        <v>998</v>
      </c>
      <c r="O175" s="1">
        <f t="shared" si="17"/>
        <v>0</v>
      </c>
      <c r="P175" s="1">
        <v>16</v>
      </c>
      <c r="Q175" s="1">
        <v>11</v>
      </c>
      <c r="R175" s="1">
        <v>-99</v>
      </c>
      <c r="S175" s="1">
        <v>3</v>
      </c>
    </row>
    <row r="176" spans="1:19" ht="12.75" customHeight="1" x14ac:dyDescent="0.15">
      <c r="A176" s="5" t="s">
        <v>213</v>
      </c>
      <c r="B176" s="1" t="e">
        <f ca="1">_xludf.LET(_xlpm.x,LOWER(TRIM(A176)),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6" s="5" t="s">
        <v>223</v>
      </c>
      <c r="D176" s="1">
        <f t="shared" si="12"/>
        <v>0</v>
      </c>
      <c r="F176" s="1" t="str">
        <f t="shared" si="13"/>
        <v/>
      </c>
      <c r="G176" s="5" t="s">
        <v>204</v>
      </c>
      <c r="H176" s="1">
        <f t="shared" si="14"/>
        <v>1</v>
      </c>
      <c r="I176" s="5" t="s">
        <v>278</v>
      </c>
      <c r="J176" s="1">
        <f t="shared" si="15"/>
        <v>5</v>
      </c>
      <c r="K176" s="5" t="s">
        <v>242</v>
      </c>
      <c r="L176" s="1">
        <f t="shared" si="16"/>
        <v>3</v>
      </c>
      <c r="M176" s="1">
        <v>34</v>
      </c>
      <c r="N176" s="1" t="s">
        <v>995</v>
      </c>
      <c r="O176" s="1">
        <f t="shared" si="17"/>
        <v>0</v>
      </c>
      <c r="P176" s="1">
        <v>16</v>
      </c>
      <c r="Q176" s="1">
        <v>4</v>
      </c>
      <c r="R176" s="1">
        <v>0</v>
      </c>
      <c r="S176" s="1">
        <v>2</v>
      </c>
    </row>
    <row r="177" spans="1:19" ht="12.75" customHeight="1" x14ac:dyDescent="0.15">
      <c r="A177" s="5" t="s">
        <v>277</v>
      </c>
      <c r="B177" s="1" t="e">
        <f ca="1">_xludf.LET(_xlpm.x,LOWER(TRIM(A177)),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7" s="5" t="s">
        <v>223</v>
      </c>
      <c r="D177" s="1">
        <f t="shared" si="12"/>
        <v>0</v>
      </c>
      <c r="F177" s="1" t="str">
        <f t="shared" si="13"/>
        <v/>
      </c>
      <c r="G177" s="5" t="s">
        <v>204</v>
      </c>
      <c r="H177" s="1">
        <f t="shared" si="14"/>
        <v>1</v>
      </c>
      <c r="I177" s="5" t="s">
        <v>207</v>
      </c>
      <c r="J177" s="1" t="str">
        <f t="shared" si="15"/>
        <v/>
      </c>
      <c r="K177" s="5" t="s">
        <v>215</v>
      </c>
      <c r="L177" s="1">
        <f t="shared" si="16"/>
        <v>2</v>
      </c>
      <c r="M177" s="1">
        <v>34</v>
      </c>
      <c r="N177" s="1" t="s">
        <v>999</v>
      </c>
      <c r="O177" s="1">
        <f t="shared" si="17"/>
        <v>0</v>
      </c>
      <c r="P177" s="1">
        <v>15</v>
      </c>
      <c r="Q177" s="1">
        <v>30</v>
      </c>
      <c r="R177" s="1">
        <v>450000</v>
      </c>
      <c r="S177" s="1">
        <v>2</v>
      </c>
    </row>
    <row r="178" spans="1:19" ht="12.75" customHeight="1" x14ac:dyDescent="0.15">
      <c r="A178" s="5" t="s">
        <v>277</v>
      </c>
      <c r="B178" s="1" t="e">
        <f ca="1">_xludf.LET(_xlpm.x,LOWER(TRIM(A178)),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8" s="5" t="s">
        <v>223</v>
      </c>
      <c r="D178" s="1">
        <f t="shared" si="12"/>
        <v>0</v>
      </c>
      <c r="F178" s="1" t="str">
        <f t="shared" si="13"/>
        <v/>
      </c>
      <c r="G178" s="5" t="s">
        <v>204</v>
      </c>
      <c r="H178" s="1">
        <f t="shared" si="14"/>
        <v>1</v>
      </c>
      <c r="I178" s="5" t="s">
        <v>215</v>
      </c>
      <c r="J178" s="1">
        <f t="shared" si="15"/>
        <v>2</v>
      </c>
      <c r="K178" s="5" t="s">
        <v>215</v>
      </c>
      <c r="L178" s="1">
        <f t="shared" si="16"/>
        <v>2</v>
      </c>
      <c r="M178" s="1">
        <v>34</v>
      </c>
      <c r="N178" s="1" t="s">
        <v>989</v>
      </c>
      <c r="O178" s="1">
        <f t="shared" si="17"/>
        <v>1</v>
      </c>
      <c r="P178" s="1">
        <v>2</v>
      </c>
      <c r="Q178" s="1">
        <v>3</v>
      </c>
      <c r="R178" s="1">
        <v>300000</v>
      </c>
      <c r="S178" s="1">
        <v>2</v>
      </c>
    </row>
    <row r="179" spans="1:19" ht="12.75" customHeight="1" x14ac:dyDescent="0.15">
      <c r="A179" s="5" t="s">
        <v>277</v>
      </c>
      <c r="B179" s="1" t="e">
        <f ca="1">_xludf.LET(_xlpm.x,LOWER(TRIM(A179)),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9" s="5" t="s">
        <v>223</v>
      </c>
      <c r="D179" s="1">
        <f t="shared" si="12"/>
        <v>0</v>
      </c>
      <c r="F179" s="1" t="str">
        <f t="shared" si="13"/>
        <v/>
      </c>
      <c r="G179" s="5" t="s">
        <v>204</v>
      </c>
      <c r="H179" s="1">
        <f t="shared" si="14"/>
        <v>1</v>
      </c>
      <c r="I179" s="5" t="s">
        <v>207</v>
      </c>
      <c r="J179" s="1" t="str">
        <f t="shared" si="15"/>
        <v/>
      </c>
      <c r="K179" s="5" t="s">
        <v>215</v>
      </c>
      <c r="L179" s="1">
        <f t="shared" si="16"/>
        <v>2</v>
      </c>
      <c r="M179" s="1">
        <v>34</v>
      </c>
      <c r="N179" s="1" t="s">
        <v>995</v>
      </c>
      <c r="O179" s="1">
        <f t="shared" si="17"/>
        <v>0</v>
      </c>
      <c r="P179" s="1">
        <v>17</v>
      </c>
      <c r="Q179" s="1">
        <v>2</v>
      </c>
      <c r="R179" s="1">
        <v>0</v>
      </c>
      <c r="S179" s="1">
        <v>4</v>
      </c>
    </row>
    <row r="180" spans="1:19" ht="12.75" customHeight="1" x14ac:dyDescent="0.15">
      <c r="A180" s="5" t="s">
        <v>285</v>
      </c>
      <c r="B180" s="1" t="e">
        <f ca="1">_xludf.LET(_xlpm.x,LOWER(TRIM(A180)),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0" s="5" t="s">
        <v>223</v>
      </c>
      <c r="D180" s="1">
        <f t="shared" si="12"/>
        <v>0</v>
      </c>
      <c r="E180" s="5" t="s">
        <v>204</v>
      </c>
      <c r="F180" s="1">
        <f t="shared" si="13"/>
        <v>1</v>
      </c>
      <c r="G180" s="5" t="s">
        <v>204</v>
      </c>
      <c r="H180" s="1">
        <f t="shared" si="14"/>
        <v>1</v>
      </c>
      <c r="I180" s="5" t="s">
        <v>215</v>
      </c>
      <c r="J180" s="1">
        <f t="shared" si="15"/>
        <v>2</v>
      </c>
      <c r="K180" s="5" t="s">
        <v>215</v>
      </c>
      <c r="L180" s="1">
        <f t="shared" si="16"/>
        <v>2</v>
      </c>
      <c r="M180" s="1">
        <v>34</v>
      </c>
      <c r="N180" s="1" t="s">
        <v>987</v>
      </c>
      <c r="O180" s="1">
        <f t="shared" si="17"/>
        <v>0</v>
      </c>
      <c r="P180" s="1">
        <v>4</v>
      </c>
      <c r="Q180" s="1">
        <v>34</v>
      </c>
      <c r="R180" s="1">
        <v>500000</v>
      </c>
      <c r="S180" s="1">
        <v>1</v>
      </c>
    </row>
    <row r="181" spans="1:19" ht="12.75" customHeight="1" x14ac:dyDescent="0.15">
      <c r="A181" s="5" t="s">
        <v>285</v>
      </c>
      <c r="B181" s="1" t="e">
        <f ca="1">_xludf.LET(_xlpm.x,LOWER(TRIM(A181)),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1" s="5" t="s">
        <v>223</v>
      </c>
      <c r="D181" s="1">
        <f t="shared" si="12"/>
        <v>0</v>
      </c>
      <c r="E181" s="5" t="s">
        <v>204</v>
      </c>
      <c r="F181" s="1">
        <f t="shared" si="13"/>
        <v>1</v>
      </c>
      <c r="G181" s="5" t="s">
        <v>204</v>
      </c>
      <c r="H181" s="1">
        <f t="shared" si="14"/>
        <v>1</v>
      </c>
      <c r="I181" s="5" t="s">
        <v>271</v>
      </c>
      <c r="J181" s="1">
        <f t="shared" si="15"/>
        <v>4</v>
      </c>
      <c r="K181" s="5" t="s">
        <v>271</v>
      </c>
      <c r="L181" s="1">
        <f t="shared" si="16"/>
        <v>4</v>
      </c>
      <c r="M181" s="1">
        <v>34</v>
      </c>
      <c r="N181" s="1" t="s">
        <v>1000</v>
      </c>
      <c r="O181" s="1">
        <f t="shared" si="17"/>
        <v>0</v>
      </c>
      <c r="P181" s="1">
        <v>14</v>
      </c>
      <c r="Q181" s="1">
        <v>24</v>
      </c>
      <c r="R181" s="1">
        <v>450000</v>
      </c>
      <c r="S181" s="1">
        <v>3</v>
      </c>
    </row>
    <row r="182" spans="1:19" ht="12.75" customHeight="1" x14ac:dyDescent="0.15">
      <c r="A182" s="5" t="s">
        <v>285</v>
      </c>
      <c r="B182" s="1" t="e">
        <f ca="1">_xludf.LET(_xlpm.x,LOWER(TRIM(A182)),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2" s="5" t="s">
        <v>223</v>
      </c>
      <c r="D182" s="1">
        <f t="shared" si="12"/>
        <v>0</v>
      </c>
      <c r="F182" s="1" t="str">
        <f t="shared" si="13"/>
        <v/>
      </c>
      <c r="G182" s="5" t="s">
        <v>204</v>
      </c>
      <c r="H182" s="1">
        <f t="shared" si="14"/>
        <v>1</v>
      </c>
      <c r="I182" s="5" t="s">
        <v>207</v>
      </c>
      <c r="J182" s="1" t="str">
        <f t="shared" si="15"/>
        <v/>
      </c>
      <c r="K182" s="5" t="s">
        <v>215</v>
      </c>
      <c r="L182" s="1">
        <f t="shared" si="16"/>
        <v>2</v>
      </c>
      <c r="M182" s="1">
        <v>34</v>
      </c>
      <c r="N182" s="1" t="s">
        <v>988</v>
      </c>
      <c r="O182" s="1">
        <f t="shared" si="17"/>
        <v>0</v>
      </c>
      <c r="P182" s="1">
        <v>18</v>
      </c>
      <c r="Q182" s="1">
        <v>3</v>
      </c>
      <c r="R182" s="1">
        <v>60000</v>
      </c>
      <c r="S182" s="1">
        <v>3</v>
      </c>
    </row>
    <row r="183" spans="1:19" ht="12.75" customHeight="1" x14ac:dyDescent="0.15">
      <c r="A183" s="5" t="s">
        <v>285</v>
      </c>
      <c r="B183" s="1" t="e">
        <f ca="1">_xludf.LET(_xlpm.x,LOWER(TRIM(A183)),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3" s="5" t="s">
        <v>223</v>
      </c>
      <c r="D183" s="1">
        <f t="shared" si="12"/>
        <v>0</v>
      </c>
      <c r="F183" s="1" t="str">
        <f t="shared" si="13"/>
        <v/>
      </c>
      <c r="G183" s="5" t="s">
        <v>204</v>
      </c>
      <c r="H183" s="1">
        <f t="shared" si="14"/>
        <v>1</v>
      </c>
      <c r="I183" s="5" t="s">
        <v>215</v>
      </c>
      <c r="J183" s="1">
        <f t="shared" si="15"/>
        <v>2</v>
      </c>
      <c r="K183" s="5" t="s">
        <v>264</v>
      </c>
      <c r="L183" s="1">
        <f t="shared" si="16"/>
        <v>1</v>
      </c>
      <c r="M183" s="1">
        <v>34</v>
      </c>
      <c r="N183" s="1" t="s">
        <v>998</v>
      </c>
      <c r="O183" s="1">
        <f t="shared" si="17"/>
        <v>0</v>
      </c>
      <c r="P183" s="1">
        <v>17</v>
      </c>
      <c r="Q183" s="1">
        <v>11</v>
      </c>
      <c r="R183" s="1">
        <v>27000</v>
      </c>
      <c r="S183" s="1">
        <v>2</v>
      </c>
    </row>
    <row r="184" spans="1:19" ht="12.75" customHeight="1" x14ac:dyDescent="0.15">
      <c r="A184" s="5" t="s">
        <v>269</v>
      </c>
      <c r="B184" s="1" t="e">
        <f ca="1">_xludf.LET(_xlpm.x,LOWER(TRIM(A184)),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4" s="5" t="s">
        <v>223</v>
      </c>
      <c r="D184" s="1">
        <f t="shared" si="12"/>
        <v>0</v>
      </c>
      <c r="E184" s="5" t="s">
        <v>204</v>
      </c>
      <c r="F184" s="1">
        <f t="shared" si="13"/>
        <v>1</v>
      </c>
      <c r="G184" s="5" t="s">
        <v>204</v>
      </c>
      <c r="H184" s="1">
        <f t="shared" si="14"/>
        <v>1</v>
      </c>
      <c r="I184" s="5" t="s">
        <v>278</v>
      </c>
      <c r="J184" s="1">
        <f t="shared" si="15"/>
        <v>5</v>
      </c>
      <c r="K184" s="5" t="s">
        <v>278</v>
      </c>
      <c r="L184" s="1">
        <f t="shared" si="16"/>
        <v>5</v>
      </c>
      <c r="M184" s="1">
        <v>35</v>
      </c>
      <c r="N184" s="1" t="s">
        <v>989</v>
      </c>
      <c r="O184" s="1">
        <f t="shared" si="17"/>
        <v>1</v>
      </c>
      <c r="P184" s="1">
        <v>12</v>
      </c>
      <c r="Q184" s="1">
        <v>24</v>
      </c>
      <c r="R184" s="1">
        <v>1150000</v>
      </c>
      <c r="S184" s="1">
        <v>1</v>
      </c>
    </row>
    <row r="185" spans="1:19" ht="12.75" customHeight="1" x14ac:dyDescent="0.15">
      <c r="A185" s="5" t="s">
        <v>285</v>
      </c>
      <c r="B185" s="1" t="e">
        <f ca="1">_xludf.LET(_xlpm.x,LOWER(TRIM(A185)),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5" s="5" t="s">
        <v>223</v>
      </c>
      <c r="D185" s="1">
        <f t="shared" si="12"/>
        <v>0</v>
      </c>
      <c r="E185" s="5" t="s">
        <v>204</v>
      </c>
      <c r="F185" s="1">
        <f t="shared" si="13"/>
        <v>1</v>
      </c>
      <c r="G185" s="5" t="s">
        <v>204</v>
      </c>
      <c r="H185" s="1">
        <f t="shared" si="14"/>
        <v>1</v>
      </c>
      <c r="I185" s="5" t="s">
        <v>207</v>
      </c>
      <c r="J185" s="1" t="str">
        <f t="shared" si="15"/>
        <v/>
      </c>
      <c r="K185" s="5" t="s">
        <v>264</v>
      </c>
      <c r="L185" s="1">
        <f t="shared" si="16"/>
        <v>1</v>
      </c>
      <c r="M185" s="1">
        <v>35</v>
      </c>
      <c r="N185" s="1" t="s">
        <v>994</v>
      </c>
      <c r="O185" s="1">
        <f t="shared" si="17"/>
        <v>0</v>
      </c>
      <c r="P185" s="1">
        <v>14</v>
      </c>
      <c r="Q185" s="1">
        <v>8</v>
      </c>
      <c r="R185" s="1">
        <v>400000</v>
      </c>
      <c r="S185" s="1">
        <v>3</v>
      </c>
    </row>
    <row r="186" spans="1:19" ht="12.75" customHeight="1" x14ac:dyDescent="0.15">
      <c r="A186" s="5" t="s">
        <v>269</v>
      </c>
      <c r="B186" s="1" t="e">
        <f ca="1">_xludf.LET(_xlpm.x,LOWER(TRIM(A186)),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6" s="5" t="s">
        <v>223</v>
      </c>
      <c r="D186" s="1">
        <f t="shared" si="12"/>
        <v>0</v>
      </c>
      <c r="F186" s="1" t="str">
        <f t="shared" si="13"/>
        <v/>
      </c>
      <c r="G186" s="5" t="s">
        <v>204</v>
      </c>
      <c r="H186" s="1">
        <f t="shared" si="14"/>
        <v>1</v>
      </c>
      <c r="I186" s="5" t="s">
        <v>215</v>
      </c>
      <c r="J186" s="1">
        <f t="shared" si="15"/>
        <v>2</v>
      </c>
      <c r="K186" s="5" t="s">
        <v>215</v>
      </c>
      <c r="L186" s="1">
        <f t="shared" si="16"/>
        <v>2</v>
      </c>
      <c r="M186" s="1">
        <v>35</v>
      </c>
      <c r="N186" s="1" t="s">
        <v>989</v>
      </c>
      <c r="O186" s="1">
        <f t="shared" si="17"/>
        <v>1</v>
      </c>
      <c r="P186" s="1">
        <v>14</v>
      </c>
      <c r="Q186" s="1">
        <v>7</v>
      </c>
      <c r="R186" s="1">
        <v>380000</v>
      </c>
      <c r="S186" s="1">
        <v>4</v>
      </c>
    </row>
    <row r="187" spans="1:19" ht="12.75" customHeight="1" x14ac:dyDescent="0.15">
      <c r="A187" s="5" t="s">
        <v>269</v>
      </c>
      <c r="B187" s="1" t="e">
        <f ca="1">_xludf.LET(_xlpm.x,LOWER(TRIM(A187)),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7" s="5" t="s">
        <v>223</v>
      </c>
      <c r="D187" s="1">
        <f t="shared" si="12"/>
        <v>0</v>
      </c>
      <c r="F187" s="1" t="str">
        <f t="shared" si="13"/>
        <v/>
      </c>
      <c r="G187" s="5" t="s">
        <v>204</v>
      </c>
      <c r="H187" s="1">
        <f t="shared" si="14"/>
        <v>1</v>
      </c>
      <c r="I187" s="5" t="s">
        <v>271</v>
      </c>
      <c r="J187" s="1">
        <f t="shared" si="15"/>
        <v>4</v>
      </c>
      <c r="K187" s="5" t="s">
        <v>242</v>
      </c>
      <c r="L187" s="1">
        <f t="shared" si="16"/>
        <v>3</v>
      </c>
      <c r="M187" s="1">
        <v>35</v>
      </c>
      <c r="N187" s="1" t="s">
        <v>989</v>
      </c>
      <c r="O187" s="1">
        <f t="shared" si="17"/>
        <v>1</v>
      </c>
      <c r="P187" s="1">
        <v>14</v>
      </c>
      <c r="Q187" s="1">
        <v>7</v>
      </c>
      <c r="R187" s="1">
        <v>380000</v>
      </c>
      <c r="S187" s="1">
        <v>4</v>
      </c>
    </row>
    <row r="188" spans="1:19" ht="12.75" customHeight="1" x14ac:dyDescent="0.15">
      <c r="A188" s="5" t="s">
        <v>285</v>
      </c>
      <c r="B188" s="1" t="e">
        <f ca="1">_xludf.LET(_xlpm.x,LOWER(TRIM(A188)),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8" s="5" t="s">
        <v>223</v>
      </c>
      <c r="D188" s="1">
        <f t="shared" si="12"/>
        <v>0</v>
      </c>
      <c r="E188" s="5" t="s">
        <v>204</v>
      </c>
      <c r="F188" s="1">
        <f t="shared" si="13"/>
        <v>1</v>
      </c>
      <c r="G188" s="5" t="s">
        <v>204</v>
      </c>
      <c r="H188" s="1">
        <f t="shared" si="14"/>
        <v>1</v>
      </c>
      <c r="I188" s="5" t="s">
        <v>215</v>
      </c>
      <c r="J188" s="1">
        <f t="shared" si="15"/>
        <v>2</v>
      </c>
      <c r="K188" s="5" t="s">
        <v>264</v>
      </c>
      <c r="L188" s="1">
        <f t="shared" si="16"/>
        <v>1</v>
      </c>
      <c r="M188" s="1">
        <v>35</v>
      </c>
      <c r="N188" s="1" t="s">
        <v>998</v>
      </c>
      <c r="O188" s="1">
        <f t="shared" si="17"/>
        <v>0</v>
      </c>
      <c r="P188" s="1">
        <v>18</v>
      </c>
      <c r="Q188" s="1">
        <v>33</v>
      </c>
      <c r="R188" s="1">
        <v>300000</v>
      </c>
      <c r="S188" s="1">
        <v>3</v>
      </c>
    </row>
    <row r="189" spans="1:19" ht="12.75" customHeight="1" x14ac:dyDescent="0.15">
      <c r="A189" s="5" t="s">
        <v>269</v>
      </c>
      <c r="B189" s="1" t="e">
        <f ca="1">_xludf.LET(_xlpm.x,LOWER(TRIM(A189)),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9" s="5" t="s">
        <v>223</v>
      </c>
      <c r="D189" s="1">
        <f t="shared" si="12"/>
        <v>0</v>
      </c>
      <c r="F189" s="1" t="str">
        <f t="shared" si="13"/>
        <v/>
      </c>
      <c r="G189" s="5" t="s">
        <v>204</v>
      </c>
      <c r="H189" s="1">
        <f t="shared" si="14"/>
        <v>1</v>
      </c>
      <c r="I189" s="5" t="s">
        <v>264</v>
      </c>
      <c r="J189" s="1">
        <f t="shared" si="15"/>
        <v>1</v>
      </c>
      <c r="K189" s="5" t="s">
        <v>215</v>
      </c>
      <c r="L189" s="1">
        <f t="shared" si="16"/>
        <v>2</v>
      </c>
      <c r="M189" s="1">
        <v>35</v>
      </c>
      <c r="N189" s="1" t="s">
        <v>998</v>
      </c>
      <c r="O189" s="1">
        <f t="shared" si="17"/>
        <v>0</v>
      </c>
      <c r="P189" s="1">
        <v>18</v>
      </c>
      <c r="Q189" s="1">
        <v>33</v>
      </c>
      <c r="R189" s="1">
        <v>300000</v>
      </c>
      <c r="S189" s="1">
        <v>3</v>
      </c>
    </row>
    <row r="190" spans="1:19" ht="12.75" customHeight="1" x14ac:dyDescent="0.15">
      <c r="A190" s="5" t="s">
        <v>269</v>
      </c>
      <c r="B190" s="1" t="e">
        <f ca="1">_xludf.LET(_xlpm.x,LOWER(TRIM(A190)),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0" s="5" t="s">
        <v>223</v>
      </c>
      <c r="D190" s="1">
        <f t="shared" si="12"/>
        <v>0</v>
      </c>
      <c r="E190" s="5" t="s">
        <v>204</v>
      </c>
      <c r="F190" s="1">
        <f t="shared" si="13"/>
        <v>1</v>
      </c>
      <c r="G190" s="5" t="s">
        <v>204</v>
      </c>
      <c r="H190" s="1">
        <f t="shared" si="14"/>
        <v>1</v>
      </c>
      <c r="I190" s="5" t="s">
        <v>278</v>
      </c>
      <c r="J190" s="1">
        <f t="shared" si="15"/>
        <v>5</v>
      </c>
      <c r="K190" s="5" t="s">
        <v>278</v>
      </c>
      <c r="L190" s="1">
        <f t="shared" si="16"/>
        <v>5</v>
      </c>
      <c r="M190" s="1">
        <v>35</v>
      </c>
      <c r="N190" s="1" t="s">
        <v>998</v>
      </c>
      <c r="O190" s="1">
        <f t="shared" si="17"/>
        <v>0</v>
      </c>
      <c r="P190" s="1">
        <v>15</v>
      </c>
      <c r="Q190" s="1">
        <v>1</v>
      </c>
      <c r="R190" s="1">
        <v>460000</v>
      </c>
      <c r="S190" s="1">
        <v>4</v>
      </c>
    </row>
    <row r="191" spans="1:19" ht="12.75" customHeight="1" x14ac:dyDescent="0.15">
      <c r="A191" s="5" t="s">
        <v>269</v>
      </c>
      <c r="B191" s="1" t="e">
        <f ca="1">_xludf.LET(_xlpm.x,LOWER(TRIM(A191)),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1" s="5" t="s">
        <v>223</v>
      </c>
      <c r="D191" s="1">
        <f t="shared" si="12"/>
        <v>0</v>
      </c>
      <c r="E191" s="5" t="s">
        <v>204</v>
      </c>
      <c r="F191" s="1">
        <f t="shared" si="13"/>
        <v>1</v>
      </c>
      <c r="G191" s="5" t="s">
        <v>204</v>
      </c>
      <c r="H191" s="1">
        <f t="shared" si="14"/>
        <v>1</v>
      </c>
      <c r="I191" s="5" t="s">
        <v>242</v>
      </c>
      <c r="J191" s="1">
        <f t="shared" si="15"/>
        <v>3</v>
      </c>
      <c r="K191" s="5" t="s">
        <v>215</v>
      </c>
      <c r="L191" s="1">
        <f t="shared" si="16"/>
        <v>2</v>
      </c>
      <c r="M191" s="1">
        <v>35</v>
      </c>
      <c r="N191" s="1" t="s">
        <v>996</v>
      </c>
      <c r="O191" s="1">
        <f t="shared" si="17"/>
        <v>0</v>
      </c>
      <c r="P191" s="1">
        <v>18</v>
      </c>
      <c r="Q191" s="1">
        <v>2</v>
      </c>
      <c r="R191" s="1">
        <v>-99</v>
      </c>
      <c r="S191" s="1">
        <v>3</v>
      </c>
    </row>
    <row r="192" spans="1:19" ht="12.75" customHeight="1" x14ac:dyDescent="0.15">
      <c r="A192" s="5" t="s">
        <v>213</v>
      </c>
      <c r="B192" s="1" t="e">
        <f ca="1">_xludf.LET(_xlpm.x,LOWER(TRIM(A192)),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2" s="5" t="s">
        <v>223</v>
      </c>
      <c r="D192" s="1">
        <f t="shared" si="12"/>
        <v>0</v>
      </c>
      <c r="F192" s="1" t="str">
        <f t="shared" si="13"/>
        <v/>
      </c>
      <c r="G192" s="5" t="s">
        <v>204</v>
      </c>
      <c r="H192" s="1">
        <f t="shared" si="14"/>
        <v>1</v>
      </c>
      <c r="I192" s="5" t="s">
        <v>278</v>
      </c>
      <c r="J192" s="1">
        <f t="shared" si="15"/>
        <v>5</v>
      </c>
      <c r="K192" s="5" t="s">
        <v>271</v>
      </c>
      <c r="L192" s="1">
        <f t="shared" si="16"/>
        <v>4</v>
      </c>
      <c r="M192" s="1">
        <v>35</v>
      </c>
      <c r="N192" s="1" t="s">
        <v>999</v>
      </c>
      <c r="O192" s="1">
        <f t="shared" si="17"/>
        <v>0</v>
      </c>
      <c r="P192" s="1">
        <v>3</v>
      </c>
      <c r="Q192" s="1">
        <v>34</v>
      </c>
      <c r="R192" s="1">
        <v>53000</v>
      </c>
      <c r="S192" s="1">
        <v>2</v>
      </c>
    </row>
    <row r="193" spans="1:19" ht="12.75" customHeight="1" x14ac:dyDescent="0.15">
      <c r="A193" s="5" t="s">
        <v>213</v>
      </c>
      <c r="B193" s="1" t="e">
        <f ca="1">_xludf.LET(_xlpm.x,LOWER(TRIM(A193)),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3" s="5" t="s">
        <v>223</v>
      </c>
      <c r="D193" s="1">
        <f t="shared" si="12"/>
        <v>0</v>
      </c>
      <c r="F193" s="1" t="str">
        <f t="shared" si="13"/>
        <v/>
      </c>
      <c r="G193" s="5" t="s">
        <v>204</v>
      </c>
      <c r="H193" s="1">
        <f t="shared" si="14"/>
        <v>1</v>
      </c>
      <c r="I193" s="5" t="s">
        <v>207</v>
      </c>
      <c r="J193" s="1" t="str">
        <f t="shared" si="15"/>
        <v/>
      </c>
      <c r="K193" s="5" t="s">
        <v>215</v>
      </c>
      <c r="L193" s="1">
        <f t="shared" si="16"/>
        <v>2</v>
      </c>
      <c r="M193" s="1">
        <v>35</v>
      </c>
      <c r="N193" s="1" t="s">
        <v>995</v>
      </c>
      <c r="O193" s="1">
        <f t="shared" si="17"/>
        <v>0</v>
      </c>
      <c r="P193" s="1">
        <v>16</v>
      </c>
      <c r="Q193" s="1">
        <v>1</v>
      </c>
      <c r="R193" s="1">
        <v>250000</v>
      </c>
      <c r="S193" s="1">
        <v>1</v>
      </c>
    </row>
    <row r="194" spans="1:19" ht="12.75" customHeight="1" x14ac:dyDescent="0.15">
      <c r="A194" s="5" t="s">
        <v>285</v>
      </c>
      <c r="B194" s="1" t="e">
        <f ca="1">_xludf.LET(_xlpm.x,LOWER(TRIM(A194)),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4" s="5" t="s">
        <v>223</v>
      </c>
      <c r="D194" s="1">
        <f t="shared" ref="D194:D257" si="18">IF(C194="Chilena (exclusivamente)",0,1)</f>
        <v>0</v>
      </c>
      <c r="F194" s="1" t="str">
        <f t="shared" ref="F194:F257" si="19">IF(ISBLANK(E194),"",IF(OR(E194="Sí",E194="Si"),1,IF(E194="No",0,"")))</f>
        <v/>
      </c>
      <c r="G194" s="5" t="s">
        <v>204</v>
      </c>
      <c r="H194" s="1">
        <f t="shared" ref="H194:H257" si="20">IF(ISBLANK(G194),"",IF(OR(G194="Sí",G194="Si"),1,IF(G194="No",0,"")))</f>
        <v>1</v>
      </c>
      <c r="I194" s="5" t="s">
        <v>207</v>
      </c>
      <c r="J194" s="1" t="str">
        <f t="shared" ref="J194:J257" si="21">IF(OR(ISBLANK(I194),TRIM(I194)="No respondió",TRIM(I194)="No respondio",TRIM(I194)="No aplica"),
   "",
   IF(TRIM(I194)="Entre 1 a 2 horas",1,
     IF(TRIM(I194)="Más de 2 horas y menos de 4 horas",2,
       IF(TRIM(I194)="Entre 4 a 6 horas",3,
         IF(TRIM(I194)="Más de 6 horas y menos de 8 horas",4,
           IF(TRIM(I194)="Más de 8 horas",5,"")
         )
       )
     )
   )
)</f>
        <v/>
      </c>
      <c r="K194" s="5" t="s">
        <v>215</v>
      </c>
      <c r="L194" s="1">
        <f t="shared" ref="L194:L257" si="22">IF(OR(ISBLANK(K194),TRIM(K194)="No respondió",TRIM(K194)="No respondio",TRIM(K194)="No aplica"),
   "",
   IF(TRIM(K194)="Entre 1 a 2 horas",1,
     IF(TRIM(K194)="Más de 2 horas y menos de 4 horas",2,
       IF(TRIM(K194)="Entre 4 a 6 horas",3,
         IF(TRIM(K194)="Más de 6 horas y menos de 8 horas",4,
           IF(TRIM(K194)="Más de 8 horas",5,"")
         )
       )
     )
   )
)</f>
        <v>2</v>
      </c>
      <c r="M194" s="1">
        <v>35</v>
      </c>
      <c r="N194" s="1" t="s">
        <v>989</v>
      </c>
      <c r="O194" s="1">
        <f t="shared" ref="O194:O257" si="23">IF(N194="METROPOLITANA",1,0)</f>
        <v>1</v>
      </c>
      <c r="P194" s="1">
        <v>2</v>
      </c>
      <c r="Q194" s="1">
        <v>34</v>
      </c>
      <c r="R194" s="1">
        <v>-99</v>
      </c>
      <c r="S194" s="1">
        <v>6</v>
      </c>
    </row>
    <row r="195" spans="1:19" ht="12.75" customHeight="1" x14ac:dyDescent="0.15">
      <c r="A195" s="5" t="s">
        <v>285</v>
      </c>
      <c r="B195" s="1" t="e">
        <f ca="1">_xludf.LET(_xlpm.x,LOWER(TRIM(A195)),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5" s="5" t="s">
        <v>223</v>
      </c>
      <c r="D195" s="1">
        <f t="shared" si="18"/>
        <v>0</v>
      </c>
      <c r="E195" s="5" t="s">
        <v>204</v>
      </c>
      <c r="F195" s="1">
        <f t="shared" si="19"/>
        <v>1</v>
      </c>
      <c r="G195" s="5" t="s">
        <v>204</v>
      </c>
      <c r="H195" s="1">
        <f t="shared" si="20"/>
        <v>1</v>
      </c>
      <c r="I195" s="5" t="s">
        <v>242</v>
      </c>
      <c r="J195" s="1">
        <f t="shared" si="21"/>
        <v>3</v>
      </c>
      <c r="K195" s="5" t="s">
        <v>242</v>
      </c>
      <c r="L195" s="1">
        <f t="shared" si="22"/>
        <v>3</v>
      </c>
      <c r="M195" s="1">
        <v>35</v>
      </c>
      <c r="N195" s="1" t="s">
        <v>987</v>
      </c>
      <c r="O195" s="1">
        <f t="shared" si="23"/>
        <v>0</v>
      </c>
      <c r="P195" s="1">
        <v>12</v>
      </c>
      <c r="Q195" s="1">
        <v>6</v>
      </c>
      <c r="R195" s="1">
        <v>400000</v>
      </c>
      <c r="S195" s="1">
        <v>4</v>
      </c>
    </row>
    <row r="196" spans="1:19" ht="12.75" customHeight="1" x14ac:dyDescent="0.15">
      <c r="A196" s="5" t="s">
        <v>213</v>
      </c>
      <c r="B196" s="1" t="e">
        <f ca="1">_xludf.LET(_xlpm.x,LOWER(TRIM(A196)),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6" s="5" t="s">
        <v>223</v>
      </c>
      <c r="D196" s="1">
        <f t="shared" si="18"/>
        <v>0</v>
      </c>
      <c r="F196" s="1" t="str">
        <f t="shared" si="19"/>
        <v/>
      </c>
      <c r="G196" s="5" t="s">
        <v>204</v>
      </c>
      <c r="H196" s="1">
        <f t="shared" si="20"/>
        <v>1</v>
      </c>
      <c r="I196" s="5" t="s">
        <v>271</v>
      </c>
      <c r="J196" s="1">
        <f t="shared" si="21"/>
        <v>4</v>
      </c>
      <c r="K196" s="5" t="s">
        <v>215</v>
      </c>
      <c r="L196" s="1">
        <f t="shared" si="22"/>
        <v>2</v>
      </c>
      <c r="M196" s="1">
        <v>35</v>
      </c>
      <c r="N196" s="1" t="s">
        <v>989</v>
      </c>
      <c r="O196" s="1">
        <f t="shared" si="23"/>
        <v>1</v>
      </c>
      <c r="P196" s="1">
        <v>18</v>
      </c>
      <c r="Q196" s="1">
        <v>3</v>
      </c>
      <c r="R196" s="1">
        <v>900000</v>
      </c>
      <c r="S196" s="1">
        <v>5</v>
      </c>
    </row>
    <row r="197" spans="1:19" ht="12.75" customHeight="1" x14ac:dyDescent="0.15">
      <c r="A197" s="5" t="s">
        <v>285</v>
      </c>
      <c r="B197" s="1" t="e">
        <f ca="1">_xludf.LET(_xlpm.x,LOWER(TRIM(A197)),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7" s="5" t="s">
        <v>223</v>
      </c>
      <c r="D197" s="1">
        <f t="shared" si="18"/>
        <v>0</v>
      </c>
      <c r="E197" s="5" t="s">
        <v>204</v>
      </c>
      <c r="F197" s="1">
        <f t="shared" si="19"/>
        <v>1</v>
      </c>
      <c r="G197" s="5" t="s">
        <v>204</v>
      </c>
      <c r="H197" s="1">
        <f t="shared" si="20"/>
        <v>1</v>
      </c>
      <c r="I197" s="5" t="s">
        <v>207</v>
      </c>
      <c r="J197" s="1" t="str">
        <f t="shared" si="21"/>
        <v/>
      </c>
      <c r="K197" s="5" t="s">
        <v>271</v>
      </c>
      <c r="L197" s="1">
        <f t="shared" si="22"/>
        <v>4</v>
      </c>
      <c r="M197" s="1">
        <v>35</v>
      </c>
      <c r="N197" s="1" t="s">
        <v>989</v>
      </c>
      <c r="O197" s="1">
        <f t="shared" si="23"/>
        <v>1</v>
      </c>
      <c r="P197" s="1">
        <v>88</v>
      </c>
      <c r="Q197" s="1">
        <v>2</v>
      </c>
      <c r="R197" s="1">
        <v>1200000</v>
      </c>
      <c r="S197" s="1">
        <v>4</v>
      </c>
    </row>
    <row r="198" spans="1:19" ht="12.75" customHeight="1" x14ac:dyDescent="0.15">
      <c r="A198" s="5" t="s">
        <v>269</v>
      </c>
      <c r="B198" s="1" t="e">
        <f ca="1">_xludf.LET(_xlpm.x,LOWER(TRIM(A198)),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8" s="5" t="s">
        <v>223</v>
      </c>
      <c r="D198" s="1">
        <f t="shared" si="18"/>
        <v>0</v>
      </c>
      <c r="F198" s="1" t="str">
        <f t="shared" si="19"/>
        <v/>
      </c>
      <c r="G198" s="5" t="s">
        <v>204</v>
      </c>
      <c r="H198" s="1">
        <f t="shared" si="20"/>
        <v>1</v>
      </c>
      <c r="I198" s="5" t="s">
        <v>278</v>
      </c>
      <c r="J198" s="1">
        <f t="shared" si="21"/>
        <v>5</v>
      </c>
      <c r="K198" s="5" t="s">
        <v>278</v>
      </c>
      <c r="L198" s="1">
        <f t="shared" si="22"/>
        <v>5</v>
      </c>
      <c r="M198" s="1">
        <v>35</v>
      </c>
      <c r="N198" s="1" t="s">
        <v>994</v>
      </c>
      <c r="O198" s="1">
        <f t="shared" si="23"/>
        <v>0</v>
      </c>
      <c r="P198" s="1">
        <v>14</v>
      </c>
      <c r="Q198" s="1">
        <v>34</v>
      </c>
      <c r="R198" s="1">
        <v>0</v>
      </c>
      <c r="S198" s="1">
        <v>1</v>
      </c>
    </row>
    <row r="199" spans="1:19" ht="12.75" customHeight="1" x14ac:dyDescent="0.15">
      <c r="A199" s="5" t="s">
        <v>277</v>
      </c>
      <c r="B199" s="1" t="e">
        <f ca="1">_xludf.LET(_xlpm.x,LOWER(TRIM(A199)),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9" s="5" t="s">
        <v>223</v>
      </c>
      <c r="D199" s="1">
        <f t="shared" si="18"/>
        <v>0</v>
      </c>
      <c r="E199" s="5" t="s">
        <v>204</v>
      </c>
      <c r="F199" s="1">
        <f t="shared" si="19"/>
        <v>1</v>
      </c>
      <c r="G199" s="5" t="s">
        <v>204</v>
      </c>
      <c r="H199" s="1">
        <f t="shared" si="20"/>
        <v>1</v>
      </c>
      <c r="I199" s="5" t="s">
        <v>242</v>
      </c>
      <c r="J199" s="1">
        <f t="shared" si="21"/>
        <v>3</v>
      </c>
      <c r="K199" s="5" t="s">
        <v>215</v>
      </c>
      <c r="L199" s="1">
        <f t="shared" si="22"/>
        <v>2</v>
      </c>
      <c r="M199" s="1">
        <v>36</v>
      </c>
      <c r="N199" s="1" t="s">
        <v>989</v>
      </c>
      <c r="O199" s="1">
        <f t="shared" si="23"/>
        <v>1</v>
      </c>
      <c r="P199" s="1">
        <v>9</v>
      </c>
      <c r="Q199" s="1">
        <v>10</v>
      </c>
      <c r="R199" s="1">
        <v>850000</v>
      </c>
      <c r="S199" s="1">
        <v>1</v>
      </c>
    </row>
    <row r="200" spans="1:19" ht="12.75" customHeight="1" x14ac:dyDescent="0.15">
      <c r="A200" s="5" t="s">
        <v>269</v>
      </c>
      <c r="B200" s="1" t="e">
        <f ca="1">_xludf.LET(_xlpm.x,LOWER(TRIM(A200)),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0" s="5" t="s">
        <v>223</v>
      </c>
      <c r="D200" s="1">
        <f t="shared" si="18"/>
        <v>0</v>
      </c>
      <c r="E200" s="5" t="s">
        <v>204</v>
      </c>
      <c r="F200" s="1">
        <f t="shared" si="19"/>
        <v>1</v>
      </c>
      <c r="G200" s="5" t="s">
        <v>204</v>
      </c>
      <c r="H200" s="1">
        <f t="shared" si="20"/>
        <v>1</v>
      </c>
      <c r="I200" s="5" t="s">
        <v>278</v>
      </c>
      <c r="J200" s="1">
        <f t="shared" si="21"/>
        <v>5</v>
      </c>
      <c r="K200" s="5" t="s">
        <v>278</v>
      </c>
      <c r="L200" s="1">
        <f t="shared" si="22"/>
        <v>5</v>
      </c>
      <c r="M200" s="1">
        <v>36</v>
      </c>
      <c r="N200" s="1" t="s">
        <v>990</v>
      </c>
      <c r="O200" s="1">
        <f t="shared" si="23"/>
        <v>0</v>
      </c>
      <c r="P200" s="1">
        <v>16</v>
      </c>
      <c r="Q200" s="1">
        <v>24</v>
      </c>
      <c r="R200" s="1">
        <v>-99</v>
      </c>
      <c r="S200" s="1">
        <v>3</v>
      </c>
    </row>
    <row r="201" spans="1:19" ht="12.75" customHeight="1" x14ac:dyDescent="0.15">
      <c r="A201" s="5" t="s">
        <v>285</v>
      </c>
      <c r="B201" s="1" t="e">
        <f ca="1">_xludf.LET(_xlpm.x,LOWER(TRIM(A201)),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1" s="5" t="s">
        <v>223</v>
      </c>
      <c r="D201" s="1">
        <f t="shared" si="18"/>
        <v>0</v>
      </c>
      <c r="E201" s="5" t="s">
        <v>204</v>
      </c>
      <c r="F201" s="1">
        <f t="shared" si="19"/>
        <v>1</v>
      </c>
      <c r="G201" s="5" t="s">
        <v>204</v>
      </c>
      <c r="H201" s="1">
        <f t="shared" si="20"/>
        <v>1</v>
      </c>
      <c r="I201" s="5" t="s">
        <v>242</v>
      </c>
      <c r="J201" s="1">
        <f t="shared" si="21"/>
        <v>3</v>
      </c>
      <c r="K201" s="5" t="s">
        <v>242</v>
      </c>
      <c r="L201" s="1">
        <f t="shared" si="22"/>
        <v>3</v>
      </c>
      <c r="M201" s="1">
        <v>36</v>
      </c>
      <c r="N201" s="1" t="s">
        <v>990</v>
      </c>
      <c r="O201" s="1">
        <f t="shared" si="23"/>
        <v>0</v>
      </c>
      <c r="P201" s="1">
        <v>88</v>
      </c>
      <c r="Q201" s="1">
        <v>1</v>
      </c>
      <c r="R201" s="1">
        <v>-99</v>
      </c>
      <c r="S201" s="1">
        <v>4</v>
      </c>
    </row>
    <row r="202" spans="1:19" ht="12.75" customHeight="1" x14ac:dyDescent="0.15">
      <c r="A202" s="5" t="s">
        <v>213</v>
      </c>
      <c r="B202" s="1" t="e">
        <f ca="1">_xludf.LET(_xlpm.x,LOWER(TRIM(A202)),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2" s="5" t="s">
        <v>223</v>
      </c>
      <c r="D202" s="1">
        <f t="shared" si="18"/>
        <v>0</v>
      </c>
      <c r="E202" s="5" t="s">
        <v>204</v>
      </c>
      <c r="F202" s="1">
        <f t="shared" si="19"/>
        <v>1</v>
      </c>
      <c r="G202" s="5" t="s">
        <v>204</v>
      </c>
      <c r="H202" s="1">
        <f t="shared" si="20"/>
        <v>1</v>
      </c>
      <c r="I202" s="5" t="s">
        <v>278</v>
      </c>
      <c r="J202" s="1">
        <f t="shared" si="21"/>
        <v>5</v>
      </c>
      <c r="K202" s="5" t="s">
        <v>278</v>
      </c>
      <c r="L202" s="1">
        <f t="shared" si="22"/>
        <v>5</v>
      </c>
      <c r="M202" s="1">
        <v>36</v>
      </c>
      <c r="N202" s="1" t="s">
        <v>989</v>
      </c>
      <c r="O202" s="1">
        <f t="shared" si="23"/>
        <v>1</v>
      </c>
      <c r="P202" s="1">
        <v>14</v>
      </c>
      <c r="Q202" s="1">
        <v>8</v>
      </c>
      <c r="R202" s="1">
        <v>0</v>
      </c>
      <c r="S202" s="1">
        <v>1</v>
      </c>
    </row>
    <row r="203" spans="1:19" ht="12.75" customHeight="1" x14ac:dyDescent="0.15">
      <c r="A203" s="5" t="s">
        <v>269</v>
      </c>
      <c r="B203" s="1" t="e">
        <f ca="1">_xludf.LET(_xlpm.x,LOWER(TRIM(A203)),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3" s="5" t="s">
        <v>223</v>
      </c>
      <c r="D203" s="1">
        <f t="shared" si="18"/>
        <v>0</v>
      </c>
      <c r="F203" s="1" t="str">
        <f t="shared" si="19"/>
        <v/>
      </c>
      <c r="G203" s="5" t="s">
        <v>204</v>
      </c>
      <c r="H203" s="1">
        <f t="shared" si="20"/>
        <v>1</v>
      </c>
      <c r="I203" s="5" t="s">
        <v>215</v>
      </c>
      <c r="J203" s="1">
        <f t="shared" si="21"/>
        <v>2</v>
      </c>
      <c r="K203" s="5" t="s">
        <v>271</v>
      </c>
      <c r="L203" s="1">
        <f t="shared" si="22"/>
        <v>4</v>
      </c>
      <c r="M203" s="1">
        <v>36</v>
      </c>
      <c r="N203" s="1" t="s">
        <v>1001</v>
      </c>
      <c r="O203" s="1">
        <f t="shared" si="23"/>
        <v>0</v>
      </c>
      <c r="P203" s="1">
        <v>14</v>
      </c>
      <c r="Q203" s="1">
        <v>1</v>
      </c>
      <c r="R203" s="1">
        <v>350000</v>
      </c>
      <c r="S203" s="1">
        <v>3</v>
      </c>
    </row>
    <row r="204" spans="1:19" ht="12.75" customHeight="1" x14ac:dyDescent="0.15">
      <c r="A204" s="5" t="s">
        <v>269</v>
      </c>
      <c r="B204" s="1" t="e">
        <f ca="1">_xludf.LET(_xlpm.x,LOWER(TRIM(A204)),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4" s="5" t="s">
        <v>557</v>
      </c>
      <c r="D204" s="1">
        <f t="shared" si="18"/>
        <v>1</v>
      </c>
      <c r="E204" s="5" t="s">
        <v>204</v>
      </c>
      <c r="F204" s="1">
        <f t="shared" si="19"/>
        <v>1</v>
      </c>
      <c r="G204" s="5" t="s">
        <v>204</v>
      </c>
      <c r="H204" s="1">
        <f t="shared" si="20"/>
        <v>1</v>
      </c>
      <c r="I204" s="5" t="s">
        <v>271</v>
      </c>
      <c r="J204" s="1">
        <f t="shared" si="21"/>
        <v>4</v>
      </c>
      <c r="K204" s="5" t="s">
        <v>271</v>
      </c>
      <c r="L204" s="1">
        <f t="shared" si="22"/>
        <v>4</v>
      </c>
      <c r="M204" s="1">
        <v>36</v>
      </c>
      <c r="N204" s="1" t="s">
        <v>1000</v>
      </c>
      <c r="O204" s="1">
        <f t="shared" si="23"/>
        <v>0</v>
      </c>
      <c r="P204" s="1">
        <v>16</v>
      </c>
      <c r="Q204" s="1">
        <v>3</v>
      </c>
      <c r="R204" s="1">
        <v>900000</v>
      </c>
      <c r="S204" s="1">
        <v>6</v>
      </c>
    </row>
    <row r="205" spans="1:19" ht="12.75" customHeight="1" x14ac:dyDescent="0.15">
      <c r="A205" s="5" t="s">
        <v>269</v>
      </c>
      <c r="B205" s="1" t="e">
        <f ca="1">_xludf.LET(_xlpm.x,LOWER(TRIM(A205)),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5" s="5" t="s">
        <v>223</v>
      </c>
      <c r="D205" s="1">
        <f t="shared" si="18"/>
        <v>0</v>
      </c>
      <c r="E205" s="5" t="s">
        <v>204</v>
      </c>
      <c r="F205" s="1">
        <f t="shared" si="19"/>
        <v>1</v>
      </c>
      <c r="G205" s="5" t="s">
        <v>204</v>
      </c>
      <c r="H205" s="1">
        <f t="shared" si="20"/>
        <v>1</v>
      </c>
      <c r="I205" s="5" t="s">
        <v>271</v>
      </c>
      <c r="J205" s="1">
        <f t="shared" si="21"/>
        <v>4</v>
      </c>
      <c r="K205" s="5" t="s">
        <v>271</v>
      </c>
      <c r="L205" s="1">
        <f t="shared" si="22"/>
        <v>4</v>
      </c>
      <c r="M205" s="1">
        <v>36</v>
      </c>
      <c r="N205" s="1" t="s">
        <v>987</v>
      </c>
      <c r="O205" s="1">
        <f t="shared" si="23"/>
        <v>0</v>
      </c>
      <c r="P205" s="1">
        <v>14</v>
      </c>
      <c r="Q205" s="1">
        <v>34</v>
      </c>
      <c r="R205" s="1">
        <v>500000</v>
      </c>
      <c r="S205" s="1">
        <v>4</v>
      </c>
    </row>
    <row r="206" spans="1:19" ht="12.75" customHeight="1" x14ac:dyDescent="0.15">
      <c r="A206" s="5" t="s">
        <v>269</v>
      </c>
      <c r="B206" s="1" t="e">
        <f ca="1">_xludf.LET(_xlpm.x,LOWER(TRIM(A206)),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6" s="5" t="s">
        <v>223</v>
      </c>
      <c r="D206" s="1">
        <f t="shared" si="18"/>
        <v>0</v>
      </c>
      <c r="F206" s="1" t="str">
        <f t="shared" si="19"/>
        <v/>
      </c>
      <c r="G206" s="5" t="s">
        <v>204</v>
      </c>
      <c r="H206" s="1">
        <f t="shared" si="20"/>
        <v>1</v>
      </c>
      <c r="I206" s="5" t="s">
        <v>215</v>
      </c>
      <c r="J206" s="1">
        <f t="shared" si="21"/>
        <v>2</v>
      </c>
      <c r="K206" s="5" t="s">
        <v>264</v>
      </c>
      <c r="L206" s="1">
        <f t="shared" si="22"/>
        <v>1</v>
      </c>
      <c r="M206" s="1">
        <v>36</v>
      </c>
      <c r="N206" s="1" t="s">
        <v>987</v>
      </c>
      <c r="O206" s="1">
        <f t="shared" si="23"/>
        <v>0</v>
      </c>
      <c r="P206" s="1">
        <v>14</v>
      </c>
      <c r="Q206" s="1">
        <v>34</v>
      </c>
      <c r="R206" s="1">
        <v>500000</v>
      </c>
      <c r="S206" s="1">
        <v>4</v>
      </c>
    </row>
    <row r="207" spans="1:19" ht="12.75" customHeight="1" x14ac:dyDescent="0.15">
      <c r="A207" s="5" t="s">
        <v>213</v>
      </c>
      <c r="B207" s="1" t="e">
        <f ca="1">_xludf.LET(_xlpm.x,LOWER(TRIM(A207)),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7" s="5" t="s">
        <v>223</v>
      </c>
      <c r="D207" s="1">
        <f t="shared" si="18"/>
        <v>0</v>
      </c>
      <c r="F207" s="1" t="str">
        <f t="shared" si="19"/>
        <v/>
      </c>
      <c r="G207" s="5" t="s">
        <v>204</v>
      </c>
      <c r="H207" s="1">
        <f t="shared" si="20"/>
        <v>1</v>
      </c>
      <c r="I207" s="5" t="s">
        <v>242</v>
      </c>
      <c r="J207" s="1">
        <f t="shared" si="21"/>
        <v>3</v>
      </c>
      <c r="K207" s="5" t="s">
        <v>242</v>
      </c>
      <c r="L207" s="1">
        <f t="shared" si="22"/>
        <v>3</v>
      </c>
      <c r="M207" s="1">
        <v>36</v>
      </c>
      <c r="N207" s="1" t="s">
        <v>989</v>
      </c>
      <c r="O207" s="1">
        <f t="shared" si="23"/>
        <v>1</v>
      </c>
      <c r="P207" s="1">
        <v>2</v>
      </c>
      <c r="Q207" s="1">
        <v>17</v>
      </c>
      <c r="R207" s="1">
        <v>440000</v>
      </c>
      <c r="S207" s="1">
        <v>2</v>
      </c>
    </row>
    <row r="208" spans="1:19" ht="12.75" customHeight="1" x14ac:dyDescent="0.15">
      <c r="A208" s="5" t="s">
        <v>285</v>
      </c>
      <c r="B208" s="1" t="e">
        <f ca="1">_xludf.LET(_xlpm.x,LOWER(TRIM(A208)),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8" s="5" t="s">
        <v>223</v>
      </c>
      <c r="D208" s="1">
        <f t="shared" si="18"/>
        <v>0</v>
      </c>
      <c r="E208" s="5" t="s">
        <v>204</v>
      </c>
      <c r="F208" s="1">
        <f t="shared" si="19"/>
        <v>1</v>
      </c>
      <c r="G208" s="5" t="s">
        <v>204</v>
      </c>
      <c r="H208" s="1">
        <f t="shared" si="20"/>
        <v>1</v>
      </c>
      <c r="I208" s="5" t="s">
        <v>242</v>
      </c>
      <c r="J208" s="1">
        <f t="shared" si="21"/>
        <v>3</v>
      </c>
      <c r="K208" s="5" t="s">
        <v>215</v>
      </c>
      <c r="L208" s="1">
        <f t="shared" si="22"/>
        <v>2</v>
      </c>
      <c r="M208" s="1">
        <v>36</v>
      </c>
      <c r="N208" s="1" t="s">
        <v>989</v>
      </c>
      <c r="O208" s="1">
        <f t="shared" si="23"/>
        <v>1</v>
      </c>
      <c r="P208" s="1">
        <v>2</v>
      </c>
      <c r="Q208" s="1">
        <v>17</v>
      </c>
      <c r="R208" s="1">
        <v>440000</v>
      </c>
      <c r="S208" s="1">
        <v>2</v>
      </c>
    </row>
    <row r="209" spans="1:19" ht="12.75" customHeight="1" x14ac:dyDescent="0.15">
      <c r="A209" s="5" t="s">
        <v>269</v>
      </c>
      <c r="B209" s="1" t="e">
        <f ca="1">_xludf.LET(_xlpm.x,LOWER(TRIM(A209)),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9" s="5" t="s">
        <v>223</v>
      </c>
      <c r="D209" s="1">
        <f t="shared" si="18"/>
        <v>0</v>
      </c>
      <c r="F209" s="1" t="str">
        <f t="shared" si="19"/>
        <v/>
      </c>
      <c r="G209" s="5" t="s">
        <v>204</v>
      </c>
      <c r="H209" s="1">
        <f t="shared" si="20"/>
        <v>1</v>
      </c>
      <c r="I209" s="5" t="s">
        <v>215</v>
      </c>
      <c r="J209" s="1">
        <f t="shared" si="21"/>
        <v>2</v>
      </c>
      <c r="K209" s="5" t="s">
        <v>242</v>
      </c>
      <c r="L209" s="1">
        <f t="shared" si="22"/>
        <v>3</v>
      </c>
      <c r="M209" s="1">
        <v>36</v>
      </c>
      <c r="N209" s="1" t="s">
        <v>989</v>
      </c>
      <c r="O209" s="1">
        <f t="shared" si="23"/>
        <v>1</v>
      </c>
      <c r="P209" s="1">
        <v>14</v>
      </c>
      <c r="Q209" s="1">
        <v>34</v>
      </c>
      <c r="R209" s="1">
        <v>450000</v>
      </c>
      <c r="S209" s="1">
        <v>3</v>
      </c>
    </row>
    <row r="210" spans="1:19" ht="12.75" customHeight="1" x14ac:dyDescent="0.15">
      <c r="A210" s="5" t="s">
        <v>277</v>
      </c>
      <c r="B210" s="1" t="e">
        <f ca="1">_xludf.LET(_xlpm.x,LOWER(TRIM(A210)),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0" s="5" t="s">
        <v>223</v>
      </c>
      <c r="D210" s="1">
        <f t="shared" si="18"/>
        <v>0</v>
      </c>
      <c r="F210" s="1" t="str">
        <f t="shared" si="19"/>
        <v/>
      </c>
      <c r="G210" s="5" t="s">
        <v>204</v>
      </c>
      <c r="H210" s="1">
        <f t="shared" si="20"/>
        <v>1</v>
      </c>
      <c r="I210" s="5" t="s">
        <v>278</v>
      </c>
      <c r="J210" s="1">
        <f t="shared" si="21"/>
        <v>5</v>
      </c>
      <c r="K210" s="5" t="s">
        <v>278</v>
      </c>
      <c r="L210" s="1">
        <f t="shared" si="22"/>
        <v>5</v>
      </c>
      <c r="M210" s="1">
        <v>36</v>
      </c>
      <c r="N210" s="1" t="s">
        <v>989</v>
      </c>
      <c r="O210" s="1">
        <f t="shared" si="23"/>
        <v>1</v>
      </c>
      <c r="P210" s="1">
        <v>14</v>
      </c>
      <c r="Q210" s="1">
        <v>3</v>
      </c>
      <c r="R210" s="1">
        <v>-99</v>
      </c>
      <c r="S210" s="1">
        <v>4</v>
      </c>
    </row>
    <row r="211" spans="1:19" ht="12.75" customHeight="1" x14ac:dyDescent="0.15">
      <c r="A211" s="5" t="s">
        <v>213</v>
      </c>
      <c r="B211" s="1" t="e">
        <f ca="1">_xludf.LET(_xlpm.x,LOWER(TRIM(A211)),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1" s="5" t="s">
        <v>223</v>
      </c>
      <c r="D211" s="1">
        <f t="shared" si="18"/>
        <v>0</v>
      </c>
      <c r="F211" s="1" t="str">
        <f t="shared" si="19"/>
        <v/>
      </c>
      <c r="G211" s="5" t="s">
        <v>204</v>
      </c>
      <c r="H211" s="1">
        <f t="shared" si="20"/>
        <v>1</v>
      </c>
      <c r="I211" s="5" t="s">
        <v>278</v>
      </c>
      <c r="J211" s="1">
        <f t="shared" si="21"/>
        <v>5</v>
      </c>
      <c r="K211" s="5" t="s">
        <v>271</v>
      </c>
      <c r="L211" s="1">
        <f t="shared" si="22"/>
        <v>4</v>
      </c>
      <c r="M211" s="1">
        <v>36</v>
      </c>
      <c r="N211" s="1" t="s">
        <v>997</v>
      </c>
      <c r="O211" s="1">
        <f t="shared" si="23"/>
        <v>0</v>
      </c>
      <c r="P211" s="1">
        <v>14</v>
      </c>
      <c r="Q211" s="1">
        <v>2</v>
      </c>
      <c r="R211" s="1">
        <v>-99</v>
      </c>
      <c r="S211" s="1">
        <v>4</v>
      </c>
    </row>
    <row r="212" spans="1:19" ht="12.75" customHeight="1" x14ac:dyDescent="0.15">
      <c r="A212" s="5" t="s">
        <v>213</v>
      </c>
      <c r="B212" s="1" t="e">
        <f ca="1">_xludf.LET(_xlpm.x,LOWER(TRIM(A212)),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2" s="5" t="s">
        <v>433</v>
      </c>
      <c r="D212" s="1">
        <f t="shared" si="18"/>
        <v>1</v>
      </c>
      <c r="F212" s="1" t="str">
        <f t="shared" si="19"/>
        <v/>
      </c>
      <c r="G212" s="5" t="s">
        <v>204</v>
      </c>
      <c r="H212" s="1">
        <f t="shared" si="20"/>
        <v>1</v>
      </c>
      <c r="I212" s="5" t="s">
        <v>264</v>
      </c>
      <c r="J212" s="1">
        <f t="shared" si="21"/>
        <v>1</v>
      </c>
      <c r="K212" s="5" t="s">
        <v>242</v>
      </c>
      <c r="L212" s="1">
        <f t="shared" si="22"/>
        <v>3</v>
      </c>
      <c r="M212" s="1">
        <v>36</v>
      </c>
      <c r="N212" s="1" t="s">
        <v>1000</v>
      </c>
      <c r="O212" s="1">
        <f t="shared" si="23"/>
        <v>0</v>
      </c>
      <c r="P212" s="1">
        <v>14</v>
      </c>
      <c r="Q212" s="1">
        <v>7</v>
      </c>
      <c r="R212" s="1">
        <v>800000</v>
      </c>
      <c r="S212" s="1">
        <v>2</v>
      </c>
    </row>
    <row r="213" spans="1:19" ht="12.75" customHeight="1" x14ac:dyDescent="0.15">
      <c r="A213" s="5" t="s">
        <v>285</v>
      </c>
      <c r="B213" s="1" t="e">
        <f ca="1">_xludf.LET(_xlpm.x,LOWER(TRIM(A213)),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3" s="5" t="s">
        <v>223</v>
      </c>
      <c r="D213" s="1">
        <f t="shared" si="18"/>
        <v>0</v>
      </c>
      <c r="E213" s="5" t="s">
        <v>204</v>
      </c>
      <c r="F213" s="1">
        <f t="shared" si="19"/>
        <v>1</v>
      </c>
      <c r="G213" s="5" t="s">
        <v>204</v>
      </c>
      <c r="H213" s="1">
        <f t="shared" si="20"/>
        <v>1</v>
      </c>
      <c r="I213" s="5" t="s">
        <v>278</v>
      </c>
      <c r="J213" s="1">
        <f t="shared" si="21"/>
        <v>5</v>
      </c>
      <c r="K213" s="5" t="s">
        <v>278</v>
      </c>
      <c r="L213" s="1">
        <f t="shared" si="22"/>
        <v>5</v>
      </c>
      <c r="M213" s="1">
        <v>36</v>
      </c>
      <c r="N213" s="1" t="s">
        <v>1000</v>
      </c>
      <c r="O213" s="1">
        <f t="shared" si="23"/>
        <v>0</v>
      </c>
      <c r="P213" s="1">
        <v>14</v>
      </c>
      <c r="Q213" s="1">
        <v>7</v>
      </c>
      <c r="R213" s="1">
        <v>800000</v>
      </c>
      <c r="S213" s="1">
        <v>2</v>
      </c>
    </row>
    <row r="214" spans="1:19" ht="12.75" customHeight="1" x14ac:dyDescent="0.15">
      <c r="A214" s="5" t="s">
        <v>269</v>
      </c>
      <c r="B214" s="1" t="e">
        <f ca="1">_xludf.LET(_xlpm.x,LOWER(TRIM(A214)),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4" s="5" t="s">
        <v>223</v>
      </c>
      <c r="D214" s="1">
        <f t="shared" si="18"/>
        <v>0</v>
      </c>
      <c r="E214" s="5" t="s">
        <v>204</v>
      </c>
      <c r="F214" s="1">
        <f t="shared" si="19"/>
        <v>1</v>
      </c>
      <c r="G214" s="5" t="s">
        <v>204</v>
      </c>
      <c r="H214" s="1">
        <f t="shared" si="20"/>
        <v>1</v>
      </c>
      <c r="I214" s="5" t="s">
        <v>207</v>
      </c>
      <c r="J214" s="1" t="str">
        <f t="shared" si="21"/>
        <v/>
      </c>
      <c r="K214" s="5" t="s">
        <v>215</v>
      </c>
      <c r="L214" s="1">
        <f t="shared" si="22"/>
        <v>2</v>
      </c>
      <c r="M214" s="1">
        <v>36</v>
      </c>
      <c r="N214" s="1" t="s">
        <v>989</v>
      </c>
      <c r="O214" s="1">
        <f t="shared" si="23"/>
        <v>1</v>
      </c>
      <c r="P214" s="1">
        <v>4</v>
      </c>
      <c r="Q214" s="1">
        <v>34</v>
      </c>
      <c r="R214" s="1">
        <v>0</v>
      </c>
      <c r="S214" s="1">
        <v>1</v>
      </c>
    </row>
    <row r="215" spans="1:19" ht="12.75" customHeight="1" x14ac:dyDescent="0.15">
      <c r="A215" s="5" t="s">
        <v>285</v>
      </c>
      <c r="B215" s="1" t="e">
        <f ca="1">_xludf.LET(_xlpm.x,LOWER(TRIM(A215)),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5" s="5" t="s">
        <v>223</v>
      </c>
      <c r="D215" s="1">
        <f t="shared" si="18"/>
        <v>0</v>
      </c>
      <c r="E215" s="5" t="s">
        <v>204</v>
      </c>
      <c r="F215" s="1">
        <f t="shared" si="19"/>
        <v>1</v>
      </c>
      <c r="G215" s="5" t="s">
        <v>204</v>
      </c>
      <c r="H215" s="1">
        <f t="shared" si="20"/>
        <v>1</v>
      </c>
      <c r="I215" s="5" t="s">
        <v>215</v>
      </c>
      <c r="J215" s="1">
        <f t="shared" si="21"/>
        <v>2</v>
      </c>
      <c r="K215" s="5" t="s">
        <v>215</v>
      </c>
      <c r="L215" s="1">
        <f t="shared" si="22"/>
        <v>2</v>
      </c>
      <c r="M215" s="1">
        <v>36</v>
      </c>
      <c r="N215" s="1" t="s">
        <v>989</v>
      </c>
      <c r="O215" s="1">
        <f t="shared" si="23"/>
        <v>1</v>
      </c>
      <c r="P215" s="1">
        <v>11</v>
      </c>
      <c r="Q215" s="1">
        <v>6</v>
      </c>
      <c r="R215" s="1">
        <v>200000</v>
      </c>
      <c r="S215" s="1">
        <v>1</v>
      </c>
    </row>
    <row r="216" spans="1:19" ht="12.75" customHeight="1" x14ac:dyDescent="0.15">
      <c r="A216" s="5" t="s">
        <v>269</v>
      </c>
      <c r="B216" s="1" t="e">
        <f ca="1">_xludf.LET(_xlpm.x,LOWER(TRIM(A216)),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6" s="5" t="s">
        <v>223</v>
      </c>
      <c r="D216" s="1">
        <f t="shared" si="18"/>
        <v>0</v>
      </c>
      <c r="E216" s="5" t="s">
        <v>204</v>
      </c>
      <c r="F216" s="1">
        <f t="shared" si="19"/>
        <v>1</v>
      </c>
      <c r="G216" s="5" t="s">
        <v>204</v>
      </c>
      <c r="H216" s="1">
        <f t="shared" si="20"/>
        <v>1</v>
      </c>
      <c r="I216" s="5" t="s">
        <v>207</v>
      </c>
      <c r="J216" s="1" t="str">
        <f t="shared" si="21"/>
        <v/>
      </c>
      <c r="K216" s="5" t="s">
        <v>264</v>
      </c>
      <c r="L216" s="1">
        <f t="shared" si="22"/>
        <v>1</v>
      </c>
      <c r="M216" s="1">
        <v>37</v>
      </c>
      <c r="N216" s="1" t="s">
        <v>996</v>
      </c>
      <c r="O216" s="1">
        <f t="shared" si="23"/>
        <v>0</v>
      </c>
      <c r="P216" s="1">
        <v>14</v>
      </c>
      <c r="Q216" s="1">
        <v>3</v>
      </c>
      <c r="R216" s="1">
        <v>380000</v>
      </c>
      <c r="S216" s="1">
        <v>3</v>
      </c>
    </row>
    <row r="217" spans="1:19" ht="12.75" customHeight="1" x14ac:dyDescent="0.15">
      <c r="A217" s="5" t="s">
        <v>213</v>
      </c>
      <c r="B217" s="1" t="e">
        <f ca="1">_xludf.LET(_xlpm.x,LOWER(TRIM(A217)),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7" s="5" t="s">
        <v>223</v>
      </c>
      <c r="D217" s="1">
        <f t="shared" si="18"/>
        <v>0</v>
      </c>
      <c r="F217" s="1" t="str">
        <f t="shared" si="19"/>
        <v/>
      </c>
      <c r="G217" s="5" t="s">
        <v>204</v>
      </c>
      <c r="H217" s="1">
        <f t="shared" si="20"/>
        <v>1</v>
      </c>
      <c r="I217" s="5" t="s">
        <v>207</v>
      </c>
      <c r="J217" s="1" t="str">
        <f t="shared" si="21"/>
        <v/>
      </c>
      <c r="K217" s="5" t="s">
        <v>207</v>
      </c>
      <c r="L217" s="1" t="str">
        <f t="shared" si="22"/>
        <v/>
      </c>
      <c r="M217" s="1">
        <v>37</v>
      </c>
      <c r="N217" s="1" t="s">
        <v>989</v>
      </c>
      <c r="O217" s="1">
        <f t="shared" si="23"/>
        <v>1</v>
      </c>
      <c r="P217" s="1">
        <v>16</v>
      </c>
      <c r="Q217" s="1">
        <v>11</v>
      </c>
      <c r="R217" s="1">
        <v>0</v>
      </c>
      <c r="S217" s="1">
        <v>1</v>
      </c>
    </row>
    <row r="218" spans="1:19" ht="12.75" customHeight="1" x14ac:dyDescent="0.15">
      <c r="A218" s="5" t="s">
        <v>269</v>
      </c>
      <c r="B218" s="1" t="e">
        <f ca="1">_xludf.LET(_xlpm.x,LOWER(TRIM(A218)),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8" s="5" t="s">
        <v>223</v>
      </c>
      <c r="D218" s="1">
        <f t="shared" si="18"/>
        <v>0</v>
      </c>
      <c r="E218" s="5" t="s">
        <v>204</v>
      </c>
      <c r="F218" s="1">
        <f t="shared" si="19"/>
        <v>1</v>
      </c>
      <c r="G218" s="5" t="s">
        <v>204</v>
      </c>
      <c r="H218" s="1">
        <f t="shared" si="20"/>
        <v>1</v>
      </c>
      <c r="I218" s="5" t="s">
        <v>278</v>
      </c>
      <c r="J218" s="1">
        <f t="shared" si="21"/>
        <v>5</v>
      </c>
      <c r="K218" s="5" t="s">
        <v>278</v>
      </c>
      <c r="L218" s="1">
        <f t="shared" si="22"/>
        <v>5</v>
      </c>
      <c r="M218" s="1">
        <v>37</v>
      </c>
      <c r="N218" s="1" t="s">
        <v>989</v>
      </c>
      <c r="O218" s="1">
        <f t="shared" si="23"/>
        <v>1</v>
      </c>
      <c r="P218" s="1">
        <v>16</v>
      </c>
      <c r="Q218" s="1">
        <v>11</v>
      </c>
      <c r="R218" s="1">
        <v>0</v>
      </c>
      <c r="S218" s="1">
        <v>1</v>
      </c>
    </row>
    <row r="219" spans="1:19" ht="12.75" customHeight="1" x14ac:dyDescent="0.15">
      <c r="A219" s="5" t="s">
        <v>285</v>
      </c>
      <c r="B219" s="1" t="e">
        <f ca="1">_xludf.LET(_xlpm.x,LOWER(TRIM(A219)),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9" s="5" t="s">
        <v>223</v>
      </c>
      <c r="D219" s="1">
        <f t="shared" si="18"/>
        <v>0</v>
      </c>
      <c r="E219" s="5" t="s">
        <v>204</v>
      </c>
      <c r="F219" s="1">
        <f t="shared" si="19"/>
        <v>1</v>
      </c>
      <c r="G219" s="5" t="s">
        <v>204</v>
      </c>
      <c r="H219" s="1">
        <f t="shared" si="20"/>
        <v>1</v>
      </c>
      <c r="I219" s="5" t="s">
        <v>242</v>
      </c>
      <c r="J219" s="1">
        <f t="shared" si="21"/>
        <v>3</v>
      </c>
      <c r="K219" s="5" t="s">
        <v>242</v>
      </c>
      <c r="L219" s="1">
        <f t="shared" si="22"/>
        <v>3</v>
      </c>
      <c r="M219" s="1">
        <v>37</v>
      </c>
      <c r="N219" s="1" t="s">
        <v>994</v>
      </c>
      <c r="O219" s="1">
        <f t="shared" si="23"/>
        <v>0</v>
      </c>
      <c r="P219" s="1">
        <v>14</v>
      </c>
      <c r="Q219" s="1">
        <v>34</v>
      </c>
      <c r="R219" s="1">
        <v>0</v>
      </c>
      <c r="S219" s="1">
        <v>1</v>
      </c>
    </row>
    <row r="220" spans="1:19" ht="12.75" customHeight="1" x14ac:dyDescent="0.15">
      <c r="A220" s="5" t="s">
        <v>285</v>
      </c>
      <c r="B220" s="1" t="e">
        <f ca="1">_xludf.LET(_xlpm.x,LOWER(TRIM(A220)),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0" s="5" t="s">
        <v>223</v>
      </c>
      <c r="D220" s="1">
        <f t="shared" si="18"/>
        <v>0</v>
      </c>
      <c r="E220" s="5" t="s">
        <v>204</v>
      </c>
      <c r="F220" s="1">
        <f t="shared" si="19"/>
        <v>1</v>
      </c>
      <c r="G220" s="5" t="s">
        <v>204</v>
      </c>
      <c r="H220" s="1">
        <f t="shared" si="20"/>
        <v>1</v>
      </c>
      <c r="I220" s="5" t="s">
        <v>264</v>
      </c>
      <c r="J220" s="1">
        <f t="shared" si="21"/>
        <v>1</v>
      </c>
      <c r="K220" s="5" t="s">
        <v>215</v>
      </c>
      <c r="L220" s="1">
        <f t="shared" si="22"/>
        <v>2</v>
      </c>
      <c r="M220" s="1">
        <v>37</v>
      </c>
      <c r="N220" s="1" t="s">
        <v>989</v>
      </c>
      <c r="O220" s="1">
        <f t="shared" si="23"/>
        <v>1</v>
      </c>
      <c r="P220" s="1">
        <v>14</v>
      </c>
      <c r="Q220" s="1">
        <v>1</v>
      </c>
      <c r="R220" s="1">
        <v>250000</v>
      </c>
      <c r="S220" s="1">
        <v>5</v>
      </c>
    </row>
    <row r="221" spans="1:19" ht="12.75" customHeight="1" x14ac:dyDescent="0.15">
      <c r="A221" s="5" t="s">
        <v>213</v>
      </c>
      <c r="B221" s="1" t="e">
        <f ca="1">_xludf.LET(_xlpm.x,LOWER(TRIM(A221)),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1" s="5" t="s">
        <v>223</v>
      </c>
      <c r="D221" s="1">
        <f t="shared" si="18"/>
        <v>0</v>
      </c>
      <c r="E221" s="5" t="s">
        <v>204</v>
      </c>
      <c r="F221" s="1">
        <f t="shared" si="19"/>
        <v>1</v>
      </c>
      <c r="G221" s="5" t="s">
        <v>204</v>
      </c>
      <c r="H221" s="1">
        <f t="shared" si="20"/>
        <v>1</v>
      </c>
      <c r="I221" s="5" t="s">
        <v>278</v>
      </c>
      <c r="J221" s="1">
        <f t="shared" si="21"/>
        <v>5</v>
      </c>
      <c r="K221" s="5" t="s">
        <v>242</v>
      </c>
      <c r="L221" s="1">
        <f t="shared" si="22"/>
        <v>3</v>
      </c>
      <c r="M221" s="1">
        <v>37</v>
      </c>
      <c r="N221" s="1" t="s">
        <v>995</v>
      </c>
      <c r="O221" s="1">
        <f t="shared" si="23"/>
        <v>0</v>
      </c>
      <c r="P221" s="1">
        <v>17</v>
      </c>
      <c r="Q221" s="1">
        <v>31</v>
      </c>
      <c r="R221" s="1">
        <v>1800000</v>
      </c>
      <c r="S221" s="1">
        <v>3</v>
      </c>
    </row>
    <row r="222" spans="1:19" ht="12.75" customHeight="1" x14ac:dyDescent="0.15">
      <c r="A222" s="5" t="s">
        <v>213</v>
      </c>
      <c r="B222" s="1" t="e">
        <f ca="1">_xludf.LET(_xlpm.x,LOWER(TRIM(A222)),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2" s="5" t="s">
        <v>223</v>
      </c>
      <c r="D222" s="1">
        <f t="shared" si="18"/>
        <v>0</v>
      </c>
      <c r="E222" s="5" t="s">
        <v>204</v>
      </c>
      <c r="F222" s="1">
        <f t="shared" si="19"/>
        <v>1</v>
      </c>
      <c r="G222" s="5" t="s">
        <v>204</v>
      </c>
      <c r="H222" s="1">
        <f t="shared" si="20"/>
        <v>1</v>
      </c>
      <c r="I222" s="5" t="s">
        <v>242</v>
      </c>
      <c r="J222" s="1">
        <f t="shared" si="21"/>
        <v>3</v>
      </c>
      <c r="K222" s="5" t="s">
        <v>242</v>
      </c>
      <c r="L222" s="1">
        <f t="shared" si="22"/>
        <v>3</v>
      </c>
      <c r="M222" s="1">
        <v>37</v>
      </c>
      <c r="N222" s="1" t="s">
        <v>1000</v>
      </c>
      <c r="O222" s="1">
        <f t="shared" si="23"/>
        <v>0</v>
      </c>
      <c r="P222" s="1">
        <v>16</v>
      </c>
      <c r="Q222" s="1">
        <v>11</v>
      </c>
      <c r="R222" s="1">
        <v>1300000</v>
      </c>
      <c r="S222" s="1">
        <v>4</v>
      </c>
    </row>
    <row r="223" spans="1:19" ht="12.75" customHeight="1" x14ac:dyDescent="0.15">
      <c r="A223" s="5" t="s">
        <v>285</v>
      </c>
      <c r="B223" s="1" t="e">
        <f ca="1">_xludf.LET(_xlpm.x,LOWER(TRIM(A223)),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3" s="5" t="s">
        <v>223</v>
      </c>
      <c r="D223" s="1">
        <f t="shared" si="18"/>
        <v>0</v>
      </c>
      <c r="F223" s="1" t="str">
        <f t="shared" si="19"/>
        <v/>
      </c>
      <c r="G223" s="5" t="s">
        <v>206</v>
      </c>
      <c r="H223" s="1">
        <f t="shared" si="20"/>
        <v>0</v>
      </c>
      <c r="J223" s="1" t="str">
        <f t="shared" si="21"/>
        <v/>
      </c>
      <c r="L223" s="1" t="str">
        <f t="shared" si="22"/>
        <v/>
      </c>
      <c r="M223" s="1">
        <v>37</v>
      </c>
      <c r="N223" s="1" t="s">
        <v>989</v>
      </c>
      <c r="O223" s="1">
        <f t="shared" si="23"/>
        <v>1</v>
      </c>
      <c r="P223" s="1">
        <v>18</v>
      </c>
      <c r="Q223" s="1">
        <v>2</v>
      </c>
      <c r="R223" s="1">
        <v>700000</v>
      </c>
      <c r="S223" s="1">
        <v>5</v>
      </c>
    </row>
    <row r="224" spans="1:19" ht="12.75" customHeight="1" x14ac:dyDescent="0.15">
      <c r="A224" s="5" t="s">
        <v>213</v>
      </c>
      <c r="B224" s="1" t="e">
        <f ca="1">_xludf.LET(_xlpm.x,LOWER(TRIM(A224)),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4" s="5" t="s">
        <v>223</v>
      </c>
      <c r="D224" s="1">
        <f t="shared" si="18"/>
        <v>0</v>
      </c>
      <c r="F224" s="1" t="str">
        <f t="shared" si="19"/>
        <v/>
      </c>
      <c r="G224" s="5" t="s">
        <v>204</v>
      </c>
      <c r="H224" s="1">
        <f t="shared" si="20"/>
        <v>1</v>
      </c>
      <c r="I224" s="5" t="s">
        <v>278</v>
      </c>
      <c r="J224" s="1">
        <f t="shared" si="21"/>
        <v>5</v>
      </c>
      <c r="K224" s="5" t="s">
        <v>242</v>
      </c>
      <c r="L224" s="1">
        <f t="shared" si="22"/>
        <v>3</v>
      </c>
      <c r="M224" s="1">
        <v>37</v>
      </c>
      <c r="N224" s="1" t="s">
        <v>990</v>
      </c>
      <c r="O224" s="1">
        <f t="shared" si="23"/>
        <v>0</v>
      </c>
      <c r="P224" s="1">
        <v>4</v>
      </c>
      <c r="Q224" s="1">
        <v>17</v>
      </c>
      <c r="R224" s="1">
        <v>500000</v>
      </c>
      <c r="S224" s="1">
        <v>5</v>
      </c>
    </row>
    <row r="225" spans="1:19" ht="12.75" customHeight="1" x14ac:dyDescent="0.15">
      <c r="A225" s="5" t="s">
        <v>285</v>
      </c>
      <c r="B225" s="1" t="e">
        <f ca="1">_xludf.LET(_xlpm.x,LOWER(TRIM(A225)),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5" s="5" t="s">
        <v>223</v>
      </c>
      <c r="D225" s="1">
        <f t="shared" si="18"/>
        <v>0</v>
      </c>
      <c r="E225" s="5" t="s">
        <v>204</v>
      </c>
      <c r="F225" s="1">
        <f t="shared" si="19"/>
        <v>1</v>
      </c>
      <c r="G225" s="5" t="s">
        <v>204</v>
      </c>
      <c r="H225" s="1">
        <f t="shared" si="20"/>
        <v>1</v>
      </c>
      <c r="I225" s="5" t="s">
        <v>242</v>
      </c>
      <c r="J225" s="1">
        <f t="shared" si="21"/>
        <v>3</v>
      </c>
      <c r="K225" s="5" t="s">
        <v>242</v>
      </c>
      <c r="L225" s="1">
        <f t="shared" si="22"/>
        <v>3</v>
      </c>
      <c r="M225" s="1">
        <v>37</v>
      </c>
      <c r="N225" s="1" t="s">
        <v>991</v>
      </c>
      <c r="O225" s="1">
        <f t="shared" si="23"/>
        <v>0</v>
      </c>
      <c r="P225" s="1">
        <v>14</v>
      </c>
      <c r="Q225" s="1">
        <v>34</v>
      </c>
      <c r="R225" s="1">
        <v>450000</v>
      </c>
      <c r="S225" s="1">
        <v>4</v>
      </c>
    </row>
    <row r="226" spans="1:19" ht="12.75" customHeight="1" x14ac:dyDescent="0.15">
      <c r="A226" s="5" t="s">
        <v>213</v>
      </c>
      <c r="B226" s="1" t="e">
        <f ca="1">_xludf.LET(_xlpm.x,LOWER(TRIM(A226)),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6" s="5" t="s">
        <v>223</v>
      </c>
      <c r="D226" s="1">
        <f t="shared" si="18"/>
        <v>0</v>
      </c>
      <c r="E226" s="5" t="s">
        <v>206</v>
      </c>
      <c r="F226" s="1">
        <f t="shared" si="19"/>
        <v>0</v>
      </c>
      <c r="G226" s="5" t="s">
        <v>204</v>
      </c>
      <c r="H226" s="1">
        <f t="shared" si="20"/>
        <v>1</v>
      </c>
      <c r="I226" s="5" t="s">
        <v>278</v>
      </c>
      <c r="J226" s="1">
        <f t="shared" si="21"/>
        <v>5</v>
      </c>
      <c r="K226" s="5" t="s">
        <v>242</v>
      </c>
      <c r="L226" s="1">
        <f t="shared" si="22"/>
        <v>3</v>
      </c>
      <c r="M226" s="1">
        <v>37</v>
      </c>
      <c r="N226" s="1" t="s">
        <v>997</v>
      </c>
      <c r="O226" s="1">
        <f t="shared" si="23"/>
        <v>0</v>
      </c>
      <c r="P226" s="1">
        <v>17</v>
      </c>
      <c r="Q226" s="1">
        <v>34</v>
      </c>
      <c r="R226" s="1">
        <v>300000</v>
      </c>
      <c r="S226" s="1">
        <v>2</v>
      </c>
    </row>
    <row r="227" spans="1:19" ht="12.75" customHeight="1" x14ac:dyDescent="0.15">
      <c r="A227" s="5" t="s">
        <v>213</v>
      </c>
      <c r="B227" s="1" t="e">
        <f ca="1">_xludf.LET(_xlpm.x,LOWER(TRIM(A227)),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7" s="5" t="s">
        <v>223</v>
      </c>
      <c r="D227" s="1">
        <f t="shared" si="18"/>
        <v>0</v>
      </c>
      <c r="E227" s="5" t="s">
        <v>204</v>
      </c>
      <c r="F227" s="1">
        <f t="shared" si="19"/>
        <v>1</v>
      </c>
      <c r="G227" s="5" t="s">
        <v>204</v>
      </c>
      <c r="H227" s="1">
        <f t="shared" si="20"/>
        <v>1</v>
      </c>
      <c r="I227" s="5" t="s">
        <v>278</v>
      </c>
      <c r="J227" s="1">
        <f t="shared" si="21"/>
        <v>5</v>
      </c>
      <c r="K227" s="5" t="s">
        <v>242</v>
      </c>
      <c r="L227" s="1">
        <f t="shared" si="22"/>
        <v>3</v>
      </c>
      <c r="M227" s="1">
        <v>37</v>
      </c>
      <c r="N227" s="1" t="s">
        <v>989</v>
      </c>
      <c r="O227" s="1">
        <f t="shared" si="23"/>
        <v>1</v>
      </c>
      <c r="P227" s="1">
        <v>2</v>
      </c>
      <c r="Q227" s="1">
        <v>3</v>
      </c>
      <c r="R227" s="1">
        <v>-99</v>
      </c>
      <c r="S227" s="1">
        <v>2</v>
      </c>
    </row>
    <row r="228" spans="1:19" ht="12.75" customHeight="1" x14ac:dyDescent="0.15">
      <c r="A228" s="5" t="s">
        <v>262</v>
      </c>
      <c r="B228" s="1" t="e">
        <f ca="1">_xludf.LET(_xlpm.x,LOWER(TRIM(A228)),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8" s="5" t="s">
        <v>223</v>
      </c>
      <c r="D228" s="1">
        <f t="shared" si="18"/>
        <v>0</v>
      </c>
      <c r="F228" s="1" t="str">
        <f t="shared" si="19"/>
        <v/>
      </c>
      <c r="G228" s="5" t="s">
        <v>206</v>
      </c>
      <c r="H228" s="1">
        <f t="shared" si="20"/>
        <v>0</v>
      </c>
      <c r="J228" s="1" t="str">
        <f t="shared" si="21"/>
        <v/>
      </c>
      <c r="L228" s="1" t="str">
        <f t="shared" si="22"/>
        <v/>
      </c>
      <c r="M228" s="1">
        <v>37</v>
      </c>
      <c r="N228" s="1" t="s">
        <v>989</v>
      </c>
      <c r="O228" s="1">
        <f t="shared" si="23"/>
        <v>1</v>
      </c>
      <c r="P228" s="1">
        <v>14</v>
      </c>
      <c r="Q228" s="1">
        <v>6</v>
      </c>
      <c r="R228" s="1">
        <v>500000</v>
      </c>
      <c r="S228" s="1">
        <v>1</v>
      </c>
    </row>
    <row r="229" spans="1:19" ht="12.75" customHeight="1" x14ac:dyDescent="0.15">
      <c r="A229" s="5" t="s">
        <v>269</v>
      </c>
      <c r="B229" s="1" t="e">
        <f ca="1">_xludf.LET(_xlpm.x,LOWER(TRIM(A229)),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9" s="5" t="s">
        <v>358</v>
      </c>
      <c r="D229" s="1">
        <f t="shared" si="18"/>
        <v>1</v>
      </c>
      <c r="E229" s="5" t="s">
        <v>204</v>
      </c>
      <c r="F229" s="1">
        <f t="shared" si="19"/>
        <v>1</v>
      </c>
      <c r="G229" s="5" t="s">
        <v>204</v>
      </c>
      <c r="H229" s="1">
        <f t="shared" si="20"/>
        <v>1</v>
      </c>
      <c r="I229" s="5" t="s">
        <v>264</v>
      </c>
      <c r="J229" s="1">
        <f t="shared" si="21"/>
        <v>1</v>
      </c>
      <c r="K229" s="5" t="s">
        <v>215</v>
      </c>
      <c r="L229" s="1">
        <f t="shared" si="22"/>
        <v>2</v>
      </c>
      <c r="M229" s="1">
        <v>37</v>
      </c>
      <c r="N229" s="1" t="s">
        <v>989</v>
      </c>
      <c r="O229" s="1">
        <f t="shared" si="23"/>
        <v>1</v>
      </c>
      <c r="P229" s="1">
        <v>18</v>
      </c>
      <c r="Q229" s="1">
        <v>2</v>
      </c>
      <c r="R229" s="1">
        <v>850000</v>
      </c>
      <c r="S229" s="1">
        <v>1</v>
      </c>
    </row>
    <row r="230" spans="1:19" ht="12.75" customHeight="1" x14ac:dyDescent="0.15">
      <c r="A230" s="5" t="s">
        <v>285</v>
      </c>
      <c r="B230" s="1" t="e">
        <f ca="1">_xludf.LET(_xlpm.x,LOWER(TRIM(A230)),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0" s="5" t="s">
        <v>223</v>
      </c>
      <c r="D230" s="1">
        <f t="shared" si="18"/>
        <v>0</v>
      </c>
      <c r="E230" s="5" t="s">
        <v>204</v>
      </c>
      <c r="F230" s="1">
        <f t="shared" si="19"/>
        <v>1</v>
      </c>
      <c r="G230" s="5" t="s">
        <v>204</v>
      </c>
      <c r="H230" s="1">
        <f t="shared" si="20"/>
        <v>1</v>
      </c>
      <c r="I230" s="5" t="s">
        <v>207</v>
      </c>
      <c r="J230" s="1" t="str">
        <f t="shared" si="21"/>
        <v/>
      </c>
      <c r="K230" s="5" t="s">
        <v>215</v>
      </c>
      <c r="L230" s="1">
        <f t="shared" si="22"/>
        <v>2</v>
      </c>
      <c r="M230" s="1">
        <v>38</v>
      </c>
      <c r="N230" s="1" t="s">
        <v>1000</v>
      </c>
      <c r="O230" s="1">
        <f t="shared" si="23"/>
        <v>0</v>
      </c>
      <c r="P230" s="1">
        <v>14</v>
      </c>
      <c r="Q230" s="1">
        <v>13</v>
      </c>
      <c r="R230" s="1">
        <v>210000</v>
      </c>
      <c r="S230" s="1">
        <v>4</v>
      </c>
    </row>
    <row r="231" spans="1:19" ht="12.75" customHeight="1" x14ac:dyDescent="0.15">
      <c r="A231" s="5" t="s">
        <v>269</v>
      </c>
      <c r="B231" s="1" t="e">
        <f ca="1">_xludf.LET(_xlpm.x,LOWER(TRIM(A231)),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1" s="5" t="s">
        <v>223</v>
      </c>
      <c r="D231" s="1">
        <f t="shared" si="18"/>
        <v>0</v>
      </c>
      <c r="E231" s="5" t="s">
        <v>204</v>
      </c>
      <c r="F231" s="1">
        <f t="shared" si="19"/>
        <v>1</v>
      </c>
      <c r="G231" s="5" t="s">
        <v>204</v>
      </c>
      <c r="H231" s="1">
        <f t="shared" si="20"/>
        <v>1</v>
      </c>
      <c r="I231" s="5" t="s">
        <v>278</v>
      </c>
      <c r="J231" s="1">
        <f t="shared" si="21"/>
        <v>5</v>
      </c>
      <c r="K231" s="5" t="s">
        <v>271</v>
      </c>
      <c r="L231" s="1">
        <f t="shared" si="22"/>
        <v>4</v>
      </c>
      <c r="M231" s="1">
        <v>38</v>
      </c>
      <c r="N231" s="1" t="s">
        <v>989</v>
      </c>
      <c r="O231" s="1">
        <f t="shared" si="23"/>
        <v>1</v>
      </c>
      <c r="P231" s="1">
        <v>14</v>
      </c>
      <c r="Q231" s="1">
        <v>1</v>
      </c>
      <c r="R231" s="1">
        <v>0</v>
      </c>
      <c r="S231" s="1">
        <v>3</v>
      </c>
    </row>
    <row r="232" spans="1:19" ht="12.75" customHeight="1" x14ac:dyDescent="0.15">
      <c r="A232" s="5" t="s">
        <v>302</v>
      </c>
      <c r="B232" s="1" t="e">
        <f ca="1">_xludf.LET(_xlpm.x,LOWER(TRIM(A232)),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2" s="5" t="s">
        <v>223</v>
      </c>
      <c r="D232" s="1">
        <f t="shared" si="18"/>
        <v>0</v>
      </c>
      <c r="F232" s="1" t="str">
        <f t="shared" si="19"/>
        <v/>
      </c>
      <c r="G232" s="5" t="s">
        <v>204</v>
      </c>
      <c r="H232" s="1">
        <f t="shared" si="20"/>
        <v>1</v>
      </c>
      <c r="I232" s="5" t="s">
        <v>278</v>
      </c>
      <c r="J232" s="1">
        <f t="shared" si="21"/>
        <v>5</v>
      </c>
      <c r="K232" s="5" t="s">
        <v>278</v>
      </c>
      <c r="L232" s="1">
        <f t="shared" si="22"/>
        <v>5</v>
      </c>
      <c r="M232" s="1">
        <v>38</v>
      </c>
      <c r="N232" s="1" t="s">
        <v>989</v>
      </c>
      <c r="O232" s="1">
        <f t="shared" si="23"/>
        <v>1</v>
      </c>
      <c r="P232" s="1">
        <v>14</v>
      </c>
      <c r="Q232" s="1">
        <v>9</v>
      </c>
      <c r="R232" s="1">
        <v>-99</v>
      </c>
      <c r="S232" s="1">
        <v>3</v>
      </c>
    </row>
    <row r="233" spans="1:19" ht="12.75" customHeight="1" x14ac:dyDescent="0.15">
      <c r="A233" s="5" t="s">
        <v>302</v>
      </c>
      <c r="B233" s="1" t="e">
        <f ca="1">_xludf.LET(_xlpm.x,LOWER(TRIM(A233)),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3" s="5" t="s">
        <v>223</v>
      </c>
      <c r="D233" s="1">
        <f t="shared" si="18"/>
        <v>0</v>
      </c>
      <c r="E233" s="5" t="s">
        <v>204</v>
      </c>
      <c r="F233" s="1">
        <f t="shared" si="19"/>
        <v>1</v>
      </c>
      <c r="G233" s="5" t="s">
        <v>204</v>
      </c>
      <c r="H233" s="1">
        <f t="shared" si="20"/>
        <v>1</v>
      </c>
      <c r="I233" s="5" t="s">
        <v>242</v>
      </c>
      <c r="J233" s="1">
        <f t="shared" si="21"/>
        <v>3</v>
      </c>
      <c r="K233" s="5" t="s">
        <v>242</v>
      </c>
      <c r="L233" s="1">
        <f t="shared" si="22"/>
        <v>3</v>
      </c>
      <c r="M233" s="1">
        <v>38</v>
      </c>
      <c r="N233" s="1" t="s">
        <v>992</v>
      </c>
      <c r="O233" s="1">
        <f t="shared" si="23"/>
        <v>0</v>
      </c>
      <c r="P233" s="1">
        <v>14</v>
      </c>
      <c r="Q233" s="1">
        <v>24</v>
      </c>
      <c r="R233" s="1">
        <v>480000</v>
      </c>
      <c r="S233" s="1">
        <v>4</v>
      </c>
    </row>
    <row r="234" spans="1:19" ht="12.75" customHeight="1" x14ac:dyDescent="0.15">
      <c r="A234" s="5" t="s">
        <v>269</v>
      </c>
      <c r="B234" s="1" t="e">
        <f ca="1">_xludf.LET(_xlpm.x,LOWER(TRIM(A234)),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4" s="5" t="s">
        <v>223</v>
      </c>
      <c r="D234" s="1">
        <f t="shared" si="18"/>
        <v>0</v>
      </c>
      <c r="F234" s="1" t="str">
        <f t="shared" si="19"/>
        <v/>
      </c>
      <c r="G234" s="5" t="s">
        <v>204</v>
      </c>
      <c r="H234" s="1">
        <f t="shared" si="20"/>
        <v>1</v>
      </c>
      <c r="I234" s="5" t="s">
        <v>278</v>
      </c>
      <c r="J234" s="1">
        <f t="shared" si="21"/>
        <v>5</v>
      </c>
      <c r="K234" s="5" t="s">
        <v>278</v>
      </c>
      <c r="L234" s="1">
        <f t="shared" si="22"/>
        <v>5</v>
      </c>
      <c r="M234" s="1">
        <v>38</v>
      </c>
      <c r="N234" s="1" t="s">
        <v>992</v>
      </c>
      <c r="O234" s="1">
        <f t="shared" si="23"/>
        <v>0</v>
      </c>
      <c r="P234" s="1">
        <v>14</v>
      </c>
      <c r="Q234" s="1">
        <v>24</v>
      </c>
      <c r="R234" s="1">
        <v>480000</v>
      </c>
      <c r="S234" s="1">
        <v>4</v>
      </c>
    </row>
    <row r="235" spans="1:19" ht="12.75" customHeight="1" x14ac:dyDescent="0.15">
      <c r="A235" s="5" t="s">
        <v>269</v>
      </c>
      <c r="B235" s="1" t="e">
        <f ca="1">_xludf.LET(_xlpm.x,LOWER(TRIM(A235)),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5" s="5" t="s">
        <v>223</v>
      </c>
      <c r="D235" s="1">
        <f t="shared" si="18"/>
        <v>0</v>
      </c>
      <c r="E235" s="5" t="s">
        <v>204</v>
      </c>
      <c r="F235" s="1">
        <f t="shared" si="19"/>
        <v>1</v>
      </c>
      <c r="G235" s="5" t="s">
        <v>204</v>
      </c>
      <c r="H235" s="1">
        <f t="shared" si="20"/>
        <v>1</v>
      </c>
      <c r="I235" s="5" t="s">
        <v>207</v>
      </c>
      <c r="J235" s="1" t="str">
        <f t="shared" si="21"/>
        <v/>
      </c>
      <c r="K235" s="5" t="s">
        <v>215</v>
      </c>
      <c r="L235" s="1">
        <f t="shared" si="22"/>
        <v>2</v>
      </c>
      <c r="M235" s="1">
        <v>38</v>
      </c>
      <c r="N235" s="1" t="s">
        <v>998</v>
      </c>
      <c r="O235" s="1">
        <f t="shared" si="23"/>
        <v>0</v>
      </c>
      <c r="P235" s="1">
        <v>18</v>
      </c>
      <c r="Q235" s="1">
        <v>2</v>
      </c>
      <c r="R235" s="1">
        <v>400000</v>
      </c>
      <c r="S235" s="1">
        <v>2</v>
      </c>
    </row>
    <row r="236" spans="1:19" ht="12.75" customHeight="1" x14ac:dyDescent="0.15">
      <c r="A236" s="5" t="s">
        <v>285</v>
      </c>
      <c r="B236" s="1" t="e">
        <f ca="1">_xludf.LET(_xlpm.x,LOWER(TRIM(A236)),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6" s="5" t="s">
        <v>433</v>
      </c>
      <c r="D236" s="1">
        <f t="shared" si="18"/>
        <v>1</v>
      </c>
      <c r="F236" s="1" t="str">
        <f t="shared" si="19"/>
        <v/>
      </c>
      <c r="G236" s="5" t="s">
        <v>204</v>
      </c>
      <c r="H236" s="1">
        <f t="shared" si="20"/>
        <v>1</v>
      </c>
      <c r="I236" s="5" t="s">
        <v>278</v>
      </c>
      <c r="J236" s="1">
        <f t="shared" si="21"/>
        <v>5</v>
      </c>
      <c r="K236" s="5" t="s">
        <v>278</v>
      </c>
      <c r="L236" s="1">
        <f t="shared" si="22"/>
        <v>5</v>
      </c>
      <c r="M236" s="1">
        <v>38</v>
      </c>
      <c r="N236" s="1" t="s">
        <v>1001</v>
      </c>
      <c r="O236" s="1">
        <f t="shared" si="23"/>
        <v>0</v>
      </c>
      <c r="P236" s="1">
        <v>18</v>
      </c>
      <c r="Q236" s="1">
        <v>34</v>
      </c>
      <c r="R236" s="1">
        <v>1000000</v>
      </c>
      <c r="S236" s="1">
        <v>4</v>
      </c>
    </row>
    <row r="237" spans="1:19" ht="12.75" customHeight="1" x14ac:dyDescent="0.15">
      <c r="A237" s="5" t="s">
        <v>457</v>
      </c>
      <c r="B237" s="1" t="e">
        <f ca="1">_xludf.LET(_xlpm.x,LOWER(TRIM(A237)),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7" s="5" t="s">
        <v>223</v>
      </c>
      <c r="D237" s="1">
        <f t="shared" si="18"/>
        <v>0</v>
      </c>
      <c r="F237" s="1" t="str">
        <f t="shared" si="19"/>
        <v/>
      </c>
      <c r="G237" s="5" t="s">
        <v>204</v>
      </c>
      <c r="H237" s="1">
        <f t="shared" si="20"/>
        <v>1</v>
      </c>
      <c r="I237" s="5" t="s">
        <v>207</v>
      </c>
      <c r="J237" s="1" t="str">
        <f t="shared" si="21"/>
        <v/>
      </c>
      <c r="K237" s="5" t="s">
        <v>215</v>
      </c>
      <c r="L237" s="1">
        <f t="shared" si="22"/>
        <v>2</v>
      </c>
      <c r="M237" s="1">
        <v>38</v>
      </c>
      <c r="N237" s="1" t="s">
        <v>989</v>
      </c>
      <c r="O237" s="1">
        <f t="shared" si="23"/>
        <v>1</v>
      </c>
      <c r="P237" s="1">
        <v>14</v>
      </c>
      <c r="Q237" s="1">
        <v>6</v>
      </c>
      <c r="R237" s="1">
        <v>300000</v>
      </c>
      <c r="S237" s="1">
        <v>5</v>
      </c>
    </row>
    <row r="238" spans="1:19" ht="12.75" customHeight="1" x14ac:dyDescent="0.15">
      <c r="A238" s="5" t="s">
        <v>285</v>
      </c>
      <c r="B238" s="1" t="e">
        <f ca="1">_xludf.LET(_xlpm.x,LOWER(TRIM(A238)),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8" s="5" t="s">
        <v>223</v>
      </c>
      <c r="D238" s="1">
        <f t="shared" si="18"/>
        <v>0</v>
      </c>
      <c r="E238" s="5" t="s">
        <v>204</v>
      </c>
      <c r="F238" s="1">
        <f t="shared" si="19"/>
        <v>1</v>
      </c>
      <c r="G238" s="5" t="s">
        <v>204</v>
      </c>
      <c r="H238" s="1">
        <f t="shared" si="20"/>
        <v>1</v>
      </c>
      <c r="I238" s="5" t="s">
        <v>215</v>
      </c>
      <c r="J238" s="1">
        <f t="shared" si="21"/>
        <v>2</v>
      </c>
      <c r="K238" s="5" t="s">
        <v>264</v>
      </c>
      <c r="L238" s="1">
        <f t="shared" si="22"/>
        <v>1</v>
      </c>
      <c r="M238" s="1">
        <v>38</v>
      </c>
      <c r="N238" s="1" t="s">
        <v>987</v>
      </c>
      <c r="O238" s="1">
        <f t="shared" si="23"/>
        <v>0</v>
      </c>
      <c r="P238" s="1">
        <v>14</v>
      </c>
      <c r="Q238" s="1">
        <v>2</v>
      </c>
      <c r="R238" s="1">
        <v>0</v>
      </c>
      <c r="S238" s="1">
        <v>7</v>
      </c>
    </row>
    <row r="239" spans="1:19" ht="12.75" customHeight="1" x14ac:dyDescent="0.15">
      <c r="A239" s="5" t="s">
        <v>269</v>
      </c>
      <c r="B239" s="1" t="e">
        <f ca="1">_xludf.LET(_xlpm.x,LOWER(TRIM(A239)),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9" s="5" t="s">
        <v>223</v>
      </c>
      <c r="D239" s="1">
        <f t="shared" si="18"/>
        <v>0</v>
      </c>
      <c r="F239" s="1" t="str">
        <f t="shared" si="19"/>
        <v/>
      </c>
      <c r="G239" s="5" t="s">
        <v>204</v>
      </c>
      <c r="H239" s="1">
        <f t="shared" si="20"/>
        <v>1</v>
      </c>
      <c r="I239" s="5" t="s">
        <v>264</v>
      </c>
      <c r="J239" s="1">
        <f t="shared" si="21"/>
        <v>1</v>
      </c>
      <c r="K239" s="5" t="s">
        <v>264</v>
      </c>
      <c r="L239" s="1">
        <f t="shared" si="22"/>
        <v>1</v>
      </c>
      <c r="M239" s="1">
        <v>38</v>
      </c>
      <c r="N239" s="1" t="s">
        <v>991</v>
      </c>
      <c r="O239" s="1">
        <f t="shared" si="23"/>
        <v>0</v>
      </c>
      <c r="P239" s="1">
        <v>13</v>
      </c>
      <c r="Q239" s="1">
        <v>31</v>
      </c>
      <c r="R239" s="1">
        <v>360000</v>
      </c>
      <c r="S239" s="1">
        <v>3</v>
      </c>
    </row>
    <row r="240" spans="1:19" ht="12.75" customHeight="1" x14ac:dyDescent="0.15">
      <c r="A240" s="5" t="s">
        <v>269</v>
      </c>
      <c r="B240" s="1" t="e">
        <f ca="1">_xludf.LET(_xlpm.x,LOWER(TRIM(A240)),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0" s="5" t="s">
        <v>223</v>
      </c>
      <c r="D240" s="1">
        <f t="shared" si="18"/>
        <v>0</v>
      </c>
      <c r="E240" s="5" t="s">
        <v>204</v>
      </c>
      <c r="F240" s="1">
        <f t="shared" si="19"/>
        <v>1</v>
      </c>
      <c r="G240" s="5" t="s">
        <v>204</v>
      </c>
      <c r="H240" s="1">
        <f t="shared" si="20"/>
        <v>1</v>
      </c>
      <c r="I240" s="5" t="s">
        <v>271</v>
      </c>
      <c r="J240" s="1">
        <f t="shared" si="21"/>
        <v>4</v>
      </c>
      <c r="K240" s="5" t="s">
        <v>271</v>
      </c>
      <c r="L240" s="1">
        <f t="shared" si="22"/>
        <v>4</v>
      </c>
      <c r="M240" s="1">
        <v>38</v>
      </c>
      <c r="N240" s="1" t="s">
        <v>989</v>
      </c>
      <c r="O240" s="1">
        <f t="shared" si="23"/>
        <v>1</v>
      </c>
      <c r="P240" s="1">
        <v>14</v>
      </c>
      <c r="Q240" s="1">
        <v>1</v>
      </c>
      <c r="R240" s="1">
        <v>200000</v>
      </c>
      <c r="S240" s="1">
        <v>2</v>
      </c>
    </row>
    <row r="241" spans="1:19" ht="12.75" customHeight="1" x14ac:dyDescent="0.15">
      <c r="A241" s="5" t="s">
        <v>285</v>
      </c>
      <c r="B241" s="1" t="e">
        <f ca="1">_xludf.LET(_xlpm.x,LOWER(TRIM(A241)),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1" s="5" t="s">
        <v>223</v>
      </c>
      <c r="D241" s="1">
        <f t="shared" si="18"/>
        <v>0</v>
      </c>
      <c r="F241" s="1" t="str">
        <f t="shared" si="19"/>
        <v/>
      </c>
      <c r="G241" s="5" t="s">
        <v>204</v>
      </c>
      <c r="H241" s="1">
        <f t="shared" si="20"/>
        <v>1</v>
      </c>
      <c r="I241" s="5" t="s">
        <v>271</v>
      </c>
      <c r="J241" s="1">
        <f t="shared" si="21"/>
        <v>4</v>
      </c>
      <c r="K241" s="5" t="s">
        <v>278</v>
      </c>
      <c r="L241" s="1">
        <f t="shared" si="22"/>
        <v>5</v>
      </c>
      <c r="M241" s="1">
        <v>38</v>
      </c>
      <c r="N241" s="1" t="s">
        <v>987</v>
      </c>
      <c r="O241" s="1">
        <f t="shared" si="23"/>
        <v>0</v>
      </c>
      <c r="P241" s="1">
        <v>2</v>
      </c>
      <c r="Q241" s="1">
        <v>2</v>
      </c>
      <c r="R241" s="1">
        <v>100000</v>
      </c>
      <c r="S241" s="1">
        <v>6</v>
      </c>
    </row>
    <row r="242" spans="1:19" ht="12.75" customHeight="1" x14ac:dyDescent="0.15">
      <c r="A242" s="5" t="s">
        <v>269</v>
      </c>
      <c r="B242" s="1" t="e">
        <f ca="1">_xludf.LET(_xlpm.x,LOWER(TRIM(A242)),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2" s="5" t="s">
        <v>223</v>
      </c>
      <c r="D242" s="1">
        <f t="shared" si="18"/>
        <v>0</v>
      </c>
      <c r="E242" s="5" t="s">
        <v>204</v>
      </c>
      <c r="F242" s="1">
        <f t="shared" si="19"/>
        <v>1</v>
      </c>
      <c r="G242" s="5" t="s">
        <v>204</v>
      </c>
      <c r="H242" s="1">
        <f t="shared" si="20"/>
        <v>1</v>
      </c>
      <c r="I242" s="5" t="s">
        <v>278</v>
      </c>
      <c r="J242" s="1">
        <f t="shared" si="21"/>
        <v>5</v>
      </c>
      <c r="K242" s="5" t="s">
        <v>278</v>
      </c>
      <c r="L242" s="1">
        <f t="shared" si="22"/>
        <v>5</v>
      </c>
      <c r="M242" s="1">
        <v>38</v>
      </c>
      <c r="N242" s="1" t="s">
        <v>989</v>
      </c>
      <c r="O242" s="1">
        <f t="shared" si="23"/>
        <v>1</v>
      </c>
      <c r="P242" s="1">
        <v>14</v>
      </c>
      <c r="Q242" s="1">
        <v>2</v>
      </c>
      <c r="R242" s="1">
        <v>400000</v>
      </c>
      <c r="S242" s="1">
        <v>4</v>
      </c>
    </row>
    <row r="243" spans="1:19" ht="12.75" customHeight="1" x14ac:dyDescent="0.15">
      <c r="A243" s="5" t="s">
        <v>269</v>
      </c>
      <c r="B243" s="1" t="e">
        <f ca="1">_xludf.LET(_xlpm.x,LOWER(TRIM(A243)),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3" s="5" t="s">
        <v>223</v>
      </c>
      <c r="D243" s="1">
        <f t="shared" si="18"/>
        <v>0</v>
      </c>
      <c r="E243" s="5" t="s">
        <v>204</v>
      </c>
      <c r="F243" s="1">
        <f t="shared" si="19"/>
        <v>1</v>
      </c>
      <c r="G243" s="5" t="s">
        <v>204</v>
      </c>
      <c r="H243" s="1">
        <f t="shared" si="20"/>
        <v>1</v>
      </c>
      <c r="I243" s="5" t="s">
        <v>264</v>
      </c>
      <c r="J243" s="1">
        <f t="shared" si="21"/>
        <v>1</v>
      </c>
      <c r="K243" s="5" t="s">
        <v>271</v>
      </c>
      <c r="L243" s="1">
        <f t="shared" si="22"/>
        <v>4</v>
      </c>
      <c r="M243" s="1">
        <v>38</v>
      </c>
      <c r="N243" s="1" t="s">
        <v>989</v>
      </c>
      <c r="O243" s="1">
        <f t="shared" si="23"/>
        <v>1</v>
      </c>
      <c r="P243" s="1">
        <v>1</v>
      </c>
      <c r="Q243" s="1">
        <v>34</v>
      </c>
      <c r="R243" s="1">
        <v>200000</v>
      </c>
      <c r="S243" s="1">
        <v>4</v>
      </c>
    </row>
    <row r="244" spans="1:19" ht="12.75" customHeight="1" x14ac:dyDescent="0.15">
      <c r="A244" s="5" t="s">
        <v>302</v>
      </c>
      <c r="B244" s="1" t="e">
        <f ca="1">_xludf.LET(_xlpm.x,LOWER(TRIM(A244)),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4" s="5" t="s">
        <v>223</v>
      </c>
      <c r="D244" s="1">
        <f t="shared" si="18"/>
        <v>0</v>
      </c>
      <c r="E244" s="5" t="s">
        <v>204</v>
      </c>
      <c r="F244" s="1">
        <f t="shared" si="19"/>
        <v>1</v>
      </c>
      <c r="G244" s="5" t="s">
        <v>204</v>
      </c>
      <c r="H244" s="1">
        <f t="shared" si="20"/>
        <v>1</v>
      </c>
      <c r="I244" s="5" t="s">
        <v>207</v>
      </c>
      <c r="J244" s="1" t="str">
        <f t="shared" si="21"/>
        <v/>
      </c>
      <c r="K244" s="5" t="s">
        <v>242</v>
      </c>
      <c r="L244" s="1">
        <f t="shared" si="22"/>
        <v>3</v>
      </c>
      <c r="M244" s="1">
        <v>38</v>
      </c>
      <c r="N244" s="1" t="s">
        <v>989</v>
      </c>
      <c r="O244" s="1">
        <f t="shared" si="23"/>
        <v>1</v>
      </c>
      <c r="P244" s="1">
        <v>14</v>
      </c>
      <c r="Q244" s="1">
        <v>34</v>
      </c>
      <c r="R244" s="1">
        <v>300000</v>
      </c>
      <c r="S244" s="1">
        <v>5</v>
      </c>
    </row>
    <row r="245" spans="1:19" ht="12.75" customHeight="1" x14ac:dyDescent="0.15">
      <c r="A245" s="5" t="s">
        <v>317</v>
      </c>
      <c r="B245" s="1" t="e">
        <f ca="1">_xludf.LET(_xlpm.x,LOWER(TRIM(A245)),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5" s="5" t="s">
        <v>223</v>
      </c>
      <c r="D245" s="1">
        <f t="shared" si="18"/>
        <v>0</v>
      </c>
      <c r="E245" s="5" t="s">
        <v>204</v>
      </c>
      <c r="F245" s="1">
        <f t="shared" si="19"/>
        <v>1</v>
      </c>
      <c r="G245" s="5" t="s">
        <v>204</v>
      </c>
      <c r="H245" s="1">
        <f t="shared" si="20"/>
        <v>1</v>
      </c>
      <c r="I245" s="5" t="s">
        <v>215</v>
      </c>
      <c r="J245" s="1">
        <f t="shared" si="21"/>
        <v>2</v>
      </c>
      <c r="K245" s="5" t="s">
        <v>207</v>
      </c>
      <c r="L245" s="1" t="str">
        <f t="shared" si="22"/>
        <v/>
      </c>
      <c r="M245" s="1">
        <v>38</v>
      </c>
      <c r="N245" s="1" t="s">
        <v>989</v>
      </c>
      <c r="O245" s="1">
        <f t="shared" si="23"/>
        <v>1</v>
      </c>
      <c r="P245" s="1">
        <v>16</v>
      </c>
      <c r="Q245" s="1">
        <v>1</v>
      </c>
      <c r="R245" s="1">
        <v>500000</v>
      </c>
      <c r="S245" s="1">
        <v>4</v>
      </c>
    </row>
    <row r="246" spans="1:19" ht="12.75" customHeight="1" x14ac:dyDescent="0.15">
      <c r="A246" s="5" t="s">
        <v>213</v>
      </c>
      <c r="B246" s="1" t="e">
        <f ca="1">_xludf.LET(_xlpm.x,LOWER(TRIM(A246)),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6" s="5" t="s">
        <v>223</v>
      </c>
      <c r="D246" s="1">
        <f t="shared" si="18"/>
        <v>0</v>
      </c>
      <c r="F246" s="1" t="str">
        <f t="shared" si="19"/>
        <v/>
      </c>
      <c r="G246" s="5" t="s">
        <v>204</v>
      </c>
      <c r="H246" s="1">
        <f t="shared" si="20"/>
        <v>1</v>
      </c>
      <c r="I246" s="5" t="s">
        <v>215</v>
      </c>
      <c r="J246" s="1">
        <f t="shared" si="21"/>
        <v>2</v>
      </c>
      <c r="K246" s="5" t="s">
        <v>207</v>
      </c>
      <c r="L246" s="1" t="str">
        <f t="shared" si="22"/>
        <v/>
      </c>
      <c r="M246" s="1">
        <v>39</v>
      </c>
      <c r="N246" s="1" t="s">
        <v>990</v>
      </c>
      <c r="O246" s="1">
        <f t="shared" si="23"/>
        <v>0</v>
      </c>
      <c r="P246" s="1">
        <v>15</v>
      </c>
      <c r="Q246" s="1">
        <v>29</v>
      </c>
      <c r="R246" s="1">
        <v>350000</v>
      </c>
      <c r="S246" s="1">
        <v>3</v>
      </c>
    </row>
    <row r="247" spans="1:19" ht="12.75" customHeight="1" x14ac:dyDescent="0.15">
      <c r="A247" s="5" t="s">
        <v>277</v>
      </c>
      <c r="B247" s="1" t="e">
        <f ca="1">_xludf.LET(_xlpm.x,LOWER(TRIM(A247)),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7" s="5" t="s">
        <v>358</v>
      </c>
      <c r="D247" s="1">
        <f t="shared" si="18"/>
        <v>1</v>
      </c>
      <c r="F247" s="1" t="str">
        <f t="shared" si="19"/>
        <v/>
      </c>
      <c r="G247" s="5" t="s">
        <v>204</v>
      </c>
      <c r="H247" s="1">
        <f t="shared" si="20"/>
        <v>1</v>
      </c>
      <c r="I247" s="5" t="s">
        <v>242</v>
      </c>
      <c r="J247" s="1">
        <f t="shared" si="21"/>
        <v>3</v>
      </c>
      <c r="K247" s="5" t="s">
        <v>215</v>
      </c>
      <c r="L247" s="1">
        <f t="shared" si="22"/>
        <v>2</v>
      </c>
      <c r="M247" s="1">
        <v>39</v>
      </c>
      <c r="N247" s="1" t="s">
        <v>990</v>
      </c>
      <c r="O247" s="1">
        <f t="shared" si="23"/>
        <v>0</v>
      </c>
      <c r="P247" s="1">
        <v>15</v>
      </c>
      <c r="Q247" s="1">
        <v>29</v>
      </c>
      <c r="R247" s="1">
        <v>350000</v>
      </c>
      <c r="S247" s="1">
        <v>3</v>
      </c>
    </row>
    <row r="248" spans="1:19" ht="12.75" customHeight="1" x14ac:dyDescent="0.15">
      <c r="A248" s="5" t="s">
        <v>285</v>
      </c>
      <c r="B248" s="1" t="e">
        <f ca="1">_xludf.LET(_xlpm.x,LOWER(TRIM(A248)),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8" s="5" t="s">
        <v>223</v>
      </c>
      <c r="D248" s="1">
        <f t="shared" si="18"/>
        <v>0</v>
      </c>
      <c r="F248" s="1" t="str">
        <f t="shared" si="19"/>
        <v/>
      </c>
      <c r="G248" s="5" t="s">
        <v>204</v>
      </c>
      <c r="H248" s="1">
        <f t="shared" si="20"/>
        <v>1</v>
      </c>
      <c r="I248" s="5" t="s">
        <v>242</v>
      </c>
      <c r="J248" s="1">
        <f t="shared" si="21"/>
        <v>3</v>
      </c>
      <c r="K248" s="5" t="s">
        <v>215</v>
      </c>
      <c r="L248" s="1">
        <f t="shared" si="22"/>
        <v>2</v>
      </c>
      <c r="M248" s="1">
        <v>39</v>
      </c>
      <c r="N248" s="1" t="s">
        <v>989</v>
      </c>
      <c r="O248" s="1">
        <f t="shared" si="23"/>
        <v>1</v>
      </c>
      <c r="P248" s="1">
        <v>15</v>
      </c>
      <c r="Q248" s="1">
        <v>5</v>
      </c>
      <c r="R248" s="1">
        <v>1030000</v>
      </c>
      <c r="S248" s="1">
        <v>3</v>
      </c>
    </row>
    <row r="249" spans="1:19" ht="12.75" customHeight="1" x14ac:dyDescent="0.15">
      <c r="A249" s="5" t="s">
        <v>269</v>
      </c>
      <c r="B249" s="1" t="e">
        <f ca="1">_xludf.LET(_xlpm.x,LOWER(TRIM(A249)),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9" s="5" t="s">
        <v>223</v>
      </c>
      <c r="D249" s="1">
        <f t="shared" si="18"/>
        <v>0</v>
      </c>
      <c r="E249" s="5" t="s">
        <v>204</v>
      </c>
      <c r="F249" s="1">
        <f t="shared" si="19"/>
        <v>1</v>
      </c>
      <c r="G249" s="5" t="s">
        <v>204</v>
      </c>
      <c r="H249" s="1">
        <f t="shared" si="20"/>
        <v>1</v>
      </c>
      <c r="I249" s="5" t="s">
        <v>278</v>
      </c>
      <c r="J249" s="1">
        <f t="shared" si="21"/>
        <v>5</v>
      </c>
      <c r="K249" s="5" t="s">
        <v>278</v>
      </c>
      <c r="L249" s="1">
        <f t="shared" si="22"/>
        <v>5</v>
      </c>
      <c r="M249" s="1">
        <v>39</v>
      </c>
      <c r="N249" s="1" t="s">
        <v>990</v>
      </c>
      <c r="O249" s="1">
        <f t="shared" si="23"/>
        <v>0</v>
      </c>
      <c r="P249" s="1">
        <v>14</v>
      </c>
      <c r="Q249" s="1">
        <v>6</v>
      </c>
      <c r="R249" s="1">
        <v>100000</v>
      </c>
      <c r="S249" s="1">
        <v>1</v>
      </c>
    </row>
    <row r="250" spans="1:19" ht="12.75" customHeight="1" x14ac:dyDescent="0.15">
      <c r="A250" s="5" t="s">
        <v>213</v>
      </c>
      <c r="B250" s="1" t="e">
        <f ca="1">_xludf.LET(_xlpm.x,LOWER(TRIM(A250)),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0" s="5" t="s">
        <v>223</v>
      </c>
      <c r="D250" s="1">
        <f t="shared" si="18"/>
        <v>0</v>
      </c>
      <c r="F250" s="1" t="str">
        <f t="shared" si="19"/>
        <v/>
      </c>
      <c r="G250" s="5" t="s">
        <v>204</v>
      </c>
      <c r="H250" s="1">
        <f t="shared" si="20"/>
        <v>1</v>
      </c>
      <c r="I250" s="5" t="s">
        <v>278</v>
      </c>
      <c r="J250" s="1">
        <f t="shared" si="21"/>
        <v>5</v>
      </c>
      <c r="K250" s="5" t="s">
        <v>278</v>
      </c>
      <c r="L250" s="1">
        <f t="shared" si="22"/>
        <v>5</v>
      </c>
      <c r="M250" s="1">
        <v>39</v>
      </c>
      <c r="N250" s="1" t="s">
        <v>997</v>
      </c>
      <c r="O250" s="1">
        <f t="shared" si="23"/>
        <v>0</v>
      </c>
      <c r="P250" s="1">
        <v>18</v>
      </c>
      <c r="Q250" s="1">
        <v>24</v>
      </c>
      <c r="R250" s="1">
        <v>1600</v>
      </c>
      <c r="S250" s="1">
        <v>4</v>
      </c>
    </row>
    <row r="251" spans="1:19" ht="12.75" customHeight="1" x14ac:dyDescent="0.15">
      <c r="A251" s="5" t="s">
        <v>285</v>
      </c>
      <c r="B251" s="1" t="e">
        <f ca="1">_xludf.LET(_xlpm.x,LOWER(TRIM(A251)),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1" s="5" t="s">
        <v>223</v>
      </c>
      <c r="D251" s="1">
        <f t="shared" si="18"/>
        <v>0</v>
      </c>
      <c r="F251" s="1" t="str">
        <f t="shared" si="19"/>
        <v/>
      </c>
      <c r="G251" s="5" t="s">
        <v>204</v>
      </c>
      <c r="H251" s="1">
        <f t="shared" si="20"/>
        <v>1</v>
      </c>
      <c r="I251" s="5" t="s">
        <v>207</v>
      </c>
      <c r="J251" s="1" t="str">
        <f t="shared" si="21"/>
        <v/>
      </c>
      <c r="K251" s="5" t="s">
        <v>215</v>
      </c>
      <c r="L251" s="1">
        <f t="shared" si="22"/>
        <v>2</v>
      </c>
      <c r="M251" s="1">
        <v>39</v>
      </c>
      <c r="N251" s="1" t="s">
        <v>989</v>
      </c>
      <c r="O251" s="1">
        <f t="shared" si="23"/>
        <v>1</v>
      </c>
      <c r="P251" s="1">
        <v>14</v>
      </c>
      <c r="Q251" s="1">
        <v>34</v>
      </c>
      <c r="R251" s="1">
        <v>450000</v>
      </c>
      <c r="S251" s="1">
        <v>2</v>
      </c>
    </row>
    <row r="252" spans="1:19" ht="12.75" customHeight="1" x14ac:dyDescent="0.15">
      <c r="A252" s="5" t="s">
        <v>285</v>
      </c>
      <c r="B252" s="1" t="e">
        <f ca="1">_xludf.LET(_xlpm.x,LOWER(TRIM(A252)),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2" s="5" t="s">
        <v>223</v>
      </c>
      <c r="D252" s="1">
        <f t="shared" si="18"/>
        <v>0</v>
      </c>
      <c r="E252" s="5" t="s">
        <v>204</v>
      </c>
      <c r="F252" s="1">
        <f t="shared" si="19"/>
        <v>1</v>
      </c>
      <c r="G252" s="5" t="s">
        <v>204</v>
      </c>
      <c r="H252" s="1">
        <f t="shared" si="20"/>
        <v>1</v>
      </c>
      <c r="I252" s="5" t="s">
        <v>278</v>
      </c>
      <c r="J252" s="1">
        <f t="shared" si="21"/>
        <v>5</v>
      </c>
      <c r="K252" s="5" t="s">
        <v>242</v>
      </c>
      <c r="L252" s="1">
        <f t="shared" si="22"/>
        <v>3</v>
      </c>
      <c r="M252" s="1">
        <v>39</v>
      </c>
      <c r="N252" s="1" t="s">
        <v>989</v>
      </c>
      <c r="O252" s="1">
        <f t="shared" si="23"/>
        <v>1</v>
      </c>
      <c r="P252" s="1">
        <v>14</v>
      </c>
      <c r="Q252" s="1">
        <v>34</v>
      </c>
      <c r="R252" s="1">
        <v>700000</v>
      </c>
      <c r="S252" s="1">
        <v>3</v>
      </c>
    </row>
    <row r="253" spans="1:19" ht="12.75" customHeight="1" x14ac:dyDescent="0.15">
      <c r="A253" s="5" t="s">
        <v>269</v>
      </c>
      <c r="B253" s="1" t="e">
        <f ca="1">_xludf.LET(_xlpm.x,LOWER(TRIM(A253)),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3" s="5" t="s">
        <v>223</v>
      </c>
      <c r="D253" s="1">
        <f t="shared" si="18"/>
        <v>0</v>
      </c>
      <c r="E253" s="5" t="s">
        <v>204</v>
      </c>
      <c r="F253" s="1">
        <f t="shared" si="19"/>
        <v>1</v>
      </c>
      <c r="G253" s="5" t="s">
        <v>204</v>
      </c>
      <c r="H253" s="1">
        <f t="shared" si="20"/>
        <v>1</v>
      </c>
      <c r="I253" s="5" t="s">
        <v>271</v>
      </c>
      <c r="J253" s="1">
        <f t="shared" si="21"/>
        <v>4</v>
      </c>
      <c r="K253" s="5" t="s">
        <v>271</v>
      </c>
      <c r="L253" s="1">
        <f t="shared" si="22"/>
        <v>4</v>
      </c>
      <c r="M253" s="1">
        <v>39</v>
      </c>
      <c r="N253" s="1" t="s">
        <v>989</v>
      </c>
      <c r="O253" s="1">
        <f t="shared" si="23"/>
        <v>1</v>
      </c>
      <c r="P253" s="1">
        <v>17</v>
      </c>
      <c r="Q253" s="1">
        <v>34</v>
      </c>
      <c r="R253" s="1">
        <v>50000</v>
      </c>
      <c r="S253" s="1">
        <v>6</v>
      </c>
    </row>
    <row r="254" spans="1:19" ht="12.75" customHeight="1" x14ac:dyDescent="0.15">
      <c r="A254" s="5" t="s">
        <v>457</v>
      </c>
      <c r="B254" s="1" t="e">
        <f ca="1">_xludf.LET(_xlpm.x,LOWER(TRIM(A254)),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4" s="5" t="s">
        <v>223</v>
      </c>
      <c r="D254" s="1">
        <f t="shared" si="18"/>
        <v>0</v>
      </c>
      <c r="F254" s="1" t="str">
        <f t="shared" si="19"/>
        <v/>
      </c>
      <c r="G254" s="5" t="s">
        <v>204</v>
      </c>
      <c r="H254" s="1">
        <f t="shared" si="20"/>
        <v>1</v>
      </c>
      <c r="I254" s="5" t="s">
        <v>207</v>
      </c>
      <c r="J254" s="1" t="str">
        <f t="shared" si="21"/>
        <v/>
      </c>
      <c r="K254" s="5" t="s">
        <v>264</v>
      </c>
      <c r="L254" s="1">
        <f t="shared" si="22"/>
        <v>1</v>
      </c>
      <c r="M254" s="1">
        <v>39</v>
      </c>
      <c r="N254" s="1" t="s">
        <v>989</v>
      </c>
      <c r="O254" s="1">
        <f t="shared" si="23"/>
        <v>1</v>
      </c>
      <c r="P254" s="1">
        <v>15</v>
      </c>
      <c r="Q254" s="1">
        <v>24</v>
      </c>
      <c r="R254" s="1">
        <v>-99</v>
      </c>
      <c r="S254" s="1">
        <v>5</v>
      </c>
    </row>
    <row r="255" spans="1:19" ht="12.75" customHeight="1" x14ac:dyDescent="0.15">
      <c r="A255" s="5" t="s">
        <v>269</v>
      </c>
      <c r="B255" s="1" t="e">
        <f ca="1">_xludf.LET(_xlpm.x,LOWER(TRIM(A255)),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5" s="5" t="s">
        <v>223</v>
      </c>
      <c r="D255" s="1">
        <f t="shared" si="18"/>
        <v>0</v>
      </c>
      <c r="E255" s="5" t="s">
        <v>204</v>
      </c>
      <c r="F255" s="1">
        <f t="shared" si="19"/>
        <v>1</v>
      </c>
      <c r="G255" s="5" t="s">
        <v>204</v>
      </c>
      <c r="H255" s="1">
        <f t="shared" si="20"/>
        <v>1</v>
      </c>
      <c r="I255" s="5" t="s">
        <v>278</v>
      </c>
      <c r="J255" s="1">
        <f t="shared" si="21"/>
        <v>5</v>
      </c>
      <c r="K255" s="5" t="s">
        <v>278</v>
      </c>
      <c r="L255" s="1">
        <f t="shared" si="22"/>
        <v>5</v>
      </c>
      <c r="M255" s="1">
        <v>39</v>
      </c>
      <c r="N255" s="1" t="s">
        <v>998</v>
      </c>
      <c r="O255" s="1">
        <f t="shared" si="23"/>
        <v>0</v>
      </c>
      <c r="P255" s="1">
        <v>16</v>
      </c>
      <c r="Q255" s="1">
        <v>34</v>
      </c>
      <c r="R255" s="1">
        <v>1200000</v>
      </c>
      <c r="S255" s="1">
        <v>4</v>
      </c>
    </row>
    <row r="256" spans="1:19" ht="12.75" customHeight="1" x14ac:dyDescent="0.15">
      <c r="A256" s="5" t="s">
        <v>213</v>
      </c>
      <c r="B256" s="1" t="e">
        <f ca="1">_xludf.LET(_xlpm.x,LOWER(TRIM(A256)),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6" s="5" t="s">
        <v>223</v>
      </c>
      <c r="D256" s="1">
        <f t="shared" si="18"/>
        <v>0</v>
      </c>
      <c r="F256" s="1" t="str">
        <f t="shared" si="19"/>
        <v/>
      </c>
      <c r="G256" s="5" t="s">
        <v>204</v>
      </c>
      <c r="H256" s="1">
        <f t="shared" si="20"/>
        <v>1</v>
      </c>
      <c r="I256" s="5" t="s">
        <v>207</v>
      </c>
      <c r="J256" s="1" t="str">
        <f t="shared" si="21"/>
        <v/>
      </c>
      <c r="K256" s="5" t="s">
        <v>215</v>
      </c>
      <c r="L256" s="1">
        <f t="shared" si="22"/>
        <v>2</v>
      </c>
      <c r="M256" s="1">
        <v>39</v>
      </c>
      <c r="N256" s="1" t="s">
        <v>989</v>
      </c>
      <c r="O256" s="1">
        <f t="shared" si="23"/>
        <v>1</v>
      </c>
      <c r="P256" s="1">
        <v>18</v>
      </c>
      <c r="Q256" s="1">
        <v>18</v>
      </c>
      <c r="R256" s="1">
        <v>950000</v>
      </c>
      <c r="S256" s="1">
        <v>1</v>
      </c>
    </row>
    <row r="257" spans="1:19" ht="12.75" customHeight="1" x14ac:dyDescent="0.15">
      <c r="A257" s="5" t="s">
        <v>269</v>
      </c>
      <c r="B257" s="1" t="e">
        <f ca="1">_xludf.LET(_xlpm.x,LOWER(TRIM(A257)),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7" s="5" t="s">
        <v>223</v>
      </c>
      <c r="D257" s="1">
        <f t="shared" si="18"/>
        <v>0</v>
      </c>
      <c r="F257" s="1" t="str">
        <f t="shared" si="19"/>
        <v/>
      </c>
      <c r="G257" s="5" t="s">
        <v>204</v>
      </c>
      <c r="H257" s="1">
        <f t="shared" si="20"/>
        <v>1</v>
      </c>
      <c r="I257" s="5" t="s">
        <v>278</v>
      </c>
      <c r="J257" s="1">
        <f t="shared" si="21"/>
        <v>5</v>
      </c>
      <c r="K257" s="5" t="s">
        <v>215</v>
      </c>
      <c r="L257" s="1">
        <f t="shared" si="22"/>
        <v>2</v>
      </c>
      <c r="M257" s="1">
        <v>39</v>
      </c>
      <c r="N257" s="1" t="s">
        <v>998</v>
      </c>
      <c r="O257" s="1">
        <f t="shared" si="23"/>
        <v>0</v>
      </c>
      <c r="P257" s="1">
        <v>3</v>
      </c>
      <c r="Q257" s="1">
        <v>1</v>
      </c>
      <c r="R257" s="1">
        <v>700000</v>
      </c>
      <c r="S257" s="1">
        <v>1</v>
      </c>
    </row>
    <row r="258" spans="1:19" ht="12.75" customHeight="1" x14ac:dyDescent="0.15">
      <c r="A258" s="5" t="s">
        <v>213</v>
      </c>
      <c r="B258" s="1" t="e">
        <f ca="1">_xludf.LET(_xlpm.x,LOWER(TRIM(A258)),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8" s="5" t="s">
        <v>358</v>
      </c>
      <c r="D258" s="1">
        <f t="shared" ref="D258:D321" si="24">IF(C258="Chilena (exclusivamente)",0,1)</f>
        <v>1</v>
      </c>
      <c r="F258" s="1" t="str">
        <f t="shared" ref="F258:F321" si="25">IF(ISBLANK(E258),"",IF(OR(E258="Sí",E258="Si"),1,IF(E258="No",0,"")))</f>
        <v/>
      </c>
      <c r="G258" s="5" t="s">
        <v>204</v>
      </c>
      <c r="H258" s="1">
        <f t="shared" ref="H258:H321" si="26">IF(ISBLANK(G258),"",IF(OR(G258="Sí",G258="Si"),1,IF(G258="No",0,"")))</f>
        <v>1</v>
      </c>
      <c r="I258" s="5" t="s">
        <v>278</v>
      </c>
      <c r="J258" s="1">
        <f t="shared" ref="J258:J321" si="27">IF(OR(ISBLANK(I258),TRIM(I258)="No respondió",TRIM(I258)="No respondio",TRIM(I258)="No aplica"),
   "",
   IF(TRIM(I258)="Entre 1 a 2 horas",1,
     IF(TRIM(I258)="Más de 2 horas y menos de 4 horas",2,
       IF(TRIM(I258)="Entre 4 a 6 horas",3,
         IF(TRIM(I258)="Más de 6 horas y menos de 8 horas",4,
           IF(TRIM(I258)="Más de 8 horas",5,"")
         )
       )
     )
   )
)</f>
        <v>5</v>
      </c>
      <c r="K258" s="5" t="s">
        <v>278</v>
      </c>
      <c r="L258" s="1">
        <f t="shared" ref="L258:L321" si="28">IF(OR(ISBLANK(K258),TRIM(K258)="No respondió",TRIM(K258)="No respondio",TRIM(K258)="No aplica"),
   "",
   IF(TRIM(K258)="Entre 1 a 2 horas",1,
     IF(TRIM(K258)="Más de 2 horas y menos de 4 horas",2,
       IF(TRIM(K258)="Entre 4 a 6 horas",3,
         IF(TRIM(K258)="Más de 6 horas y menos de 8 horas",4,
           IF(TRIM(K258)="Más de 8 horas",5,"")
         )
       )
     )
   )
)</f>
        <v>5</v>
      </c>
      <c r="M258" s="1">
        <v>39</v>
      </c>
      <c r="N258" s="1" t="s">
        <v>998</v>
      </c>
      <c r="O258" s="1">
        <f t="shared" ref="O258:O321" si="29">IF(N258="METROPOLITANA",1,0)</f>
        <v>0</v>
      </c>
      <c r="P258" s="1">
        <v>3</v>
      </c>
      <c r="Q258" s="1">
        <v>1</v>
      </c>
      <c r="R258" s="1">
        <v>700000</v>
      </c>
      <c r="S258" s="1">
        <v>1</v>
      </c>
    </row>
    <row r="259" spans="1:19" ht="12.75" customHeight="1" x14ac:dyDescent="0.15">
      <c r="A259" s="5" t="s">
        <v>213</v>
      </c>
      <c r="B259" s="1" t="e">
        <f ca="1">_xludf.LET(_xlpm.x,LOWER(TRIM(A259)),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9" s="5" t="s">
        <v>223</v>
      </c>
      <c r="D259" s="1">
        <f t="shared" si="24"/>
        <v>0</v>
      </c>
      <c r="F259" s="1" t="str">
        <f t="shared" si="25"/>
        <v/>
      </c>
      <c r="G259" s="5" t="s">
        <v>204</v>
      </c>
      <c r="H259" s="1">
        <f t="shared" si="26"/>
        <v>1</v>
      </c>
      <c r="I259" s="5" t="s">
        <v>278</v>
      </c>
      <c r="J259" s="1">
        <f t="shared" si="27"/>
        <v>5</v>
      </c>
      <c r="K259" s="5" t="s">
        <v>278</v>
      </c>
      <c r="L259" s="1">
        <f t="shared" si="28"/>
        <v>5</v>
      </c>
      <c r="M259" s="1">
        <v>39</v>
      </c>
      <c r="N259" s="1" t="s">
        <v>990</v>
      </c>
      <c r="O259" s="1">
        <f t="shared" si="29"/>
        <v>0</v>
      </c>
      <c r="P259" s="1">
        <v>1</v>
      </c>
      <c r="Q259" s="1">
        <v>2</v>
      </c>
      <c r="R259" s="1">
        <v>-99</v>
      </c>
      <c r="S259" s="1">
        <v>1</v>
      </c>
    </row>
    <row r="260" spans="1:19" ht="12.75" customHeight="1" x14ac:dyDescent="0.15">
      <c r="A260" s="5" t="s">
        <v>302</v>
      </c>
      <c r="B260" s="1" t="e">
        <f ca="1">_xludf.LET(_xlpm.x,LOWER(TRIM(A260)),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0" s="5" t="s">
        <v>223</v>
      </c>
      <c r="D260" s="1">
        <f t="shared" si="24"/>
        <v>0</v>
      </c>
      <c r="F260" s="1" t="str">
        <f t="shared" si="25"/>
        <v/>
      </c>
      <c r="G260" s="5" t="s">
        <v>204</v>
      </c>
      <c r="H260" s="1">
        <f t="shared" si="26"/>
        <v>1</v>
      </c>
      <c r="I260" s="5" t="s">
        <v>215</v>
      </c>
      <c r="J260" s="1">
        <f t="shared" si="27"/>
        <v>2</v>
      </c>
      <c r="K260" s="5" t="s">
        <v>242</v>
      </c>
      <c r="L260" s="1">
        <f t="shared" si="28"/>
        <v>3</v>
      </c>
      <c r="M260" s="1">
        <v>39</v>
      </c>
      <c r="N260" s="1" t="s">
        <v>989</v>
      </c>
      <c r="O260" s="1">
        <f t="shared" si="29"/>
        <v>1</v>
      </c>
      <c r="P260" s="1">
        <v>14</v>
      </c>
      <c r="Q260" s="1">
        <v>2</v>
      </c>
      <c r="R260" s="1">
        <v>600000</v>
      </c>
      <c r="S260" s="1">
        <v>4</v>
      </c>
    </row>
    <row r="261" spans="1:19" ht="12.75" customHeight="1" x14ac:dyDescent="0.15">
      <c r="A261" s="5" t="s">
        <v>269</v>
      </c>
      <c r="B261" s="1" t="e">
        <f ca="1">_xludf.LET(_xlpm.x,LOWER(TRIM(A261)),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1" s="5" t="s">
        <v>223</v>
      </c>
      <c r="D261" s="1">
        <f t="shared" si="24"/>
        <v>0</v>
      </c>
      <c r="E261" s="5" t="s">
        <v>204</v>
      </c>
      <c r="F261" s="1">
        <f t="shared" si="25"/>
        <v>1</v>
      </c>
      <c r="G261" s="5" t="s">
        <v>204</v>
      </c>
      <c r="H261" s="1">
        <f t="shared" si="26"/>
        <v>1</v>
      </c>
      <c r="I261" s="5" t="s">
        <v>242</v>
      </c>
      <c r="J261" s="1">
        <f t="shared" si="27"/>
        <v>3</v>
      </c>
      <c r="K261" s="5" t="s">
        <v>242</v>
      </c>
      <c r="L261" s="1">
        <f t="shared" si="28"/>
        <v>3</v>
      </c>
      <c r="M261" s="1">
        <v>39</v>
      </c>
      <c r="N261" s="1" t="s">
        <v>995</v>
      </c>
      <c r="O261" s="1">
        <f t="shared" si="29"/>
        <v>0</v>
      </c>
      <c r="P261" s="1">
        <v>2</v>
      </c>
      <c r="Q261" s="1">
        <v>34</v>
      </c>
      <c r="R261" s="1">
        <v>900000</v>
      </c>
      <c r="S261" s="1">
        <v>1</v>
      </c>
    </row>
    <row r="262" spans="1:19" ht="12.75" customHeight="1" x14ac:dyDescent="0.15">
      <c r="A262" s="5" t="s">
        <v>285</v>
      </c>
      <c r="B262" s="1" t="e">
        <f ca="1">_xludf.LET(_xlpm.x,LOWER(TRIM(A262)),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2" s="5" t="s">
        <v>223</v>
      </c>
      <c r="D262" s="1">
        <f t="shared" si="24"/>
        <v>0</v>
      </c>
      <c r="F262" s="1" t="str">
        <f t="shared" si="25"/>
        <v/>
      </c>
      <c r="G262" s="5" t="s">
        <v>204</v>
      </c>
      <c r="H262" s="1">
        <f t="shared" si="26"/>
        <v>1</v>
      </c>
      <c r="I262" s="5" t="s">
        <v>215</v>
      </c>
      <c r="J262" s="1">
        <f t="shared" si="27"/>
        <v>2</v>
      </c>
      <c r="K262" s="5" t="s">
        <v>264</v>
      </c>
      <c r="L262" s="1">
        <f t="shared" si="28"/>
        <v>1</v>
      </c>
      <c r="M262" s="1">
        <v>39</v>
      </c>
      <c r="N262" s="1" t="s">
        <v>995</v>
      </c>
      <c r="O262" s="1">
        <f t="shared" si="29"/>
        <v>0</v>
      </c>
      <c r="P262" s="1">
        <v>2</v>
      </c>
      <c r="Q262" s="1">
        <v>8</v>
      </c>
      <c r="R262" s="1">
        <v>-99</v>
      </c>
      <c r="S262" s="1">
        <v>4</v>
      </c>
    </row>
    <row r="263" spans="1:19" ht="12.75" customHeight="1" x14ac:dyDescent="0.15">
      <c r="A263" s="5" t="s">
        <v>269</v>
      </c>
      <c r="B263" s="1" t="e">
        <f ca="1">_xludf.LET(_xlpm.x,LOWER(TRIM(A263)),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3" s="5" t="s">
        <v>223</v>
      </c>
      <c r="D263" s="1">
        <f t="shared" si="24"/>
        <v>0</v>
      </c>
      <c r="F263" s="1" t="str">
        <f t="shared" si="25"/>
        <v/>
      </c>
      <c r="G263" s="5" t="s">
        <v>204</v>
      </c>
      <c r="H263" s="1">
        <f t="shared" si="26"/>
        <v>1</v>
      </c>
      <c r="I263" s="5" t="s">
        <v>242</v>
      </c>
      <c r="J263" s="1">
        <f t="shared" si="27"/>
        <v>3</v>
      </c>
      <c r="K263" s="5" t="s">
        <v>242</v>
      </c>
      <c r="L263" s="1">
        <f t="shared" si="28"/>
        <v>3</v>
      </c>
      <c r="M263" s="1">
        <v>39</v>
      </c>
      <c r="N263" s="1" t="s">
        <v>995</v>
      </c>
      <c r="O263" s="1">
        <f t="shared" si="29"/>
        <v>0</v>
      </c>
      <c r="P263" s="1">
        <v>2</v>
      </c>
      <c r="Q263" s="1">
        <v>8</v>
      </c>
      <c r="R263" s="1">
        <v>-99</v>
      </c>
      <c r="S263" s="1">
        <v>4</v>
      </c>
    </row>
    <row r="264" spans="1:19" ht="12.75" customHeight="1" x14ac:dyDescent="0.15">
      <c r="A264" s="5" t="s">
        <v>285</v>
      </c>
      <c r="B264" s="1" t="e">
        <f ca="1">_xludf.LET(_xlpm.x,LOWER(TRIM(A264)),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4" s="5" t="s">
        <v>223</v>
      </c>
      <c r="D264" s="1">
        <f t="shared" si="24"/>
        <v>0</v>
      </c>
      <c r="F264" s="1" t="str">
        <f t="shared" si="25"/>
        <v/>
      </c>
      <c r="G264" s="5" t="s">
        <v>204</v>
      </c>
      <c r="H264" s="1">
        <f t="shared" si="26"/>
        <v>1</v>
      </c>
      <c r="I264" s="5" t="s">
        <v>207</v>
      </c>
      <c r="J264" s="1" t="str">
        <f t="shared" si="27"/>
        <v/>
      </c>
      <c r="K264" s="5" t="s">
        <v>207</v>
      </c>
      <c r="L264" s="1" t="str">
        <f t="shared" si="28"/>
        <v/>
      </c>
      <c r="M264" s="1">
        <v>40</v>
      </c>
      <c r="N264" s="1" t="s">
        <v>989</v>
      </c>
      <c r="O264" s="1">
        <f t="shared" si="29"/>
        <v>1</v>
      </c>
      <c r="P264" s="1">
        <v>14</v>
      </c>
      <c r="Q264" s="1">
        <v>1</v>
      </c>
      <c r="R264" s="1">
        <v>40000</v>
      </c>
      <c r="S264" s="1">
        <v>3</v>
      </c>
    </row>
    <row r="265" spans="1:19" ht="12.75" customHeight="1" x14ac:dyDescent="0.15">
      <c r="A265" s="5" t="s">
        <v>285</v>
      </c>
      <c r="B265" s="1" t="e">
        <f ca="1">_xludf.LET(_xlpm.x,LOWER(TRIM(A265)),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5" s="5" t="s">
        <v>223</v>
      </c>
      <c r="D265" s="1">
        <f t="shared" si="24"/>
        <v>0</v>
      </c>
      <c r="F265" s="1" t="str">
        <f t="shared" si="25"/>
        <v/>
      </c>
      <c r="G265" s="5" t="s">
        <v>206</v>
      </c>
      <c r="H265" s="1">
        <f t="shared" si="26"/>
        <v>0</v>
      </c>
      <c r="J265" s="1" t="str">
        <f t="shared" si="27"/>
        <v/>
      </c>
      <c r="L265" s="1" t="str">
        <f t="shared" si="28"/>
        <v/>
      </c>
      <c r="M265" s="1">
        <v>40</v>
      </c>
      <c r="N265" s="1" t="s">
        <v>995</v>
      </c>
      <c r="O265" s="1">
        <f t="shared" si="29"/>
        <v>0</v>
      </c>
      <c r="P265" s="1">
        <v>14</v>
      </c>
      <c r="Q265" s="1">
        <v>5</v>
      </c>
      <c r="R265" s="1">
        <v>550000</v>
      </c>
      <c r="S265" s="1">
        <v>1</v>
      </c>
    </row>
    <row r="266" spans="1:19" ht="12.75" customHeight="1" x14ac:dyDescent="0.15">
      <c r="A266" s="5" t="s">
        <v>213</v>
      </c>
      <c r="B266" s="1" t="e">
        <f ca="1">_xludf.LET(_xlpm.x,LOWER(TRIM(A266)),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6" s="5" t="s">
        <v>223</v>
      </c>
      <c r="D266" s="1">
        <f t="shared" si="24"/>
        <v>0</v>
      </c>
      <c r="F266" s="1" t="str">
        <f t="shared" si="25"/>
        <v/>
      </c>
      <c r="G266" s="5" t="s">
        <v>204</v>
      </c>
      <c r="H266" s="1">
        <f t="shared" si="26"/>
        <v>1</v>
      </c>
      <c r="I266" s="5" t="s">
        <v>278</v>
      </c>
      <c r="J266" s="1">
        <f t="shared" si="27"/>
        <v>5</v>
      </c>
      <c r="K266" s="5" t="s">
        <v>278</v>
      </c>
      <c r="L266" s="1">
        <f t="shared" si="28"/>
        <v>5</v>
      </c>
      <c r="M266" s="1">
        <v>40</v>
      </c>
      <c r="N266" s="1" t="s">
        <v>989</v>
      </c>
      <c r="O266" s="1">
        <f t="shared" si="29"/>
        <v>1</v>
      </c>
      <c r="P266" s="1">
        <v>2</v>
      </c>
      <c r="Q266" s="1">
        <v>1</v>
      </c>
      <c r="R266" s="1">
        <v>400000</v>
      </c>
      <c r="S266" s="1">
        <v>5</v>
      </c>
    </row>
    <row r="267" spans="1:19" ht="12.75" customHeight="1" x14ac:dyDescent="0.15">
      <c r="A267" s="5" t="s">
        <v>213</v>
      </c>
      <c r="B267" s="1" t="e">
        <f ca="1">_xludf.LET(_xlpm.x,LOWER(TRIM(A267)),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7" s="5" t="s">
        <v>349</v>
      </c>
      <c r="D267" s="1">
        <f t="shared" si="24"/>
        <v>1</v>
      </c>
      <c r="F267" s="1" t="str">
        <f t="shared" si="25"/>
        <v/>
      </c>
      <c r="G267" s="5" t="s">
        <v>204</v>
      </c>
      <c r="H267" s="1">
        <f t="shared" si="26"/>
        <v>1</v>
      </c>
      <c r="I267" s="5" t="s">
        <v>207</v>
      </c>
      <c r="J267" s="1" t="str">
        <f t="shared" si="27"/>
        <v/>
      </c>
      <c r="K267" s="5" t="s">
        <v>207</v>
      </c>
      <c r="L267" s="1" t="str">
        <f t="shared" si="28"/>
        <v/>
      </c>
      <c r="M267" s="1">
        <v>40</v>
      </c>
      <c r="N267" s="1" t="s">
        <v>989</v>
      </c>
      <c r="O267" s="1">
        <f t="shared" si="29"/>
        <v>1</v>
      </c>
      <c r="P267" s="1">
        <v>2</v>
      </c>
      <c r="Q267" s="1">
        <v>10</v>
      </c>
      <c r="R267" s="1">
        <v>800000</v>
      </c>
      <c r="S267" s="1">
        <v>2</v>
      </c>
    </row>
    <row r="268" spans="1:19" ht="12.75" customHeight="1" x14ac:dyDescent="0.15">
      <c r="A268" s="5" t="s">
        <v>269</v>
      </c>
      <c r="B268" s="1" t="e">
        <f ca="1">_xludf.LET(_xlpm.x,LOWER(TRIM(A268)),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8" s="5" t="s">
        <v>223</v>
      </c>
      <c r="D268" s="1">
        <f t="shared" si="24"/>
        <v>0</v>
      </c>
      <c r="E268" s="5" t="s">
        <v>204</v>
      </c>
      <c r="F268" s="1">
        <f t="shared" si="25"/>
        <v>1</v>
      </c>
      <c r="G268" s="5" t="s">
        <v>204</v>
      </c>
      <c r="H268" s="1">
        <f t="shared" si="26"/>
        <v>1</v>
      </c>
      <c r="I268" s="5" t="s">
        <v>207</v>
      </c>
      <c r="J268" s="1" t="str">
        <f t="shared" si="27"/>
        <v/>
      </c>
      <c r="K268" s="5" t="s">
        <v>207</v>
      </c>
      <c r="L268" s="1" t="str">
        <f t="shared" si="28"/>
        <v/>
      </c>
      <c r="M268" s="1">
        <v>40</v>
      </c>
      <c r="N268" s="1" t="s">
        <v>999</v>
      </c>
      <c r="O268" s="1">
        <f t="shared" si="29"/>
        <v>0</v>
      </c>
      <c r="P268" s="1">
        <v>18</v>
      </c>
      <c r="Q268" s="1">
        <v>34</v>
      </c>
      <c r="R268" s="1">
        <v>2000000</v>
      </c>
      <c r="S268" s="1">
        <v>7</v>
      </c>
    </row>
    <row r="269" spans="1:19" ht="12.75" customHeight="1" x14ac:dyDescent="0.15">
      <c r="A269" s="5" t="s">
        <v>269</v>
      </c>
      <c r="B269" s="1" t="e">
        <f ca="1">_xludf.LET(_xlpm.x,LOWER(TRIM(A269)),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9" s="5" t="s">
        <v>223</v>
      </c>
      <c r="D269" s="1">
        <f t="shared" si="24"/>
        <v>0</v>
      </c>
      <c r="E269" s="5" t="s">
        <v>204</v>
      </c>
      <c r="F269" s="1">
        <f t="shared" si="25"/>
        <v>1</v>
      </c>
      <c r="G269" s="5" t="s">
        <v>204</v>
      </c>
      <c r="H269" s="1">
        <f t="shared" si="26"/>
        <v>1</v>
      </c>
      <c r="I269" s="5" t="s">
        <v>271</v>
      </c>
      <c r="J269" s="1">
        <f t="shared" si="27"/>
        <v>4</v>
      </c>
      <c r="K269" s="5" t="s">
        <v>215</v>
      </c>
      <c r="L269" s="1">
        <f t="shared" si="28"/>
        <v>2</v>
      </c>
      <c r="M269" s="1">
        <v>40</v>
      </c>
      <c r="N269" s="1" t="s">
        <v>989</v>
      </c>
      <c r="O269" s="1">
        <f t="shared" si="29"/>
        <v>1</v>
      </c>
      <c r="P269" s="1">
        <v>2</v>
      </c>
      <c r="Q269" s="1">
        <v>24</v>
      </c>
      <c r="R269" s="1">
        <v>600000</v>
      </c>
      <c r="S269" s="1">
        <v>3</v>
      </c>
    </row>
    <row r="270" spans="1:19" ht="12.75" customHeight="1" x14ac:dyDescent="0.15">
      <c r="A270" s="5" t="s">
        <v>269</v>
      </c>
      <c r="B270" s="1" t="e">
        <f ca="1">_xludf.LET(_xlpm.x,LOWER(TRIM(A270)),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0" s="5" t="s">
        <v>223</v>
      </c>
      <c r="D270" s="1">
        <f t="shared" si="24"/>
        <v>0</v>
      </c>
      <c r="E270" s="5" t="s">
        <v>204</v>
      </c>
      <c r="F270" s="1">
        <f t="shared" si="25"/>
        <v>1</v>
      </c>
      <c r="G270" s="5" t="s">
        <v>204</v>
      </c>
      <c r="H270" s="1">
        <f t="shared" si="26"/>
        <v>1</v>
      </c>
      <c r="I270" s="5" t="s">
        <v>278</v>
      </c>
      <c r="J270" s="1">
        <f t="shared" si="27"/>
        <v>5</v>
      </c>
      <c r="K270" s="5" t="s">
        <v>278</v>
      </c>
      <c r="L270" s="1">
        <f t="shared" si="28"/>
        <v>5</v>
      </c>
      <c r="M270" s="1">
        <v>40</v>
      </c>
      <c r="N270" s="1" t="s">
        <v>998</v>
      </c>
      <c r="O270" s="1">
        <f t="shared" si="29"/>
        <v>0</v>
      </c>
      <c r="P270" s="1">
        <v>4</v>
      </c>
      <c r="Q270" s="1">
        <v>34</v>
      </c>
      <c r="R270" s="1">
        <v>200000</v>
      </c>
      <c r="S270" s="1">
        <v>1</v>
      </c>
    </row>
    <row r="271" spans="1:19" ht="12.75" customHeight="1" x14ac:dyDescent="0.15">
      <c r="A271" s="5" t="s">
        <v>285</v>
      </c>
      <c r="B271" s="1" t="e">
        <f ca="1">_xludf.LET(_xlpm.x,LOWER(TRIM(A271)),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1" s="5" t="s">
        <v>223</v>
      </c>
      <c r="D271" s="1">
        <f t="shared" si="24"/>
        <v>0</v>
      </c>
      <c r="F271" s="1" t="str">
        <f t="shared" si="25"/>
        <v/>
      </c>
      <c r="G271" s="5" t="s">
        <v>204</v>
      </c>
      <c r="H271" s="1">
        <f t="shared" si="26"/>
        <v>1</v>
      </c>
      <c r="I271" s="5" t="s">
        <v>215</v>
      </c>
      <c r="J271" s="1">
        <f t="shared" si="27"/>
        <v>2</v>
      </c>
      <c r="K271" s="5" t="s">
        <v>264</v>
      </c>
      <c r="L271" s="1">
        <f t="shared" si="28"/>
        <v>1</v>
      </c>
      <c r="M271" s="1">
        <v>41</v>
      </c>
      <c r="N271" s="1" t="s">
        <v>996</v>
      </c>
      <c r="O271" s="1">
        <f t="shared" si="29"/>
        <v>0</v>
      </c>
      <c r="P271" s="1">
        <v>14</v>
      </c>
      <c r="Q271" s="1">
        <v>7</v>
      </c>
      <c r="R271" s="1">
        <v>0</v>
      </c>
      <c r="S271" s="1">
        <v>4</v>
      </c>
    </row>
    <row r="272" spans="1:19" ht="12.75" customHeight="1" x14ac:dyDescent="0.15">
      <c r="A272" s="5" t="s">
        <v>285</v>
      </c>
      <c r="B272" s="1" t="e">
        <f ca="1">_xludf.LET(_xlpm.x,LOWER(TRIM(A272)),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2" s="5" t="s">
        <v>223</v>
      </c>
      <c r="D272" s="1">
        <f t="shared" si="24"/>
        <v>0</v>
      </c>
      <c r="E272" s="5" t="s">
        <v>204</v>
      </c>
      <c r="F272" s="1">
        <f t="shared" si="25"/>
        <v>1</v>
      </c>
      <c r="G272" s="5" t="s">
        <v>204</v>
      </c>
      <c r="H272" s="1">
        <f t="shared" si="26"/>
        <v>1</v>
      </c>
      <c r="I272" s="5" t="s">
        <v>207</v>
      </c>
      <c r="J272" s="1" t="str">
        <f t="shared" si="27"/>
        <v/>
      </c>
      <c r="K272" s="5" t="s">
        <v>215</v>
      </c>
      <c r="L272" s="1">
        <f t="shared" si="28"/>
        <v>2</v>
      </c>
      <c r="M272" s="1">
        <v>41</v>
      </c>
      <c r="N272" s="1" t="s">
        <v>996</v>
      </c>
      <c r="O272" s="1">
        <f t="shared" si="29"/>
        <v>0</v>
      </c>
      <c r="P272" s="1">
        <v>18</v>
      </c>
      <c r="Q272" s="1">
        <v>31</v>
      </c>
      <c r="R272" s="1">
        <v>1200000</v>
      </c>
      <c r="S272" s="1">
        <v>2</v>
      </c>
    </row>
    <row r="273" spans="1:19" ht="12.75" customHeight="1" x14ac:dyDescent="0.15">
      <c r="A273" s="5" t="s">
        <v>285</v>
      </c>
      <c r="B273" s="1" t="e">
        <f ca="1">_xludf.LET(_xlpm.x,LOWER(TRIM(A273)),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3" s="5" t="s">
        <v>223</v>
      </c>
      <c r="D273" s="1">
        <f t="shared" si="24"/>
        <v>0</v>
      </c>
      <c r="E273" s="5" t="s">
        <v>204</v>
      </c>
      <c r="F273" s="1">
        <f t="shared" si="25"/>
        <v>1</v>
      </c>
      <c r="G273" s="5" t="s">
        <v>204</v>
      </c>
      <c r="H273" s="1">
        <f t="shared" si="26"/>
        <v>1</v>
      </c>
      <c r="I273" s="5" t="s">
        <v>242</v>
      </c>
      <c r="J273" s="1">
        <f t="shared" si="27"/>
        <v>3</v>
      </c>
      <c r="K273" s="5" t="s">
        <v>215</v>
      </c>
      <c r="L273" s="1">
        <f t="shared" si="28"/>
        <v>2</v>
      </c>
      <c r="M273" s="1">
        <v>41</v>
      </c>
      <c r="N273" s="1" t="s">
        <v>1000</v>
      </c>
      <c r="O273" s="1">
        <f t="shared" si="29"/>
        <v>0</v>
      </c>
      <c r="P273" s="1">
        <v>17</v>
      </c>
      <c r="Q273" s="1">
        <v>26</v>
      </c>
      <c r="R273" s="1">
        <v>250000</v>
      </c>
      <c r="S273" s="1">
        <v>2</v>
      </c>
    </row>
    <row r="274" spans="1:19" ht="12.75" customHeight="1" x14ac:dyDescent="0.15">
      <c r="A274" s="5" t="s">
        <v>213</v>
      </c>
      <c r="B274" s="1" t="e">
        <f ca="1">_xludf.LET(_xlpm.x,LOWER(TRIM(A274)),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4" s="5" t="s">
        <v>223</v>
      </c>
      <c r="D274" s="1">
        <f t="shared" si="24"/>
        <v>0</v>
      </c>
      <c r="F274" s="1" t="str">
        <f t="shared" si="25"/>
        <v/>
      </c>
      <c r="G274" s="5" t="s">
        <v>204</v>
      </c>
      <c r="H274" s="1">
        <f t="shared" si="26"/>
        <v>1</v>
      </c>
      <c r="I274" s="5" t="s">
        <v>278</v>
      </c>
      <c r="J274" s="1">
        <f t="shared" si="27"/>
        <v>5</v>
      </c>
      <c r="K274" s="5" t="s">
        <v>242</v>
      </c>
      <c r="L274" s="1">
        <f t="shared" si="28"/>
        <v>3</v>
      </c>
      <c r="M274" s="1">
        <v>41</v>
      </c>
      <c r="N274" s="1" t="s">
        <v>988</v>
      </c>
      <c r="O274" s="1">
        <f t="shared" si="29"/>
        <v>0</v>
      </c>
      <c r="P274" s="1">
        <v>15</v>
      </c>
      <c r="Q274" s="1">
        <v>34</v>
      </c>
      <c r="R274" s="1">
        <v>400000</v>
      </c>
      <c r="S274" s="1">
        <v>1</v>
      </c>
    </row>
    <row r="275" spans="1:19" ht="12.75" customHeight="1" x14ac:dyDescent="0.15">
      <c r="A275" s="5" t="s">
        <v>213</v>
      </c>
      <c r="B275" s="1" t="e">
        <f ca="1">_xludf.LET(_xlpm.x,LOWER(TRIM(A275)),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5" s="5" t="s">
        <v>223</v>
      </c>
      <c r="D275" s="1">
        <f t="shared" si="24"/>
        <v>0</v>
      </c>
      <c r="E275" s="5" t="s">
        <v>204</v>
      </c>
      <c r="F275" s="1">
        <f t="shared" si="25"/>
        <v>1</v>
      </c>
      <c r="G275" s="5" t="s">
        <v>204</v>
      </c>
      <c r="H275" s="1">
        <f t="shared" si="26"/>
        <v>1</v>
      </c>
      <c r="I275" s="5" t="s">
        <v>242</v>
      </c>
      <c r="J275" s="1">
        <f t="shared" si="27"/>
        <v>3</v>
      </c>
      <c r="K275" s="5" t="s">
        <v>278</v>
      </c>
      <c r="L275" s="1">
        <f t="shared" si="28"/>
        <v>5</v>
      </c>
      <c r="M275" s="1">
        <v>41</v>
      </c>
      <c r="N275" s="1" t="s">
        <v>989</v>
      </c>
      <c r="O275" s="1">
        <f t="shared" si="29"/>
        <v>1</v>
      </c>
      <c r="P275" s="1">
        <v>17</v>
      </c>
      <c r="Q275" s="1">
        <v>24</v>
      </c>
      <c r="R275" s="1">
        <v>2000000</v>
      </c>
      <c r="S275" s="1">
        <v>3</v>
      </c>
    </row>
    <row r="276" spans="1:19" ht="12.75" customHeight="1" x14ac:dyDescent="0.15">
      <c r="A276" s="5" t="s">
        <v>285</v>
      </c>
      <c r="B276" s="1" t="e">
        <f ca="1">_xludf.LET(_xlpm.x,LOWER(TRIM(A276)),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6" s="5" t="s">
        <v>223</v>
      </c>
      <c r="D276" s="1">
        <f t="shared" si="24"/>
        <v>0</v>
      </c>
      <c r="F276" s="1" t="str">
        <f t="shared" si="25"/>
        <v/>
      </c>
      <c r="G276" s="5" t="s">
        <v>206</v>
      </c>
      <c r="H276" s="1">
        <f t="shared" si="26"/>
        <v>0</v>
      </c>
      <c r="J276" s="1" t="str">
        <f t="shared" si="27"/>
        <v/>
      </c>
      <c r="L276" s="1" t="str">
        <f t="shared" si="28"/>
        <v/>
      </c>
      <c r="M276" s="1">
        <v>41</v>
      </c>
      <c r="N276" s="1" t="s">
        <v>989</v>
      </c>
      <c r="O276" s="1">
        <f t="shared" si="29"/>
        <v>1</v>
      </c>
      <c r="P276" s="1">
        <v>17</v>
      </c>
      <c r="Q276" s="1">
        <v>24</v>
      </c>
      <c r="R276" s="1">
        <v>2000000</v>
      </c>
      <c r="S276" s="1">
        <v>3</v>
      </c>
    </row>
    <row r="277" spans="1:19" ht="12.75" customHeight="1" x14ac:dyDescent="0.15">
      <c r="A277" s="5" t="s">
        <v>213</v>
      </c>
      <c r="B277" s="1" t="e">
        <f ca="1">_xludf.LET(_xlpm.x,LOWER(TRIM(A277)),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7" s="5" t="s">
        <v>223</v>
      </c>
      <c r="D277" s="1">
        <f t="shared" si="24"/>
        <v>0</v>
      </c>
      <c r="F277" s="1" t="str">
        <f t="shared" si="25"/>
        <v/>
      </c>
      <c r="G277" s="5" t="s">
        <v>204</v>
      </c>
      <c r="H277" s="1">
        <f t="shared" si="26"/>
        <v>1</v>
      </c>
      <c r="I277" s="5" t="s">
        <v>278</v>
      </c>
      <c r="J277" s="1">
        <f t="shared" si="27"/>
        <v>5</v>
      </c>
      <c r="K277" s="5" t="s">
        <v>264</v>
      </c>
      <c r="L277" s="1">
        <f t="shared" si="28"/>
        <v>1</v>
      </c>
      <c r="M277" s="1">
        <v>41</v>
      </c>
      <c r="N277" s="1" t="s">
        <v>989</v>
      </c>
      <c r="O277" s="1">
        <f t="shared" si="29"/>
        <v>1</v>
      </c>
      <c r="P277" s="1">
        <v>15</v>
      </c>
      <c r="Q277" s="1">
        <v>7</v>
      </c>
      <c r="R277" s="1">
        <v>564000</v>
      </c>
      <c r="S277" s="1">
        <v>5</v>
      </c>
    </row>
    <row r="278" spans="1:19" ht="12.75" customHeight="1" x14ac:dyDescent="0.15">
      <c r="A278" s="5" t="s">
        <v>213</v>
      </c>
      <c r="B278" s="1" t="e">
        <f ca="1">_xludf.LET(_xlpm.x,LOWER(TRIM(A278)),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8" s="5" t="s">
        <v>223</v>
      </c>
      <c r="D278" s="1">
        <f t="shared" si="24"/>
        <v>0</v>
      </c>
      <c r="F278" s="1" t="str">
        <f t="shared" si="25"/>
        <v/>
      </c>
      <c r="G278" s="5" t="s">
        <v>204</v>
      </c>
      <c r="H278" s="1">
        <f t="shared" si="26"/>
        <v>1</v>
      </c>
      <c r="I278" s="5" t="s">
        <v>278</v>
      </c>
      <c r="J278" s="1">
        <f t="shared" si="27"/>
        <v>5</v>
      </c>
      <c r="K278" s="5" t="s">
        <v>278</v>
      </c>
      <c r="L278" s="1">
        <f t="shared" si="28"/>
        <v>5</v>
      </c>
      <c r="M278" s="1">
        <v>41</v>
      </c>
      <c r="N278" s="1" t="s">
        <v>989</v>
      </c>
      <c r="O278" s="1">
        <f t="shared" si="29"/>
        <v>1</v>
      </c>
      <c r="P278" s="1">
        <v>15</v>
      </c>
      <c r="Q278" s="1">
        <v>7</v>
      </c>
      <c r="R278" s="1">
        <v>564000</v>
      </c>
      <c r="S278" s="1">
        <v>5</v>
      </c>
    </row>
    <row r="279" spans="1:19" ht="12.75" customHeight="1" x14ac:dyDescent="0.15">
      <c r="A279" s="5" t="s">
        <v>269</v>
      </c>
      <c r="B279" s="1" t="e">
        <f ca="1">_xludf.LET(_xlpm.x,LOWER(TRIM(A279)),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9" s="5" t="s">
        <v>223</v>
      </c>
      <c r="D279" s="1">
        <f t="shared" si="24"/>
        <v>0</v>
      </c>
      <c r="E279" s="5" t="s">
        <v>204</v>
      </c>
      <c r="F279" s="1">
        <f t="shared" si="25"/>
        <v>1</v>
      </c>
      <c r="G279" s="5" t="s">
        <v>204</v>
      </c>
      <c r="H279" s="1">
        <f t="shared" si="26"/>
        <v>1</v>
      </c>
      <c r="I279" s="5" t="s">
        <v>278</v>
      </c>
      <c r="J279" s="1">
        <f t="shared" si="27"/>
        <v>5</v>
      </c>
      <c r="K279" s="5" t="s">
        <v>271</v>
      </c>
      <c r="L279" s="1">
        <f t="shared" si="28"/>
        <v>4</v>
      </c>
      <c r="M279" s="1">
        <v>41</v>
      </c>
      <c r="N279" s="1" t="s">
        <v>1000</v>
      </c>
      <c r="O279" s="1">
        <f t="shared" si="29"/>
        <v>0</v>
      </c>
      <c r="P279" s="1">
        <v>10</v>
      </c>
      <c r="Q279" s="1">
        <v>17</v>
      </c>
      <c r="R279" s="1">
        <v>800000</v>
      </c>
      <c r="S279" s="1">
        <v>5</v>
      </c>
    </row>
    <row r="280" spans="1:19" ht="12.75" customHeight="1" x14ac:dyDescent="0.15">
      <c r="A280" s="5" t="s">
        <v>285</v>
      </c>
      <c r="B280" s="1" t="e">
        <f ca="1">_xludf.LET(_xlpm.x,LOWER(TRIM(A280)),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0" s="5" t="s">
        <v>223</v>
      </c>
      <c r="D280" s="1">
        <f t="shared" si="24"/>
        <v>0</v>
      </c>
      <c r="E280" s="5" t="s">
        <v>204</v>
      </c>
      <c r="F280" s="1">
        <f t="shared" si="25"/>
        <v>1</v>
      </c>
      <c r="G280" s="5" t="s">
        <v>204</v>
      </c>
      <c r="H280" s="1">
        <f t="shared" si="26"/>
        <v>1</v>
      </c>
      <c r="I280" s="5" t="s">
        <v>278</v>
      </c>
      <c r="J280" s="1">
        <f t="shared" si="27"/>
        <v>5</v>
      </c>
      <c r="K280" s="5" t="s">
        <v>278</v>
      </c>
      <c r="L280" s="1">
        <f t="shared" si="28"/>
        <v>5</v>
      </c>
      <c r="M280" s="1">
        <v>41</v>
      </c>
      <c r="N280" s="1" t="s">
        <v>987</v>
      </c>
      <c r="O280" s="1">
        <f t="shared" si="29"/>
        <v>0</v>
      </c>
      <c r="P280" s="1">
        <v>12</v>
      </c>
      <c r="Q280" s="1">
        <v>24</v>
      </c>
      <c r="R280" s="1">
        <v>0</v>
      </c>
      <c r="S280" s="1">
        <v>4</v>
      </c>
    </row>
    <row r="281" spans="1:19" ht="12.75" customHeight="1" x14ac:dyDescent="0.15">
      <c r="A281" s="5" t="s">
        <v>213</v>
      </c>
      <c r="B281" s="1" t="e">
        <f ca="1">_xludf.LET(_xlpm.x,LOWER(TRIM(A281)),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1" s="5" t="s">
        <v>223</v>
      </c>
      <c r="D281" s="1">
        <f t="shared" si="24"/>
        <v>0</v>
      </c>
      <c r="E281" s="5" t="s">
        <v>204</v>
      </c>
      <c r="F281" s="1">
        <f t="shared" si="25"/>
        <v>1</v>
      </c>
      <c r="G281" s="5" t="s">
        <v>204</v>
      </c>
      <c r="H281" s="1">
        <f t="shared" si="26"/>
        <v>1</v>
      </c>
      <c r="I281" s="5" t="s">
        <v>207</v>
      </c>
      <c r="J281" s="1" t="str">
        <f t="shared" si="27"/>
        <v/>
      </c>
      <c r="K281" s="5" t="s">
        <v>264</v>
      </c>
      <c r="L281" s="1">
        <f t="shared" si="28"/>
        <v>1</v>
      </c>
      <c r="M281" s="1">
        <v>41</v>
      </c>
      <c r="N281" s="1" t="s">
        <v>988</v>
      </c>
      <c r="O281" s="1">
        <f t="shared" si="29"/>
        <v>0</v>
      </c>
      <c r="P281" s="1">
        <v>17</v>
      </c>
      <c r="Q281" s="1">
        <v>14</v>
      </c>
      <c r="R281" s="1">
        <v>850000</v>
      </c>
      <c r="S281" s="1">
        <v>2</v>
      </c>
    </row>
    <row r="282" spans="1:19" ht="12.75" customHeight="1" x14ac:dyDescent="0.15">
      <c r="A282" s="5" t="s">
        <v>213</v>
      </c>
      <c r="B282" s="1" t="e">
        <f ca="1">_xludf.LET(_xlpm.x,LOWER(TRIM(A282)),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2" s="5" t="s">
        <v>223</v>
      </c>
      <c r="D282" s="1">
        <f t="shared" si="24"/>
        <v>0</v>
      </c>
      <c r="F282" s="1" t="str">
        <f t="shared" si="25"/>
        <v/>
      </c>
      <c r="G282" s="5" t="s">
        <v>204</v>
      </c>
      <c r="H282" s="1">
        <f t="shared" si="26"/>
        <v>1</v>
      </c>
      <c r="I282" s="5" t="s">
        <v>207</v>
      </c>
      <c r="J282" s="1" t="str">
        <f t="shared" si="27"/>
        <v/>
      </c>
      <c r="K282" s="5" t="s">
        <v>207</v>
      </c>
      <c r="L282" s="1" t="str">
        <f t="shared" si="28"/>
        <v/>
      </c>
      <c r="M282" s="1">
        <v>41</v>
      </c>
      <c r="N282" s="1" t="s">
        <v>996</v>
      </c>
      <c r="O282" s="1">
        <f t="shared" si="29"/>
        <v>0</v>
      </c>
      <c r="P282" s="1">
        <v>14</v>
      </c>
      <c r="Q282" s="1">
        <v>1</v>
      </c>
      <c r="R282" s="1">
        <v>400000</v>
      </c>
      <c r="S282" s="1">
        <v>5</v>
      </c>
    </row>
    <row r="283" spans="1:19" ht="12.75" customHeight="1" x14ac:dyDescent="0.15">
      <c r="A283" s="5" t="s">
        <v>285</v>
      </c>
      <c r="B283" s="1" t="e">
        <f ca="1">_xludf.LET(_xlpm.x,LOWER(TRIM(A283)),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3" s="5" t="s">
        <v>223</v>
      </c>
      <c r="D283" s="1">
        <f t="shared" si="24"/>
        <v>0</v>
      </c>
      <c r="E283" s="5" t="s">
        <v>204</v>
      </c>
      <c r="F283" s="1">
        <f t="shared" si="25"/>
        <v>1</v>
      </c>
      <c r="G283" s="5" t="s">
        <v>206</v>
      </c>
      <c r="H283" s="1">
        <f t="shared" si="26"/>
        <v>0</v>
      </c>
      <c r="J283" s="1" t="str">
        <f t="shared" si="27"/>
        <v/>
      </c>
      <c r="L283" s="1" t="str">
        <f t="shared" si="28"/>
        <v/>
      </c>
      <c r="M283" s="1">
        <v>41</v>
      </c>
      <c r="N283" s="1" t="s">
        <v>989</v>
      </c>
      <c r="O283" s="1">
        <f t="shared" si="29"/>
        <v>1</v>
      </c>
      <c r="P283" s="1">
        <v>2</v>
      </c>
      <c r="Q283" s="1">
        <v>9</v>
      </c>
      <c r="R283" s="1">
        <v>650000</v>
      </c>
      <c r="S283" s="1">
        <v>4</v>
      </c>
    </row>
    <row r="284" spans="1:19" ht="12.75" customHeight="1" x14ac:dyDescent="0.15">
      <c r="A284" s="5" t="s">
        <v>285</v>
      </c>
      <c r="B284" s="1" t="e">
        <f ca="1">_xludf.LET(_xlpm.x,LOWER(TRIM(A284)),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4" s="5" t="s">
        <v>223</v>
      </c>
      <c r="D284" s="1">
        <f t="shared" si="24"/>
        <v>0</v>
      </c>
      <c r="E284" s="5" t="s">
        <v>204</v>
      </c>
      <c r="F284" s="1">
        <f t="shared" si="25"/>
        <v>1</v>
      </c>
      <c r="G284" s="5" t="s">
        <v>204</v>
      </c>
      <c r="H284" s="1">
        <f t="shared" si="26"/>
        <v>1</v>
      </c>
      <c r="I284" s="5" t="s">
        <v>278</v>
      </c>
      <c r="J284" s="1">
        <f t="shared" si="27"/>
        <v>5</v>
      </c>
      <c r="K284" s="5" t="s">
        <v>242</v>
      </c>
      <c r="L284" s="1">
        <f t="shared" si="28"/>
        <v>3</v>
      </c>
      <c r="M284" s="1">
        <v>41</v>
      </c>
      <c r="N284" s="1" t="s">
        <v>988</v>
      </c>
      <c r="O284" s="1">
        <f t="shared" si="29"/>
        <v>0</v>
      </c>
      <c r="P284" s="1">
        <v>6</v>
      </c>
      <c r="Q284" s="1">
        <v>6</v>
      </c>
      <c r="R284" s="1">
        <v>800000</v>
      </c>
      <c r="S284" s="1">
        <v>3</v>
      </c>
    </row>
    <row r="285" spans="1:19" ht="12.75" customHeight="1" x14ac:dyDescent="0.15">
      <c r="A285" s="5" t="s">
        <v>285</v>
      </c>
      <c r="B285" s="1" t="e">
        <f ca="1">_xludf.LET(_xlpm.x,LOWER(TRIM(A285)),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5" s="5" t="s">
        <v>223</v>
      </c>
      <c r="D285" s="1">
        <f t="shared" si="24"/>
        <v>0</v>
      </c>
      <c r="E285" s="5" t="s">
        <v>204</v>
      </c>
      <c r="F285" s="1">
        <f t="shared" si="25"/>
        <v>1</v>
      </c>
      <c r="G285" s="5" t="s">
        <v>204</v>
      </c>
      <c r="H285" s="1">
        <f t="shared" si="26"/>
        <v>1</v>
      </c>
      <c r="I285" s="5" t="s">
        <v>215</v>
      </c>
      <c r="J285" s="1">
        <f t="shared" si="27"/>
        <v>2</v>
      </c>
      <c r="K285" s="5" t="s">
        <v>215</v>
      </c>
      <c r="L285" s="1">
        <f t="shared" si="28"/>
        <v>2</v>
      </c>
      <c r="M285" s="1">
        <v>41</v>
      </c>
      <c r="N285" s="1" t="s">
        <v>990</v>
      </c>
      <c r="O285" s="1">
        <f t="shared" si="29"/>
        <v>0</v>
      </c>
      <c r="P285" s="1">
        <v>14</v>
      </c>
      <c r="Q285" s="1">
        <v>4</v>
      </c>
      <c r="R285" s="1">
        <v>350000</v>
      </c>
      <c r="S285" s="1">
        <v>5</v>
      </c>
    </row>
    <row r="286" spans="1:19" ht="12.75" customHeight="1" x14ac:dyDescent="0.15">
      <c r="A286" s="5" t="s">
        <v>285</v>
      </c>
      <c r="B286" s="1" t="e">
        <f ca="1">_xludf.LET(_xlpm.x,LOWER(TRIM(A286)),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6" s="5" t="s">
        <v>223</v>
      </c>
      <c r="D286" s="1">
        <f t="shared" si="24"/>
        <v>0</v>
      </c>
      <c r="F286" s="1" t="str">
        <f t="shared" si="25"/>
        <v/>
      </c>
      <c r="G286" s="5" t="s">
        <v>206</v>
      </c>
      <c r="H286" s="1">
        <f t="shared" si="26"/>
        <v>0</v>
      </c>
      <c r="J286" s="1" t="str">
        <f t="shared" si="27"/>
        <v/>
      </c>
      <c r="L286" s="1" t="str">
        <f t="shared" si="28"/>
        <v/>
      </c>
      <c r="M286" s="1">
        <v>41</v>
      </c>
      <c r="N286" s="1" t="s">
        <v>995</v>
      </c>
      <c r="O286" s="1">
        <f t="shared" si="29"/>
        <v>0</v>
      </c>
      <c r="P286" s="1">
        <v>14</v>
      </c>
      <c r="Q286" s="1">
        <v>1</v>
      </c>
      <c r="R286" s="1">
        <v>600000</v>
      </c>
      <c r="S286" s="1">
        <v>2</v>
      </c>
    </row>
    <row r="287" spans="1:19" ht="12.75" customHeight="1" x14ac:dyDescent="0.15">
      <c r="A287" s="5" t="s">
        <v>269</v>
      </c>
      <c r="B287" s="1" t="e">
        <f ca="1">_xludf.LET(_xlpm.x,LOWER(TRIM(A287)),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7" s="5" t="s">
        <v>223</v>
      </c>
      <c r="D287" s="1">
        <f t="shared" si="24"/>
        <v>0</v>
      </c>
      <c r="E287" s="5" t="s">
        <v>204</v>
      </c>
      <c r="F287" s="1">
        <f t="shared" si="25"/>
        <v>1</v>
      </c>
      <c r="G287" s="5" t="s">
        <v>204</v>
      </c>
      <c r="H287" s="1">
        <f t="shared" si="26"/>
        <v>1</v>
      </c>
      <c r="I287" s="5" t="s">
        <v>207</v>
      </c>
      <c r="J287" s="1" t="str">
        <f t="shared" si="27"/>
        <v/>
      </c>
      <c r="K287" s="5" t="s">
        <v>242</v>
      </c>
      <c r="L287" s="1">
        <f t="shared" si="28"/>
        <v>3</v>
      </c>
      <c r="M287" s="1">
        <v>41</v>
      </c>
      <c r="N287" s="1" t="s">
        <v>989</v>
      </c>
      <c r="O287" s="1">
        <f t="shared" si="29"/>
        <v>1</v>
      </c>
      <c r="P287" s="1">
        <v>6</v>
      </c>
      <c r="Q287" s="1">
        <v>34</v>
      </c>
      <c r="R287" s="1">
        <v>540000</v>
      </c>
      <c r="S287" s="1">
        <v>4</v>
      </c>
    </row>
    <row r="288" spans="1:19" ht="12.75" customHeight="1" x14ac:dyDescent="0.15">
      <c r="A288" s="5" t="s">
        <v>285</v>
      </c>
      <c r="B288" s="1" t="e">
        <f ca="1">_xludf.LET(_xlpm.x,LOWER(TRIM(A288)),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8" s="5" t="s">
        <v>223</v>
      </c>
      <c r="D288" s="1">
        <f t="shared" si="24"/>
        <v>0</v>
      </c>
      <c r="F288" s="1" t="str">
        <f t="shared" si="25"/>
        <v/>
      </c>
      <c r="G288" s="5" t="s">
        <v>204</v>
      </c>
      <c r="H288" s="1">
        <f t="shared" si="26"/>
        <v>1</v>
      </c>
      <c r="I288" s="5" t="s">
        <v>215</v>
      </c>
      <c r="J288" s="1">
        <f t="shared" si="27"/>
        <v>2</v>
      </c>
      <c r="K288" s="5" t="s">
        <v>242</v>
      </c>
      <c r="L288" s="1">
        <f t="shared" si="28"/>
        <v>3</v>
      </c>
      <c r="M288" s="1">
        <v>42</v>
      </c>
      <c r="N288" s="1" t="s">
        <v>990</v>
      </c>
      <c r="O288" s="1">
        <f t="shared" si="29"/>
        <v>0</v>
      </c>
      <c r="P288" s="1">
        <v>12</v>
      </c>
      <c r="Q288" s="1">
        <v>24</v>
      </c>
      <c r="R288" s="1">
        <v>500000</v>
      </c>
      <c r="S288" s="1">
        <v>5</v>
      </c>
    </row>
    <row r="289" spans="1:19" ht="12.75" customHeight="1" x14ac:dyDescent="0.15">
      <c r="A289" s="5" t="s">
        <v>285</v>
      </c>
      <c r="B289" s="1" t="e">
        <f ca="1">_xludf.LET(_xlpm.x,LOWER(TRIM(A289)),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9" s="5" t="s">
        <v>223</v>
      </c>
      <c r="D289" s="1">
        <f t="shared" si="24"/>
        <v>0</v>
      </c>
      <c r="E289" s="5" t="s">
        <v>204</v>
      </c>
      <c r="F289" s="1">
        <f t="shared" si="25"/>
        <v>1</v>
      </c>
      <c r="G289" s="5" t="s">
        <v>204</v>
      </c>
      <c r="H289" s="1">
        <f t="shared" si="26"/>
        <v>1</v>
      </c>
      <c r="I289" s="5" t="s">
        <v>242</v>
      </c>
      <c r="J289" s="1">
        <f t="shared" si="27"/>
        <v>3</v>
      </c>
      <c r="K289" s="5" t="s">
        <v>215</v>
      </c>
      <c r="L289" s="1">
        <f t="shared" si="28"/>
        <v>2</v>
      </c>
      <c r="M289" s="1">
        <v>42</v>
      </c>
      <c r="N289" s="1" t="s">
        <v>999</v>
      </c>
      <c r="O289" s="1">
        <f t="shared" si="29"/>
        <v>0</v>
      </c>
      <c r="P289" s="1">
        <v>14</v>
      </c>
      <c r="Q289" s="1">
        <v>34</v>
      </c>
      <c r="R289" s="1">
        <v>1232000</v>
      </c>
      <c r="S289" s="1">
        <v>3</v>
      </c>
    </row>
    <row r="290" spans="1:19" ht="12.75" customHeight="1" x14ac:dyDescent="0.15">
      <c r="A290" s="5" t="s">
        <v>285</v>
      </c>
      <c r="B290" s="1" t="e">
        <f ca="1">_xludf.LET(_xlpm.x,LOWER(TRIM(A290)),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0" s="5" t="s">
        <v>223</v>
      </c>
      <c r="D290" s="1">
        <f t="shared" si="24"/>
        <v>0</v>
      </c>
      <c r="E290" s="5" t="s">
        <v>204</v>
      </c>
      <c r="F290" s="1">
        <f t="shared" si="25"/>
        <v>1</v>
      </c>
      <c r="G290" s="5" t="s">
        <v>204</v>
      </c>
      <c r="H290" s="1">
        <f t="shared" si="26"/>
        <v>1</v>
      </c>
      <c r="I290" s="5" t="s">
        <v>271</v>
      </c>
      <c r="J290" s="1">
        <f t="shared" si="27"/>
        <v>4</v>
      </c>
      <c r="K290" s="5" t="s">
        <v>271</v>
      </c>
      <c r="L290" s="1">
        <f t="shared" si="28"/>
        <v>4</v>
      </c>
      <c r="M290" s="1">
        <v>42</v>
      </c>
      <c r="N290" s="1" t="s">
        <v>999</v>
      </c>
      <c r="O290" s="1">
        <f t="shared" si="29"/>
        <v>0</v>
      </c>
      <c r="P290" s="1">
        <v>18</v>
      </c>
      <c r="Q290" s="1">
        <v>1</v>
      </c>
      <c r="R290" s="1">
        <v>750000</v>
      </c>
      <c r="S290" s="1">
        <v>3</v>
      </c>
    </row>
    <row r="291" spans="1:19" ht="12.75" customHeight="1" x14ac:dyDescent="0.15">
      <c r="A291" s="5" t="s">
        <v>285</v>
      </c>
      <c r="B291" s="1" t="e">
        <f ca="1">_xludf.LET(_xlpm.x,LOWER(TRIM(A291)),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1" s="5" t="s">
        <v>223</v>
      </c>
      <c r="D291" s="1">
        <f t="shared" si="24"/>
        <v>0</v>
      </c>
      <c r="F291" s="1" t="str">
        <f t="shared" si="25"/>
        <v/>
      </c>
      <c r="G291" s="5" t="s">
        <v>204</v>
      </c>
      <c r="H291" s="1">
        <f t="shared" si="26"/>
        <v>1</v>
      </c>
      <c r="I291" s="5" t="s">
        <v>271</v>
      </c>
      <c r="J291" s="1">
        <f t="shared" si="27"/>
        <v>4</v>
      </c>
      <c r="K291" s="5" t="s">
        <v>242</v>
      </c>
      <c r="L291" s="1">
        <f t="shared" si="28"/>
        <v>3</v>
      </c>
      <c r="M291" s="1">
        <v>42</v>
      </c>
      <c r="N291" s="1" t="s">
        <v>989</v>
      </c>
      <c r="O291" s="1">
        <f t="shared" si="29"/>
        <v>1</v>
      </c>
      <c r="P291" s="1">
        <v>15</v>
      </c>
      <c r="Q291" s="1">
        <v>29</v>
      </c>
      <c r="R291" s="1">
        <v>1000000</v>
      </c>
      <c r="S291" s="1">
        <v>1</v>
      </c>
    </row>
    <row r="292" spans="1:19" ht="12.75" customHeight="1" x14ac:dyDescent="0.15">
      <c r="A292" s="5" t="s">
        <v>269</v>
      </c>
      <c r="B292" s="1" t="e">
        <f ca="1">_xludf.LET(_xlpm.x,LOWER(TRIM(A292)),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2" s="5" t="s">
        <v>223</v>
      </c>
      <c r="D292" s="1">
        <f t="shared" si="24"/>
        <v>0</v>
      </c>
      <c r="F292" s="1" t="str">
        <f t="shared" si="25"/>
        <v/>
      </c>
      <c r="G292" s="5" t="s">
        <v>206</v>
      </c>
      <c r="H292" s="1">
        <f t="shared" si="26"/>
        <v>0</v>
      </c>
      <c r="J292" s="1" t="str">
        <f t="shared" si="27"/>
        <v/>
      </c>
      <c r="L292" s="1" t="str">
        <f t="shared" si="28"/>
        <v/>
      </c>
      <c r="M292" s="1">
        <v>42</v>
      </c>
      <c r="N292" s="1" t="s">
        <v>989</v>
      </c>
      <c r="O292" s="1">
        <f t="shared" si="29"/>
        <v>1</v>
      </c>
      <c r="P292" s="1">
        <v>16</v>
      </c>
      <c r="Q292" s="1">
        <v>3</v>
      </c>
      <c r="R292" s="1">
        <v>12000000</v>
      </c>
      <c r="S292" s="1">
        <v>2</v>
      </c>
    </row>
    <row r="293" spans="1:19" ht="12.75" customHeight="1" x14ac:dyDescent="0.15">
      <c r="A293" s="5" t="s">
        <v>269</v>
      </c>
      <c r="B293" s="1" t="e">
        <f ca="1">_xludf.LET(_xlpm.x,LOWER(TRIM(A293)),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3" s="5" t="s">
        <v>223</v>
      </c>
      <c r="D293" s="1">
        <f t="shared" si="24"/>
        <v>0</v>
      </c>
      <c r="E293" s="5" t="s">
        <v>204</v>
      </c>
      <c r="F293" s="1">
        <f t="shared" si="25"/>
        <v>1</v>
      </c>
      <c r="G293" s="5" t="s">
        <v>204</v>
      </c>
      <c r="H293" s="1">
        <f t="shared" si="26"/>
        <v>1</v>
      </c>
      <c r="I293" s="5" t="s">
        <v>242</v>
      </c>
      <c r="J293" s="1">
        <f t="shared" si="27"/>
        <v>3</v>
      </c>
      <c r="K293" s="5" t="s">
        <v>242</v>
      </c>
      <c r="L293" s="1">
        <f t="shared" si="28"/>
        <v>3</v>
      </c>
      <c r="M293" s="1">
        <v>42</v>
      </c>
      <c r="N293" s="1" t="s">
        <v>989</v>
      </c>
      <c r="O293" s="1">
        <f t="shared" si="29"/>
        <v>1</v>
      </c>
      <c r="P293" s="1">
        <v>16</v>
      </c>
      <c r="Q293" s="1">
        <v>3</v>
      </c>
      <c r="R293" s="1">
        <v>12000000</v>
      </c>
      <c r="S293" s="1">
        <v>2</v>
      </c>
    </row>
    <row r="294" spans="1:19" ht="12.75" customHeight="1" x14ac:dyDescent="0.15">
      <c r="A294" s="5" t="s">
        <v>213</v>
      </c>
      <c r="B294" s="1" t="e">
        <f ca="1">_xludf.LET(_xlpm.x,LOWER(TRIM(A294)),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4" s="5" t="s">
        <v>223</v>
      </c>
      <c r="D294" s="1">
        <f t="shared" si="24"/>
        <v>0</v>
      </c>
      <c r="F294" s="1" t="str">
        <f t="shared" si="25"/>
        <v/>
      </c>
      <c r="G294" s="5" t="s">
        <v>204</v>
      </c>
      <c r="H294" s="1">
        <f t="shared" si="26"/>
        <v>1</v>
      </c>
      <c r="I294" s="5" t="s">
        <v>278</v>
      </c>
      <c r="J294" s="1">
        <f t="shared" si="27"/>
        <v>5</v>
      </c>
      <c r="K294" s="5" t="s">
        <v>278</v>
      </c>
      <c r="L294" s="1">
        <f t="shared" si="28"/>
        <v>5</v>
      </c>
      <c r="M294" s="1">
        <v>42</v>
      </c>
      <c r="N294" s="1" t="s">
        <v>998</v>
      </c>
      <c r="O294" s="1">
        <f t="shared" si="29"/>
        <v>0</v>
      </c>
      <c r="P294" s="1">
        <v>10</v>
      </c>
      <c r="Q294" s="1">
        <v>3</v>
      </c>
      <c r="R294" s="1">
        <v>-99</v>
      </c>
      <c r="S294" s="1">
        <v>2</v>
      </c>
    </row>
    <row r="295" spans="1:19" ht="12.75" customHeight="1" x14ac:dyDescent="0.15">
      <c r="A295" s="5" t="s">
        <v>302</v>
      </c>
      <c r="B295" s="1" t="e">
        <f ca="1">_xludf.LET(_xlpm.x,LOWER(TRIM(A295)),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5" s="5" t="s">
        <v>349</v>
      </c>
      <c r="D295" s="1">
        <f t="shared" si="24"/>
        <v>1</v>
      </c>
      <c r="F295" s="1" t="str">
        <f t="shared" si="25"/>
        <v/>
      </c>
      <c r="G295" s="5" t="s">
        <v>204</v>
      </c>
      <c r="H295" s="1">
        <f t="shared" si="26"/>
        <v>1</v>
      </c>
      <c r="I295" s="5" t="s">
        <v>215</v>
      </c>
      <c r="J295" s="1">
        <f t="shared" si="27"/>
        <v>2</v>
      </c>
      <c r="K295" s="5" t="s">
        <v>242</v>
      </c>
      <c r="L295" s="1">
        <f t="shared" si="28"/>
        <v>3</v>
      </c>
      <c r="M295" s="1">
        <v>42</v>
      </c>
      <c r="N295" s="1" t="s">
        <v>990</v>
      </c>
      <c r="O295" s="1">
        <f t="shared" si="29"/>
        <v>0</v>
      </c>
      <c r="P295" s="1">
        <v>18</v>
      </c>
      <c r="Q295" s="1">
        <v>34</v>
      </c>
      <c r="R295" s="1">
        <v>700000</v>
      </c>
      <c r="S295" s="1">
        <v>4</v>
      </c>
    </row>
    <row r="296" spans="1:19" ht="12.75" customHeight="1" x14ac:dyDescent="0.15">
      <c r="A296" s="5" t="s">
        <v>277</v>
      </c>
      <c r="B296" s="1" t="e">
        <f ca="1">_xludf.LET(_xlpm.x,LOWER(TRIM(A296)),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6" s="5" t="s">
        <v>223</v>
      </c>
      <c r="D296" s="1">
        <f t="shared" si="24"/>
        <v>0</v>
      </c>
      <c r="E296" s="5" t="s">
        <v>206</v>
      </c>
      <c r="F296" s="1">
        <f t="shared" si="25"/>
        <v>0</v>
      </c>
      <c r="G296" s="5" t="s">
        <v>204</v>
      </c>
      <c r="H296" s="1">
        <f t="shared" si="26"/>
        <v>1</v>
      </c>
      <c r="I296" s="5" t="s">
        <v>242</v>
      </c>
      <c r="J296" s="1">
        <f t="shared" si="27"/>
        <v>3</v>
      </c>
      <c r="K296" s="5" t="s">
        <v>242</v>
      </c>
      <c r="L296" s="1">
        <f t="shared" si="28"/>
        <v>3</v>
      </c>
      <c r="M296" s="1">
        <v>42</v>
      </c>
      <c r="N296" s="1" t="s">
        <v>1001</v>
      </c>
      <c r="O296" s="1">
        <f t="shared" si="29"/>
        <v>0</v>
      </c>
      <c r="P296" s="1">
        <v>16</v>
      </c>
      <c r="Q296" s="1">
        <v>2</v>
      </c>
      <c r="R296" s="1">
        <v>800000</v>
      </c>
      <c r="S296" s="1">
        <v>3</v>
      </c>
    </row>
    <row r="297" spans="1:19" ht="12.75" customHeight="1" x14ac:dyDescent="0.15">
      <c r="A297" s="5" t="s">
        <v>277</v>
      </c>
      <c r="B297" s="1" t="e">
        <f ca="1">_xludf.LET(_xlpm.x,LOWER(TRIM(A297)),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7" s="5" t="s">
        <v>223</v>
      </c>
      <c r="D297" s="1">
        <f t="shared" si="24"/>
        <v>0</v>
      </c>
      <c r="F297" s="1" t="str">
        <f t="shared" si="25"/>
        <v/>
      </c>
      <c r="G297" s="5" t="s">
        <v>204</v>
      </c>
      <c r="H297" s="1">
        <f t="shared" si="26"/>
        <v>1</v>
      </c>
      <c r="I297" s="5" t="s">
        <v>215</v>
      </c>
      <c r="J297" s="1">
        <f t="shared" si="27"/>
        <v>2</v>
      </c>
      <c r="K297" s="5" t="s">
        <v>215</v>
      </c>
      <c r="L297" s="1">
        <f t="shared" si="28"/>
        <v>2</v>
      </c>
      <c r="M297" s="1">
        <v>42</v>
      </c>
      <c r="N297" s="1" t="s">
        <v>989</v>
      </c>
      <c r="O297" s="1">
        <f t="shared" si="29"/>
        <v>1</v>
      </c>
      <c r="P297" s="1">
        <v>14</v>
      </c>
      <c r="Q297" s="1">
        <v>3</v>
      </c>
      <c r="R297" s="1">
        <v>550000</v>
      </c>
      <c r="S297" s="1">
        <v>3</v>
      </c>
    </row>
    <row r="298" spans="1:19" ht="12.75" customHeight="1" x14ac:dyDescent="0.15">
      <c r="A298" s="5" t="s">
        <v>285</v>
      </c>
      <c r="B298" s="1" t="e">
        <f ca="1">_xludf.LET(_xlpm.x,LOWER(TRIM(A298)),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8" s="5" t="s">
        <v>223</v>
      </c>
      <c r="D298" s="1">
        <f t="shared" si="24"/>
        <v>0</v>
      </c>
      <c r="E298" s="5" t="s">
        <v>204</v>
      </c>
      <c r="F298" s="1">
        <f t="shared" si="25"/>
        <v>1</v>
      </c>
      <c r="G298" s="5" t="s">
        <v>204</v>
      </c>
      <c r="H298" s="1">
        <f t="shared" si="26"/>
        <v>1</v>
      </c>
      <c r="I298" s="5" t="s">
        <v>242</v>
      </c>
      <c r="J298" s="1">
        <f t="shared" si="27"/>
        <v>3</v>
      </c>
      <c r="K298" s="5" t="s">
        <v>242</v>
      </c>
      <c r="L298" s="1">
        <f t="shared" si="28"/>
        <v>3</v>
      </c>
      <c r="M298" s="1">
        <v>43</v>
      </c>
      <c r="N298" s="1" t="s">
        <v>995</v>
      </c>
      <c r="O298" s="1">
        <f t="shared" si="29"/>
        <v>0</v>
      </c>
      <c r="P298" s="1">
        <v>16</v>
      </c>
      <c r="Q298" s="1">
        <v>28</v>
      </c>
      <c r="R298" s="1">
        <v>600000</v>
      </c>
      <c r="S298" s="1">
        <v>4</v>
      </c>
    </row>
    <row r="299" spans="1:19" ht="12.75" customHeight="1" x14ac:dyDescent="0.15">
      <c r="A299" s="5" t="s">
        <v>213</v>
      </c>
      <c r="B299" s="1" t="e">
        <f ca="1">_xludf.LET(_xlpm.x,LOWER(TRIM(A299)),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D299" s="1">
        <f t="shared" si="24"/>
        <v>1</v>
      </c>
      <c r="F299" s="1" t="str">
        <f t="shared" si="25"/>
        <v/>
      </c>
      <c r="G299" s="5" t="s">
        <v>204</v>
      </c>
      <c r="H299" s="1">
        <f t="shared" si="26"/>
        <v>1</v>
      </c>
      <c r="I299" s="5" t="s">
        <v>207</v>
      </c>
      <c r="J299" s="1" t="str">
        <f t="shared" si="27"/>
        <v/>
      </c>
      <c r="K299" s="5" t="s">
        <v>242</v>
      </c>
      <c r="L299" s="1">
        <f t="shared" si="28"/>
        <v>3</v>
      </c>
      <c r="M299" s="1">
        <v>43</v>
      </c>
      <c r="N299" s="1" t="s">
        <v>990</v>
      </c>
      <c r="O299" s="1">
        <f t="shared" si="29"/>
        <v>0</v>
      </c>
      <c r="P299" s="1">
        <v>13</v>
      </c>
      <c r="Q299" s="1">
        <v>2</v>
      </c>
      <c r="R299" s="1">
        <v>200000</v>
      </c>
      <c r="S299" s="1">
        <v>3</v>
      </c>
    </row>
    <row r="300" spans="1:19" ht="12.75" customHeight="1" x14ac:dyDescent="0.15">
      <c r="A300" s="5" t="s">
        <v>285</v>
      </c>
      <c r="B300" s="1" t="e">
        <f ca="1">_xludf.LET(_xlpm.x,LOWER(TRIM(A300)),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0" s="5" t="s">
        <v>223</v>
      </c>
      <c r="D300" s="1">
        <f t="shared" si="24"/>
        <v>0</v>
      </c>
      <c r="E300" s="5" t="s">
        <v>204</v>
      </c>
      <c r="F300" s="1">
        <f t="shared" si="25"/>
        <v>1</v>
      </c>
      <c r="G300" s="5" t="s">
        <v>204</v>
      </c>
      <c r="H300" s="1">
        <f t="shared" si="26"/>
        <v>1</v>
      </c>
      <c r="I300" s="5" t="s">
        <v>207</v>
      </c>
      <c r="J300" s="1" t="str">
        <f t="shared" si="27"/>
        <v/>
      </c>
      <c r="K300" s="5" t="s">
        <v>215</v>
      </c>
      <c r="L300" s="1">
        <f t="shared" si="28"/>
        <v>2</v>
      </c>
      <c r="M300" s="1">
        <v>43</v>
      </c>
      <c r="N300" s="1" t="s">
        <v>989</v>
      </c>
      <c r="O300" s="1">
        <f t="shared" si="29"/>
        <v>1</v>
      </c>
      <c r="P300" s="1">
        <v>13</v>
      </c>
      <c r="Q300" s="1">
        <v>9</v>
      </c>
      <c r="R300" s="1">
        <v>450000</v>
      </c>
      <c r="S300" s="1">
        <v>4</v>
      </c>
    </row>
    <row r="301" spans="1:19" ht="12.75" customHeight="1" x14ac:dyDescent="0.15">
      <c r="A301" s="5" t="s">
        <v>213</v>
      </c>
      <c r="B301" s="1" t="e">
        <f ca="1">_xludf.LET(_xlpm.x,LOWER(TRIM(A301)),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1" s="5" t="s">
        <v>223</v>
      </c>
      <c r="D301" s="1">
        <f t="shared" si="24"/>
        <v>0</v>
      </c>
      <c r="F301" s="1" t="str">
        <f t="shared" si="25"/>
        <v/>
      </c>
      <c r="G301" s="5" t="s">
        <v>204</v>
      </c>
      <c r="H301" s="1">
        <f t="shared" si="26"/>
        <v>1</v>
      </c>
      <c r="I301" s="5" t="s">
        <v>271</v>
      </c>
      <c r="J301" s="1">
        <f t="shared" si="27"/>
        <v>4</v>
      </c>
      <c r="K301" s="5" t="s">
        <v>207</v>
      </c>
      <c r="L301" s="1" t="str">
        <f t="shared" si="28"/>
        <v/>
      </c>
      <c r="M301" s="1">
        <v>43</v>
      </c>
      <c r="N301" s="1" t="s">
        <v>989</v>
      </c>
      <c r="O301" s="1">
        <f t="shared" si="29"/>
        <v>1</v>
      </c>
      <c r="P301" s="1">
        <v>13</v>
      </c>
      <c r="Q301" s="1">
        <v>9</v>
      </c>
      <c r="R301" s="1">
        <v>450000</v>
      </c>
      <c r="S301" s="1">
        <v>4</v>
      </c>
    </row>
    <row r="302" spans="1:19" ht="12.75" customHeight="1" x14ac:dyDescent="0.15">
      <c r="A302" s="5" t="s">
        <v>213</v>
      </c>
      <c r="B302" s="1" t="e">
        <f ca="1">_xludf.LET(_xlpm.x,LOWER(TRIM(A302)),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2" s="5" t="s">
        <v>223</v>
      </c>
      <c r="D302" s="1">
        <f t="shared" si="24"/>
        <v>0</v>
      </c>
      <c r="E302" s="5" t="s">
        <v>204</v>
      </c>
      <c r="F302" s="1">
        <f t="shared" si="25"/>
        <v>1</v>
      </c>
      <c r="G302" s="5" t="s">
        <v>204</v>
      </c>
      <c r="H302" s="1">
        <f t="shared" si="26"/>
        <v>1</v>
      </c>
      <c r="I302" s="5" t="s">
        <v>271</v>
      </c>
      <c r="J302" s="1">
        <f t="shared" si="27"/>
        <v>4</v>
      </c>
      <c r="K302" s="5" t="s">
        <v>215</v>
      </c>
      <c r="L302" s="1">
        <f t="shared" si="28"/>
        <v>2</v>
      </c>
      <c r="M302" s="1">
        <v>43</v>
      </c>
      <c r="N302" s="1" t="s">
        <v>991</v>
      </c>
      <c r="O302" s="1">
        <f t="shared" si="29"/>
        <v>0</v>
      </c>
      <c r="P302" s="1">
        <v>6</v>
      </c>
      <c r="Q302" s="1">
        <v>1</v>
      </c>
      <c r="R302" s="1">
        <v>-99</v>
      </c>
      <c r="S302" s="1">
        <v>2</v>
      </c>
    </row>
    <row r="303" spans="1:19" ht="12.75" customHeight="1" x14ac:dyDescent="0.15">
      <c r="A303" s="5" t="s">
        <v>302</v>
      </c>
      <c r="B303" s="1" t="e">
        <f ca="1">_xludf.LET(_xlpm.x,LOWER(TRIM(A303)),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3" s="5" t="s">
        <v>223</v>
      </c>
      <c r="D303" s="1">
        <f t="shared" si="24"/>
        <v>0</v>
      </c>
      <c r="F303" s="1" t="str">
        <f t="shared" si="25"/>
        <v/>
      </c>
      <c r="G303" s="5" t="s">
        <v>204</v>
      </c>
      <c r="H303" s="1">
        <f t="shared" si="26"/>
        <v>1</v>
      </c>
      <c r="I303" s="5" t="s">
        <v>207</v>
      </c>
      <c r="J303" s="1" t="str">
        <f t="shared" si="27"/>
        <v/>
      </c>
      <c r="K303" s="5" t="s">
        <v>207</v>
      </c>
      <c r="L303" s="1" t="str">
        <f t="shared" si="28"/>
        <v/>
      </c>
      <c r="M303" s="1">
        <v>44</v>
      </c>
      <c r="N303" s="1" t="s">
        <v>991</v>
      </c>
      <c r="O303" s="1">
        <f t="shared" si="29"/>
        <v>0</v>
      </c>
      <c r="P303" s="1">
        <v>12</v>
      </c>
      <c r="Q303" s="1">
        <v>4</v>
      </c>
      <c r="R303" s="1">
        <v>200000</v>
      </c>
      <c r="S303" s="1">
        <v>4</v>
      </c>
    </row>
    <row r="304" spans="1:19" ht="12.75" customHeight="1" x14ac:dyDescent="0.15">
      <c r="A304" s="5" t="s">
        <v>302</v>
      </c>
      <c r="B304" s="1" t="e">
        <f ca="1">_xludf.LET(_xlpm.x,LOWER(TRIM(A304)),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4" s="5" t="s">
        <v>223</v>
      </c>
      <c r="D304" s="1">
        <f t="shared" si="24"/>
        <v>0</v>
      </c>
      <c r="F304" s="1" t="str">
        <f t="shared" si="25"/>
        <v/>
      </c>
      <c r="G304" s="5" t="s">
        <v>204</v>
      </c>
      <c r="H304" s="1">
        <f t="shared" si="26"/>
        <v>1</v>
      </c>
      <c r="I304" s="5" t="s">
        <v>242</v>
      </c>
      <c r="J304" s="1">
        <f t="shared" si="27"/>
        <v>3</v>
      </c>
      <c r="K304" s="5" t="s">
        <v>242</v>
      </c>
      <c r="L304" s="1">
        <f t="shared" si="28"/>
        <v>3</v>
      </c>
      <c r="M304" s="1">
        <v>44</v>
      </c>
      <c r="N304" s="1" t="s">
        <v>989</v>
      </c>
      <c r="O304" s="1">
        <f t="shared" si="29"/>
        <v>1</v>
      </c>
      <c r="P304" s="1">
        <v>12</v>
      </c>
      <c r="Q304" s="1">
        <v>3</v>
      </c>
      <c r="R304" s="1">
        <v>100000</v>
      </c>
      <c r="S304" s="1">
        <v>3</v>
      </c>
    </row>
    <row r="305" spans="1:19" ht="12.75" customHeight="1" x14ac:dyDescent="0.15">
      <c r="A305" s="5" t="s">
        <v>213</v>
      </c>
      <c r="B305" s="1" t="e">
        <f ca="1">_xludf.LET(_xlpm.x,LOWER(TRIM(A305)),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5" s="5" t="s">
        <v>223</v>
      </c>
      <c r="D305" s="1">
        <f t="shared" si="24"/>
        <v>0</v>
      </c>
      <c r="F305" s="1" t="str">
        <f t="shared" si="25"/>
        <v/>
      </c>
      <c r="G305" s="5" t="s">
        <v>204</v>
      </c>
      <c r="H305" s="1">
        <f t="shared" si="26"/>
        <v>1</v>
      </c>
      <c r="I305" s="5" t="s">
        <v>207</v>
      </c>
      <c r="J305" s="1" t="str">
        <f t="shared" si="27"/>
        <v/>
      </c>
      <c r="K305" s="5" t="s">
        <v>264</v>
      </c>
      <c r="L305" s="1">
        <f t="shared" si="28"/>
        <v>1</v>
      </c>
      <c r="M305" s="1">
        <v>44</v>
      </c>
      <c r="N305" s="1" t="s">
        <v>997</v>
      </c>
      <c r="O305" s="1">
        <f t="shared" si="29"/>
        <v>0</v>
      </c>
      <c r="P305" s="1">
        <v>14</v>
      </c>
      <c r="Q305" s="1">
        <v>34</v>
      </c>
      <c r="R305" s="1">
        <v>-99</v>
      </c>
      <c r="S305" s="1">
        <v>2</v>
      </c>
    </row>
    <row r="306" spans="1:19" ht="12.75" customHeight="1" x14ac:dyDescent="0.15">
      <c r="A306" s="5" t="s">
        <v>269</v>
      </c>
      <c r="B306" s="1" t="e">
        <f ca="1">_xludf.LET(_xlpm.x,LOWER(TRIM(A306)),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6" s="5" t="s">
        <v>223</v>
      </c>
      <c r="D306" s="1">
        <f t="shared" si="24"/>
        <v>0</v>
      </c>
      <c r="F306" s="1" t="str">
        <f t="shared" si="25"/>
        <v/>
      </c>
      <c r="G306" s="5" t="s">
        <v>204</v>
      </c>
      <c r="H306" s="1">
        <f t="shared" si="26"/>
        <v>1</v>
      </c>
      <c r="I306" s="5" t="s">
        <v>242</v>
      </c>
      <c r="J306" s="1">
        <f t="shared" si="27"/>
        <v>3</v>
      </c>
      <c r="K306" s="5" t="s">
        <v>215</v>
      </c>
      <c r="L306" s="1">
        <f t="shared" si="28"/>
        <v>2</v>
      </c>
      <c r="M306" s="1">
        <v>44</v>
      </c>
      <c r="N306" s="1" t="s">
        <v>987</v>
      </c>
      <c r="O306" s="1">
        <f t="shared" si="29"/>
        <v>0</v>
      </c>
      <c r="P306" s="1">
        <v>16</v>
      </c>
      <c r="Q306" s="1">
        <v>13</v>
      </c>
      <c r="R306" s="1">
        <v>500000</v>
      </c>
      <c r="S306" s="1">
        <v>1</v>
      </c>
    </row>
    <row r="307" spans="1:19" ht="12.75" customHeight="1" x14ac:dyDescent="0.15">
      <c r="A307" s="5" t="s">
        <v>285</v>
      </c>
      <c r="B307" s="1" t="e">
        <f ca="1">_xludf.LET(_xlpm.x,LOWER(TRIM(A307)),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7" s="5" t="s">
        <v>223</v>
      </c>
      <c r="D307" s="1">
        <f t="shared" si="24"/>
        <v>0</v>
      </c>
      <c r="E307" s="5" t="s">
        <v>204</v>
      </c>
      <c r="F307" s="1">
        <f t="shared" si="25"/>
        <v>1</v>
      </c>
      <c r="G307" s="5" t="s">
        <v>204</v>
      </c>
      <c r="H307" s="1">
        <f t="shared" si="26"/>
        <v>1</v>
      </c>
      <c r="I307" s="5" t="s">
        <v>278</v>
      </c>
      <c r="J307" s="1">
        <f t="shared" si="27"/>
        <v>5</v>
      </c>
      <c r="K307" s="5" t="s">
        <v>278</v>
      </c>
      <c r="L307" s="1">
        <f t="shared" si="28"/>
        <v>5</v>
      </c>
      <c r="M307" s="1">
        <v>44</v>
      </c>
      <c r="N307" s="1" t="s">
        <v>994</v>
      </c>
      <c r="O307" s="1">
        <f t="shared" si="29"/>
        <v>0</v>
      </c>
      <c r="P307" s="1">
        <v>16</v>
      </c>
      <c r="Q307" s="1">
        <v>34</v>
      </c>
      <c r="R307" s="1">
        <v>450000</v>
      </c>
      <c r="S307" s="1">
        <v>3</v>
      </c>
    </row>
    <row r="308" spans="1:19" ht="12.75" customHeight="1" x14ac:dyDescent="0.15">
      <c r="A308" s="5" t="s">
        <v>269</v>
      </c>
      <c r="B308" s="1" t="e">
        <f ca="1">_xludf.LET(_xlpm.x,LOWER(TRIM(A308)),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8" s="5" t="s">
        <v>223</v>
      </c>
      <c r="D308" s="1">
        <f t="shared" si="24"/>
        <v>0</v>
      </c>
      <c r="E308" s="5" t="s">
        <v>204</v>
      </c>
      <c r="F308" s="1">
        <f t="shared" si="25"/>
        <v>1</v>
      </c>
      <c r="G308" s="5" t="s">
        <v>204</v>
      </c>
      <c r="H308" s="1">
        <f t="shared" si="26"/>
        <v>1</v>
      </c>
      <c r="I308" s="5" t="s">
        <v>278</v>
      </c>
      <c r="J308" s="1">
        <f t="shared" si="27"/>
        <v>5</v>
      </c>
      <c r="K308" s="5" t="s">
        <v>278</v>
      </c>
      <c r="L308" s="1">
        <f t="shared" si="28"/>
        <v>5</v>
      </c>
      <c r="M308" s="1">
        <v>44</v>
      </c>
      <c r="N308" s="1" t="s">
        <v>990</v>
      </c>
      <c r="O308" s="1">
        <f t="shared" si="29"/>
        <v>0</v>
      </c>
      <c r="P308" s="1">
        <v>16</v>
      </c>
      <c r="Q308" s="1">
        <v>13</v>
      </c>
      <c r="R308" s="1">
        <v>1300000</v>
      </c>
      <c r="S308" s="1">
        <v>3</v>
      </c>
    </row>
    <row r="309" spans="1:19" ht="12.75" customHeight="1" x14ac:dyDescent="0.15">
      <c r="A309" s="5" t="s">
        <v>213</v>
      </c>
      <c r="B309" s="1" t="e">
        <f ca="1">_xludf.LET(_xlpm.x,LOWER(TRIM(A309)),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9" s="5" t="s">
        <v>223</v>
      </c>
      <c r="D309" s="1">
        <f t="shared" si="24"/>
        <v>0</v>
      </c>
      <c r="F309" s="1" t="str">
        <f t="shared" si="25"/>
        <v/>
      </c>
      <c r="G309" s="5" t="s">
        <v>204</v>
      </c>
      <c r="H309" s="1">
        <f t="shared" si="26"/>
        <v>1</v>
      </c>
      <c r="I309" s="5" t="s">
        <v>215</v>
      </c>
      <c r="J309" s="1">
        <f t="shared" si="27"/>
        <v>2</v>
      </c>
      <c r="K309" s="5" t="s">
        <v>215</v>
      </c>
      <c r="L309" s="1">
        <f t="shared" si="28"/>
        <v>2</v>
      </c>
      <c r="M309" s="1">
        <v>44</v>
      </c>
      <c r="N309" s="1" t="s">
        <v>992</v>
      </c>
      <c r="O309" s="1">
        <f t="shared" si="29"/>
        <v>0</v>
      </c>
      <c r="P309" s="1">
        <v>14</v>
      </c>
      <c r="Q309" s="1">
        <v>34</v>
      </c>
      <c r="R309" s="1">
        <v>600000</v>
      </c>
      <c r="S309" s="1">
        <v>3</v>
      </c>
    </row>
    <row r="310" spans="1:19" ht="12.75" customHeight="1" x14ac:dyDescent="0.15">
      <c r="A310" s="5" t="s">
        <v>285</v>
      </c>
      <c r="B310" s="1" t="e">
        <f ca="1">_xludf.LET(_xlpm.x,LOWER(TRIM(A310)),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0" s="5" t="s">
        <v>223</v>
      </c>
      <c r="D310" s="1">
        <f t="shared" si="24"/>
        <v>0</v>
      </c>
      <c r="E310" s="5" t="s">
        <v>204</v>
      </c>
      <c r="F310" s="1">
        <f t="shared" si="25"/>
        <v>1</v>
      </c>
      <c r="G310" s="5" t="s">
        <v>204</v>
      </c>
      <c r="H310" s="1">
        <f t="shared" si="26"/>
        <v>1</v>
      </c>
      <c r="I310" s="5" t="s">
        <v>264</v>
      </c>
      <c r="J310" s="1">
        <f t="shared" si="27"/>
        <v>1</v>
      </c>
      <c r="K310" s="5" t="s">
        <v>264</v>
      </c>
      <c r="L310" s="1">
        <f t="shared" si="28"/>
        <v>1</v>
      </c>
      <c r="M310" s="1">
        <v>44</v>
      </c>
      <c r="N310" s="1" t="s">
        <v>989</v>
      </c>
      <c r="O310" s="1">
        <f t="shared" si="29"/>
        <v>1</v>
      </c>
      <c r="P310" s="1">
        <v>15</v>
      </c>
      <c r="Q310" s="1">
        <v>9</v>
      </c>
      <c r="R310" s="1">
        <v>900000</v>
      </c>
      <c r="S310" s="1">
        <v>3</v>
      </c>
    </row>
    <row r="311" spans="1:19" ht="12.75" customHeight="1" x14ac:dyDescent="0.15">
      <c r="A311" s="5" t="s">
        <v>269</v>
      </c>
      <c r="B311" s="1" t="e">
        <f ca="1">_xludf.LET(_xlpm.x,LOWER(TRIM(A311)),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1" s="5" t="s">
        <v>223</v>
      </c>
      <c r="D311" s="1">
        <f t="shared" si="24"/>
        <v>0</v>
      </c>
      <c r="E311" s="5" t="s">
        <v>204</v>
      </c>
      <c r="F311" s="1">
        <f t="shared" si="25"/>
        <v>1</v>
      </c>
      <c r="G311" s="5" t="s">
        <v>204</v>
      </c>
      <c r="H311" s="1">
        <f t="shared" si="26"/>
        <v>1</v>
      </c>
      <c r="I311" s="5" t="s">
        <v>242</v>
      </c>
      <c r="J311" s="1">
        <f t="shared" si="27"/>
        <v>3</v>
      </c>
      <c r="K311" s="5" t="s">
        <v>215</v>
      </c>
      <c r="L311" s="1">
        <f t="shared" si="28"/>
        <v>2</v>
      </c>
      <c r="M311" s="1">
        <v>44</v>
      </c>
      <c r="N311" s="1" t="s">
        <v>995</v>
      </c>
      <c r="O311" s="1">
        <f t="shared" si="29"/>
        <v>0</v>
      </c>
      <c r="P311" s="1">
        <v>18</v>
      </c>
      <c r="Q311" s="1">
        <v>2</v>
      </c>
      <c r="R311" s="1">
        <v>500000</v>
      </c>
      <c r="S311" s="1">
        <v>2</v>
      </c>
    </row>
    <row r="312" spans="1:19" ht="12.75" customHeight="1" x14ac:dyDescent="0.15">
      <c r="A312" s="5" t="s">
        <v>269</v>
      </c>
      <c r="B312" s="1" t="e">
        <f ca="1">_xludf.LET(_xlpm.x,LOWER(TRIM(A312)),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2" s="5" t="s">
        <v>223</v>
      </c>
      <c r="D312" s="1">
        <f t="shared" si="24"/>
        <v>0</v>
      </c>
      <c r="F312" s="1" t="str">
        <f t="shared" si="25"/>
        <v/>
      </c>
      <c r="G312" s="5" t="s">
        <v>204</v>
      </c>
      <c r="H312" s="1">
        <f t="shared" si="26"/>
        <v>1</v>
      </c>
      <c r="I312" s="5" t="s">
        <v>271</v>
      </c>
      <c r="J312" s="1">
        <f t="shared" si="27"/>
        <v>4</v>
      </c>
      <c r="K312" s="5" t="s">
        <v>264</v>
      </c>
      <c r="L312" s="1">
        <f t="shared" si="28"/>
        <v>1</v>
      </c>
      <c r="M312" s="1">
        <v>44</v>
      </c>
      <c r="N312" s="1" t="s">
        <v>989</v>
      </c>
      <c r="O312" s="1">
        <f t="shared" si="29"/>
        <v>1</v>
      </c>
      <c r="P312" s="1">
        <v>14</v>
      </c>
      <c r="Q312" s="1">
        <v>24</v>
      </c>
      <c r="R312" s="1">
        <v>-99</v>
      </c>
      <c r="S312" s="1">
        <v>3</v>
      </c>
    </row>
    <row r="313" spans="1:19" ht="12.75" customHeight="1" x14ac:dyDescent="0.15">
      <c r="A313" s="5" t="s">
        <v>213</v>
      </c>
      <c r="B313" s="1" t="e">
        <f ca="1">_xludf.LET(_xlpm.x,LOWER(TRIM(A313)),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3" s="5" t="s">
        <v>223</v>
      </c>
      <c r="D313" s="1">
        <f t="shared" si="24"/>
        <v>0</v>
      </c>
      <c r="F313" s="1" t="str">
        <f t="shared" si="25"/>
        <v/>
      </c>
      <c r="G313" s="5" t="s">
        <v>204</v>
      </c>
      <c r="H313" s="1">
        <f t="shared" si="26"/>
        <v>1</v>
      </c>
      <c r="I313" s="5" t="s">
        <v>242</v>
      </c>
      <c r="J313" s="1">
        <f t="shared" si="27"/>
        <v>3</v>
      </c>
      <c r="K313" s="5" t="s">
        <v>242</v>
      </c>
      <c r="L313" s="1">
        <f t="shared" si="28"/>
        <v>3</v>
      </c>
      <c r="M313" s="1">
        <v>44</v>
      </c>
      <c r="N313" s="1" t="s">
        <v>990</v>
      </c>
      <c r="O313" s="1">
        <f t="shared" si="29"/>
        <v>0</v>
      </c>
      <c r="P313" s="1">
        <v>8</v>
      </c>
      <c r="Q313" s="1">
        <v>28</v>
      </c>
      <c r="R313" s="1">
        <v>0</v>
      </c>
      <c r="S313" s="1">
        <v>2</v>
      </c>
    </row>
    <row r="314" spans="1:19" ht="12.75" customHeight="1" x14ac:dyDescent="0.15">
      <c r="A314" s="5" t="s">
        <v>213</v>
      </c>
      <c r="B314" s="1" t="e">
        <f ca="1">_xludf.LET(_xlpm.x,LOWER(TRIM(A314)),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4" s="5" t="s">
        <v>223</v>
      </c>
      <c r="D314" s="1">
        <f t="shared" si="24"/>
        <v>0</v>
      </c>
      <c r="F314" s="1" t="str">
        <f t="shared" si="25"/>
        <v/>
      </c>
      <c r="G314" s="5" t="s">
        <v>204</v>
      </c>
      <c r="H314" s="1">
        <f t="shared" si="26"/>
        <v>1</v>
      </c>
      <c r="I314" s="5" t="s">
        <v>278</v>
      </c>
      <c r="J314" s="1">
        <f t="shared" si="27"/>
        <v>5</v>
      </c>
      <c r="K314" s="5" t="s">
        <v>278</v>
      </c>
      <c r="L314" s="1">
        <f t="shared" si="28"/>
        <v>5</v>
      </c>
      <c r="M314" s="1">
        <v>44</v>
      </c>
      <c r="N314" s="1" t="s">
        <v>999</v>
      </c>
      <c r="O314" s="1">
        <f t="shared" si="29"/>
        <v>0</v>
      </c>
      <c r="P314" s="1">
        <v>17</v>
      </c>
      <c r="Q314" s="1">
        <v>24</v>
      </c>
      <c r="R314" s="1">
        <v>500000</v>
      </c>
      <c r="S314" s="1">
        <v>3</v>
      </c>
    </row>
    <row r="315" spans="1:19" ht="12.75" customHeight="1" x14ac:dyDescent="0.15">
      <c r="A315" s="5" t="s">
        <v>285</v>
      </c>
      <c r="B315" s="1" t="e">
        <f ca="1">_xludf.LET(_xlpm.x,LOWER(TRIM(A315)),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5" s="5" t="s">
        <v>223</v>
      </c>
      <c r="D315" s="1">
        <f t="shared" si="24"/>
        <v>0</v>
      </c>
      <c r="F315" s="1" t="str">
        <f t="shared" si="25"/>
        <v/>
      </c>
      <c r="G315" s="5" t="s">
        <v>204</v>
      </c>
      <c r="H315" s="1">
        <f t="shared" si="26"/>
        <v>1</v>
      </c>
      <c r="I315" s="5" t="s">
        <v>207</v>
      </c>
      <c r="J315" s="1" t="str">
        <f t="shared" si="27"/>
        <v/>
      </c>
      <c r="K315" s="5" t="s">
        <v>215</v>
      </c>
      <c r="L315" s="1">
        <f t="shared" si="28"/>
        <v>2</v>
      </c>
      <c r="M315" s="1">
        <v>44</v>
      </c>
      <c r="N315" s="1" t="s">
        <v>999</v>
      </c>
      <c r="O315" s="1">
        <f t="shared" si="29"/>
        <v>0</v>
      </c>
      <c r="P315" s="1">
        <v>17</v>
      </c>
      <c r="Q315" s="1">
        <v>24</v>
      </c>
      <c r="R315" s="1">
        <v>500000</v>
      </c>
      <c r="S315" s="1">
        <v>3</v>
      </c>
    </row>
    <row r="316" spans="1:19" ht="12.75" customHeight="1" x14ac:dyDescent="0.15">
      <c r="A316" s="5" t="s">
        <v>302</v>
      </c>
      <c r="B316" s="1" t="e">
        <f ca="1">_xludf.LET(_xlpm.x,LOWER(TRIM(A316)),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6" s="5" t="s">
        <v>223</v>
      </c>
      <c r="D316" s="1">
        <f t="shared" si="24"/>
        <v>0</v>
      </c>
      <c r="F316" s="1" t="str">
        <f t="shared" si="25"/>
        <v/>
      </c>
      <c r="G316" s="5" t="s">
        <v>204</v>
      </c>
      <c r="H316" s="1">
        <f t="shared" si="26"/>
        <v>1</v>
      </c>
      <c r="I316" s="5" t="s">
        <v>242</v>
      </c>
      <c r="J316" s="1">
        <f t="shared" si="27"/>
        <v>3</v>
      </c>
      <c r="K316" s="5" t="s">
        <v>215</v>
      </c>
      <c r="L316" s="1">
        <f t="shared" si="28"/>
        <v>2</v>
      </c>
      <c r="M316" s="1">
        <v>44</v>
      </c>
      <c r="N316" s="1" t="s">
        <v>995</v>
      </c>
      <c r="O316" s="1">
        <f t="shared" si="29"/>
        <v>0</v>
      </c>
      <c r="P316" s="1">
        <v>6</v>
      </c>
      <c r="Q316" s="1">
        <v>2</v>
      </c>
      <c r="R316" s="1">
        <v>1000000</v>
      </c>
      <c r="S316" s="1">
        <v>2</v>
      </c>
    </row>
    <row r="317" spans="1:19" ht="12.75" customHeight="1" x14ac:dyDescent="0.15">
      <c r="A317" s="5" t="s">
        <v>285</v>
      </c>
      <c r="B317" s="1" t="e">
        <f ca="1">_xludf.LET(_xlpm.x,LOWER(TRIM(A317)),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7" s="5" t="s">
        <v>223</v>
      </c>
      <c r="D317" s="1">
        <f t="shared" si="24"/>
        <v>0</v>
      </c>
      <c r="E317" s="5" t="s">
        <v>204</v>
      </c>
      <c r="F317" s="1">
        <f t="shared" si="25"/>
        <v>1</v>
      </c>
      <c r="G317" s="5" t="s">
        <v>204</v>
      </c>
      <c r="H317" s="1">
        <f t="shared" si="26"/>
        <v>1</v>
      </c>
      <c r="I317" s="5" t="s">
        <v>242</v>
      </c>
      <c r="J317" s="1">
        <f t="shared" si="27"/>
        <v>3</v>
      </c>
      <c r="K317" s="5" t="s">
        <v>271</v>
      </c>
      <c r="L317" s="1">
        <f t="shared" si="28"/>
        <v>4</v>
      </c>
      <c r="M317" s="1">
        <v>44</v>
      </c>
      <c r="N317" s="1" t="s">
        <v>991</v>
      </c>
      <c r="O317" s="1">
        <f t="shared" si="29"/>
        <v>0</v>
      </c>
      <c r="P317" s="1">
        <v>4</v>
      </c>
      <c r="Q317" s="1">
        <v>31</v>
      </c>
      <c r="R317" s="1">
        <v>650000</v>
      </c>
      <c r="S317" s="1">
        <v>2</v>
      </c>
    </row>
    <row r="318" spans="1:19" ht="12.75" customHeight="1" x14ac:dyDescent="0.15">
      <c r="A318" s="5" t="s">
        <v>285</v>
      </c>
      <c r="B318" s="1" t="e">
        <f ca="1">_xludf.LET(_xlpm.x,LOWER(TRIM(A318)),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8" s="5" t="s">
        <v>223</v>
      </c>
      <c r="D318" s="1">
        <f t="shared" si="24"/>
        <v>0</v>
      </c>
      <c r="E318" s="5" t="s">
        <v>204</v>
      </c>
      <c r="F318" s="1">
        <f t="shared" si="25"/>
        <v>1</v>
      </c>
      <c r="G318" s="5" t="s">
        <v>204</v>
      </c>
      <c r="H318" s="1">
        <f t="shared" si="26"/>
        <v>1</v>
      </c>
      <c r="I318" s="5" t="s">
        <v>278</v>
      </c>
      <c r="J318" s="1">
        <f t="shared" si="27"/>
        <v>5</v>
      </c>
      <c r="K318" s="5" t="s">
        <v>278</v>
      </c>
      <c r="L318" s="1">
        <f t="shared" si="28"/>
        <v>5</v>
      </c>
      <c r="M318" s="1">
        <v>45</v>
      </c>
      <c r="N318" s="1" t="s">
        <v>989</v>
      </c>
      <c r="O318" s="1">
        <f t="shared" si="29"/>
        <v>1</v>
      </c>
      <c r="P318" s="1">
        <v>14</v>
      </c>
      <c r="Q318" s="1">
        <v>3</v>
      </c>
      <c r="R318" s="1">
        <v>1000000</v>
      </c>
      <c r="S318" s="1">
        <v>3</v>
      </c>
    </row>
    <row r="319" spans="1:19" ht="12.75" customHeight="1" x14ac:dyDescent="0.15">
      <c r="A319" s="5" t="s">
        <v>277</v>
      </c>
      <c r="B319" s="1" t="e">
        <f ca="1">_xludf.LET(_xlpm.x,LOWER(TRIM(A319)),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9" s="5" t="s">
        <v>223</v>
      </c>
      <c r="D319" s="1">
        <f t="shared" si="24"/>
        <v>0</v>
      </c>
      <c r="E319" s="5" t="s">
        <v>204</v>
      </c>
      <c r="F319" s="1">
        <f t="shared" si="25"/>
        <v>1</v>
      </c>
      <c r="G319" s="5" t="s">
        <v>204</v>
      </c>
      <c r="H319" s="1">
        <f t="shared" si="26"/>
        <v>1</v>
      </c>
      <c r="I319" s="5" t="s">
        <v>242</v>
      </c>
      <c r="J319" s="1">
        <f t="shared" si="27"/>
        <v>3</v>
      </c>
      <c r="K319" s="5" t="s">
        <v>242</v>
      </c>
      <c r="L319" s="1">
        <f t="shared" si="28"/>
        <v>3</v>
      </c>
      <c r="M319" s="1">
        <v>45</v>
      </c>
      <c r="N319" s="1" t="s">
        <v>990</v>
      </c>
      <c r="O319" s="1">
        <f t="shared" si="29"/>
        <v>0</v>
      </c>
      <c r="P319" s="1">
        <v>14</v>
      </c>
      <c r="Q319" s="1">
        <v>7</v>
      </c>
      <c r="R319" s="1">
        <v>650000</v>
      </c>
      <c r="S319" s="1">
        <v>1</v>
      </c>
    </row>
    <row r="320" spans="1:19" ht="12.75" customHeight="1" x14ac:dyDescent="0.15">
      <c r="A320" s="5" t="s">
        <v>213</v>
      </c>
      <c r="B320" s="1" t="e">
        <f ca="1">_xludf.LET(_xlpm.x,LOWER(TRIM(A320)),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0" s="5" t="s">
        <v>223</v>
      </c>
      <c r="D320" s="1">
        <f t="shared" si="24"/>
        <v>0</v>
      </c>
      <c r="F320" s="1" t="str">
        <f t="shared" si="25"/>
        <v/>
      </c>
      <c r="G320" s="5" t="s">
        <v>204</v>
      </c>
      <c r="H320" s="1">
        <f t="shared" si="26"/>
        <v>1</v>
      </c>
      <c r="I320" s="5" t="s">
        <v>242</v>
      </c>
      <c r="J320" s="1">
        <f t="shared" si="27"/>
        <v>3</v>
      </c>
      <c r="K320" s="5" t="s">
        <v>242</v>
      </c>
      <c r="L320" s="1">
        <f t="shared" si="28"/>
        <v>3</v>
      </c>
      <c r="M320" s="1">
        <v>45</v>
      </c>
      <c r="N320" s="1" t="s">
        <v>990</v>
      </c>
      <c r="O320" s="1">
        <f t="shared" si="29"/>
        <v>0</v>
      </c>
      <c r="P320" s="1">
        <v>14</v>
      </c>
      <c r="Q320" s="1">
        <v>7</v>
      </c>
      <c r="R320" s="1">
        <v>650000</v>
      </c>
      <c r="S320" s="1">
        <v>1</v>
      </c>
    </row>
    <row r="321" spans="1:19" ht="12.75" customHeight="1" x14ac:dyDescent="0.15">
      <c r="A321" s="5" t="s">
        <v>213</v>
      </c>
      <c r="B321" s="1" t="e">
        <f ca="1">_xludf.LET(_xlpm.x,LOWER(TRIM(A321)),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1" s="5" t="s">
        <v>223</v>
      </c>
      <c r="D321" s="1">
        <f t="shared" si="24"/>
        <v>0</v>
      </c>
      <c r="F321" s="1" t="str">
        <f t="shared" si="25"/>
        <v/>
      </c>
      <c r="G321" s="5" t="s">
        <v>204</v>
      </c>
      <c r="H321" s="1">
        <f t="shared" si="26"/>
        <v>1</v>
      </c>
      <c r="I321" s="5" t="s">
        <v>242</v>
      </c>
      <c r="J321" s="1">
        <f t="shared" si="27"/>
        <v>3</v>
      </c>
      <c r="K321" s="5" t="s">
        <v>242</v>
      </c>
      <c r="L321" s="1">
        <f t="shared" si="28"/>
        <v>3</v>
      </c>
      <c r="M321" s="1">
        <v>45</v>
      </c>
      <c r="N321" s="1" t="s">
        <v>989</v>
      </c>
      <c r="O321" s="1">
        <f t="shared" si="29"/>
        <v>1</v>
      </c>
      <c r="P321" s="1">
        <v>18</v>
      </c>
      <c r="Q321" s="1">
        <v>21</v>
      </c>
      <c r="R321" s="1">
        <v>900000</v>
      </c>
      <c r="S321" s="1">
        <v>1</v>
      </c>
    </row>
    <row r="322" spans="1:19" ht="12.75" customHeight="1" x14ac:dyDescent="0.15">
      <c r="A322" s="5" t="s">
        <v>285</v>
      </c>
      <c r="B322" s="1" t="e">
        <f ca="1">_xludf.LET(_xlpm.x,LOWER(TRIM(A322)),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2" s="5" t="s">
        <v>223</v>
      </c>
      <c r="D322" s="1">
        <f t="shared" ref="D322:D385" si="30">IF(C322="Chilena (exclusivamente)",0,1)</f>
        <v>0</v>
      </c>
      <c r="E322" s="5" t="s">
        <v>204</v>
      </c>
      <c r="F322" s="1">
        <f t="shared" ref="F322:F385" si="31">IF(ISBLANK(E322),"",IF(OR(E322="Sí",E322="Si"),1,IF(E322="No",0,"")))</f>
        <v>1</v>
      </c>
      <c r="G322" s="5" t="s">
        <v>204</v>
      </c>
      <c r="H322" s="1">
        <f t="shared" ref="H322:H385" si="32">IF(ISBLANK(G322),"",IF(OR(G322="Sí",G322="Si"),1,IF(G322="No",0,"")))</f>
        <v>1</v>
      </c>
      <c r="I322" s="5" t="s">
        <v>207</v>
      </c>
      <c r="J322" s="1" t="str">
        <f t="shared" ref="J322:J385" si="33">IF(OR(ISBLANK(I322),TRIM(I322)="No respondió",TRIM(I322)="No respondio",TRIM(I322)="No aplica"),
   "",
   IF(TRIM(I322)="Entre 1 a 2 horas",1,
     IF(TRIM(I322)="Más de 2 horas y menos de 4 horas",2,
       IF(TRIM(I322)="Entre 4 a 6 horas",3,
         IF(TRIM(I322)="Más de 6 horas y menos de 8 horas",4,
           IF(TRIM(I322)="Más de 8 horas",5,"")
         )
       )
     )
   )
)</f>
        <v/>
      </c>
      <c r="K322" s="5" t="s">
        <v>278</v>
      </c>
      <c r="L322" s="1">
        <f t="shared" ref="L322:L385" si="34">IF(OR(ISBLANK(K322),TRIM(K322)="No respondió",TRIM(K322)="No respondio",TRIM(K322)="No aplica"),
   "",
   IF(TRIM(K322)="Entre 1 a 2 horas",1,
     IF(TRIM(K322)="Más de 2 horas y menos de 4 horas",2,
       IF(TRIM(K322)="Entre 4 a 6 horas",3,
         IF(TRIM(K322)="Más de 6 horas y menos de 8 horas",4,
           IF(TRIM(K322)="Más de 8 horas",5,"")
         )
       )
     )
   )
)</f>
        <v>5</v>
      </c>
      <c r="M322" s="1">
        <v>45</v>
      </c>
      <c r="N322" s="1" t="s">
        <v>989</v>
      </c>
      <c r="O322" s="1">
        <f t="shared" ref="O322:O385" si="35">IF(N322="METROPOLITANA",1,0)</f>
        <v>1</v>
      </c>
      <c r="P322" s="1">
        <v>1</v>
      </c>
      <c r="Q322" s="1">
        <v>18</v>
      </c>
      <c r="R322" s="1">
        <v>200000</v>
      </c>
      <c r="S322" s="1">
        <v>2</v>
      </c>
    </row>
    <row r="323" spans="1:19" ht="12.75" customHeight="1" x14ac:dyDescent="0.15">
      <c r="A323" s="5" t="s">
        <v>213</v>
      </c>
      <c r="B323" s="1" t="e">
        <f ca="1">_xludf.LET(_xlpm.x,LOWER(TRIM(A323)),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3" s="5" t="s">
        <v>223</v>
      </c>
      <c r="D323" s="1">
        <f t="shared" si="30"/>
        <v>0</v>
      </c>
      <c r="E323" s="5" t="s">
        <v>204</v>
      </c>
      <c r="F323" s="1">
        <f t="shared" si="31"/>
        <v>1</v>
      </c>
      <c r="G323" s="5" t="s">
        <v>204</v>
      </c>
      <c r="H323" s="1">
        <f t="shared" si="32"/>
        <v>1</v>
      </c>
      <c r="I323" s="5" t="s">
        <v>215</v>
      </c>
      <c r="J323" s="1">
        <f t="shared" si="33"/>
        <v>2</v>
      </c>
      <c r="K323" s="5" t="s">
        <v>215</v>
      </c>
      <c r="L323" s="1">
        <f t="shared" si="34"/>
        <v>2</v>
      </c>
      <c r="M323" s="1">
        <v>45</v>
      </c>
      <c r="N323" s="1" t="s">
        <v>987</v>
      </c>
      <c r="O323" s="1">
        <f t="shared" si="35"/>
        <v>0</v>
      </c>
      <c r="P323" s="1">
        <v>18</v>
      </c>
      <c r="Q323" s="1">
        <v>6</v>
      </c>
      <c r="R323" s="1">
        <v>1700000</v>
      </c>
      <c r="S323" s="1">
        <v>4</v>
      </c>
    </row>
    <row r="324" spans="1:19" ht="12.75" customHeight="1" x14ac:dyDescent="0.15">
      <c r="A324" s="5" t="s">
        <v>285</v>
      </c>
      <c r="B324" s="1" t="e">
        <f ca="1">_xludf.LET(_xlpm.x,LOWER(TRIM(A324)),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4" s="5" t="s">
        <v>223</v>
      </c>
      <c r="D324" s="1">
        <f t="shared" si="30"/>
        <v>0</v>
      </c>
      <c r="E324" s="5" t="s">
        <v>204</v>
      </c>
      <c r="F324" s="1">
        <f t="shared" si="31"/>
        <v>1</v>
      </c>
      <c r="G324" s="5" t="s">
        <v>204</v>
      </c>
      <c r="H324" s="1">
        <f t="shared" si="32"/>
        <v>1</v>
      </c>
      <c r="I324" s="5" t="s">
        <v>242</v>
      </c>
      <c r="J324" s="1">
        <f t="shared" si="33"/>
        <v>3</v>
      </c>
      <c r="K324" s="5" t="s">
        <v>242</v>
      </c>
      <c r="L324" s="1">
        <f t="shared" si="34"/>
        <v>3</v>
      </c>
      <c r="M324" s="1">
        <v>45</v>
      </c>
      <c r="N324" s="1" t="s">
        <v>1001</v>
      </c>
      <c r="O324" s="1">
        <f t="shared" si="35"/>
        <v>0</v>
      </c>
      <c r="P324" s="1">
        <v>14</v>
      </c>
      <c r="Q324" s="1">
        <v>6</v>
      </c>
      <c r="R324" s="1">
        <v>300000</v>
      </c>
      <c r="S324" s="1">
        <v>5</v>
      </c>
    </row>
    <row r="325" spans="1:19" ht="12.75" customHeight="1" x14ac:dyDescent="0.15">
      <c r="A325" s="5" t="s">
        <v>269</v>
      </c>
      <c r="B325" s="1" t="e">
        <f ca="1">_xludf.LET(_xlpm.x,LOWER(TRIM(A325)),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5" s="5" t="s">
        <v>349</v>
      </c>
      <c r="D325" s="1">
        <f t="shared" si="30"/>
        <v>1</v>
      </c>
      <c r="F325" s="1" t="str">
        <f t="shared" si="31"/>
        <v/>
      </c>
      <c r="G325" s="5" t="s">
        <v>204</v>
      </c>
      <c r="H325" s="1">
        <f t="shared" si="32"/>
        <v>1</v>
      </c>
      <c r="I325" s="5" t="s">
        <v>215</v>
      </c>
      <c r="J325" s="1">
        <f t="shared" si="33"/>
        <v>2</v>
      </c>
      <c r="K325" s="5" t="s">
        <v>264</v>
      </c>
      <c r="L325" s="1">
        <f t="shared" si="34"/>
        <v>1</v>
      </c>
      <c r="M325" s="1">
        <v>45</v>
      </c>
      <c r="N325" s="1" t="s">
        <v>996</v>
      </c>
      <c r="O325" s="1">
        <f t="shared" si="35"/>
        <v>0</v>
      </c>
      <c r="P325" s="1">
        <v>8</v>
      </c>
      <c r="Q325" s="1">
        <v>34</v>
      </c>
      <c r="R325" s="1">
        <v>420000</v>
      </c>
      <c r="S325" s="1">
        <v>1</v>
      </c>
    </row>
    <row r="326" spans="1:19" ht="12.75" customHeight="1" x14ac:dyDescent="0.15">
      <c r="A326" s="5" t="s">
        <v>285</v>
      </c>
      <c r="B326" s="1" t="e">
        <f ca="1">_xludf.LET(_xlpm.x,LOWER(TRIM(A326)),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6" s="5" t="s">
        <v>223</v>
      </c>
      <c r="D326" s="1">
        <f t="shared" si="30"/>
        <v>0</v>
      </c>
      <c r="E326" s="5" t="s">
        <v>204</v>
      </c>
      <c r="F326" s="1">
        <f t="shared" si="31"/>
        <v>1</v>
      </c>
      <c r="G326" s="5" t="s">
        <v>206</v>
      </c>
      <c r="H326" s="1">
        <f t="shared" si="32"/>
        <v>0</v>
      </c>
      <c r="J326" s="1" t="str">
        <f t="shared" si="33"/>
        <v/>
      </c>
      <c r="L326" s="1" t="str">
        <f t="shared" si="34"/>
        <v/>
      </c>
      <c r="M326" s="1">
        <v>45</v>
      </c>
      <c r="N326" s="1" t="s">
        <v>989</v>
      </c>
      <c r="O326" s="1">
        <f t="shared" si="35"/>
        <v>1</v>
      </c>
      <c r="P326" s="1">
        <v>1</v>
      </c>
      <c r="Q326" s="1">
        <v>31</v>
      </c>
      <c r="R326" s="1">
        <v>300000</v>
      </c>
      <c r="S326" s="1">
        <v>1</v>
      </c>
    </row>
    <row r="327" spans="1:19" ht="12.75" customHeight="1" x14ac:dyDescent="0.15">
      <c r="A327" s="5" t="s">
        <v>285</v>
      </c>
      <c r="B327" s="1" t="e">
        <f ca="1">_xludf.LET(_xlpm.x,LOWER(TRIM(A327)),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7" s="5" t="s">
        <v>223</v>
      </c>
      <c r="D327" s="1">
        <f t="shared" si="30"/>
        <v>0</v>
      </c>
      <c r="E327" s="5" t="s">
        <v>204</v>
      </c>
      <c r="F327" s="1">
        <f t="shared" si="31"/>
        <v>1</v>
      </c>
      <c r="G327" s="5" t="s">
        <v>204</v>
      </c>
      <c r="H327" s="1">
        <f t="shared" si="32"/>
        <v>1</v>
      </c>
      <c r="I327" s="5" t="s">
        <v>207</v>
      </c>
      <c r="J327" s="1" t="str">
        <f t="shared" si="33"/>
        <v/>
      </c>
      <c r="K327" s="5" t="s">
        <v>264</v>
      </c>
      <c r="L327" s="1">
        <f t="shared" si="34"/>
        <v>1</v>
      </c>
      <c r="M327" s="1">
        <v>45</v>
      </c>
      <c r="N327" s="1" t="s">
        <v>989</v>
      </c>
      <c r="O327" s="1">
        <f t="shared" si="35"/>
        <v>1</v>
      </c>
      <c r="P327" s="1">
        <v>14</v>
      </c>
      <c r="Q327" s="1">
        <v>34</v>
      </c>
      <c r="R327" s="1">
        <v>500000</v>
      </c>
      <c r="S327" s="1">
        <v>2</v>
      </c>
    </row>
    <row r="328" spans="1:19" ht="12.75" customHeight="1" x14ac:dyDescent="0.15">
      <c r="A328" s="5" t="s">
        <v>269</v>
      </c>
      <c r="B328" s="1" t="e">
        <f ca="1">_xludf.LET(_xlpm.x,LOWER(TRIM(A328)),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8" s="5" t="s">
        <v>223</v>
      </c>
      <c r="D328" s="1">
        <f t="shared" si="30"/>
        <v>0</v>
      </c>
      <c r="E328" s="5" t="s">
        <v>204</v>
      </c>
      <c r="F328" s="1">
        <f t="shared" si="31"/>
        <v>1</v>
      </c>
      <c r="G328" s="5" t="s">
        <v>204</v>
      </c>
      <c r="H328" s="1">
        <f t="shared" si="32"/>
        <v>1</v>
      </c>
      <c r="I328" s="5" t="s">
        <v>278</v>
      </c>
      <c r="J328" s="1">
        <f t="shared" si="33"/>
        <v>5</v>
      </c>
      <c r="K328" s="5" t="s">
        <v>215</v>
      </c>
      <c r="L328" s="1">
        <f t="shared" si="34"/>
        <v>2</v>
      </c>
      <c r="M328" s="1">
        <v>45</v>
      </c>
      <c r="N328" s="1" t="s">
        <v>989</v>
      </c>
      <c r="O328" s="1">
        <f t="shared" si="35"/>
        <v>1</v>
      </c>
      <c r="P328" s="1">
        <v>16</v>
      </c>
      <c r="Q328" s="1">
        <v>2</v>
      </c>
      <c r="R328" s="1">
        <v>700000</v>
      </c>
      <c r="S328" s="1">
        <v>4</v>
      </c>
    </row>
    <row r="329" spans="1:19" ht="12.75" customHeight="1" x14ac:dyDescent="0.15">
      <c r="A329" s="5" t="s">
        <v>285</v>
      </c>
      <c r="B329" s="1" t="e">
        <f ca="1">_xludf.LET(_xlpm.x,LOWER(TRIM(A329)),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9" s="5" t="s">
        <v>223</v>
      </c>
      <c r="D329" s="1">
        <f t="shared" si="30"/>
        <v>0</v>
      </c>
      <c r="F329" s="1" t="str">
        <f t="shared" si="31"/>
        <v/>
      </c>
      <c r="G329" s="5" t="s">
        <v>204</v>
      </c>
      <c r="H329" s="1">
        <f t="shared" si="32"/>
        <v>1</v>
      </c>
      <c r="I329" s="5" t="s">
        <v>242</v>
      </c>
      <c r="J329" s="1">
        <f t="shared" si="33"/>
        <v>3</v>
      </c>
      <c r="K329" s="5" t="s">
        <v>242</v>
      </c>
      <c r="L329" s="1">
        <f t="shared" si="34"/>
        <v>3</v>
      </c>
      <c r="M329" s="1">
        <v>45</v>
      </c>
      <c r="N329" s="1" t="s">
        <v>989</v>
      </c>
      <c r="O329" s="1">
        <f t="shared" si="35"/>
        <v>1</v>
      </c>
      <c r="P329" s="1">
        <v>16</v>
      </c>
      <c r="Q329" s="1">
        <v>2</v>
      </c>
      <c r="R329" s="1">
        <v>700000</v>
      </c>
      <c r="S329" s="1">
        <v>4</v>
      </c>
    </row>
    <row r="330" spans="1:19" ht="12.75" customHeight="1" x14ac:dyDescent="0.15">
      <c r="A330" s="5" t="s">
        <v>269</v>
      </c>
      <c r="B330" s="1" t="e">
        <f ca="1">_xludf.LET(_xlpm.x,LOWER(TRIM(A330)),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0" s="5" t="s">
        <v>223</v>
      </c>
      <c r="D330" s="1">
        <f t="shared" si="30"/>
        <v>0</v>
      </c>
      <c r="E330" s="5" t="s">
        <v>204</v>
      </c>
      <c r="F330" s="1">
        <f t="shared" si="31"/>
        <v>1</v>
      </c>
      <c r="G330" s="5" t="s">
        <v>204</v>
      </c>
      <c r="H330" s="1">
        <f t="shared" si="32"/>
        <v>1</v>
      </c>
      <c r="I330" s="5" t="s">
        <v>278</v>
      </c>
      <c r="J330" s="1">
        <f t="shared" si="33"/>
        <v>5</v>
      </c>
      <c r="K330" s="5" t="s">
        <v>278</v>
      </c>
      <c r="L330" s="1">
        <f t="shared" si="34"/>
        <v>5</v>
      </c>
      <c r="M330" s="1">
        <v>45</v>
      </c>
      <c r="N330" s="1" t="s">
        <v>996</v>
      </c>
      <c r="O330" s="1">
        <f t="shared" si="35"/>
        <v>0</v>
      </c>
      <c r="P330" s="1">
        <v>2</v>
      </c>
      <c r="Q330" s="1">
        <v>34</v>
      </c>
      <c r="R330" s="1">
        <v>100000</v>
      </c>
      <c r="S330" s="1">
        <v>1</v>
      </c>
    </row>
    <row r="331" spans="1:19" ht="12.75" customHeight="1" x14ac:dyDescent="0.15">
      <c r="A331" s="5" t="s">
        <v>277</v>
      </c>
      <c r="B331" s="1" t="e">
        <f ca="1">_xludf.LET(_xlpm.x,LOWER(TRIM(A331)),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1" s="5" t="s">
        <v>223</v>
      </c>
      <c r="D331" s="1">
        <f t="shared" si="30"/>
        <v>0</v>
      </c>
      <c r="E331" s="5" t="s">
        <v>204</v>
      </c>
      <c r="F331" s="1">
        <f t="shared" si="31"/>
        <v>1</v>
      </c>
      <c r="G331" s="5" t="s">
        <v>204</v>
      </c>
      <c r="H331" s="1">
        <f t="shared" si="32"/>
        <v>1</v>
      </c>
      <c r="I331" s="5" t="s">
        <v>242</v>
      </c>
      <c r="J331" s="1">
        <f t="shared" si="33"/>
        <v>3</v>
      </c>
      <c r="K331" s="5" t="s">
        <v>242</v>
      </c>
      <c r="L331" s="1">
        <f t="shared" si="34"/>
        <v>3</v>
      </c>
      <c r="M331" s="1">
        <v>45</v>
      </c>
      <c r="N331" s="1" t="s">
        <v>987</v>
      </c>
      <c r="O331" s="1">
        <f t="shared" si="35"/>
        <v>0</v>
      </c>
      <c r="P331" s="1">
        <v>11</v>
      </c>
      <c r="Q331" s="1">
        <v>9</v>
      </c>
      <c r="R331" s="1">
        <v>-99</v>
      </c>
      <c r="S331" s="1">
        <v>3</v>
      </c>
    </row>
    <row r="332" spans="1:19" ht="12.75" customHeight="1" x14ac:dyDescent="0.15">
      <c r="A332" s="5" t="s">
        <v>277</v>
      </c>
      <c r="B332" s="1" t="e">
        <f ca="1">_xludf.LET(_xlpm.x,LOWER(TRIM(A332)),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2" s="5" t="s">
        <v>948</v>
      </c>
      <c r="D332" s="1">
        <f t="shared" si="30"/>
        <v>1</v>
      </c>
      <c r="F332" s="1" t="str">
        <f t="shared" si="31"/>
        <v/>
      </c>
      <c r="G332" s="5" t="s">
        <v>204</v>
      </c>
      <c r="H332" s="1">
        <f t="shared" si="32"/>
        <v>1</v>
      </c>
      <c r="I332" s="5" t="s">
        <v>207</v>
      </c>
      <c r="J332" s="1" t="str">
        <f t="shared" si="33"/>
        <v/>
      </c>
      <c r="K332" s="5" t="s">
        <v>264</v>
      </c>
      <c r="L332" s="1">
        <f t="shared" si="34"/>
        <v>1</v>
      </c>
      <c r="M332" s="1">
        <v>45</v>
      </c>
      <c r="N332" s="1" t="s">
        <v>987</v>
      </c>
      <c r="O332" s="1">
        <f t="shared" si="35"/>
        <v>0</v>
      </c>
      <c r="P332" s="1">
        <v>11</v>
      </c>
      <c r="Q332" s="1">
        <v>9</v>
      </c>
      <c r="R332" s="1">
        <v>-99</v>
      </c>
      <c r="S332" s="1">
        <v>3</v>
      </c>
    </row>
    <row r="333" spans="1:19" ht="12.75" customHeight="1" x14ac:dyDescent="0.15">
      <c r="A333" s="5" t="s">
        <v>213</v>
      </c>
      <c r="B333" s="1" t="e">
        <f ca="1">_xludf.LET(_xlpm.x,LOWER(TRIM(A333)),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3" s="5" t="s">
        <v>223</v>
      </c>
      <c r="D333" s="1">
        <f t="shared" si="30"/>
        <v>0</v>
      </c>
      <c r="F333" s="1" t="str">
        <f t="shared" si="31"/>
        <v/>
      </c>
      <c r="G333" s="5" t="s">
        <v>204</v>
      </c>
      <c r="H333" s="1">
        <f t="shared" si="32"/>
        <v>1</v>
      </c>
      <c r="I333" s="5" t="s">
        <v>242</v>
      </c>
      <c r="J333" s="1">
        <f t="shared" si="33"/>
        <v>3</v>
      </c>
      <c r="K333" s="5" t="s">
        <v>242</v>
      </c>
      <c r="L333" s="1">
        <f t="shared" si="34"/>
        <v>3</v>
      </c>
      <c r="M333" s="1">
        <v>46</v>
      </c>
      <c r="N333" s="1" t="s">
        <v>987</v>
      </c>
      <c r="O333" s="1">
        <f t="shared" si="35"/>
        <v>0</v>
      </c>
      <c r="P333" s="1">
        <v>16</v>
      </c>
      <c r="Q333" s="1">
        <v>1</v>
      </c>
      <c r="R333" s="1">
        <v>620000</v>
      </c>
      <c r="S333" s="1">
        <v>4</v>
      </c>
    </row>
    <row r="334" spans="1:19" ht="12.75" customHeight="1" x14ac:dyDescent="0.15">
      <c r="A334" s="5" t="s">
        <v>285</v>
      </c>
      <c r="B334" s="1" t="e">
        <f ca="1">_xludf.LET(_xlpm.x,LOWER(TRIM(A334)),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4" s="5" t="s">
        <v>223</v>
      </c>
      <c r="D334" s="1">
        <f t="shared" si="30"/>
        <v>0</v>
      </c>
      <c r="E334" s="5" t="s">
        <v>204</v>
      </c>
      <c r="F334" s="1">
        <f t="shared" si="31"/>
        <v>1</v>
      </c>
      <c r="G334" s="5" t="s">
        <v>204</v>
      </c>
      <c r="H334" s="1">
        <f t="shared" si="32"/>
        <v>1</v>
      </c>
      <c r="I334" s="5" t="s">
        <v>242</v>
      </c>
      <c r="J334" s="1">
        <f t="shared" si="33"/>
        <v>3</v>
      </c>
      <c r="K334" s="5" t="s">
        <v>242</v>
      </c>
      <c r="L334" s="1">
        <f t="shared" si="34"/>
        <v>3</v>
      </c>
      <c r="M334" s="1">
        <v>46</v>
      </c>
      <c r="N334" s="1" t="s">
        <v>988</v>
      </c>
      <c r="O334" s="1">
        <f t="shared" si="35"/>
        <v>0</v>
      </c>
      <c r="P334" s="1">
        <v>14</v>
      </c>
      <c r="Q334" s="1">
        <v>2</v>
      </c>
      <c r="R334" s="1">
        <v>350000</v>
      </c>
      <c r="S334" s="1">
        <v>3</v>
      </c>
    </row>
    <row r="335" spans="1:19" ht="12.75" customHeight="1" x14ac:dyDescent="0.15">
      <c r="A335" s="5" t="s">
        <v>269</v>
      </c>
      <c r="B335" s="1" t="e">
        <f ca="1">_xludf.LET(_xlpm.x,LOWER(TRIM(A335)),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5" s="5" t="s">
        <v>223</v>
      </c>
      <c r="D335" s="1">
        <f t="shared" si="30"/>
        <v>0</v>
      </c>
      <c r="E335" s="5" t="s">
        <v>204</v>
      </c>
      <c r="F335" s="1">
        <f t="shared" si="31"/>
        <v>1</v>
      </c>
      <c r="G335" s="5" t="s">
        <v>204</v>
      </c>
      <c r="H335" s="1">
        <f t="shared" si="32"/>
        <v>1</v>
      </c>
      <c r="I335" s="5" t="s">
        <v>278</v>
      </c>
      <c r="J335" s="1">
        <f t="shared" si="33"/>
        <v>5</v>
      </c>
      <c r="K335" s="5" t="s">
        <v>278</v>
      </c>
      <c r="L335" s="1">
        <f t="shared" si="34"/>
        <v>5</v>
      </c>
      <c r="M335" s="1">
        <v>46</v>
      </c>
      <c r="N335" s="1" t="s">
        <v>990</v>
      </c>
      <c r="O335" s="1">
        <f t="shared" si="35"/>
        <v>0</v>
      </c>
      <c r="P335" s="1">
        <v>14</v>
      </c>
      <c r="Q335" s="1">
        <v>1</v>
      </c>
      <c r="R335" s="1">
        <v>400000</v>
      </c>
      <c r="S335" s="1">
        <v>4</v>
      </c>
    </row>
    <row r="336" spans="1:19" ht="12.75" customHeight="1" x14ac:dyDescent="0.15">
      <c r="A336" s="5" t="s">
        <v>213</v>
      </c>
      <c r="B336" s="1" t="e">
        <f ca="1">_xludf.LET(_xlpm.x,LOWER(TRIM(A336)),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6" s="5" t="s">
        <v>223</v>
      </c>
      <c r="D336" s="1">
        <f t="shared" si="30"/>
        <v>0</v>
      </c>
      <c r="F336" s="1" t="str">
        <f t="shared" si="31"/>
        <v/>
      </c>
      <c r="G336" s="5" t="s">
        <v>204</v>
      </c>
      <c r="H336" s="1">
        <f t="shared" si="32"/>
        <v>1</v>
      </c>
      <c r="I336" s="5" t="s">
        <v>242</v>
      </c>
      <c r="J336" s="1">
        <f t="shared" si="33"/>
        <v>3</v>
      </c>
      <c r="K336" s="5" t="s">
        <v>242</v>
      </c>
      <c r="L336" s="1">
        <f t="shared" si="34"/>
        <v>3</v>
      </c>
      <c r="M336" s="1">
        <v>46</v>
      </c>
      <c r="N336" s="1" t="s">
        <v>987</v>
      </c>
      <c r="O336" s="1">
        <f t="shared" si="35"/>
        <v>0</v>
      </c>
      <c r="P336" s="1">
        <v>14</v>
      </c>
      <c r="Q336" s="1">
        <v>11</v>
      </c>
      <c r="R336" s="1">
        <v>1800000</v>
      </c>
      <c r="S336" s="1">
        <v>4</v>
      </c>
    </row>
    <row r="337" spans="1:19" ht="12.75" customHeight="1" x14ac:dyDescent="0.15">
      <c r="A337" s="5" t="s">
        <v>269</v>
      </c>
      <c r="B337" s="1" t="e">
        <f ca="1">_xludf.LET(_xlpm.x,LOWER(TRIM(A337)),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7" s="5" t="s">
        <v>433</v>
      </c>
      <c r="D337" s="1">
        <f t="shared" si="30"/>
        <v>1</v>
      </c>
      <c r="E337" s="5" t="s">
        <v>204</v>
      </c>
      <c r="F337" s="1">
        <f t="shared" si="31"/>
        <v>1</v>
      </c>
      <c r="G337" s="5" t="s">
        <v>204</v>
      </c>
      <c r="H337" s="1">
        <f t="shared" si="32"/>
        <v>1</v>
      </c>
      <c r="I337" s="5" t="s">
        <v>278</v>
      </c>
      <c r="J337" s="1">
        <f t="shared" si="33"/>
        <v>5</v>
      </c>
      <c r="K337" s="5" t="s">
        <v>271</v>
      </c>
      <c r="L337" s="1">
        <f t="shared" si="34"/>
        <v>4</v>
      </c>
      <c r="M337" s="1">
        <v>46</v>
      </c>
      <c r="N337" s="1" t="s">
        <v>990</v>
      </c>
      <c r="O337" s="1">
        <f t="shared" si="35"/>
        <v>0</v>
      </c>
      <c r="P337" s="1">
        <v>2</v>
      </c>
      <c r="Q337" s="1">
        <v>13</v>
      </c>
      <c r="R337" s="1">
        <v>1700000</v>
      </c>
      <c r="S337" s="1">
        <v>5</v>
      </c>
    </row>
    <row r="338" spans="1:19" ht="12.75" customHeight="1" x14ac:dyDescent="0.15">
      <c r="A338" s="5" t="s">
        <v>269</v>
      </c>
      <c r="B338" s="1" t="e">
        <f ca="1">_xludf.LET(_xlpm.x,LOWER(TRIM(A338)),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8" s="5" t="s">
        <v>358</v>
      </c>
      <c r="D338" s="1">
        <f t="shared" si="30"/>
        <v>1</v>
      </c>
      <c r="E338" s="5" t="s">
        <v>204</v>
      </c>
      <c r="F338" s="1">
        <f t="shared" si="31"/>
        <v>1</v>
      </c>
      <c r="G338" s="5" t="s">
        <v>204</v>
      </c>
      <c r="H338" s="1">
        <f t="shared" si="32"/>
        <v>1</v>
      </c>
      <c r="I338" s="5" t="s">
        <v>215</v>
      </c>
      <c r="J338" s="1">
        <f t="shared" si="33"/>
        <v>2</v>
      </c>
      <c r="K338" s="5" t="s">
        <v>264</v>
      </c>
      <c r="L338" s="1">
        <f t="shared" si="34"/>
        <v>1</v>
      </c>
      <c r="M338" s="1">
        <v>46</v>
      </c>
      <c r="N338" s="1" t="s">
        <v>989</v>
      </c>
      <c r="O338" s="1">
        <f t="shared" si="35"/>
        <v>1</v>
      </c>
      <c r="P338" s="1">
        <v>2</v>
      </c>
      <c r="Q338" s="1">
        <v>17</v>
      </c>
      <c r="R338" s="1">
        <v>0</v>
      </c>
      <c r="S338" s="1">
        <v>3</v>
      </c>
    </row>
    <row r="339" spans="1:19" ht="12.75" customHeight="1" x14ac:dyDescent="0.15">
      <c r="A339" s="5" t="s">
        <v>302</v>
      </c>
      <c r="B339" s="1" t="e">
        <f ca="1">_xludf.LET(_xlpm.x,LOWER(TRIM(A339)),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9" s="5" t="s">
        <v>223</v>
      </c>
      <c r="D339" s="1">
        <f t="shared" si="30"/>
        <v>0</v>
      </c>
      <c r="E339" s="5" t="s">
        <v>206</v>
      </c>
      <c r="F339" s="1">
        <f t="shared" si="31"/>
        <v>0</v>
      </c>
      <c r="G339" s="5" t="s">
        <v>204</v>
      </c>
      <c r="H339" s="1">
        <f t="shared" si="32"/>
        <v>1</v>
      </c>
      <c r="I339" s="5" t="s">
        <v>271</v>
      </c>
      <c r="J339" s="1">
        <f t="shared" si="33"/>
        <v>4</v>
      </c>
      <c r="K339" s="5" t="s">
        <v>242</v>
      </c>
      <c r="L339" s="1">
        <f t="shared" si="34"/>
        <v>3</v>
      </c>
      <c r="M339" s="1">
        <v>47</v>
      </c>
      <c r="N339" s="1" t="s">
        <v>992</v>
      </c>
      <c r="O339" s="1">
        <f t="shared" si="35"/>
        <v>0</v>
      </c>
      <c r="P339" s="1">
        <v>14</v>
      </c>
      <c r="Q339" s="1">
        <v>24</v>
      </c>
      <c r="R339" s="1">
        <v>900000</v>
      </c>
      <c r="S339" s="1">
        <v>5</v>
      </c>
    </row>
    <row r="340" spans="1:19" ht="12.75" customHeight="1" x14ac:dyDescent="0.15">
      <c r="A340" s="5" t="s">
        <v>285</v>
      </c>
      <c r="B340" s="1" t="e">
        <f ca="1">_xludf.LET(_xlpm.x,LOWER(TRIM(A340)),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0" s="5" t="s">
        <v>223</v>
      </c>
      <c r="D340" s="1">
        <f t="shared" si="30"/>
        <v>0</v>
      </c>
      <c r="F340" s="1" t="str">
        <f t="shared" si="31"/>
        <v/>
      </c>
      <c r="G340" s="5" t="s">
        <v>204</v>
      </c>
      <c r="H340" s="1">
        <f t="shared" si="32"/>
        <v>1</v>
      </c>
      <c r="I340" s="5" t="s">
        <v>242</v>
      </c>
      <c r="J340" s="1">
        <f t="shared" si="33"/>
        <v>3</v>
      </c>
      <c r="K340" s="5" t="s">
        <v>278</v>
      </c>
      <c r="L340" s="1">
        <f t="shared" si="34"/>
        <v>5</v>
      </c>
      <c r="M340" s="1">
        <v>47</v>
      </c>
      <c r="N340" s="1" t="s">
        <v>989</v>
      </c>
      <c r="O340" s="1">
        <f t="shared" si="35"/>
        <v>1</v>
      </c>
      <c r="P340" s="1">
        <v>18</v>
      </c>
      <c r="Q340" s="1">
        <v>7</v>
      </c>
      <c r="R340" s="1">
        <v>2500000</v>
      </c>
      <c r="S340" s="1">
        <v>4</v>
      </c>
    </row>
    <row r="341" spans="1:19" ht="12.75" customHeight="1" x14ac:dyDescent="0.15">
      <c r="A341" s="5" t="s">
        <v>213</v>
      </c>
      <c r="B341" s="1" t="e">
        <f ca="1">_xludf.LET(_xlpm.x,LOWER(TRIM(A341)),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1" s="5" t="s">
        <v>223</v>
      </c>
      <c r="D341" s="1">
        <f t="shared" si="30"/>
        <v>0</v>
      </c>
      <c r="E341" s="5" t="s">
        <v>206</v>
      </c>
      <c r="F341" s="1">
        <f t="shared" si="31"/>
        <v>0</v>
      </c>
      <c r="G341" s="5" t="s">
        <v>204</v>
      </c>
      <c r="H341" s="1">
        <f t="shared" si="32"/>
        <v>1</v>
      </c>
      <c r="I341" s="5" t="s">
        <v>278</v>
      </c>
      <c r="J341" s="1">
        <f t="shared" si="33"/>
        <v>5</v>
      </c>
      <c r="K341" s="5" t="s">
        <v>242</v>
      </c>
      <c r="L341" s="1">
        <f t="shared" si="34"/>
        <v>3</v>
      </c>
      <c r="M341" s="1">
        <v>47</v>
      </c>
      <c r="N341" s="1" t="s">
        <v>996</v>
      </c>
      <c r="O341" s="1">
        <f t="shared" si="35"/>
        <v>0</v>
      </c>
      <c r="P341" s="1">
        <v>14</v>
      </c>
      <c r="Q341" s="1">
        <v>33</v>
      </c>
      <c r="R341" s="1">
        <v>500000</v>
      </c>
      <c r="S341" s="1">
        <v>3</v>
      </c>
    </row>
    <row r="342" spans="1:19" ht="12.75" customHeight="1" x14ac:dyDescent="0.15">
      <c r="A342" s="5" t="s">
        <v>302</v>
      </c>
      <c r="B342" s="1" t="e">
        <f ca="1">_xludf.LET(_xlpm.x,LOWER(TRIM(A342)),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2" s="5" t="s">
        <v>223</v>
      </c>
      <c r="D342" s="1">
        <f t="shared" si="30"/>
        <v>0</v>
      </c>
      <c r="F342" s="1" t="str">
        <f t="shared" si="31"/>
        <v/>
      </c>
      <c r="G342" s="5" t="s">
        <v>204</v>
      </c>
      <c r="H342" s="1">
        <f t="shared" si="32"/>
        <v>1</v>
      </c>
      <c r="I342" s="5" t="s">
        <v>278</v>
      </c>
      <c r="J342" s="1">
        <f t="shared" si="33"/>
        <v>5</v>
      </c>
      <c r="K342" s="5" t="s">
        <v>271</v>
      </c>
      <c r="L342" s="1">
        <f t="shared" si="34"/>
        <v>4</v>
      </c>
      <c r="M342" s="1">
        <v>47</v>
      </c>
      <c r="N342" s="1" t="s">
        <v>989</v>
      </c>
      <c r="O342" s="1">
        <f t="shared" si="35"/>
        <v>1</v>
      </c>
      <c r="P342" s="1">
        <v>11</v>
      </c>
      <c r="Q342" s="1">
        <v>24</v>
      </c>
      <c r="R342" s="1">
        <v>600000</v>
      </c>
      <c r="S342" s="1">
        <v>1</v>
      </c>
    </row>
    <row r="343" spans="1:19" ht="12.75" customHeight="1" x14ac:dyDescent="0.15">
      <c r="A343" s="5" t="s">
        <v>213</v>
      </c>
      <c r="B343" s="1" t="e">
        <f ca="1">_xludf.LET(_xlpm.x,LOWER(TRIM(A343)),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3" s="5" t="s">
        <v>223</v>
      </c>
      <c r="D343" s="1">
        <f t="shared" si="30"/>
        <v>0</v>
      </c>
      <c r="F343" s="1" t="str">
        <f t="shared" si="31"/>
        <v/>
      </c>
      <c r="G343" s="5" t="s">
        <v>204</v>
      </c>
      <c r="H343" s="1">
        <f t="shared" si="32"/>
        <v>1</v>
      </c>
      <c r="I343" s="5" t="s">
        <v>207</v>
      </c>
      <c r="J343" s="1" t="str">
        <f t="shared" si="33"/>
        <v/>
      </c>
      <c r="K343" s="5" t="s">
        <v>215</v>
      </c>
      <c r="L343" s="1">
        <f t="shared" si="34"/>
        <v>2</v>
      </c>
      <c r="M343" s="1">
        <v>47</v>
      </c>
      <c r="N343" s="1" t="s">
        <v>989</v>
      </c>
      <c r="O343" s="1">
        <f t="shared" si="35"/>
        <v>1</v>
      </c>
      <c r="P343" s="1">
        <v>11</v>
      </c>
      <c r="Q343" s="1">
        <v>24</v>
      </c>
      <c r="R343" s="1">
        <v>600000</v>
      </c>
      <c r="S343" s="1">
        <v>1</v>
      </c>
    </row>
    <row r="344" spans="1:19" ht="12.75" customHeight="1" x14ac:dyDescent="0.15">
      <c r="A344" s="5" t="s">
        <v>213</v>
      </c>
      <c r="B344" s="1" t="e">
        <f ca="1">_xludf.LET(_xlpm.x,LOWER(TRIM(A344)),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4" s="5" t="s">
        <v>223</v>
      </c>
      <c r="D344" s="1">
        <f t="shared" si="30"/>
        <v>0</v>
      </c>
      <c r="F344" s="1" t="str">
        <f t="shared" si="31"/>
        <v/>
      </c>
      <c r="G344" s="5" t="s">
        <v>204</v>
      </c>
      <c r="H344" s="1">
        <f t="shared" si="32"/>
        <v>1</v>
      </c>
      <c r="I344" s="5" t="s">
        <v>207</v>
      </c>
      <c r="J344" s="1" t="str">
        <f t="shared" si="33"/>
        <v/>
      </c>
      <c r="K344" s="5" t="s">
        <v>215</v>
      </c>
      <c r="L344" s="1">
        <f t="shared" si="34"/>
        <v>2</v>
      </c>
      <c r="M344" s="1">
        <v>47</v>
      </c>
      <c r="N344" s="1" t="s">
        <v>988</v>
      </c>
      <c r="O344" s="1">
        <f t="shared" si="35"/>
        <v>0</v>
      </c>
      <c r="P344" s="1">
        <v>18</v>
      </c>
      <c r="Q344" s="1">
        <v>12</v>
      </c>
      <c r="R344" s="1">
        <v>0</v>
      </c>
      <c r="S344" s="1">
        <v>3</v>
      </c>
    </row>
    <row r="345" spans="1:19" ht="12.75" customHeight="1" x14ac:dyDescent="0.15">
      <c r="A345" s="5" t="s">
        <v>285</v>
      </c>
      <c r="B345" s="1" t="e">
        <f ca="1">_xludf.LET(_xlpm.x,LOWER(TRIM(A345)),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5" s="5" t="s">
        <v>223</v>
      </c>
      <c r="D345" s="1">
        <f t="shared" si="30"/>
        <v>0</v>
      </c>
      <c r="E345" s="5" t="s">
        <v>204</v>
      </c>
      <c r="F345" s="1">
        <f t="shared" si="31"/>
        <v>1</v>
      </c>
      <c r="G345" s="5" t="s">
        <v>204</v>
      </c>
      <c r="H345" s="1">
        <f t="shared" si="32"/>
        <v>1</v>
      </c>
      <c r="I345" s="5" t="s">
        <v>278</v>
      </c>
      <c r="J345" s="1">
        <f t="shared" si="33"/>
        <v>5</v>
      </c>
      <c r="K345" s="5" t="s">
        <v>278</v>
      </c>
      <c r="L345" s="1">
        <f t="shared" si="34"/>
        <v>5</v>
      </c>
      <c r="M345" s="1">
        <v>47</v>
      </c>
      <c r="N345" s="1" t="s">
        <v>989</v>
      </c>
      <c r="O345" s="1">
        <f t="shared" si="35"/>
        <v>1</v>
      </c>
      <c r="P345" s="1">
        <v>14</v>
      </c>
      <c r="Q345" s="1">
        <v>5</v>
      </c>
      <c r="R345" s="1">
        <v>300000</v>
      </c>
      <c r="S345" s="1">
        <v>2</v>
      </c>
    </row>
    <row r="346" spans="1:19" ht="12.75" customHeight="1" x14ac:dyDescent="0.15">
      <c r="A346" s="5" t="s">
        <v>277</v>
      </c>
      <c r="B346" s="1" t="e">
        <f ca="1">_xludf.LET(_xlpm.x,LOWER(TRIM(A346)),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6" s="5" t="s">
        <v>223</v>
      </c>
      <c r="D346" s="1">
        <f t="shared" si="30"/>
        <v>0</v>
      </c>
      <c r="F346" s="1" t="str">
        <f t="shared" si="31"/>
        <v/>
      </c>
      <c r="G346" s="5" t="s">
        <v>204</v>
      </c>
      <c r="H346" s="1">
        <f t="shared" si="32"/>
        <v>1</v>
      </c>
      <c r="I346" s="5" t="s">
        <v>264</v>
      </c>
      <c r="J346" s="1">
        <f t="shared" si="33"/>
        <v>1</v>
      </c>
      <c r="K346" s="5" t="s">
        <v>242</v>
      </c>
      <c r="L346" s="1">
        <f t="shared" si="34"/>
        <v>3</v>
      </c>
      <c r="M346" s="1">
        <v>47</v>
      </c>
      <c r="N346" s="1" t="s">
        <v>990</v>
      </c>
      <c r="O346" s="1">
        <f t="shared" si="35"/>
        <v>0</v>
      </c>
      <c r="P346" s="1">
        <v>14</v>
      </c>
      <c r="Q346" s="1">
        <v>24</v>
      </c>
      <c r="R346" s="1">
        <v>700000</v>
      </c>
      <c r="S346" s="1">
        <v>6</v>
      </c>
    </row>
    <row r="347" spans="1:19" ht="12.75" customHeight="1" x14ac:dyDescent="0.15">
      <c r="A347" s="5" t="s">
        <v>302</v>
      </c>
      <c r="B347" s="1" t="e">
        <f ca="1">_xludf.LET(_xlpm.x,LOWER(TRIM(A347)),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7" s="5" t="s">
        <v>223</v>
      </c>
      <c r="D347" s="1">
        <f t="shared" si="30"/>
        <v>0</v>
      </c>
      <c r="F347" s="1" t="str">
        <f t="shared" si="31"/>
        <v/>
      </c>
      <c r="G347" s="5" t="s">
        <v>204</v>
      </c>
      <c r="H347" s="1">
        <f t="shared" si="32"/>
        <v>1</v>
      </c>
      <c r="I347" s="5" t="s">
        <v>264</v>
      </c>
      <c r="J347" s="1">
        <f t="shared" si="33"/>
        <v>1</v>
      </c>
      <c r="K347" s="5" t="s">
        <v>264</v>
      </c>
      <c r="L347" s="1">
        <f t="shared" si="34"/>
        <v>1</v>
      </c>
      <c r="M347" s="1">
        <v>47</v>
      </c>
      <c r="N347" s="1" t="s">
        <v>990</v>
      </c>
      <c r="O347" s="1">
        <f t="shared" si="35"/>
        <v>0</v>
      </c>
      <c r="P347" s="1">
        <v>14</v>
      </c>
      <c r="Q347" s="1">
        <v>24</v>
      </c>
      <c r="R347" s="1">
        <v>700000</v>
      </c>
      <c r="S347" s="1">
        <v>6</v>
      </c>
    </row>
    <row r="348" spans="1:19" ht="12.75" customHeight="1" x14ac:dyDescent="0.15">
      <c r="A348" s="5" t="s">
        <v>213</v>
      </c>
      <c r="B348" s="1" t="e">
        <f ca="1">_xludf.LET(_xlpm.x,LOWER(TRIM(A348)),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8" s="5" t="s">
        <v>223</v>
      </c>
      <c r="D348" s="1">
        <f t="shared" si="30"/>
        <v>0</v>
      </c>
      <c r="F348" s="1" t="str">
        <f t="shared" si="31"/>
        <v/>
      </c>
      <c r="G348" s="5" t="s">
        <v>204</v>
      </c>
      <c r="H348" s="1">
        <f t="shared" si="32"/>
        <v>1</v>
      </c>
      <c r="I348" s="5" t="s">
        <v>242</v>
      </c>
      <c r="J348" s="1">
        <f t="shared" si="33"/>
        <v>3</v>
      </c>
      <c r="K348" s="5" t="s">
        <v>215</v>
      </c>
      <c r="L348" s="1">
        <f t="shared" si="34"/>
        <v>2</v>
      </c>
      <c r="M348" s="1">
        <v>47</v>
      </c>
      <c r="N348" s="1" t="s">
        <v>989</v>
      </c>
      <c r="O348" s="1">
        <f t="shared" si="35"/>
        <v>1</v>
      </c>
      <c r="P348" s="1">
        <v>6</v>
      </c>
      <c r="Q348" s="1">
        <v>29</v>
      </c>
      <c r="R348" s="1">
        <v>200000</v>
      </c>
      <c r="S348" s="1">
        <v>2</v>
      </c>
    </row>
    <row r="349" spans="1:19" ht="12.75" customHeight="1" x14ac:dyDescent="0.15">
      <c r="A349" s="5" t="s">
        <v>285</v>
      </c>
      <c r="B349" s="1" t="e">
        <f ca="1">_xludf.LET(_xlpm.x,LOWER(TRIM(A349)),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9" s="5" t="s">
        <v>223</v>
      </c>
      <c r="D349" s="1">
        <f t="shared" si="30"/>
        <v>0</v>
      </c>
      <c r="E349" s="5" t="s">
        <v>204</v>
      </c>
      <c r="F349" s="1">
        <f t="shared" si="31"/>
        <v>1</v>
      </c>
      <c r="G349" s="5" t="s">
        <v>204</v>
      </c>
      <c r="H349" s="1">
        <f t="shared" si="32"/>
        <v>1</v>
      </c>
      <c r="I349" s="5" t="s">
        <v>264</v>
      </c>
      <c r="J349" s="1">
        <f t="shared" si="33"/>
        <v>1</v>
      </c>
      <c r="K349" s="5" t="s">
        <v>242</v>
      </c>
      <c r="L349" s="1">
        <f t="shared" si="34"/>
        <v>3</v>
      </c>
      <c r="M349" s="1">
        <v>47</v>
      </c>
      <c r="N349" s="1" t="s">
        <v>990</v>
      </c>
      <c r="O349" s="1">
        <f t="shared" si="35"/>
        <v>0</v>
      </c>
      <c r="P349" s="1">
        <v>13</v>
      </c>
      <c r="Q349" s="1">
        <v>9</v>
      </c>
      <c r="R349" s="1">
        <v>0</v>
      </c>
      <c r="S349" s="1">
        <v>3</v>
      </c>
    </row>
    <row r="350" spans="1:19" ht="12.75" customHeight="1" x14ac:dyDescent="0.15">
      <c r="A350" s="5" t="s">
        <v>285</v>
      </c>
      <c r="B350" s="1" t="e">
        <f ca="1">_xludf.LET(_xlpm.x,LOWER(TRIM(A350)),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0" s="5" t="s">
        <v>223</v>
      </c>
      <c r="D350" s="1">
        <f t="shared" si="30"/>
        <v>0</v>
      </c>
      <c r="E350" s="5" t="s">
        <v>204</v>
      </c>
      <c r="F350" s="1">
        <f t="shared" si="31"/>
        <v>1</v>
      </c>
      <c r="G350" s="5" t="s">
        <v>204</v>
      </c>
      <c r="H350" s="1">
        <f t="shared" si="32"/>
        <v>1</v>
      </c>
      <c r="I350" s="5" t="s">
        <v>264</v>
      </c>
      <c r="J350" s="1">
        <f t="shared" si="33"/>
        <v>1</v>
      </c>
      <c r="K350" s="5" t="s">
        <v>264</v>
      </c>
      <c r="L350" s="1">
        <f t="shared" si="34"/>
        <v>1</v>
      </c>
      <c r="M350" s="1">
        <v>47</v>
      </c>
      <c r="N350" s="1" t="s">
        <v>987</v>
      </c>
      <c r="O350" s="1">
        <f t="shared" si="35"/>
        <v>0</v>
      </c>
      <c r="P350" s="1">
        <v>15</v>
      </c>
      <c r="Q350" s="1">
        <v>31</v>
      </c>
      <c r="R350" s="1">
        <v>-99</v>
      </c>
      <c r="S350" s="1">
        <v>3</v>
      </c>
    </row>
    <row r="351" spans="1:19" ht="12.75" customHeight="1" x14ac:dyDescent="0.15">
      <c r="A351" s="5" t="s">
        <v>213</v>
      </c>
      <c r="B351" s="1" t="e">
        <f ca="1">_xludf.LET(_xlpm.x,LOWER(TRIM(A351)),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1" s="5" t="s">
        <v>223</v>
      </c>
      <c r="D351" s="1">
        <f t="shared" si="30"/>
        <v>0</v>
      </c>
      <c r="F351" s="1" t="str">
        <f t="shared" si="31"/>
        <v/>
      </c>
      <c r="G351" s="5" t="s">
        <v>204</v>
      </c>
      <c r="H351" s="1">
        <f t="shared" si="32"/>
        <v>1</v>
      </c>
      <c r="I351" s="5" t="s">
        <v>207</v>
      </c>
      <c r="J351" s="1" t="str">
        <f t="shared" si="33"/>
        <v/>
      </c>
      <c r="K351" s="5" t="s">
        <v>242</v>
      </c>
      <c r="L351" s="1">
        <f t="shared" si="34"/>
        <v>3</v>
      </c>
      <c r="M351" s="1">
        <v>47</v>
      </c>
      <c r="N351" s="1" t="s">
        <v>989</v>
      </c>
      <c r="O351" s="1">
        <f t="shared" si="35"/>
        <v>1</v>
      </c>
      <c r="P351" s="1">
        <v>4</v>
      </c>
      <c r="Q351" s="1">
        <v>29</v>
      </c>
      <c r="R351" s="1">
        <v>800000</v>
      </c>
      <c r="S351" s="1">
        <v>3</v>
      </c>
    </row>
    <row r="352" spans="1:19" ht="12.75" customHeight="1" x14ac:dyDescent="0.15">
      <c r="A352" s="5" t="s">
        <v>269</v>
      </c>
      <c r="B352" s="1" t="e">
        <f ca="1">_xludf.LET(_xlpm.x,LOWER(TRIM(A352)),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2" s="5" t="s">
        <v>223</v>
      </c>
      <c r="D352" s="1">
        <f t="shared" si="30"/>
        <v>0</v>
      </c>
      <c r="E352" s="5" t="s">
        <v>204</v>
      </c>
      <c r="F352" s="1">
        <f t="shared" si="31"/>
        <v>1</v>
      </c>
      <c r="G352" s="5" t="s">
        <v>204</v>
      </c>
      <c r="H352" s="1">
        <f t="shared" si="32"/>
        <v>1</v>
      </c>
      <c r="I352" s="5" t="s">
        <v>264</v>
      </c>
      <c r="J352" s="1">
        <f t="shared" si="33"/>
        <v>1</v>
      </c>
      <c r="K352" s="5" t="s">
        <v>264</v>
      </c>
      <c r="L352" s="1">
        <f t="shared" si="34"/>
        <v>1</v>
      </c>
      <c r="M352" s="1">
        <v>47</v>
      </c>
      <c r="N352" s="1" t="s">
        <v>1001</v>
      </c>
      <c r="O352" s="1">
        <f t="shared" si="35"/>
        <v>0</v>
      </c>
      <c r="P352" s="1">
        <v>14</v>
      </c>
      <c r="Q352" s="1">
        <v>24</v>
      </c>
      <c r="R352" s="1">
        <v>230000</v>
      </c>
      <c r="S352" s="1">
        <v>3</v>
      </c>
    </row>
    <row r="353" spans="1:19" ht="12.75" customHeight="1" x14ac:dyDescent="0.15">
      <c r="A353" s="5" t="s">
        <v>213</v>
      </c>
      <c r="B353" s="1" t="e">
        <f ca="1">_xludf.LET(_xlpm.x,LOWER(TRIM(A353)),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3" s="5" t="s">
        <v>223</v>
      </c>
      <c r="D353" s="1">
        <f t="shared" si="30"/>
        <v>0</v>
      </c>
      <c r="F353" s="1" t="str">
        <f t="shared" si="31"/>
        <v/>
      </c>
      <c r="G353" s="5" t="s">
        <v>204</v>
      </c>
      <c r="H353" s="1">
        <f t="shared" si="32"/>
        <v>1</v>
      </c>
      <c r="I353" s="5" t="s">
        <v>271</v>
      </c>
      <c r="J353" s="1">
        <f t="shared" si="33"/>
        <v>4</v>
      </c>
      <c r="K353" s="5" t="s">
        <v>242</v>
      </c>
      <c r="L353" s="1">
        <f t="shared" si="34"/>
        <v>3</v>
      </c>
      <c r="M353" s="1">
        <v>47</v>
      </c>
      <c r="N353" s="1" t="s">
        <v>987</v>
      </c>
      <c r="O353" s="1">
        <f t="shared" si="35"/>
        <v>0</v>
      </c>
      <c r="P353" s="1">
        <v>5</v>
      </c>
      <c r="Q353" s="1">
        <v>1</v>
      </c>
      <c r="R353" s="1">
        <v>200000</v>
      </c>
      <c r="S353" s="1">
        <v>4</v>
      </c>
    </row>
    <row r="354" spans="1:19" ht="12.75" customHeight="1" x14ac:dyDescent="0.15">
      <c r="A354" s="5" t="s">
        <v>269</v>
      </c>
      <c r="B354" s="1" t="e">
        <f ca="1">_xludf.LET(_xlpm.x,LOWER(TRIM(A354)),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4" s="5" t="s">
        <v>223</v>
      </c>
      <c r="D354" s="1">
        <f t="shared" si="30"/>
        <v>0</v>
      </c>
      <c r="E354" s="5" t="s">
        <v>204</v>
      </c>
      <c r="F354" s="1">
        <f t="shared" si="31"/>
        <v>1</v>
      </c>
      <c r="G354" s="5" t="s">
        <v>204</v>
      </c>
      <c r="H354" s="1">
        <f t="shared" si="32"/>
        <v>1</v>
      </c>
      <c r="I354" s="5" t="s">
        <v>215</v>
      </c>
      <c r="J354" s="1">
        <f t="shared" si="33"/>
        <v>2</v>
      </c>
      <c r="K354" s="5" t="s">
        <v>215</v>
      </c>
      <c r="L354" s="1">
        <f t="shared" si="34"/>
        <v>2</v>
      </c>
      <c r="M354" s="1">
        <v>47</v>
      </c>
      <c r="N354" s="1" t="s">
        <v>987</v>
      </c>
      <c r="O354" s="1">
        <f t="shared" si="35"/>
        <v>0</v>
      </c>
      <c r="P354" s="1">
        <v>14</v>
      </c>
      <c r="Q354" s="1">
        <v>24</v>
      </c>
      <c r="R354" s="1">
        <v>600000</v>
      </c>
      <c r="S354" s="1">
        <v>2</v>
      </c>
    </row>
    <row r="355" spans="1:19" ht="12.75" customHeight="1" x14ac:dyDescent="0.15">
      <c r="A355" s="5" t="s">
        <v>285</v>
      </c>
      <c r="B355" s="1" t="e">
        <f ca="1">_xludf.LET(_xlpm.x,LOWER(TRIM(A355)),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5" s="5" t="s">
        <v>223</v>
      </c>
      <c r="D355" s="1">
        <f t="shared" si="30"/>
        <v>0</v>
      </c>
      <c r="E355" s="5" t="s">
        <v>204</v>
      </c>
      <c r="F355" s="1">
        <f t="shared" si="31"/>
        <v>1</v>
      </c>
      <c r="G355" s="5" t="s">
        <v>204</v>
      </c>
      <c r="H355" s="1">
        <f t="shared" si="32"/>
        <v>1</v>
      </c>
      <c r="I355" s="5" t="s">
        <v>242</v>
      </c>
      <c r="J355" s="1">
        <f t="shared" si="33"/>
        <v>3</v>
      </c>
      <c r="K355" s="5" t="s">
        <v>215</v>
      </c>
      <c r="L355" s="1">
        <f t="shared" si="34"/>
        <v>2</v>
      </c>
      <c r="M355" s="1">
        <v>47</v>
      </c>
      <c r="N355" s="1" t="s">
        <v>989</v>
      </c>
      <c r="O355" s="1">
        <f t="shared" si="35"/>
        <v>1</v>
      </c>
      <c r="P355" s="1">
        <v>14</v>
      </c>
      <c r="Q355" s="1">
        <v>24</v>
      </c>
      <c r="R355" s="1">
        <v>60000</v>
      </c>
      <c r="S355" s="1">
        <v>1</v>
      </c>
    </row>
    <row r="356" spans="1:19" ht="12.75" customHeight="1" x14ac:dyDescent="0.15">
      <c r="A356" s="5" t="s">
        <v>269</v>
      </c>
      <c r="B356" s="1" t="e">
        <f ca="1">_xludf.LET(_xlpm.x,LOWER(TRIM(A356)),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6" s="5" t="s">
        <v>223</v>
      </c>
      <c r="D356" s="1">
        <f t="shared" si="30"/>
        <v>0</v>
      </c>
      <c r="F356" s="1" t="str">
        <f t="shared" si="31"/>
        <v/>
      </c>
      <c r="G356" s="5" t="s">
        <v>204</v>
      </c>
      <c r="H356" s="1">
        <f t="shared" si="32"/>
        <v>1</v>
      </c>
      <c r="I356" s="5" t="s">
        <v>215</v>
      </c>
      <c r="J356" s="1">
        <f t="shared" si="33"/>
        <v>2</v>
      </c>
      <c r="K356" s="5" t="s">
        <v>215</v>
      </c>
      <c r="L356" s="1">
        <f t="shared" si="34"/>
        <v>2</v>
      </c>
      <c r="M356" s="1">
        <v>48</v>
      </c>
      <c r="N356" s="1" t="s">
        <v>990</v>
      </c>
      <c r="O356" s="1">
        <f t="shared" si="35"/>
        <v>0</v>
      </c>
      <c r="P356" s="1">
        <v>14</v>
      </c>
      <c r="Q356" s="1">
        <v>2</v>
      </c>
      <c r="R356" s="1">
        <v>900000</v>
      </c>
      <c r="S356" s="1">
        <v>4</v>
      </c>
    </row>
    <row r="357" spans="1:19" ht="12.75" customHeight="1" x14ac:dyDescent="0.15">
      <c r="A357" s="5" t="s">
        <v>285</v>
      </c>
      <c r="B357" s="1" t="e">
        <f ca="1">_xludf.LET(_xlpm.x,LOWER(TRIM(A357)),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7" s="5" t="s">
        <v>223</v>
      </c>
      <c r="D357" s="1">
        <f t="shared" si="30"/>
        <v>0</v>
      </c>
      <c r="E357" s="5" t="s">
        <v>204</v>
      </c>
      <c r="F357" s="1">
        <f t="shared" si="31"/>
        <v>1</v>
      </c>
      <c r="G357" s="5" t="s">
        <v>204</v>
      </c>
      <c r="H357" s="1">
        <f t="shared" si="32"/>
        <v>1</v>
      </c>
      <c r="I357" s="5" t="s">
        <v>207</v>
      </c>
      <c r="J357" s="1" t="str">
        <f t="shared" si="33"/>
        <v/>
      </c>
      <c r="K357" s="5" t="s">
        <v>215</v>
      </c>
      <c r="L357" s="1">
        <f t="shared" si="34"/>
        <v>2</v>
      </c>
      <c r="M357" s="1">
        <v>48</v>
      </c>
      <c r="N357" s="1" t="s">
        <v>987</v>
      </c>
      <c r="O357" s="1">
        <f t="shared" si="35"/>
        <v>0</v>
      </c>
      <c r="P357" s="1">
        <v>15</v>
      </c>
      <c r="Q357" s="1">
        <v>5</v>
      </c>
      <c r="R357" s="1">
        <v>600000</v>
      </c>
      <c r="S357" s="1">
        <v>1</v>
      </c>
    </row>
    <row r="358" spans="1:19" ht="12.75" customHeight="1" x14ac:dyDescent="0.15">
      <c r="A358" s="5" t="s">
        <v>269</v>
      </c>
      <c r="B358" s="1" t="e">
        <f ca="1">_xludf.LET(_xlpm.x,LOWER(TRIM(A358)),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8" s="5" t="s">
        <v>223</v>
      </c>
      <c r="D358" s="1">
        <f t="shared" si="30"/>
        <v>0</v>
      </c>
      <c r="E358" s="5" t="s">
        <v>204</v>
      </c>
      <c r="F358" s="1">
        <f t="shared" si="31"/>
        <v>1</v>
      </c>
      <c r="G358" s="5" t="s">
        <v>204</v>
      </c>
      <c r="H358" s="1">
        <f t="shared" si="32"/>
        <v>1</v>
      </c>
      <c r="I358" s="5" t="s">
        <v>278</v>
      </c>
      <c r="J358" s="1">
        <f t="shared" si="33"/>
        <v>5</v>
      </c>
      <c r="K358" s="5" t="s">
        <v>215</v>
      </c>
      <c r="L358" s="1">
        <f t="shared" si="34"/>
        <v>2</v>
      </c>
      <c r="M358" s="1">
        <v>48</v>
      </c>
      <c r="N358" s="1" t="s">
        <v>995</v>
      </c>
      <c r="O358" s="1">
        <f t="shared" si="35"/>
        <v>0</v>
      </c>
      <c r="P358" s="1">
        <v>17</v>
      </c>
      <c r="Q358" s="1">
        <v>30</v>
      </c>
      <c r="R358" s="1">
        <v>350000</v>
      </c>
      <c r="S358" s="1">
        <v>4</v>
      </c>
    </row>
    <row r="359" spans="1:19" ht="12.75" customHeight="1" x14ac:dyDescent="0.15">
      <c r="A359" s="5" t="s">
        <v>269</v>
      </c>
      <c r="B359" s="1" t="e">
        <f ca="1">_xludf.LET(_xlpm.x,LOWER(TRIM(A359)),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9" s="5" t="s">
        <v>223</v>
      </c>
      <c r="D359" s="1">
        <f t="shared" si="30"/>
        <v>0</v>
      </c>
      <c r="E359" s="5" t="s">
        <v>204</v>
      </c>
      <c r="F359" s="1">
        <f t="shared" si="31"/>
        <v>1</v>
      </c>
      <c r="G359" s="5" t="s">
        <v>204</v>
      </c>
      <c r="H359" s="1">
        <f t="shared" si="32"/>
        <v>1</v>
      </c>
      <c r="I359" s="5" t="s">
        <v>278</v>
      </c>
      <c r="J359" s="1">
        <f t="shared" si="33"/>
        <v>5</v>
      </c>
      <c r="K359" s="5" t="s">
        <v>278</v>
      </c>
      <c r="L359" s="1">
        <f t="shared" si="34"/>
        <v>5</v>
      </c>
      <c r="M359" s="1">
        <v>48</v>
      </c>
      <c r="N359" s="1" t="s">
        <v>995</v>
      </c>
      <c r="O359" s="1">
        <f t="shared" si="35"/>
        <v>0</v>
      </c>
      <c r="P359" s="1">
        <v>17</v>
      </c>
      <c r="Q359" s="1">
        <v>30</v>
      </c>
      <c r="R359" s="1">
        <v>350000</v>
      </c>
      <c r="S359" s="1">
        <v>4</v>
      </c>
    </row>
    <row r="360" spans="1:19" ht="12.75" customHeight="1" x14ac:dyDescent="0.15">
      <c r="A360" s="5" t="s">
        <v>213</v>
      </c>
      <c r="B360" s="1" t="e">
        <f ca="1">_xludf.LET(_xlpm.x,LOWER(TRIM(A360)),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0" s="5" t="s">
        <v>223</v>
      </c>
      <c r="D360" s="1">
        <f t="shared" si="30"/>
        <v>0</v>
      </c>
      <c r="F360" s="1" t="str">
        <f t="shared" si="31"/>
        <v/>
      </c>
      <c r="G360" s="5" t="s">
        <v>204</v>
      </c>
      <c r="H360" s="1">
        <f t="shared" si="32"/>
        <v>1</v>
      </c>
      <c r="I360" s="5" t="s">
        <v>242</v>
      </c>
      <c r="J360" s="1">
        <f t="shared" si="33"/>
        <v>3</v>
      </c>
      <c r="K360" s="5" t="s">
        <v>242</v>
      </c>
      <c r="L360" s="1">
        <f t="shared" si="34"/>
        <v>3</v>
      </c>
      <c r="M360" s="1">
        <v>48</v>
      </c>
      <c r="N360" s="1" t="s">
        <v>987</v>
      </c>
      <c r="O360" s="1">
        <f t="shared" si="35"/>
        <v>0</v>
      </c>
      <c r="P360" s="1">
        <v>16</v>
      </c>
      <c r="Q360" s="1">
        <v>17</v>
      </c>
      <c r="R360" s="1">
        <v>-99</v>
      </c>
      <c r="S360" s="1">
        <v>2</v>
      </c>
    </row>
    <row r="361" spans="1:19" ht="12.75" customHeight="1" x14ac:dyDescent="0.15">
      <c r="A361" s="5" t="s">
        <v>262</v>
      </c>
      <c r="B361" s="1" t="e">
        <f ca="1">_xludf.LET(_xlpm.x,LOWER(TRIM(A361)),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1" s="5" t="s">
        <v>223</v>
      </c>
      <c r="D361" s="1">
        <f t="shared" si="30"/>
        <v>0</v>
      </c>
      <c r="E361" s="5" t="s">
        <v>204</v>
      </c>
      <c r="F361" s="1">
        <f t="shared" si="31"/>
        <v>1</v>
      </c>
      <c r="G361" s="5" t="s">
        <v>204</v>
      </c>
      <c r="H361" s="1">
        <f t="shared" si="32"/>
        <v>1</v>
      </c>
      <c r="I361" s="5" t="s">
        <v>207</v>
      </c>
      <c r="J361" s="1" t="str">
        <f t="shared" si="33"/>
        <v/>
      </c>
      <c r="K361" s="5" t="s">
        <v>264</v>
      </c>
      <c r="L361" s="1">
        <f t="shared" si="34"/>
        <v>1</v>
      </c>
      <c r="M361" s="1">
        <v>48</v>
      </c>
      <c r="N361" s="1" t="s">
        <v>990</v>
      </c>
      <c r="O361" s="1">
        <f t="shared" si="35"/>
        <v>0</v>
      </c>
      <c r="P361" s="1">
        <v>14</v>
      </c>
      <c r="Q361" s="1">
        <v>24</v>
      </c>
      <c r="R361" s="1">
        <v>450000</v>
      </c>
      <c r="S361" s="1">
        <v>4</v>
      </c>
    </row>
    <row r="362" spans="1:19" ht="12.75" customHeight="1" x14ac:dyDescent="0.15">
      <c r="A362" s="5" t="s">
        <v>213</v>
      </c>
      <c r="B362" s="1" t="e">
        <f ca="1">_xludf.LET(_xlpm.x,LOWER(TRIM(A362)),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2" s="5" t="s">
        <v>223</v>
      </c>
      <c r="D362" s="1">
        <f t="shared" si="30"/>
        <v>0</v>
      </c>
      <c r="F362" s="1" t="str">
        <f t="shared" si="31"/>
        <v/>
      </c>
      <c r="G362" s="5" t="s">
        <v>204</v>
      </c>
      <c r="H362" s="1">
        <f t="shared" si="32"/>
        <v>1</v>
      </c>
      <c r="I362" s="5" t="s">
        <v>242</v>
      </c>
      <c r="J362" s="1">
        <f t="shared" si="33"/>
        <v>3</v>
      </c>
      <c r="K362" s="5" t="s">
        <v>271</v>
      </c>
      <c r="L362" s="1">
        <f t="shared" si="34"/>
        <v>4</v>
      </c>
      <c r="M362" s="1">
        <v>48</v>
      </c>
      <c r="N362" s="1" t="s">
        <v>996</v>
      </c>
      <c r="O362" s="1">
        <f t="shared" si="35"/>
        <v>0</v>
      </c>
      <c r="P362" s="1">
        <v>14</v>
      </c>
      <c r="Q362" s="1">
        <v>9</v>
      </c>
      <c r="R362" s="1">
        <v>1400000</v>
      </c>
      <c r="S362" s="1">
        <v>1</v>
      </c>
    </row>
    <row r="363" spans="1:19" ht="12.75" customHeight="1" x14ac:dyDescent="0.15">
      <c r="A363" s="5" t="s">
        <v>213</v>
      </c>
      <c r="B363" s="1" t="e">
        <f ca="1">_xludf.LET(_xlpm.x,LOWER(TRIM(A363)),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3" s="5" t="s">
        <v>223</v>
      </c>
      <c r="D363" s="1">
        <f t="shared" si="30"/>
        <v>0</v>
      </c>
      <c r="F363" s="1" t="str">
        <f t="shared" si="31"/>
        <v/>
      </c>
      <c r="G363" s="5" t="s">
        <v>204</v>
      </c>
      <c r="H363" s="1">
        <f t="shared" si="32"/>
        <v>1</v>
      </c>
      <c r="I363" s="5" t="s">
        <v>278</v>
      </c>
      <c r="J363" s="1">
        <f t="shared" si="33"/>
        <v>5</v>
      </c>
      <c r="K363" s="5" t="s">
        <v>278</v>
      </c>
      <c r="L363" s="1">
        <f t="shared" si="34"/>
        <v>5</v>
      </c>
      <c r="M363" s="1">
        <v>48</v>
      </c>
      <c r="N363" s="1" t="s">
        <v>995</v>
      </c>
      <c r="O363" s="1">
        <f t="shared" si="35"/>
        <v>0</v>
      </c>
      <c r="P363" s="1">
        <v>17</v>
      </c>
      <c r="Q363" s="1">
        <v>7</v>
      </c>
      <c r="R363" s="1">
        <v>650000</v>
      </c>
      <c r="S363" s="1">
        <v>2</v>
      </c>
    </row>
    <row r="364" spans="1:19" ht="12.75" customHeight="1" x14ac:dyDescent="0.15">
      <c r="A364" s="5" t="s">
        <v>213</v>
      </c>
      <c r="B364" s="1" t="e">
        <f ca="1">_xludf.LET(_xlpm.x,LOWER(TRIM(A364)),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4" s="5" t="s">
        <v>223</v>
      </c>
      <c r="D364" s="1">
        <f t="shared" si="30"/>
        <v>0</v>
      </c>
      <c r="F364" s="1" t="str">
        <f t="shared" si="31"/>
        <v/>
      </c>
      <c r="G364" s="5" t="s">
        <v>204</v>
      </c>
      <c r="H364" s="1">
        <f t="shared" si="32"/>
        <v>1</v>
      </c>
      <c r="I364" s="5" t="s">
        <v>242</v>
      </c>
      <c r="J364" s="1">
        <f t="shared" si="33"/>
        <v>3</v>
      </c>
      <c r="K364" s="5" t="s">
        <v>278</v>
      </c>
      <c r="L364" s="1">
        <f t="shared" si="34"/>
        <v>5</v>
      </c>
      <c r="M364" s="1">
        <v>48</v>
      </c>
      <c r="N364" s="1" t="s">
        <v>996</v>
      </c>
      <c r="O364" s="1">
        <f t="shared" si="35"/>
        <v>0</v>
      </c>
      <c r="P364" s="1">
        <v>6</v>
      </c>
      <c r="Q364" s="1">
        <v>28</v>
      </c>
      <c r="R364" s="1">
        <v>500000</v>
      </c>
      <c r="S364" s="1">
        <v>2</v>
      </c>
    </row>
    <row r="365" spans="1:19" ht="12.75" customHeight="1" x14ac:dyDescent="0.15">
      <c r="A365" s="5" t="s">
        <v>285</v>
      </c>
      <c r="B365" s="1" t="e">
        <f ca="1">_xludf.LET(_xlpm.x,LOWER(TRIM(A365)),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5" s="5" t="s">
        <v>223</v>
      </c>
      <c r="D365" s="1">
        <f t="shared" si="30"/>
        <v>0</v>
      </c>
      <c r="E365" s="5" t="s">
        <v>204</v>
      </c>
      <c r="F365" s="1">
        <f t="shared" si="31"/>
        <v>1</v>
      </c>
      <c r="G365" s="5" t="s">
        <v>204</v>
      </c>
      <c r="H365" s="1">
        <f t="shared" si="32"/>
        <v>1</v>
      </c>
      <c r="I365" s="5" t="s">
        <v>271</v>
      </c>
      <c r="J365" s="1">
        <f t="shared" si="33"/>
        <v>4</v>
      </c>
      <c r="K365" s="5" t="s">
        <v>271</v>
      </c>
      <c r="L365" s="1">
        <f t="shared" si="34"/>
        <v>4</v>
      </c>
      <c r="M365" s="1">
        <v>48</v>
      </c>
      <c r="N365" s="1" t="s">
        <v>996</v>
      </c>
      <c r="O365" s="1">
        <f t="shared" si="35"/>
        <v>0</v>
      </c>
      <c r="P365" s="1">
        <v>6</v>
      </c>
      <c r="Q365" s="1">
        <v>28</v>
      </c>
      <c r="R365" s="1">
        <v>500000</v>
      </c>
      <c r="S365" s="1">
        <v>2</v>
      </c>
    </row>
    <row r="366" spans="1:19" ht="12.75" customHeight="1" x14ac:dyDescent="0.15">
      <c r="A366" s="5" t="s">
        <v>213</v>
      </c>
      <c r="B366" s="1" t="e">
        <f ca="1">_xludf.LET(_xlpm.x,LOWER(TRIM(A366)),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6" s="5" t="s">
        <v>648</v>
      </c>
      <c r="D366" s="1">
        <f t="shared" si="30"/>
        <v>1</v>
      </c>
      <c r="F366" s="1" t="str">
        <f t="shared" si="31"/>
        <v/>
      </c>
      <c r="G366" s="5" t="s">
        <v>204</v>
      </c>
      <c r="H366" s="1">
        <f t="shared" si="32"/>
        <v>1</v>
      </c>
      <c r="I366" s="5" t="s">
        <v>207</v>
      </c>
      <c r="J366" s="1" t="str">
        <f t="shared" si="33"/>
        <v/>
      </c>
      <c r="K366" s="5" t="s">
        <v>242</v>
      </c>
      <c r="L366" s="1">
        <f t="shared" si="34"/>
        <v>3</v>
      </c>
      <c r="M366" s="1">
        <v>48</v>
      </c>
      <c r="N366" s="1" t="s">
        <v>988</v>
      </c>
      <c r="O366" s="1">
        <f t="shared" si="35"/>
        <v>0</v>
      </c>
      <c r="P366" s="1">
        <v>14</v>
      </c>
      <c r="Q366" s="1">
        <v>5</v>
      </c>
      <c r="R366" s="1">
        <v>450000</v>
      </c>
      <c r="S366" s="1">
        <v>3</v>
      </c>
    </row>
    <row r="367" spans="1:19" ht="12.75" customHeight="1" x14ac:dyDescent="0.15">
      <c r="A367" s="5" t="s">
        <v>213</v>
      </c>
      <c r="B367" s="1" t="e">
        <f ca="1">_xludf.LET(_xlpm.x,LOWER(TRIM(A367)),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7" s="5" t="s">
        <v>223</v>
      </c>
      <c r="D367" s="1">
        <f t="shared" si="30"/>
        <v>0</v>
      </c>
      <c r="F367" s="1" t="str">
        <f t="shared" si="31"/>
        <v/>
      </c>
      <c r="G367" s="5" t="s">
        <v>204</v>
      </c>
      <c r="H367" s="1">
        <f t="shared" si="32"/>
        <v>1</v>
      </c>
      <c r="I367" s="5" t="s">
        <v>207</v>
      </c>
      <c r="J367" s="1" t="str">
        <f t="shared" si="33"/>
        <v/>
      </c>
      <c r="K367" s="5" t="s">
        <v>242</v>
      </c>
      <c r="L367" s="1">
        <f t="shared" si="34"/>
        <v>3</v>
      </c>
      <c r="M367" s="1">
        <v>48</v>
      </c>
      <c r="N367" s="1" t="s">
        <v>989</v>
      </c>
      <c r="O367" s="1">
        <f t="shared" si="35"/>
        <v>1</v>
      </c>
      <c r="P367" s="1">
        <v>6</v>
      </c>
      <c r="Q367" s="1">
        <v>25</v>
      </c>
      <c r="R367" s="1">
        <v>3000000</v>
      </c>
      <c r="S367" s="1">
        <v>2</v>
      </c>
    </row>
    <row r="368" spans="1:19" ht="12.75" customHeight="1" x14ac:dyDescent="0.15">
      <c r="A368" s="5" t="s">
        <v>269</v>
      </c>
      <c r="B368" s="1" t="e">
        <f ca="1">_xludf.LET(_xlpm.x,LOWER(TRIM(A368)),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8" s="5" t="s">
        <v>223</v>
      </c>
      <c r="D368" s="1">
        <f t="shared" si="30"/>
        <v>0</v>
      </c>
      <c r="F368" s="1" t="str">
        <f t="shared" si="31"/>
        <v/>
      </c>
      <c r="G368" s="5" t="s">
        <v>204</v>
      </c>
      <c r="H368" s="1">
        <f t="shared" si="32"/>
        <v>1</v>
      </c>
      <c r="I368" s="5" t="s">
        <v>215</v>
      </c>
      <c r="J368" s="1">
        <f t="shared" si="33"/>
        <v>2</v>
      </c>
      <c r="K368" s="5" t="s">
        <v>215</v>
      </c>
      <c r="L368" s="1">
        <f t="shared" si="34"/>
        <v>2</v>
      </c>
      <c r="M368" s="1">
        <v>48</v>
      </c>
      <c r="N368" s="1" t="s">
        <v>989</v>
      </c>
      <c r="O368" s="1">
        <f t="shared" si="35"/>
        <v>1</v>
      </c>
      <c r="P368" s="1">
        <v>14</v>
      </c>
      <c r="Q368" s="1">
        <v>34</v>
      </c>
      <c r="R368" s="1">
        <v>-99</v>
      </c>
      <c r="S368" s="1">
        <v>2</v>
      </c>
    </row>
    <row r="369" spans="1:19" ht="12.75" customHeight="1" x14ac:dyDescent="0.15">
      <c r="A369" s="5" t="s">
        <v>269</v>
      </c>
      <c r="B369" s="1" t="e">
        <f ca="1">_xludf.LET(_xlpm.x,LOWER(TRIM(A369)),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9" s="5" t="s">
        <v>223</v>
      </c>
      <c r="D369" s="1">
        <f t="shared" si="30"/>
        <v>0</v>
      </c>
      <c r="E369" s="5" t="s">
        <v>204</v>
      </c>
      <c r="F369" s="1">
        <f t="shared" si="31"/>
        <v>1</v>
      </c>
      <c r="G369" s="5" t="s">
        <v>204</v>
      </c>
      <c r="H369" s="1">
        <f t="shared" si="32"/>
        <v>1</v>
      </c>
      <c r="I369" s="5" t="s">
        <v>278</v>
      </c>
      <c r="J369" s="1">
        <f t="shared" si="33"/>
        <v>5</v>
      </c>
      <c r="K369" s="5" t="s">
        <v>278</v>
      </c>
      <c r="L369" s="1">
        <f t="shared" si="34"/>
        <v>5</v>
      </c>
      <c r="M369" s="1">
        <v>49</v>
      </c>
      <c r="N369" s="1" t="s">
        <v>987</v>
      </c>
      <c r="O369" s="1">
        <f t="shared" si="35"/>
        <v>0</v>
      </c>
      <c r="P369" s="1">
        <v>14</v>
      </c>
      <c r="Q369" s="1">
        <v>16</v>
      </c>
      <c r="R369" s="1">
        <v>0</v>
      </c>
      <c r="S369" s="1">
        <v>3</v>
      </c>
    </row>
    <row r="370" spans="1:19" ht="12.75" customHeight="1" x14ac:dyDescent="0.15">
      <c r="A370" s="5" t="s">
        <v>269</v>
      </c>
      <c r="B370" s="1" t="e">
        <f ca="1">_xludf.LET(_xlpm.x,LOWER(TRIM(A370)),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0" s="5" t="s">
        <v>223</v>
      </c>
      <c r="D370" s="1">
        <f t="shared" si="30"/>
        <v>0</v>
      </c>
      <c r="E370" s="5" t="s">
        <v>204</v>
      </c>
      <c r="F370" s="1">
        <f t="shared" si="31"/>
        <v>1</v>
      </c>
      <c r="G370" s="5" t="s">
        <v>204</v>
      </c>
      <c r="H370" s="1">
        <f t="shared" si="32"/>
        <v>1</v>
      </c>
      <c r="I370" s="5" t="s">
        <v>278</v>
      </c>
      <c r="J370" s="1">
        <f t="shared" si="33"/>
        <v>5</v>
      </c>
      <c r="K370" s="5" t="s">
        <v>215</v>
      </c>
      <c r="L370" s="1">
        <f t="shared" si="34"/>
        <v>2</v>
      </c>
      <c r="M370" s="1">
        <v>49</v>
      </c>
      <c r="N370" s="1" t="s">
        <v>989</v>
      </c>
      <c r="O370" s="1">
        <f t="shared" si="35"/>
        <v>1</v>
      </c>
      <c r="P370" s="1">
        <v>12</v>
      </c>
      <c r="Q370" s="1">
        <v>15</v>
      </c>
      <c r="R370" s="1">
        <v>750000</v>
      </c>
      <c r="S370" s="1">
        <v>3</v>
      </c>
    </row>
    <row r="371" spans="1:19" ht="12.75" customHeight="1" x14ac:dyDescent="0.15">
      <c r="A371" s="5" t="s">
        <v>213</v>
      </c>
      <c r="B371" s="1" t="e">
        <f ca="1">_xludf.LET(_xlpm.x,LOWER(TRIM(A371)),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1" s="5" t="s">
        <v>223</v>
      </c>
      <c r="D371" s="1">
        <f t="shared" si="30"/>
        <v>0</v>
      </c>
      <c r="F371" s="1" t="str">
        <f t="shared" si="31"/>
        <v/>
      </c>
      <c r="G371" s="5" t="s">
        <v>204</v>
      </c>
      <c r="H371" s="1">
        <f t="shared" si="32"/>
        <v>1</v>
      </c>
      <c r="I371" s="5" t="s">
        <v>215</v>
      </c>
      <c r="J371" s="1">
        <f t="shared" si="33"/>
        <v>2</v>
      </c>
      <c r="K371" s="5" t="s">
        <v>215</v>
      </c>
      <c r="L371" s="1">
        <f t="shared" si="34"/>
        <v>2</v>
      </c>
      <c r="M371" s="1">
        <v>49</v>
      </c>
      <c r="N371" s="1" t="s">
        <v>987</v>
      </c>
      <c r="O371" s="1">
        <f t="shared" si="35"/>
        <v>0</v>
      </c>
      <c r="P371" s="1">
        <v>17</v>
      </c>
      <c r="Q371" s="1">
        <v>34</v>
      </c>
      <c r="R371" s="1">
        <v>800000</v>
      </c>
      <c r="S371" s="1">
        <v>4</v>
      </c>
    </row>
    <row r="372" spans="1:19" ht="12.75" customHeight="1" x14ac:dyDescent="0.15">
      <c r="A372" s="5" t="s">
        <v>213</v>
      </c>
      <c r="B372" s="1" t="e">
        <f ca="1">_xludf.LET(_xlpm.x,LOWER(TRIM(A372)),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2" s="5" t="s">
        <v>223</v>
      </c>
      <c r="D372" s="1">
        <f t="shared" si="30"/>
        <v>0</v>
      </c>
      <c r="E372" s="5" t="s">
        <v>206</v>
      </c>
      <c r="F372" s="1">
        <f t="shared" si="31"/>
        <v>0</v>
      </c>
      <c r="G372" s="5" t="s">
        <v>204</v>
      </c>
      <c r="H372" s="1">
        <f t="shared" si="32"/>
        <v>1</v>
      </c>
      <c r="I372" s="5" t="s">
        <v>278</v>
      </c>
      <c r="J372" s="1">
        <f t="shared" si="33"/>
        <v>5</v>
      </c>
      <c r="K372" s="5" t="s">
        <v>278</v>
      </c>
      <c r="L372" s="1">
        <f t="shared" si="34"/>
        <v>5</v>
      </c>
      <c r="M372" s="1">
        <v>49</v>
      </c>
      <c r="N372" s="1" t="s">
        <v>987</v>
      </c>
      <c r="O372" s="1">
        <f t="shared" si="35"/>
        <v>0</v>
      </c>
      <c r="P372" s="1">
        <v>17</v>
      </c>
      <c r="Q372" s="1">
        <v>34</v>
      </c>
      <c r="R372" s="1">
        <v>800000</v>
      </c>
      <c r="S372" s="1">
        <v>4</v>
      </c>
    </row>
    <row r="373" spans="1:19" ht="12.75" customHeight="1" x14ac:dyDescent="0.15">
      <c r="A373" s="5" t="s">
        <v>269</v>
      </c>
      <c r="B373" s="1" t="e">
        <f ca="1">_xludf.LET(_xlpm.x,LOWER(TRIM(A373)),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3" s="5" t="s">
        <v>223</v>
      </c>
      <c r="D373" s="1">
        <f t="shared" si="30"/>
        <v>0</v>
      </c>
      <c r="E373" s="5" t="s">
        <v>204</v>
      </c>
      <c r="F373" s="1">
        <f t="shared" si="31"/>
        <v>1</v>
      </c>
      <c r="G373" s="5" t="s">
        <v>204</v>
      </c>
      <c r="H373" s="1">
        <f t="shared" si="32"/>
        <v>1</v>
      </c>
      <c r="I373" s="5" t="s">
        <v>215</v>
      </c>
      <c r="J373" s="1">
        <f t="shared" si="33"/>
        <v>2</v>
      </c>
      <c r="K373" s="5" t="s">
        <v>271</v>
      </c>
      <c r="L373" s="1">
        <f t="shared" si="34"/>
        <v>4</v>
      </c>
      <c r="M373" s="1">
        <v>49</v>
      </c>
      <c r="N373" s="1" t="s">
        <v>987</v>
      </c>
      <c r="O373" s="1">
        <f t="shared" si="35"/>
        <v>0</v>
      </c>
      <c r="P373" s="1">
        <v>16</v>
      </c>
      <c r="Q373" s="1">
        <v>21</v>
      </c>
      <c r="R373" s="1">
        <v>600000</v>
      </c>
      <c r="S373" s="1">
        <v>2</v>
      </c>
    </row>
    <row r="374" spans="1:19" ht="12.75" customHeight="1" x14ac:dyDescent="0.15">
      <c r="A374" s="5" t="s">
        <v>285</v>
      </c>
      <c r="B374" s="1" t="e">
        <f ca="1">_xludf.LET(_xlpm.x,LOWER(TRIM(A374)),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4" s="5" t="s">
        <v>223</v>
      </c>
      <c r="D374" s="1">
        <f t="shared" si="30"/>
        <v>0</v>
      </c>
      <c r="F374" s="1" t="str">
        <f t="shared" si="31"/>
        <v/>
      </c>
      <c r="G374" s="5" t="s">
        <v>204</v>
      </c>
      <c r="H374" s="1">
        <f t="shared" si="32"/>
        <v>1</v>
      </c>
      <c r="I374" s="5" t="s">
        <v>278</v>
      </c>
      <c r="J374" s="1">
        <f t="shared" si="33"/>
        <v>5</v>
      </c>
      <c r="K374" s="5" t="s">
        <v>271</v>
      </c>
      <c r="L374" s="1">
        <f t="shared" si="34"/>
        <v>4</v>
      </c>
      <c r="M374" s="1">
        <v>49</v>
      </c>
      <c r="N374" s="1" t="s">
        <v>990</v>
      </c>
      <c r="O374" s="1">
        <f t="shared" si="35"/>
        <v>0</v>
      </c>
      <c r="P374" s="1">
        <v>4</v>
      </c>
      <c r="Q374" s="1">
        <v>24</v>
      </c>
      <c r="R374" s="1">
        <v>0</v>
      </c>
      <c r="S374" s="1">
        <v>4</v>
      </c>
    </row>
    <row r="375" spans="1:19" ht="12.75" customHeight="1" x14ac:dyDescent="0.15">
      <c r="A375" s="5" t="s">
        <v>269</v>
      </c>
      <c r="B375" s="1" t="e">
        <f ca="1">_xludf.LET(_xlpm.x,LOWER(TRIM(A375)),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5" s="5" t="s">
        <v>223</v>
      </c>
      <c r="D375" s="1">
        <f t="shared" si="30"/>
        <v>0</v>
      </c>
      <c r="E375" s="5" t="s">
        <v>204</v>
      </c>
      <c r="F375" s="1">
        <f t="shared" si="31"/>
        <v>1</v>
      </c>
      <c r="G375" s="5" t="s">
        <v>204</v>
      </c>
      <c r="H375" s="1">
        <f t="shared" si="32"/>
        <v>1</v>
      </c>
      <c r="I375" s="5" t="s">
        <v>278</v>
      </c>
      <c r="J375" s="1">
        <f t="shared" si="33"/>
        <v>5</v>
      </c>
      <c r="K375" s="5" t="s">
        <v>271</v>
      </c>
      <c r="L375" s="1">
        <f t="shared" si="34"/>
        <v>4</v>
      </c>
      <c r="M375" s="1">
        <v>49</v>
      </c>
      <c r="N375" s="1" t="s">
        <v>990</v>
      </c>
      <c r="O375" s="1">
        <f t="shared" si="35"/>
        <v>0</v>
      </c>
      <c r="P375" s="1">
        <v>16</v>
      </c>
      <c r="Q375" s="1">
        <v>24</v>
      </c>
      <c r="R375" s="1">
        <v>-99</v>
      </c>
      <c r="S375" s="1">
        <v>3</v>
      </c>
    </row>
    <row r="376" spans="1:19" ht="12.75" customHeight="1" x14ac:dyDescent="0.15">
      <c r="A376" s="5" t="s">
        <v>302</v>
      </c>
      <c r="B376" s="1" t="e">
        <f ca="1">_xludf.LET(_xlpm.x,LOWER(TRIM(A376)),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6" s="5" t="s">
        <v>223</v>
      </c>
      <c r="D376" s="1">
        <f t="shared" si="30"/>
        <v>0</v>
      </c>
      <c r="E376" s="5" t="s">
        <v>206</v>
      </c>
      <c r="F376" s="1">
        <f t="shared" si="31"/>
        <v>0</v>
      </c>
      <c r="G376" s="5" t="s">
        <v>204</v>
      </c>
      <c r="H376" s="1">
        <f t="shared" si="32"/>
        <v>1</v>
      </c>
      <c r="I376" s="5" t="s">
        <v>207</v>
      </c>
      <c r="J376" s="1" t="str">
        <f t="shared" si="33"/>
        <v/>
      </c>
      <c r="K376" s="5" t="s">
        <v>242</v>
      </c>
      <c r="L376" s="1">
        <f t="shared" si="34"/>
        <v>3</v>
      </c>
      <c r="M376" s="1">
        <v>49</v>
      </c>
      <c r="N376" s="1" t="s">
        <v>990</v>
      </c>
      <c r="O376" s="1">
        <f t="shared" si="35"/>
        <v>0</v>
      </c>
      <c r="P376" s="1">
        <v>3</v>
      </c>
      <c r="Q376" s="1">
        <v>3</v>
      </c>
      <c r="R376" s="1">
        <v>400000</v>
      </c>
      <c r="S376" s="1">
        <v>5</v>
      </c>
    </row>
    <row r="377" spans="1:19" ht="12.75" customHeight="1" x14ac:dyDescent="0.15">
      <c r="A377" s="5" t="s">
        <v>277</v>
      </c>
      <c r="B377" s="1" t="e">
        <f ca="1">_xludf.LET(_xlpm.x,LOWER(TRIM(A377)),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7" s="5" t="s">
        <v>223</v>
      </c>
      <c r="D377" s="1">
        <f t="shared" si="30"/>
        <v>0</v>
      </c>
      <c r="E377" s="5" t="s">
        <v>204</v>
      </c>
      <c r="F377" s="1">
        <f t="shared" si="31"/>
        <v>1</v>
      </c>
      <c r="G377" s="5" t="s">
        <v>204</v>
      </c>
      <c r="H377" s="1">
        <f t="shared" si="32"/>
        <v>1</v>
      </c>
      <c r="I377" s="5" t="s">
        <v>242</v>
      </c>
      <c r="J377" s="1">
        <f t="shared" si="33"/>
        <v>3</v>
      </c>
      <c r="K377" s="5" t="s">
        <v>278</v>
      </c>
      <c r="L377" s="1">
        <f t="shared" si="34"/>
        <v>5</v>
      </c>
      <c r="M377" s="1">
        <v>49</v>
      </c>
      <c r="N377" s="1" t="s">
        <v>990</v>
      </c>
      <c r="O377" s="1">
        <f t="shared" si="35"/>
        <v>0</v>
      </c>
      <c r="P377" s="1">
        <v>3</v>
      </c>
      <c r="Q377" s="1">
        <v>3</v>
      </c>
      <c r="R377" s="1">
        <v>400000</v>
      </c>
      <c r="S377" s="1">
        <v>5</v>
      </c>
    </row>
    <row r="378" spans="1:19" ht="12.75" customHeight="1" x14ac:dyDescent="0.15">
      <c r="A378" s="5" t="s">
        <v>213</v>
      </c>
      <c r="B378" s="1" t="e">
        <f ca="1">_xludf.LET(_xlpm.x,LOWER(TRIM(A378)),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8" s="5" t="s">
        <v>223</v>
      </c>
      <c r="D378" s="1">
        <f t="shared" si="30"/>
        <v>0</v>
      </c>
      <c r="F378" s="1" t="str">
        <f t="shared" si="31"/>
        <v/>
      </c>
      <c r="G378" s="5" t="s">
        <v>204</v>
      </c>
      <c r="H378" s="1">
        <f t="shared" si="32"/>
        <v>1</v>
      </c>
      <c r="I378" s="5" t="s">
        <v>215</v>
      </c>
      <c r="J378" s="1">
        <f t="shared" si="33"/>
        <v>2</v>
      </c>
      <c r="K378" s="5" t="s">
        <v>215</v>
      </c>
      <c r="L378" s="1">
        <f t="shared" si="34"/>
        <v>2</v>
      </c>
      <c r="M378" s="1">
        <v>49</v>
      </c>
      <c r="N378" s="1" t="s">
        <v>987</v>
      </c>
      <c r="O378" s="1">
        <f t="shared" si="35"/>
        <v>0</v>
      </c>
      <c r="P378" s="1">
        <v>14</v>
      </c>
      <c r="Q378" s="1">
        <v>1</v>
      </c>
      <c r="R378" s="1">
        <v>49000</v>
      </c>
      <c r="S378" s="1">
        <v>3</v>
      </c>
    </row>
    <row r="379" spans="1:19" ht="12.75" customHeight="1" x14ac:dyDescent="0.15">
      <c r="A379" s="5" t="s">
        <v>213</v>
      </c>
      <c r="B379" s="1" t="e">
        <f ca="1">_xludf.LET(_xlpm.x,LOWER(TRIM(A379)),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9" s="5" t="s">
        <v>223</v>
      </c>
      <c r="D379" s="1">
        <f t="shared" si="30"/>
        <v>0</v>
      </c>
      <c r="F379" s="1" t="str">
        <f t="shared" si="31"/>
        <v/>
      </c>
      <c r="G379" s="5" t="s">
        <v>204</v>
      </c>
      <c r="H379" s="1">
        <f t="shared" si="32"/>
        <v>1</v>
      </c>
      <c r="I379" s="5" t="s">
        <v>278</v>
      </c>
      <c r="J379" s="1">
        <f t="shared" si="33"/>
        <v>5</v>
      </c>
      <c r="K379" s="5" t="s">
        <v>215</v>
      </c>
      <c r="L379" s="1">
        <f t="shared" si="34"/>
        <v>2</v>
      </c>
      <c r="M379" s="1">
        <v>49</v>
      </c>
      <c r="N379" s="1" t="s">
        <v>989</v>
      </c>
      <c r="O379" s="1">
        <f t="shared" si="35"/>
        <v>1</v>
      </c>
      <c r="P379" s="1">
        <v>13</v>
      </c>
      <c r="Q379" s="1">
        <v>2</v>
      </c>
      <c r="R379" s="1">
        <v>250000</v>
      </c>
      <c r="S379" s="1">
        <v>1</v>
      </c>
    </row>
    <row r="380" spans="1:19" ht="12.75" customHeight="1" x14ac:dyDescent="0.15">
      <c r="A380" s="5" t="s">
        <v>285</v>
      </c>
      <c r="B380" s="1" t="e">
        <f ca="1">_xludf.LET(_xlpm.x,LOWER(TRIM(A380)),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0" s="5" t="s">
        <v>223</v>
      </c>
      <c r="D380" s="1">
        <f t="shared" si="30"/>
        <v>0</v>
      </c>
      <c r="E380" s="5" t="s">
        <v>204</v>
      </c>
      <c r="F380" s="1">
        <f t="shared" si="31"/>
        <v>1</v>
      </c>
      <c r="G380" s="5" t="s">
        <v>204</v>
      </c>
      <c r="H380" s="1">
        <f t="shared" si="32"/>
        <v>1</v>
      </c>
      <c r="I380" s="5" t="s">
        <v>278</v>
      </c>
      <c r="J380" s="1">
        <f t="shared" si="33"/>
        <v>5</v>
      </c>
      <c r="K380" s="5" t="s">
        <v>278</v>
      </c>
      <c r="L380" s="1">
        <f t="shared" si="34"/>
        <v>5</v>
      </c>
      <c r="M380" s="1">
        <v>49</v>
      </c>
      <c r="N380" s="1" t="s">
        <v>995</v>
      </c>
      <c r="O380" s="1">
        <f t="shared" si="35"/>
        <v>0</v>
      </c>
      <c r="P380" s="1">
        <v>18</v>
      </c>
      <c r="Q380" s="1">
        <v>6</v>
      </c>
      <c r="R380" s="1">
        <v>500000</v>
      </c>
      <c r="S380" s="1">
        <v>4</v>
      </c>
    </row>
    <row r="381" spans="1:19" ht="12.75" customHeight="1" x14ac:dyDescent="0.15">
      <c r="A381" s="5" t="s">
        <v>269</v>
      </c>
      <c r="B381" s="1" t="e">
        <f ca="1">_xludf.LET(_xlpm.x,LOWER(TRIM(A381)),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1" s="5" t="s">
        <v>223</v>
      </c>
      <c r="D381" s="1">
        <f t="shared" si="30"/>
        <v>0</v>
      </c>
      <c r="F381" s="1" t="str">
        <f t="shared" si="31"/>
        <v/>
      </c>
      <c r="G381" s="5" t="s">
        <v>204</v>
      </c>
      <c r="H381" s="1">
        <f t="shared" si="32"/>
        <v>1</v>
      </c>
      <c r="I381" s="5" t="s">
        <v>207</v>
      </c>
      <c r="J381" s="1" t="str">
        <f t="shared" si="33"/>
        <v/>
      </c>
      <c r="K381" s="5" t="s">
        <v>242</v>
      </c>
      <c r="L381" s="1">
        <f t="shared" si="34"/>
        <v>3</v>
      </c>
      <c r="M381" s="1">
        <v>49</v>
      </c>
      <c r="N381" s="1" t="s">
        <v>995</v>
      </c>
      <c r="O381" s="1">
        <f t="shared" si="35"/>
        <v>0</v>
      </c>
      <c r="P381" s="1">
        <v>5</v>
      </c>
      <c r="Q381" s="1">
        <v>28</v>
      </c>
      <c r="R381" s="1">
        <v>500000</v>
      </c>
      <c r="S381" s="1">
        <v>4</v>
      </c>
    </row>
    <row r="382" spans="1:19" ht="12.75" customHeight="1" x14ac:dyDescent="0.15">
      <c r="A382" s="5" t="s">
        <v>285</v>
      </c>
      <c r="B382" s="1" t="e">
        <f ca="1">_xludf.LET(_xlpm.x,LOWER(TRIM(A382)),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2" s="5" t="s">
        <v>223</v>
      </c>
      <c r="D382" s="1">
        <f t="shared" si="30"/>
        <v>0</v>
      </c>
      <c r="E382" s="5" t="s">
        <v>204</v>
      </c>
      <c r="F382" s="1">
        <f t="shared" si="31"/>
        <v>1</v>
      </c>
      <c r="G382" s="5" t="s">
        <v>204</v>
      </c>
      <c r="H382" s="1">
        <f t="shared" si="32"/>
        <v>1</v>
      </c>
      <c r="I382" s="5" t="s">
        <v>207</v>
      </c>
      <c r="J382" s="1" t="str">
        <f t="shared" si="33"/>
        <v/>
      </c>
      <c r="K382" s="5" t="s">
        <v>264</v>
      </c>
      <c r="L382" s="1">
        <f t="shared" si="34"/>
        <v>1</v>
      </c>
      <c r="M382" s="1">
        <v>49</v>
      </c>
      <c r="N382" s="1" t="s">
        <v>989</v>
      </c>
      <c r="O382" s="1">
        <f t="shared" si="35"/>
        <v>1</v>
      </c>
      <c r="P382" s="1">
        <v>18</v>
      </c>
      <c r="Q382" s="1">
        <v>2</v>
      </c>
      <c r="R382" s="1">
        <v>900000</v>
      </c>
      <c r="S382" s="1">
        <v>1</v>
      </c>
    </row>
    <row r="383" spans="1:19" ht="12.75" customHeight="1" x14ac:dyDescent="0.15">
      <c r="A383" s="5" t="s">
        <v>285</v>
      </c>
      <c r="B383" s="1" t="e">
        <f ca="1">_xludf.LET(_xlpm.x,LOWER(TRIM(A383)),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3" s="5" t="s">
        <v>223</v>
      </c>
      <c r="D383" s="1">
        <f t="shared" si="30"/>
        <v>0</v>
      </c>
      <c r="E383" s="5" t="s">
        <v>204</v>
      </c>
      <c r="F383" s="1">
        <f t="shared" si="31"/>
        <v>1</v>
      </c>
      <c r="G383" s="5" t="s">
        <v>204</v>
      </c>
      <c r="H383" s="1">
        <f t="shared" si="32"/>
        <v>1</v>
      </c>
      <c r="I383" s="5" t="s">
        <v>207</v>
      </c>
      <c r="J383" s="1" t="str">
        <f t="shared" si="33"/>
        <v/>
      </c>
      <c r="K383" s="5" t="s">
        <v>207</v>
      </c>
      <c r="L383" s="1" t="str">
        <f t="shared" si="34"/>
        <v/>
      </c>
      <c r="M383" s="1">
        <v>49</v>
      </c>
      <c r="N383" s="1" t="s">
        <v>1001</v>
      </c>
      <c r="O383" s="1">
        <f t="shared" si="35"/>
        <v>0</v>
      </c>
      <c r="P383" s="1">
        <v>14</v>
      </c>
      <c r="Q383" s="1">
        <v>1</v>
      </c>
      <c r="R383" s="1">
        <v>500000</v>
      </c>
      <c r="S383" s="1">
        <v>3</v>
      </c>
    </row>
    <row r="384" spans="1:19" ht="12.75" customHeight="1" x14ac:dyDescent="0.15">
      <c r="A384" s="5" t="s">
        <v>302</v>
      </c>
      <c r="B384" s="1" t="e">
        <f ca="1">_xludf.LET(_xlpm.x,LOWER(TRIM(A384)),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4" s="5" t="s">
        <v>223</v>
      </c>
      <c r="D384" s="1">
        <f t="shared" si="30"/>
        <v>0</v>
      </c>
      <c r="F384" s="1" t="str">
        <f t="shared" si="31"/>
        <v/>
      </c>
      <c r="G384" s="5" t="s">
        <v>204</v>
      </c>
      <c r="H384" s="1">
        <f t="shared" si="32"/>
        <v>1</v>
      </c>
      <c r="I384" s="5" t="s">
        <v>278</v>
      </c>
      <c r="J384" s="1">
        <f t="shared" si="33"/>
        <v>5</v>
      </c>
      <c r="K384" s="5" t="s">
        <v>242</v>
      </c>
      <c r="L384" s="1">
        <f t="shared" si="34"/>
        <v>3</v>
      </c>
      <c r="M384" s="1">
        <v>50</v>
      </c>
      <c r="N384" s="1" t="s">
        <v>989</v>
      </c>
      <c r="O384" s="1">
        <f t="shared" si="35"/>
        <v>1</v>
      </c>
      <c r="P384" s="1">
        <v>16</v>
      </c>
      <c r="Q384" s="1">
        <v>34</v>
      </c>
      <c r="R384" s="1">
        <v>5400000</v>
      </c>
      <c r="S384" s="1">
        <v>1</v>
      </c>
    </row>
    <row r="385" spans="1:19" ht="12.75" customHeight="1" x14ac:dyDescent="0.15">
      <c r="A385" s="5" t="s">
        <v>213</v>
      </c>
      <c r="B385" s="1" t="e">
        <f ca="1">_xludf.LET(_xlpm.x,LOWER(TRIM(A385)),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5" s="5" t="s">
        <v>223</v>
      </c>
      <c r="D385" s="1">
        <f t="shared" si="30"/>
        <v>0</v>
      </c>
      <c r="E385" s="5" t="s">
        <v>206</v>
      </c>
      <c r="F385" s="1">
        <f t="shared" si="31"/>
        <v>0</v>
      </c>
      <c r="G385" s="5" t="s">
        <v>204</v>
      </c>
      <c r="H385" s="1">
        <f t="shared" si="32"/>
        <v>1</v>
      </c>
      <c r="I385" s="5" t="s">
        <v>242</v>
      </c>
      <c r="J385" s="1">
        <f t="shared" si="33"/>
        <v>3</v>
      </c>
      <c r="K385" s="5" t="s">
        <v>271</v>
      </c>
      <c r="L385" s="1">
        <f t="shared" si="34"/>
        <v>4</v>
      </c>
      <c r="M385" s="1">
        <v>50</v>
      </c>
      <c r="N385" s="1" t="s">
        <v>989</v>
      </c>
      <c r="O385" s="1">
        <f t="shared" si="35"/>
        <v>1</v>
      </c>
      <c r="P385" s="1">
        <v>16</v>
      </c>
      <c r="Q385" s="1">
        <v>34</v>
      </c>
      <c r="R385" s="1">
        <v>7000000</v>
      </c>
      <c r="S385" s="1">
        <v>3</v>
      </c>
    </row>
    <row r="386" spans="1:19" ht="12.75" customHeight="1" x14ac:dyDescent="0.15">
      <c r="A386" s="5" t="s">
        <v>285</v>
      </c>
      <c r="B386" s="1" t="e">
        <f ca="1">_xludf.LET(_xlpm.x,LOWER(TRIM(A386)),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6" s="5" t="s">
        <v>223</v>
      </c>
      <c r="D386" s="1">
        <f t="shared" ref="D386:D449" si="36">IF(C386="Chilena (exclusivamente)",0,1)</f>
        <v>0</v>
      </c>
      <c r="E386" s="5" t="s">
        <v>204</v>
      </c>
      <c r="F386" s="1">
        <f t="shared" ref="F386:F449" si="37">IF(ISBLANK(E386),"",IF(OR(E386="Sí",E386="Si"),1,IF(E386="No",0,"")))</f>
        <v>1</v>
      </c>
      <c r="G386" s="5" t="s">
        <v>204</v>
      </c>
      <c r="H386" s="1">
        <f t="shared" ref="H386:H449" si="38">IF(ISBLANK(G386),"",IF(OR(G386="Sí",G386="Si"),1,IF(G386="No",0,"")))</f>
        <v>1</v>
      </c>
      <c r="I386" s="5" t="s">
        <v>207</v>
      </c>
      <c r="J386" s="1" t="str">
        <f t="shared" ref="J386:J449" si="39">IF(OR(ISBLANK(I386),TRIM(I386)="No respondió",TRIM(I386)="No respondio",TRIM(I386)="No aplica"),
   "",
   IF(TRIM(I386)="Entre 1 a 2 horas",1,
     IF(TRIM(I386)="Más de 2 horas y menos de 4 horas",2,
       IF(TRIM(I386)="Entre 4 a 6 horas",3,
         IF(TRIM(I386)="Más de 6 horas y menos de 8 horas",4,
           IF(TRIM(I386)="Más de 8 horas",5,"")
         )
       )
     )
   )
)</f>
        <v/>
      </c>
      <c r="K386" s="5" t="s">
        <v>207</v>
      </c>
      <c r="L386" s="1" t="str">
        <f t="shared" ref="L386:L449" si="40">IF(OR(ISBLANK(K386),TRIM(K386)="No respondió",TRIM(K386)="No respondio",TRIM(K386)="No aplica"),
   "",
   IF(TRIM(K386)="Entre 1 a 2 horas",1,
     IF(TRIM(K386)="Más de 2 horas y menos de 4 horas",2,
       IF(TRIM(K386)="Entre 4 a 6 horas",3,
         IF(TRIM(K386)="Más de 6 horas y menos de 8 horas",4,
           IF(TRIM(K386)="Más de 8 horas",5,"")
         )
       )
     )
   )
)</f>
        <v/>
      </c>
      <c r="M386" s="1">
        <v>50</v>
      </c>
      <c r="N386" s="1" t="s">
        <v>989</v>
      </c>
      <c r="O386" s="1">
        <f t="shared" ref="O386:O449" si="41">IF(N386="METROPOLITANA",1,0)</f>
        <v>1</v>
      </c>
      <c r="P386" s="1">
        <v>16</v>
      </c>
      <c r="Q386" s="1">
        <v>34</v>
      </c>
      <c r="R386" s="1">
        <v>7000000</v>
      </c>
      <c r="S386" s="1">
        <v>3</v>
      </c>
    </row>
    <row r="387" spans="1:19" ht="12.75" customHeight="1" x14ac:dyDescent="0.15">
      <c r="A387" s="5" t="s">
        <v>213</v>
      </c>
      <c r="B387" s="1" t="e">
        <f ca="1">_xludf.LET(_xlpm.x,LOWER(TRIM(A387)),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7" s="5" t="s">
        <v>223</v>
      </c>
      <c r="D387" s="1">
        <f t="shared" si="36"/>
        <v>0</v>
      </c>
      <c r="F387" s="1" t="str">
        <f t="shared" si="37"/>
        <v/>
      </c>
      <c r="G387" s="5" t="s">
        <v>204</v>
      </c>
      <c r="H387" s="1">
        <f t="shared" si="38"/>
        <v>1</v>
      </c>
      <c r="I387" s="5" t="s">
        <v>278</v>
      </c>
      <c r="J387" s="1">
        <f t="shared" si="39"/>
        <v>5</v>
      </c>
      <c r="K387" s="5" t="s">
        <v>278</v>
      </c>
      <c r="L387" s="1">
        <f t="shared" si="40"/>
        <v>5</v>
      </c>
      <c r="M387" s="1">
        <v>50</v>
      </c>
      <c r="N387" s="1" t="s">
        <v>990</v>
      </c>
      <c r="O387" s="1">
        <f t="shared" si="41"/>
        <v>0</v>
      </c>
      <c r="P387" s="1">
        <v>4</v>
      </c>
      <c r="Q387" s="1">
        <v>32</v>
      </c>
      <c r="R387" s="1">
        <v>850000</v>
      </c>
      <c r="S387" s="1">
        <v>2</v>
      </c>
    </row>
    <row r="388" spans="1:19" ht="12.75" customHeight="1" x14ac:dyDescent="0.15">
      <c r="A388" s="5" t="s">
        <v>285</v>
      </c>
      <c r="B388" s="1" t="e">
        <f ca="1">_xludf.LET(_xlpm.x,LOWER(TRIM(A388)),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8" s="5" t="s">
        <v>223</v>
      </c>
      <c r="D388" s="1">
        <f t="shared" si="36"/>
        <v>0</v>
      </c>
      <c r="E388" s="5" t="s">
        <v>204</v>
      </c>
      <c r="F388" s="1">
        <f t="shared" si="37"/>
        <v>1</v>
      </c>
      <c r="G388" s="5" t="s">
        <v>204</v>
      </c>
      <c r="H388" s="1">
        <f t="shared" si="38"/>
        <v>1</v>
      </c>
      <c r="I388" s="5" t="s">
        <v>207</v>
      </c>
      <c r="J388" s="1" t="str">
        <f t="shared" si="39"/>
        <v/>
      </c>
      <c r="K388" s="5" t="s">
        <v>242</v>
      </c>
      <c r="L388" s="1">
        <f t="shared" si="40"/>
        <v>3</v>
      </c>
      <c r="M388" s="1">
        <v>50</v>
      </c>
      <c r="N388" s="1" t="s">
        <v>990</v>
      </c>
      <c r="O388" s="1">
        <f t="shared" si="41"/>
        <v>0</v>
      </c>
      <c r="P388" s="1">
        <v>4</v>
      </c>
      <c r="Q388" s="1">
        <v>32</v>
      </c>
      <c r="R388" s="1">
        <v>850000</v>
      </c>
      <c r="S388" s="1">
        <v>2</v>
      </c>
    </row>
    <row r="389" spans="1:19" ht="12.75" customHeight="1" x14ac:dyDescent="0.15">
      <c r="A389" s="5" t="s">
        <v>285</v>
      </c>
      <c r="B389" s="1" t="e">
        <f ca="1">_xludf.LET(_xlpm.x,LOWER(TRIM(A389)),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9" s="5" t="s">
        <v>223</v>
      </c>
      <c r="D389" s="1">
        <f t="shared" si="36"/>
        <v>0</v>
      </c>
      <c r="E389" s="5" t="s">
        <v>204</v>
      </c>
      <c r="F389" s="1">
        <f t="shared" si="37"/>
        <v>1</v>
      </c>
      <c r="G389" s="5" t="s">
        <v>204</v>
      </c>
      <c r="H389" s="1">
        <f t="shared" si="38"/>
        <v>1</v>
      </c>
      <c r="I389" s="5" t="s">
        <v>207</v>
      </c>
      <c r="J389" s="1" t="str">
        <f t="shared" si="39"/>
        <v/>
      </c>
      <c r="K389" s="5" t="s">
        <v>215</v>
      </c>
      <c r="L389" s="1">
        <f t="shared" si="40"/>
        <v>2</v>
      </c>
      <c r="M389" s="1">
        <v>50</v>
      </c>
      <c r="N389" s="1" t="s">
        <v>989</v>
      </c>
      <c r="O389" s="1">
        <f t="shared" si="41"/>
        <v>1</v>
      </c>
      <c r="P389" s="1">
        <v>4</v>
      </c>
      <c r="Q389" s="1">
        <v>2</v>
      </c>
      <c r="R389" s="1">
        <v>-99</v>
      </c>
      <c r="S389" s="1">
        <v>3</v>
      </c>
    </row>
    <row r="390" spans="1:19" ht="12.75" customHeight="1" x14ac:dyDescent="0.15">
      <c r="A390" s="5" t="s">
        <v>269</v>
      </c>
      <c r="B390" s="1" t="e">
        <f ca="1">_xludf.LET(_xlpm.x,LOWER(TRIM(A390)),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0" s="5" t="s">
        <v>223</v>
      </c>
      <c r="D390" s="1">
        <f t="shared" si="36"/>
        <v>0</v>
      </c>
      <c r="E390" s="5" t="s">
        <v>204</v>
      </c>
      <c r="F390" s="1">
        <f t="shared" si="37"/>
        <v>1</v>
      </c>
      <c r="G390" s="5" t="s">
        <v>204</v>
      </c>
      <c r="H390" s="1">
        <f t="shared" si="38"/>
        <v>1</v>
      </c>
      <c r="I390" s="5" t="s">
        <v>271</v>
      </c>
      <c r="J390" s="1">
        <f t="shared" si="39"/>
        <v>4</v>
      </c>
      <c r="K390" s="5" t="s">
        <v>215</v>
      </c>
      <c r="L390" s="1">
        <f t="shared" si="40"/>
        <v>2</v>
      </c>
      <c r="M390" s="1">
        <v>50</v>
      </c>
      <c r="N390" s="1" t="s">
        <v>995</v>
      </c>
      <c r="O390" s="1">
        <f t="shared" si="41"/>
        <v>0</v>
      </c>
      <c r="P390" s="1">
        <v>18</v>
      </c>
      <c r="Q390" s="1">
        <v>27</v>
      </c>
      <c r="R390" s="1">
        <v>900000</v>
      </c>
      <c r="S390" s="1">
        <v>2</v>
      </c>
    </row>
    <row r="391" spans="1:19" ht="12.75" customHeight="1" x14ac:dyDescent="0.15">
      <c r="A391" s="5" t="s">
        <v>277</v>
      </c>
      <c r="B391" s="1" t="e">
        <f ca="1">_xludf.LET(_xlpm.x,LOWER(TRIM(A391)),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1" s="5" t="s">
        <v>223</v>
      </c>
      <c r="D391" s="1">
        <f t="shared" si="36"/>
        <v>0</v>
      </c>
      <c r="F391" s="1" t="str">
        <f t="shared" si="37"/>
        <v/>
      </c>
      <c r="G391" s="5" t="s">
        <v>204</v>
      </c>
      <c r="H391" s="1">
        <f t="shared" si="38"/>
        <v>1</v>
      </c>
      <c r="I391" s="5" t="s">
        <v>215</v>
      </c>
      <c r="J391" s="1">
        <f t="shared" si="39"/>
        <v>2</v>
      </c>
      <c r="K391" s="5" t="s">
        <v>215</v>
      </c>
      <c r="L391" s="1">
        <f t="shared" si="40"/>
        <v>2</v>
      </c>
      <c r="M391" s="1">
        <v>51</v>
      </c>
      <c r="N391" s="1" t="s">
        <v>989</v>
      </c>
      <c r="O391" s="1">
        <f t="shared" si="41"/>
        <v>1</v>
      </c>
      <c r="P391" s="1">
        <v>16</v>
      </c>
      <c r="Q391" s="1">
        <v>34</v>
      </c>
      <c r="R391" s="1">
        <v>750000</v>
      </c>
      <c r="S391" s="1">
        <v>2</v>
      </c>
    </row>
    <row r="392" spans="1:19" ht="12.75" customHeight="1" x14ac:dyDescent="0.15">
      <c r="A392" s="5" t="s">
        <v>269</v>
      </c>
      <c r="B392" s="1" t="e">
        <f ca="1">_xludf.LET(_xlpm.x,LOWER(TRIM(A392)),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2" s="5" t="s">
        <v>223</v>
      </c>
      <c r="D392" s="1">
        <f t="shared" si="36"/>
        <v>0</v>
      </c>
      <c r="F392" s="1" t="str">
        <f t="shared" si="37"/>
        <v/>
      </c>
      <c r="G392" s="5" t="s">
        <v>204</v>
      </c>
      <c r="H392" s="1">
        <f t="shared" si="38"/>
        <v>1</v>
      </c>
      <c r="I392" s="5" t="s">
        <v>215</v>
      </c>
      <c r="J392" s="1">
        <f t="shared" si="39"/>
        <v>2</v>
      </c>
      <c r="K392" s="5" t="s">
        <v>215</v>
      </c>
      <c r="L392" s="1">
        <f t="shared" si="40"/>
        <v>2</v>
      </c>
      <c r="M392" s="1">
        <v>51</v>
      </c>
      <c r="N392" s="1" t="s">
        <v>990</v>
      </c>
      <c r="O392" s="1">
        <f t="shared" si="41"/>
        <v>0</v>
      </c>
      <c r="P392" s="1">
        <v>6</v>
      </c>
      <c r="Q392" s="1">
        <v>2</v>
      </c>
      <c r="R392" s="1">
        <v>700000</v>
      </c>
      <c r="S392" s="1">
        <v>2</v>
      </c>
    </row>
    <row r="393" spans="1:19" ht="12.75" customHeight="1" x14ac:dyDescent="0.15">
      <c r="A393" s="5" t="s">
        <v>302</v>
      </c>
      <c r="B393" s="1" t="e">
        <f ca="1">_xludf.LET(_xlpm.x,LOWER(TRIM(A393)),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3" s="5" t="s">
        <v>223</v>
      </c>
      <c r="D393" s="1">
        <f t="shared" si="36"/>
        <v>0</v>
      </c>
      <c r="F393" s="1" t="str">
        <f t="shared" si="37"/>
        <v/>
      </c>
      <c r="G393" s="5" t="s">
        <v>204</v>
      </c>
      <c r="H393" s="1">
        <f t="shared" si="38"/>
        <v>1</v>
      </c>
      <c r="I393" s="5" t="s">
        <v>264</v>
      </c>
      <c r="J393" s="1">
        <f t="shared" si="39"/>
        <v>1</v>
      </c>
      <c r="K393" s="5" t="s">
        <v>242</v>
      </c>
      <c r="L393" s="1">
        <f t="shared" si="40"/>
        <v>3</v>
      </c>
      <c r="M393" s="1">
        <v>51</v>
      </c>
      <c r="N393" s="1" t="s">
        <v>988</v>
      </c>
      <c r="O393" s="1">
        <f t="shared" si="41"/>
        <v>0</v>
      </c>
      <c r="P393" s="1">
        <v>14</v>
      </c>
      <c r="Q393" s="1">
        <v>29</v>
      </c>
      <c r="R393" s="1">
        <v>800000</v>
      </c>
      <c r="S393" s="1">
        <v>4</v>
      </c>
    </row>
    <row r="394" spans="1:19" ht="12.75" customHeight="1" x14ac:dyDescent="0.15">
      <c r="A394" s="5" t="s">
        <v>269</v>
      </c>
      <c r="B394" s="1" t="e">
        <f ca="1">_xludf.LET(_xlpm.x,LOWER(TRIM(A394)),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4" s="5" t="s">
        <v>223</v>
      </c>
      <c r="D394" s="1">
        <f t="shared" si="36"/>
        <v>0</v>
      </c>
      <c r="E394" s="5" t="s">
        <v>204</v>
      </c>
      <c r="F394" s="1">
        <f t="shared" si="37"/>
        <v>1</v>
      </c>
      <c r="G394" s="5" t="s">
        <v>204</v>
      </c>
      <c r="H394" s="1">
        <f t="shared" si="38"/>
        <v>1</v>
      </c>
      <c r="I394" s="5" t="s">
        <v>278</v>
      </c>
      <c r="J394" s="1">
        <f t="shared" si="39"/>
        <v>5</v>
      </c>
      <c r="K394" s="5" t="s">
        <v>278</v>
      </c>
      <c r="L394" s="1">
        <f t="shared" si="40"/>
        <v>5</v>
      </c>
      <c r="M394" s="1">
        <v>51</v>
      </c>
      <c r="N394" s="1" t="s">
        <v>996</v>
      </c>
      <c r="O394" s="1">
        <f t="shared" si="41"/>
        <v>0</v>
      </c>
      <c r="P394" s="1">
        <v>16</v>
      </c>
      <c r="Q394" s="1">
        <v>24</v>
      </c>
      <c r="R394" s="1">
        <v>780000</v>
      </c>
      <c r="S394" s="1">
        <v>3</v>
      </c>
    </row>
    <row r="395" spans="1:19" ht="12.75" customHeight="1" x14ac:dyDescent="0.15">
      <c r="A395" s="5" t="s">
        <v>213</v>
      </c>
      <c r="B395" s="1" t="e">
        <f ca="1">_xludf.LET(_xlpm.x,LOWER(TRIM(A395)),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5" s="5" t="s">
        <v>223</v>
      </c>
      <c r="D395" s="1">
        <f t="shared" si="36"/>
        <v>0</v>
      </c>
      <c r="F395" s="1" t="str">
        <f t="shared" si="37"/>
        <v/>
      </c>
      <c r="G395" s="5" t="s">
        <v>204</v>
      </c>
      <c r="H395" s="1">
        <f t="shared" si="38"/>
        <v>1</v>
      </c>
      <c r="I395" s="5" t="s">
        <v>271</v>
      </c>
      <c r="J395" s="1">
        <f t="shared" si="39"/>
        <v>4</v>
      </c>
      <c r="K395" s="5" t="s">
        <v>242</v>
      </c>
      <c r="L395" s="1">
        <f t="shared" si="40"/>
        <v>3</v>
      </c>
      <c r="M395" s="1">
        <v>51</v>
      </c>
      <c r="N395" s="1" t="s">
        <v>997</v>
      </c>
      <c r="O395" s="1">
        <f t="shared" si="41"/>
        <v>0</v>
      </c>
      <c r="P395" s="1">
        <v>14</v>
      </c>
      <c r="Q395" s="1">
        <v>2</v>
      </c>
      <c r="R395" s="1">
        <v>310000</v>
      </c>
      <c r="S395" s="1">
        <v>3</v>
      </c>
    </row>
    <row r="396" spans="1:19" ht="12.75" customHeight="1" x14ac:dyDescent="0.15">
      <c r="A396" s="5" t="s">
        <v>285</v>
      </c>
      <c r="B396" s="1" t="e">
        <f ca="1">_xludf.LET(_xlpm.x,LOWER(TRIM(A396)),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6" s="5" t="s">
        <v>223</v>
      </c>
      <c r="D396" s="1">
        <f t="shared" si="36"/>
        <v>0</v>
      </c>
      <c r="E396" s="5" t="s">
        <v>204</v>
      </c>
      <c r="F396" s="1">
        <f t="shared" si="37"/>
        <v>1</v>
      </c>
      <c r="G396" s="5" t="s">
        <v>204</v>
      </c>
      <c r="H396" s="1">
        <f t="shared" si="38"/>
        <v>1</v>
      </c>
      <c r="I396" s="5" t="s">
        <v>242</v>
      </c>
      <c r="J396" s="1">
        <f t="shared" si="39"/>
        <v>3</v>
      </c>
      <c r="K396" s="5" t="s">
        <v>215</v>
      </c>
      <c r="L396" s="1">
        <f t="shared" si="40"/>
        <v>2</v>
      </c>
      <c r="M396" s="1">
        <v>51</v>
      </c>
      <c r="N396" s="1" t="s">
        <v>989</v>
      </c>
      <c r="O396" s="1">
        <f t="shared" si="41"/>
        <v>1</v>
      </c>
      <c r="P396" s="1">
        <v>16</v>
      </c>
      <c r="Q396" s="1">
        <v>6</v>
      </c>
      <c r="R396" s="1">
        <v>200000</v>
      </c>
      <c r="S396" s="1">
        <v>4</v>
      </c>
    </row>
    <row r="397" spans="1:19" ht="12.75" customHeight="1" x14ac:dyDescent="0.15">
      <c r="A397" s="5" t="s">
        <v>213</v>
      </c>
      <c r="B397" s="1" t="e">
        <f ca="1">_xludf.LET(_xlpm.x,LOWER(TRIM(A397)),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7" s="5" t="s">
        <v>223</v>
      </c>
      <c r="D397" s="1">
        <f t="shared" si="36"/>
        <v>0</v>
      </c>
      <c r="F397" s="1" t="str">
        <f t="shared" si="37"/>
        <v/>
      </c>
      <c r="G397" s="5" t="s">
        <v>204</v>
      </c>
      <c r="H397" s="1">
        <f t="shared" si="38"/>
        <v>1</v>
      </c>
      <c r="I397" s="5" t="s">
        <v>278</v>
      </c>
      <c r="J397" s="1">
        <f t="shared" si="39"/>
        <v>5</v>
      </c>
      <c r="K397" s="5" t="s">
        <v>278</v>
      </c>
      <c r="L397" s="1">
        <f t="shared" si="40"/>
        <v>5</v>
      </c>
      <c r="M397" s="1">
        <v>51</v>
      </c>
      <c r="N397" s="1" t="s">
        <v>989</v>
      </c>
      <c r="O397" s="1">
        <f t="shared" si="41"/>
        <v>1</v>
      </c>
      <c r="P397" s="1">
        <v>2</v>
      </c>
      <c r="Q397" s="1">
        <v>24</v>
      </c>
      <c r="R397" s="1">
        <v>1400000</v>
      </c>
      <c r="S397" s="1">
        <v>1</v>
      </c>
    </row>
    <row r="398" spans="1:19" ht="12.75" customHeight="1" x14ac:dyDescent="0.15">
      <c r="A398" s="5" t="s">
        <v>213</v>
      </c>
      <c r="B398" s="1" t="e">
        <f ca="1">_xludf.LET(_xlpm.x,LOWER(TRIM(A398)),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8" s="5" t="s">
        <v>223</v>
      </c>
      <c r="D398" s="1">
        <f t="shared" si="36"/>
        <v>0</v>
      </c>
      <c r="F398" s="1" t="str">
        <f t="shared" si="37"/>
        <v/>
      </c>
      <c r="G398" s="5" t="s">
        <v>204</v>
      </c>
      <c r="H398" s="1">
        <f t="shared" si="38"/>
        <v>1</v>
      </c>
      <c r="I398" s="5" t="s">
        <v>207</v>
      </c>
      <c r="J398" s="1" t="str">
        <f t="shared" si="39"/>
        <v/>
      </c>
      <c r="K398" s="5" t="s">
        <v>264</v>
      </c>
      <c r="L398" s="1">
        <f t="shared" si="40"/>
        <v>1</v>
      </c>
      <c r="M398" s="1">
        <v>51</v>
      </c>
      <c r="N398" s="1" t="s">
        <v>995</v>
      </c>
      <c r="O398" s="1">
        <f t="shared" si="41"/>
        <v>0</v>
      </c>
      <c r="P398" s="1">
        <v>10</v>
      </c>
      <c r="Q398" s="1">
        <v>2</v>
      </c>
      <c r="R398" s="1">
        <v>-99</v>
      </c>
      <c r="S398" s="1">
        <v>4</v>
      </c>
    </row>
    <row r="399" spans="1:19" ht="12.75" customHeight="1" x14ac:dyDescent="0.15">
      <c r="A399" s="5" t="s">
        <v>269</v>
      </c>
      <c r="B399" s="1" t="e">
        <f ca="1">_xludf.LET(_xlpm.x,LOWER(TRIM(A399)),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9" s="5" t="s">
        <v>223</v>
      </c>
      <c r="D399" s="1">
        <f t="shared" si="36"/>
        <v>0</v>
      </c>
      <c r="E399" s="5" t="s">
        <v>204</v>
      </c>
      <c r="F399" s="1">
        <f t="shared" si="37"/>
        <v>1</v>
      </c>
      <c r="G399" s="5" t="s">
        <v>204</v>
      </c>
      <c r="H399" s="1">
        <f t="shared" si="38"/>
        <v>1</v>
      </c>
      <c r="I399" s="5" t="s">
        <v>242</v>
      </c>
      <c r="J399" s="1">
        <f t="shared" si="39"/>
        <v>3</v>
      </c>
      <c r="K399" s="5" t="s">
        <v>215</v>
      </c>
      <c r="L399" s="1">
        <f t="shared" si="40"/>
        <v>2</v>
      </c>
      <c r="M399" s="1">
        <v>51</v>
      </c>
      <c r="N399" s="1" t="s">
        <v>995</v>
      </c>
      <c r="O399" s="1">
        <f t="shared" si="41"/>
        <v>0</v>
      </c>
      <c r="P399" s="1">
        <v>10</v>
      </c>
      <c r="Q399" s="1">
        <v>2</v>
      </c>
      <c r="R399" s="1">
        <v>-99</v>
      </c>
      <c r="S399" s="1">
        <v>4</v>
      </c>
    </row>
    <row r="400" spans="1:19" ht="12.75" customHeight="1" x14ac:dyDescent="0.15">
      <c r="A400" s="5" t="s">
        <v>213</v>
      </c>
      <c r="B400" s="1" t="e">
        <f ca="1">_xludf.LET(_xlpm.x,LOWER(TRIM(A400)),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0" s="5" t="s">
        <v>223</v>
      </c>
      <c r="D400" s="1">
        <f t="shared" si="36"/>
        <v>0</v>
      </c>
      <c r="F400" s="1" t="str">
        <f t="shared" si="37"/>
        <v/>
      </c>
      <c r="G400" s="5" t="s">
        <v>204</v>
      </c>
      <c r="H400" s="1">
        <f t="shared" si="38"/>
        <v>1</v>
      </c>
      <c r="I400" s="5" t="s">
        <v>242</v>
      </c>
      <c r="J400" s="1">
        <f t="shared" si="39"/>
        <v>3</v>
      </c>
      <c r="K400" s="5" t="s">
        <v>242</v>
      </c>
      <c r="L400" s="1">
        <f t="shared" si="40"/>
        <v>3</v>
      </c>
      <c r="M400" s="1">
        <v>52</v>
      </c>
      <c r="N400" s="1" t="s">
        <v>989</v>
      </c>
      <c r="O400" s="1">
        <f t="shared" si="41"/>
        <v>1</v>
      </c>
      <c r="P400" s="1">
        <v>14</v>
      </c>
      <c r="Q400" s="1">
        <v>1</v>
      </c>
      <c r="R400" s="1">
        <v>0</v>
      </c>
      <c r="S400" s="1">
        <v>4</v>
      </c>
    </row>
    <row r="401" spans="1:19" ht="12.75" customHeight="1" x14ac:dyDescent="0.15">
      <c r="A401" s="5" t="s">
        <v>269</v>
      </c>
      <c r="B401" s="1" t="e">
        <f ca="1">_xludf.LET(_xlpm.x,LOWER(TRIM(A401)),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1" s="5" t="s">
        <v>223</v>
      </c>
      <c r="D401" s="1">
        <f t="shared" si="36"/>
        <v>0</v>
      </c>
      <c r="E401" s="5" t="s">
        <v>204</v>
      </c>
      <c r="F401" s="1">
        <f t="shared" si="37"/>
        <v>1</v>
      </c>
      <c r="G401" s="5" t="s">
        <v>204</v>
      </c>
      <c r="H401" s="1">
        <f t="shared" si="38"/>
        <v>1</v>
      </c>
      <c r="I401" s="5" t="s">
        <v>207</v>
      </c>
      <c r="J401" s="1" t="str">
        <f t="shared" si="39"/>
        <v/>
      </c>
      <c r="K401" s="5" t="s">
        <v>271</v>
      </c>
      <c r="L401" s="1">
        <f t="shared" si="40"/>
        <v>4</v>
      </c>
      <c r="M401" s="1">
        <v>52</v>
      </c>
      <c r="N401" s="1" t="s">
        <v>987</v>
      </c>
      <c r="O401" s="1">
        <f t="shared" si="41"/>
        <v>0</v>
      </c>
      <c r="P401" s="1">
        <v>15</v>
      </c>
      <c r="Q401" s="1">
        <v>24</v>
      </c>
      <c r="R401" s="1">
        <v>1100</v>
      </c>
      <c r="S401" s="1">
        <v>5</v>
      </c>
    </row>
    <row r="402" spans="1:19" ht="12.75" customHeight="1" x14ac:dyDescent="0.15">
      <c r="A402" s="5" t="s">
        <v>213</v>
      </c>
      <c r="B402" s="1" t="e">
        <f ca="1">_xludf.LET(_xlpm.x,LOWER(TRIM(A402)),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2" s="5" t="s">
        <v>223</v>
      </c>
      <c r="D402" s="1">
        <f t="shared" si="36"/>
        <v>0</v>
      </c>
      <c r="F402" s="1" t="str">
        <f t="shared" si="37"/>
        <v/>
      </c>
      <c r="G402" s="5" t="s">
        <v>204</v>
      </c>
      <c r="H402" s="1">
        <f t="shared" si="38"/>
        <v>1</v>
      </c>
      <c r="I402" s="5" t="s">
        <v>207</v>
      </c>
      <c r="J402" s="1" t="str">
        <f t="shared" si="39"/>
        <v/>
      </c>
      <c r="K402" s="5" t="s">
        <v>215</v>
      </c>
      <c r="L402" s="1">
        <f t="shared" si="40"/>
        <v>2</v>
      </c>
      <c r="M402" s="1">
        <v>52</v>
      </c>
      <c r="N402" s="1" t="s">
        <v>989</v>
      </c>
      <c r="O402" s="1">
        <f t="shared" si="41"/>
        <v>1</v>
      </c>
      <c r="P402" s="1">
        <v>14</v>
      </c>
      <c r="Q402" s="1">
        <v>15</v>
      </c>
      <c r="R402" s="1">
        <v>2300000</v>
      </c>
      <c r="S402" s="1">
        <v>3</v>
      </c>
    </row>
    <row r="403" spans="1:19" ht="12.75" customHeight="1" x14ac:dyDescent="0.15">
      <c r="A403" s="5" t="s">
        <v>302</v>
      </c>
      <c r="B403" s="1" t="e">
        <f ca="1">_xludf.LET(_xlpm.x,LOWER(TRIM(A403)),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3" s="5" t="s">
        <v>223</v>
      </c>
      <c r="D403" s="1">
        <f t="shared" si="36"/>
        <v>0</v>
      </c>
      <c r="F403" s="1" t="str">
        <f t="shared" si="37"/>
        <v/>
      </c>
      <c r="G403" s="5" t="s">
        <v>204</v>
      </c>
      <c r="H403" s="1">
        <f t="shared" si="38"/>
        <v>1</v>
      </c>
      <c r="I403" s="5" t="s">
        <v>271</v>
      </c>
      <c r="J403" s="1">
        <f t="shared" si="39"/>
        <v>4</v>
      </c>
      <c r="K403" s="5" t="s">
        <v>215</v>
      </c>
      <c r="L403" s="1">
        <f t="shared" si="40"/>
        <v>2</v>
      </c>
      <c r="M403" s="1">
        <v>52</v>
      </c>
      <c r="N403" s="1" t="s">
        <v>995</v>
      </c>
      <c r="O403" s="1">
        <f t="shared" si="41"/>
        <v>0</v>
      </c>
      <c r="P403" s="1">
        <v>2</v>
      </c>
      <c r="Q403" s="1">
        <v>2</v>
      </c>
      <c r="R403" s="1">
        <v>0</v>
      </c>
      <c r="S403" s="1">
        <v>2</v>
      </c>
    </row>
    <row r="404" spans="1:19" ht="12.75" customHeight="1" x14ac:dyDescent="0.15">
      <c r="A404" s="5" t="s">
        <v>213</v>
      </c>
      <c r="B404" s="1" t="e">
        <f ca="1">_xludf.LET(_xlpm.x,LOWER(TRIM(A404)),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4" s="5" t="s">
        <v>223</v>
      </c>
      <c r="D404" s="1">
        <f t="shared" si="36"/>
        <v>0</v>
      </c>
      <c r="F404" s="1" t="str">
        <f t="shared" si="37"/>
        <v/>
      </c>
      <c r="G404" s="5" t="s">
        <v>206</v>
      </c>
      <c r="H404" s="1">
        <f t="shared" si="38"/>
        <v>0</v>
      </c>
      <c r="J404" s="1" t="str">
        <f t="shared" si="39"/>
        <v/>
      </c>
      <c r="L404" s="1" t="str">
        <f t="shared" si="40"/>
        <v/>
      </c>
      <c r="M404" s="1">
        <v>52</v>
      </c>
      <c r="N404" s="1" t="s">
        <v>995</v>
      </c>
      <c r="O404" s="1">
        <f t="shared" si="41"/>
        <v>0</v>
      </c>
      <c r="P404" s="1">
        <v>2</v>
      </c>
      <c r="Q404" s="1">
        <v>2</v>
      </c>
      <c r="R404" s="1">
        <v>0</v>
      </c>
      <c r="S404" s="1">
        <v>2</v>
      </c>
    </row>
    <row r="405" spans="1:19" ht="12.75" customHeight="1" x14ac:dyDescent="0.15">
      <c r="A405" s="5" t="s">
        <v>302</v>
      </c>
      <c r="B405" s="1" t="e">
        <f ca="1">_xludf.LET(_xlpm.x,LOWER(TRIM(A405)),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5" s="5" t="s">
        <v>731</v>
      </c>
      <c r="D405" s="1">
        <f t="shared" si="36"/>
        <v>1</v>
      </c>
      <c r="F405" s="1" t="str">
        <f t="shared" si="37"/>
        <v/>
      </c>
      <c r="G405" s="5" t="s">
        <v>204</v>
      </c>
      <c r="H405" s="1">
        <f t="shared" si="38"/>
        <v>1</v>
      </c>
      <c r="I405" s="5" t="s">
        <v>242</v>
      </c>
      <c r="J405" s="1">
        <f t="shared" si="39"/>
        <v>3</v>
      </c>
      <c r="K405" s="5" t="s">
        <v>242</v>
      </c>
      <c r="L405" s="1">
        <f t="shared" si="40"/>
        <v>3</v>
      </c>
      <c r="M405" s="1">
        <v>52</v>
      </c>
      <c r="N405" s="1" t="s">
        <v>989</v>
      </c>
      <c r="O405" s="1">
        <f t="shared" si="41"/>
        <v>1</v>
      </c>
      <c r="P405" s="1">
        <v>14</v>
      </c>
      <c r="Q405" s="1">
        <v>2</v>
      </c>
      <c r="R405" s="1">
        <v>1400000</v>
      </c>
      <c r="S405" s="1">
        <v>3</v>
      </c>
    </row>
    <row r="406" spans="1:19" ht="12.75" customHeight="1" x14ac:dyDescent="0.15">
      <c r="A406" s="5" t="s">
        <v>285</v>
      </c>
      <c r="B406" s="1" t="e">
        <f ca="1">_xludf.LET(_xlpm.x,LOWER(TRIM(A406)),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6" s="5" t="s">
        <v>223</v>
      </c>
      <c r="D406" s="1">
        <f t="shared" si="36"/>
        <v>0</v>
      </c>
      <c r="E406" s="5" t="s">
        <v>204</v>
      </c>
      <c r="F406" s="1">
        <f t="shared" si="37"/>
        <v>1</v>
      </c>
      <c r="G406" s="5" t="s">
        <v>204</v>
      </c>
      <c r="H406" s="1">
        <f t="shared" si="38"/>
        <v>1</v>
      </c>
      <c r="I406" s="5" t="s">
        <v>242</v>
      </c>
      <c r="J406" s="1">
        <f t="shared" si="39"/>
        <v>3</v>
      </c>
      <c r="K406" s="5" t="s">
        <v>242</v>
      </c>
      <c r="L406" s="1">
        <f t="shared" si="40"/>
        <v>3</v>
      </c>
      <c r="M406" s="1">
        <v>52</v>
      </c>
      <c r="N406" s="1" t="s">
        <v>989</v>
      </c>
      <c r="O406" s="1">
        <f t="shared" si="41"/>
        <v>1</v>
      </c>
      <c r="P406" s="1">
        <v>3</v>
      </c>
      <c r="Q406" s="1">
        <v>3</v>
      </c>
      <c r="R406" s="1">
        <v>80000</v>
      </c>
      <c r="S406" s="1">
        <v>5</v>
      </c>
    </row>
    <row r="407" spans="1:19" ht="12.75" customHeight="1" x14ac:dyDescent="0.15">
      <c r="A407" s="5" t="s">
        <v>285</v>
      </c>
      <c r="B407" s="1" t="e">
        <f ca="1">_xludf.LET(_xlpm.x,LOWER(TRIM(A407)),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7" s="5" t="s">
        <v>223</v>
      </c>
      <c r="D407" s="1">
        <f t="shared" si="36"/>
        <v>0</v>
      </c>
      <c r="E407" s="5" t="s">
        <v>204</v>
      </c>
      <c r="F407" s="1">
        <f t="shared" si="37"/>
        <v>1</v>
      </c>
      <c r="G407" s="5" t="s">
        <v>204</v>
      </c>
      <c r="H407" s="1">
        <f t="shared" si="38"/>
        <v>1</v>
      </c>
      <c r="I407" s="5" t="s">
        <v>278</v>
      </c>
      <c r="J407" s="1">
        <f t="shared" si="39"/>
        <v>5</v>
      </c>
      <c r="K407" s="5" t="s">
        <v>242</v>
      </c>
      <c r="L407" s="1">
        <f t="shared" si="40"/>
        <v>3</v>
      </c>
      <c r="M407" s="1">
        <v>52</v>
      </c>
      <c r="N407" s="1" t="s">
        <v>989</v>
      </c>
      <c r="O407" s="1">
        <f t="shared" si="41"/>
        <v>1</v>
      </c>
      <c r="P407" s="1">
        <v>11</v>
      </c>
      <c r="Q407" s="1">
        <v>34</v>
      </c>
      <c r="R407" s="1">
        <v>600000</v>
      </c>
      <c r="S407" s="1">
        <v>1</v>
      </c>
    </row>
    <row r="408" spans="1:19" ht="12.75" customHeight="1" x14ac:dyDescent="0.15">
      <c r="A408" s="5" t="s">
        <v>213</v>
      </c>
      <c r="B408" s="1" t="e">
        <f ca="1">_xludf.LET(_xlpm.x,LOWER(TRIM(A408)),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8" s="5" t="s">
        <v>223</v>
      </c>
      <c r="D408" s="1">
        <f t="shared" si="36"/>
        <v>0</v>
      </c>
      <c r="F408" s="1" t="str">
        <f t="shared" si="37"/>
        <v/>
      </c>
      <c r="G408" s="5" t="s">
        <v>204</v>
      </c>
      <c r="H408" s="1">
        <f t="shared" si="38"/>
        <v>1</v>
      </c>
      <c r="I408" s="5" t="s">
        <v>207</v>
      </c>
      <c r="J408" s="1" t="str">
        <f t="shared" si="39"/>
        <v/>
      </c>
      <c r="K408" s="5" t="s">
        <v>242</v>
      </c>
      <c r="L408" s="1">
        <f t="shared" si="40"/>
        <v>3</v>
      </c>
      <c r="M408" s="1">
        <v>52</v>
      </c>
      <c r="N408" s="1" t="s">
        <v>989</v>
      </c>
      <c r="O408" s="1">
        <f t="shared" si="41"/>
        <v>1</v>
      </c>
      <c r="P408" s="1">
        <v>11</v>
      </c>
      <c r="Q408" s="1">
        <v>34</v>
      </c>
      <c r="R408" s="1">
        <v>600000</v>
      </c>
      <c r="S408" s="1">
        <v>1</v>
      </c>
    </row>
    <row r="409" spans="1:19" ht="12.75" customHeight="1" x14ac:dyDescent="0.15">
      <c r="A409" s="5" t="s">
        <v>269</v>
      </c>
      <c r="B409" s="1" t="e">
        <f ca="1">_xludf.LET(_xlpm.x,LOWER(TRIM(A409)),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9" s="5" t="s">
        <v>223</v>
      </c>
      <c r="D409" s="1">
        <f t="shared" si="36"/>
        <v>0</v>
      </c>
      <c r="E409" s="5" t="s">
        <v>204</v>
      </c>
      <c r="F409" s="1">
        <f t="shared" si="37"/>
        <v>1</v>
      </c>
      <c r="G409" s="5" t="s">
        <v>204</v>
      </c>
      <c r="H409" s="1">
        <f t="shared" si="38"/>
        <v>1</v>
      </c>
      <c r="I409" s="5" t="s">
        <v>278</v>
      </c>
      <c r="J409" s="1">
        <f t="shared" si="39"/>
        <v>5</v>
      </c>
      <c r="K409" s="5" t="s">
        <v>271</v>
      </c>
      <c r="L409" s="1">
        <f t="shared" si="40"/>
        <v>4</v>
      </c>
      <c r="M409" s="1">
        <v>52</v>
      </c>
      <c r="N409" s="1" t="s">
        <v>989</v>
      </c>
      <c r="O409" s="1">
        <f t="shared" si="41"/>
        <v>1</v>
      </c>
      <c r="P409" s="1">
        <v>14</v>
      </c>
      <c r="Q409" s="1">
        <v>1</v>
      </c>
      <c r="R409" s="1">
        <v>450000</v>
      </c>
      <c r="S409" s="1">
        <v>3</v>
      </c>
    </row>
    <row r="410" spans="1:19" ht="12.75" customHeight="1" x14ac:dyDescent="0.15">
      <c r="A410" s="5" t="s">
        <v>213</v>
      </c>
      <c r="B410" s="1" t="e">
        <f ca="1">_xludf.LET(_xlpm.x,LOWER(TRIM(A410)),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0" s="5" t="s">
        <v>223</v>
      </c>
      <c r="D410" s="1">
        <f t="shared" si="36"/>
        <v>0</v>
      </c>
      <c r="E410" s="5" t="s">
        <v>204</v>
      </c>
      <c r="F410" s="1">
        <f t="shared" si="37"/>
        <v>1</v>
      </c>
      <c r="G410" s="5" t="s">
        <v>204</v>
      </c>
      <c r="H410" s="1">
        <f t="shared" si="38"/>
        <v>1</v>
      </c>
      <c r="I410" s="5" t="s">
        <v>278</v>
      </c>
      <c r="J410" s="1">
        <f t="shared" si="39"/>
        <v>5</v>
      </c>
      <c r="K410" s="5" t="s">
        <v>271</v>
      </c>
      <c r="L410" s="1">
        <f t="shared" si="40"/>
        <v>4</v>
      </c>
      <c r="M410" s="1">
        <v>53</v>
      </c>
      <c r="N410" s="1" t="s">
        <v>989</v>
      </c>
      <c r="O410" s="1">
        <f t="shared" si="41"/>
        <v>1</v>
      </c>
      <c r="P410" s="1">
        <v>14</v>
      </c>
      <c r="Q410" s="1">
        <v>4</v>
      </c>
      <c r="R410" s="1">
        <v>300000</v>
      </c>
      <c r="S410" s="1">
        <v>2</v>
      </c>
    </row>
    <row r="411" spans="1:19" ht="12.75" customHeight="1" x14ac:dyDescent="0.15">
      <c r="A411" s="5" t="s">
        <v>277</v>
      </c>
      <c r="B411" s="1" t="e">
        <f ca="1">_xludf.LET(_xlpm.x,LOWER(TRIM(A411)),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1" s="5" t="s">
        <v>223</v>
      </c>
      <c r="D411" s="1">
        <f t="shared" si="36"/>
        <v>0</v>
      </c>
      <c r="F411" s="1" t="str">
        <f t="shared" si="37"/>
        <v/>
      </c>
      <c r="G411" s="5" t="s">
        <v>204</v>
      </c>
      <c r="H411" s="1">
        <f t="shared" si="38"/>
        <v>1</v>
      </c>
      <c r="I411" s="5" t="s">
        <v>271</v>
      </c>
      <c r="J411" s="1">
        <f t="shared" si="39"/>
        <v>4</v>
      </c>
      <c r="K411" s="5" t="s">
        <v>264</v>
      </c>
      <c r="L411" s="1">
        <f t="shared" si="40"/>
        <v>1</v>
      </c>
      <c r="M411" s="1">
        <v>53</v>
      </c>
      <c r="N411" s="1" t="s">
        <v>998</v>
      </c>
      <c r="O411" s="1">
        <f t="shared" si="41"/>
        <v>0</v>
      </c>
      <c r="P411" s="1">
        <v>2</v>
      </c>
      <c r="Q411" s="1">
        <v>2</v>
      </c>
      <c r="R411" s="1">
        <v>300000</v>
      </c>
      <c r="S411" s="1">
        <v>4</v>
      </c>
    </row>
    <row r="412" spans="1:19" ht="12.75" customHeight="1" x14ac:dyDescent="0.15">
      <c r="A412" s="5" t="s">
        <v>213</v>
      </c>
      <c r="B412" s="1" t="e">
        <f ca="1">_xludf.LET(_xlpm.x,LOWER(TRIM(A412)),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2" s="5" t="s">
        <v>358</v>
      </c>
      <c r="D412" s="1">
        <f t="shared" si="36"/>
        <v>1</v>
      </c>
      <c r="E412" s="5" t="s">
        <v>206</v>
      </c>
      <c r="F412" s="1">
        <f t="shared" si="37"/>
        <v>0</v>
      </c>
      <c r="G412" s="5" t="s">
        <v>204</v>
      </c>
      <c r="H412" s="1">
        <f t="shared" si="38"/>
        <v>1</v>
      </c>
      <c r="I412" s="5" t="s">
        <v>215</v>
      </c>
      <c r="J412" s="1">
        <f t="shared" si="39"/>
        <v>2</v>
      </c>
      <c r="K412" s="5" t="s">
        <v>215</v>
      </c>
      <c r="L412" s="1">
        <f t="shared" si="40"/>
        <v>2</v>
      </c>
      <c r="M412" s="1">
        <v>53</v>
      </c>
      <c r="N412" s="1" t="s">
        <v>987</v>
      </c>
      <c r="O412" s="1">
        <f t="shared" si="41"/>
        <v>0</v>
      </c>
      <c r="P412" s="1">
        <v>14</v>
      </c>
      <c r="Q412" s="1">
        <v>24</v>
      </c>
      <c r="R412" s="1">
        <v>450000</v>
      </c>
      <c r="S412" s="1">
        <v>4</v>
      </c>
    </row>
    <row r="413" spans="1:19" ht="12.75" customHeight="1" x14ac:dyDescent="0.15">
      <c r="A413" s="5" t="s">
        <v>302</v>
      </c>
      <c r="B413" s="1" t="e">
        <f ca="1">_xludf.LET(_xlpm.x,LOWER(TRIM(A413)),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3" s="5" t="s">
        <v>223</v>
      </c>
      <c r="D413" s="1">
        <f t="shared" si="36"/>
        <v>0</v>
      </c>
      <c r="F413" s="1" t="str">
        <f t="shared" si="37"/>
        <v/>
      </c>
      <c r="G413" s="5" t="s">
        <v>204</v>
      </c>
      <c r="H413" s="1">
        <f t="shared" si="38"/>
        <v>1</v>
      </c>
      <c r="I413" s="5" t="s">
        <v>271</v>
      </c>
      <c r="J413" s="1">
        <f t="shared" si="39"/>
        <v>4</v>
      </c>
      <c r="K413" s="5" t="s">
        <v>215</v>
      </c>
      <c r="L413" s="1">
        <f t="shared" si="40"/>
        <v>2</v>
      </c>
      <c r="M413" s="1">
        <v>53</v>
      </c>
      <c r="N413" s="1" t="s">
        <v>987</v>
      </c>
      <c r="O413" s="1">
        <f t="shared" si="41"/>
        <v>0</v>
      </c>
      <c r="P413" s="1">
        <v>14</v>
      </c>
      <c r="Q413" s="1">
        <v>24</v>
      </c>
      <c r="R413" s="1">
        <v>450000</v>
      </c>
      <c r="S413" s="1">
        <v>4</v>
      </c>
    </row>
    <row r="414" spans="1:19" ht="12.75" customHeight="1" x14ac:dyDescent="0.15">
      <c r="A414" s="5" t="s">
        <v>302</v>
      </c>
      <c r="B414" s="1" t="e">
        <f ca="1">_xludf.LET(_xlpm.x,LOWER(TRIM(A414)),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4" s="5" t="s">
        <v>223</v>
      </c>
      <c r="D414" s="1">
        <f t="shared" si="36"/>
        <v>0</v>
      </c>
      <c r="F414" s="1" t="str">
        <f t="shared" si="37"/>
        <v/>
      </c>
      <c r="G414" s="5" t="s">
        <v>204</v>
      </c>
      <c r="H414" s="1">
        <f t="shared" si="38"/>
        <v>1</v>
      </c>
      <c r="I414" s="5" t="s">
        <v>215</v>
      </c>
      <c r="J414" s="1">
        <f t="shared" si="39"/>
        <v>2</v>
      </c>
      <c r="K414" s="5" t="s">
        <v>242</v>
      </c>
      <c r="L414" s="1">
        <f t="shared" si="40"/>
        <v>3</v>
      </c>
      <c r="M414" s="1">
        <v>53</v>
      </c>
      <c r="N414" s="1" t="s">
        <v>996</v>
      </c>
      <c r="O414" s="1">
        <f t="shared" si="41"/>
        <v>0</v>
      </c>
      <c r="P414" s="1">
        <v>14</v>
      </c>
      <c r="Q414" s="1">
        <v>34</v>
      </c>
      <c r="R414" s="1">
        <v>202000</v>
      </c>
      <c r="S414" s="1">
        <v>4</v>
      </c>
    </row>
    <row r="415" spans="1:19" ht="12.75" customHeight="1" x14ac:dyDescent="0.15">
      <c r="A415" s="5" t="s">
        <v>213</v>
      </c>
      <c r="B415" s="1" t="e">
        <f ca="1">_xludf.LET(_xlpm.x,LOWER(TRIM(A415)),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5" s="5" t="s">
        <v>223</v>
      </c>
      <c r="D415" s="1">
        <f t="shared" si="36"/>
        <v>0</v>
      </c>
      <c r="F415" s="1" t="str">
        <f t="shared" si="37"/>
        <v/>
      </c>
      <c r="G415" s="5" t="s">
        <v>204</v>
      </c>
      <c r="H415" s="1">
        <f t="shared" si="38"/>
        <v>1</v>
      </c>
      <c r="I415" s="5" t="s">
        <v>278</v>
      </c>
      <c r="J415" s="1">
        <f t="shared" si="39"/>
        <v>5</v>
      </c>
      <c r="K415" s="5" t="s">
        <v>271</v>
      </c>
      <c r="L415" s="1">
        <f t="shared" si="40"/>
        <v>4</v>
      </c>
      <c r="M415" s="1">
        <v>53</v>
      </c>
      <c r="N415" s="1" t="s">
        <v>989</v>
      </c>
      <c r="O415" s="1">
        <f t="shared" si="41"/>
        <v>1</v>
      </c>
      <c r="P415" s="1">
        <v>15</v>
      </c>
      <c r="Q415" s="1">
        <v>3</v>
      </c>
      <c r="R415" s="1">
        <v>300000</v>
      </c>
      <c r="S415" s="1">
        <v>3</v>
      </c>
    </row>
    <row r="416" spans="1:19" ht="12.75" customHeight="1" x14ac:dyDescent="0.15">
      <c r="A416" s="5" t="s">
        <v>213</v>
      </c>
      <c r="B416" s="1" t="e">
        <f ca="1">_xludf.LET(_xlpm.x,LOWER(TRIM(A416)),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6" s="5" t="s">
        <v>223</v>
      </c>
      <c r="D416" s="1">
        <f t="shared" si="36"/>
        <v>0</v>
      </c>
      <c r="E416" s="5" t="s">
        <v>204</v>
      </c>
      <c r="F416" s="1">
        <f t="shared" si="37"/>
        <v>1</v>
      </c>
      <c r="G416" s="5" t="s">
        <v>204</v>
      </c>
      <c r="H416" s="1">
        <f t="shared" si="38"/>
        <v>1</v>
      </c>
      <c r="I416" s="5" t="s">
        <v>242</v>
      </c>
      <c r="J416" s="1">
        <f t="shared" si="39"/>
        <v>3</v>
      </c>
      <c r="K416" s="5" t="s">
        <v>242</v>
      </c>
      <c r="L416" s="1">
        <f t="shared" si="40"/>
        <v>3</v>
      </c>
      <c r="M416" s="1">
        <v>53</v>
      </c>
      <c r="N416" s="1" t="s">
        <v>989</v>
      </c>
      <c r="O416" s="1">
        <f t="shared" si="41"/>
        <v>1</v>
      </c>
      <c r="P416" s="1">
        <v>15</v>
      </c>
      <c r="Q416" s="1">
        <v>3</v>
      </c>
      <c r="R416" s="1">
        <v>300000</v>
      </c>
      <c r="S416" s="1">
        <v>3</v>
      </c>
    </row>
    <row r="417" spans="1:19" ht="12.75" customHeight="1" x14ac:dyDescent="0.15">
      <c r="A417" s="5" t="s">
        <v>285</v>
      </c>
      <c r="B417" s="1" t="e">
        <f ca="1">_xludf.LET(_xlpm.x,LOWER(TRIM(A417)),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7" s="5" t="s">
        <v>223</v>
      </c>
      <c r="D417" s="1">
        <f t="shared" si="36"/>
        <v>0</v>
      </c>
      <c r="F417" s="1" t="str">
        <f t="shared" si="37"/>
        <v/>
      </c>
      <c r="G417" s="5" t="s">
        <v>204</v>
      </c>
      <c r="H417" s="1">
        <f t="shared" si="38"/>
        <v>1</v>
      </c>
      <c r="I417" s="5" t="s">
        <v>242</v>
      </c>
      <c r="J417" s="1">
        <f t="shared" si="39"/>
        <v>3</v>
      </c>
      <c r="K417" s="5" t="s">
        <v>278</v>
      </c>
      <c r="L417" s="1">
        <f t="shared" si="40"/>
        <v>5</v>
      </c>
      <c r="M417" s="1">
        <v>53</v>
      </c>
      <c r="N417" s="1" t="s">
        <v>989</v>
      </c>
      <c r="O417" s="1">
        <f t="shared" si="41"/>
        <v>1</v>
      </c>
      <c r="P417" s="1">
        <v>14</v>
      </c>
      <c r="Q417" s="1">
        <v>3</v>
      </c>
      <c r="R417" s="1">
        <v>1100000</v>
      </c>
      <c r="S417" s="1">
        <v>2</v>
      </c>
    </row>
    <row r="418" spans="1:19" ht="12.75" customHeight="1" x14ac:dyDescent="0.15">
      <c r="A418" s="5" t="s">
        <v>213</v>
      </c>
      <c r="B418" s="1" t="e">
        <f ca="1">_xludf.LET(_xlpm.x,LOWER(TRIM(A418)),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8" s="5" t="s">
        <v>223</v>
      </c>
      <c r="D418" s="1">
        <f t="shared" si="36"/>
        <v>0</v>
      </c>
      <c r="F418" s="1" t="str">
        <f t="shared" si="37"/>
        <v/>
      </c>
      <c r="G418" s="5" t="s">
        <v>204</v>
      </c>
      <c r="H418" s="1">
        <f t="shared" si="38"/>
        <v>1</v>
      </c>
      <c r="I418" s="5" t="s">
        <v>278</v>
      </c>
      <c r="J418" s="1">
        <f t="shared" si="39"/>
        <v>5</v>
      </c>
      <c r="K418" s="5" t="s">
        <v>278</v>
      </c>
      <c r="L418" s="1">
        <f t="shared" si="40"/>
        <v>5</v>
      </c>
      <c r="M418" s="1">
        <v>53</v>
      </c>
      <c r="N418" s="1" t="s">
        <v>987</v>
      </c>
      <c r="O418" s="1">
        <f t="shared" si="41"/>
        <v>0</v>
      </c>
      <c r="P418" s="1">
        <v>17</v>
      </c>
      <c r="Q418" s="1">
        <v>6</v>
      </c>
      <c r="R418" s="1">
        <v>0</v>
      </c>
      <c r="S418" s="1">
        <v>2</v>
      </c>
    </row>
    <row r="419" spans="1:19" ht="12.75" customHeight="1" x14ac:dyDescent="0.15">
      <c r="A419" s="5" t="s">
        <v>277</v>
      </c>
      <c r="B419" s="1" t="e">
        <f ca="1">_xludf.LET(_xlpm.x,LOWER(TRIM(A419)),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9" s="5" t="s">
        <v>223</v>
      </c>
      <c r="D419" s="1">
        <f t="shared" si="36"/>
        <v>0</v>
      </c>
      <c r="F419" s="1" t="str">
        <f t="shared" si="37"/>
        <v/>
      </c>
      <c r="G419" s="5" t="s">
        <v>204</v>
      </c>
      <c r="H419" s="1">
        <f t="shared" si="38"/>
        <v>1</v>
      </c>
      <c r="I419" s="5" t="s">
        <v>242</v>
      </c>
      <c r="J419" s="1">
        <f t="shared" si="39"/>
        <v>3</v>
      </c>
      <c r="K419" s="5" t="s">
        <v>242</v>
      </c>
      <c r="L419" s="1">
        <f t="shared" si="40"/>
        <v>3</v>
      </c>
      <c r="M419" s="1">
        <v>53</v>
      </c>
      <c r="N419" s="1" t="s">
        <v>987</v>
      </c>
      <c r="O419" s="1">
        <f t="shared" si="41"/>
        <v>0</v>
      </c>
      <c r="P419" s="1">
        <v>17</v>
      </c>
      <c r="Q419" s="1">
        <v>6</v>
      </c>
      <c r="R419" s="1">
        <v>0</v>
      </c>
      <c r="S419" s="1">
        <v>2</v>
      </c>
    </row>
    <row r="420" spans="1:19" ht="12.75" customHeight="1" x14ac:dyDescent="0.15">
      <c r="A420" s="5" t="s">
        <v>285</v>
      </c>
      <c r="B420" s="1" t="e">
        <f ca="1">_xludf.LET(_xlpm.x,LOWER(TRIM(A420)),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0" s="5" t="s">
        <v>223</v>
      </c>
      <c r="D420" s="1">
        <f t="shared" si="36"/>
        <v>0</v>
      </c>
      <c r="F420" s="1" t="str">
        <f t="shared" si="37"/>
        <v/>
      </c>
      <c r="G420" s="5" t="s">
        <v>204</v>
      </c>
      <c r="H420" s="1">
        <f t="shared" si="38"/>
        <v>1</v>
      </c>
      <c r="I420" s="5" t="s">
        <v>207</v>
      </c>
      <c r="J420" s="1" t="str">
        <f t="shared" si="39"/>
        <v/>
      </c>
      <c r="K420" s="5" t="s">
        <v>207</v>
      </c>
      <c r="L420" s="1" t="str">
        <f t="shared" si="40"/>
        <v/>
      </c>
      <c r="M420" s="1">
        <v>53</v>
      </c>
      <c r="N420" s="1" t="s">
        <v>999</v>
      </c>
      <c r="O420" s="1">
        <f t="shared" si="41"/>
        <v>0</v>
      </c>
      <c r="P420" s="1">
        <v>0</v>
      </c>
      <c r="Q420" s="1">
        <v>24</v>
      </c>
      <c r="R420" s="1">
        <v>300000</v>
      </c>
      <c r="S420" s="1">
        <v>2</v>
      </c>
    </row>
    <row r="421" spans="1:19" ht="12.75" customHeight="1" x14ac:dyDescent="0.15">
      <c r="A421" s="5" t="s">
        <v>285</v>
      </c>
      <c r="B421" s="1" t="e">
        <f ca="1">_xludf.LET(_xlpm.x,LOWER(TRIM(A421)),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1" s="5" t="s">
        <v>349</v>
      </c>
      <c r="D421" s="1">
        <f t="shared" si="36"/>
        <v>1</v>
      </c>
      <c r="E421" s="5" t="s">
        <v>204</v>
      </c>
      <c r="F421" s="1">
        <f t="shared" si="37"/>
        <v>1</v>
      </c>
      <c r="G421" s="5" t="s">
        <v>204</v>
      </c>
      <c r="H421" s="1">
        <f t="shared" si="38"/>
        <v>1</v>
      </c>
      <c r="I421" s="5" t="s">
        <v>278</v>
      </c>
      <c r="J421" s="1">
        <f t="shared" si="39"/>
        <v>5</v>
      </c>
      <c r="K421" s="5" t="s">
        <v>215</v>
      </c>
      <c r="L421" s="1">
        <f t="shared" si="40"/>
        <v>2</v>
      </c>
      <c r="M421" s="1">
        <v>53</v>
      </c>
      <c r="N421" s="1" t="s">
        <v>988</v>
      </c>
      <c r="O421" s="1">
        <f t="shared" si="41"/>
        <v>0</v>
      </c>
      <c r="P421" s="1">
        <v>14</v>
      </c>
      <c r="Q421" s="1">
        <v>2</v>
      </c>
      <c r="R421" s="1">
        <v>600000</v>
      </c>
      <c r="S421" s="1">
        <v>2</v>
      </c>
    </row>
    <row r="422" spans="1:19" ht="12.75" customHeight="1" x14ac:dyDescent="0.15">
      <c r="A422" s="5" t="s">
        <v>213</v>
      </c>
      <c r="B422" s="1" t="e">
        <f ca="1">_xludf.LET(_xlpm.x,LOWER(TRIM(A422)),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2" s="5" t="s">
        <v>223</v>
      </c>
      <c r="D422" s="1">
        <f t="shared" si="36"/>
        <v>0</v>
      </c>
      <c r="F422" s="1" t="str">
        <f t="shared" si="37"/>
        <v/>
      </c>
      <c r="G422" s="5" t="s">
        <v>204</v>
      </c>
      <c r="H422" s="1">
        <f t="shared" si="38"/>
        <v>1</v>
      </c>
      <c r="I422" s="5" t="s">
        <v>278</v>
      </c>
      <c r="J422" s="1">
        <f t="shared" si="39"/>
        <v>5</v>
      </c>
      <c r="K422" s="5" t="s">
        <v>215</v>
      </c>
      <c r="L422" s="1">
        <f t="shared" si="40"/>
        <v>2</v>
      </c>
      <c r="M422" s="1">
        <v>53</v>
      </c>
      <c r="N422" s="1" t="s">
        <v>987</v>
      </c>
      <c r="O422" s="1">
        <f t="shared" si="41"/>
        <v>0</v>
      </c>
      <c r="P422" s="1">
        <v>12</v>
      </c>
      <c r="Q422" s="1">
        <v>1</v>
      </c>
      <c r="R422" s="1">
        <v>400000</v>
      </c>
      <c r="S422" s="1">
        <v>2</v>
      </c>
    </row>
    <row r="423" spans="1:19" ht="12.75" customHeight="1" x14ac:dyDescent="0.15">
      <c r="A423" s="5" t="s">
        <v>213</v>
      </c>
      <c r="B423" s="1" t="e">
        <f ca="1">_xludf.LET(_xlpm.x,LOWER(TRIM(A423)),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3" s="5" t="s">
        <v>223</v>
      </c>
      <c r="D423" s="1">
        <f t="shared" si="36"/>
        <v>0</v>
      </c>
      <c r="F423" s="1" t="str">
        <f t="shared" si="37"/>
        <v/>
      </c>
      <c r="G423" s="5" t="s">
        <v>204</v>
      </c>
      <c r="H423" s="1">
        <f t="shared" si="38"/>
        <v>1</v>
      </c>
      <c r="I423" s="5" t="s">
        <v>215</v>
      </c>
      <c r="J423" s="1">
        <f t="shared" si="39"/>
        <v>2</v>
      </c>
      <c r="K423" s="5" t="s">
        <v>215</v>
      </c>
      <c r="L423" s="1">
        <f t="shared" si="40"/>
        <v>2</v>
      </c>
      <c r="M423" s="1">
        <v>53</v>
      </c>
      <c r="N423" s="1" t="s">
        <v>989</v>
      </c>
      <c r="O423" s="1">
        <f t="shared" si="41"/>
        <v>1</v>
      </c>
      <c r="P423" s="1">
        <v>14</v>
      </c>
      <c r="Q423" s="1">
        <v>34</v>
      </c>
      <c r="R423" s="1">
        <v>300000</v>
      </c>
      <c r="S423" s="1">
        <v>5</v>
      </c>
    </row>
    <row r="424" spans="1:19" ht="12.75" customHeight="1" x14ac:dyDescent="0.15">
      <c r="A424" s="5" t="s">
        <v>269</v>
      </c>
      <c r="B424" s="1" t="e">
        <f ca="1">_xludf.LET(_xlpm.x,LOWER(TRIM(A424)),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4" s="5" t="s">
        <v>223</v>
      </c>
      <c r="D424" s="1">
        <f t="shared" si="36"/>
        <v>0</v>
      </c>
      <c r="E424" s="5" t="s">
        <v>204</v>
      </c>
      <c r="F424" s="1">
        <f t="shared" si="37"/>
        <v>1</v>
      </c>
      <c r="G424" s="5" t="s">
        <v>204</v>
      </c>
      <c r="H424" s="1">
        <f t="shared" si="38"/>
        <v>1</v>
      </c>
      <c r="I424" s="5" t="s">
        <v>242</v>
      </c>
      <c r="J424" s="1">
        <f t="shared" si="39"/>
        <v>3</v>
      </c>
      <c r="K424" s="5" t="s">
        <v>242</v>
      </c>
      <c r="L424" s="1">
        <f t="shared" si="40"/>
        <v>3</v>
      </c>
      <c r="M424" s="1">
        <v>53</v>
      </c>
      <c r="N424" s="1" t="s">
        <v>989</v>
      </c>
      <c r="O424" s="1">
        <f t="shared" si="41"/>
        <v>1</v>
      </c>
      <c r="P424" s="1">
        <v>14</v>
      </c>
      <c r="Q424" s="1">
        <v>34</v>
      </c>
      <c r="R424" s="1">
        <v>300000</v>
      </c>
      <c r="S424" s="1">
        <v>5</v>
      </c>
    </row>
    <row r="425" spans="1:19" ht="12.75" customHeight="1" x14ac:dyDescent="0.15">
      <c r="A425" s="5" t="s">
        <v>213</v>
      </c>
      <c r="B425" s="1" t="e">
        <f ca="1">_xludf.LET(_xlpm.x,LOWER(TRIM(A425)),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5" s="5" t="s">
        <v>223</v>
      </c>
      <c r="D425" s="1">
        <f t="shared" si="36"/>
        <v>0</v>
      </c>
      <c r="F425" s="1" t="str">
        <f t="shared" si="37"/>
        <v/>
      </c>
      <c r="G425" s="5" t="s">
        <v>204</v>
      </c>
      <c r="H425" s="1">
        <f t="shared" si="38"/>
        <v>1</v>
      </c>
      <c r="I425" s="5" t="s">
        <v>278</v>
      </c>
      <c r="J425" s="1">
        <f t="shared" si="39"/>
        <v>5</v>
      </c>
      <c r="K425" s="5" t="s">
        <v>278</v>
      </c>
      <c r="L425" s="1">
        <f t="shared" si="40"/>
        <v>5</v>
      </c>
      <c r="M425" s="1">
        <v>53</v>
      </c>
      <c r="N425" s="1" t="s">
        <v>991</v>
      </c>
      <c r="O425" s="1">
        <f t="shared" si="41"/>
        <v>0</v>
      </c>
      <c r="P425" s="1">
        <v>14</v>
      </c>
      <c r="Q425" s="1">
        <v>24</v>
      </c>
      <c r="R425" s="1">
        <v>550000</v>
      </c>
      <c r="S425" s="1">
        <v>2</v>
      </c>
    </row>
    <row r="426" spans="1:19" ht="12.75" customHeight="1" x14ac:dyDescent="0.15">
      <c r="A426" s="5" t="s">
        <v>302</v>
      </c>
      <c r="B426" s="1" t="e">
        <f ca="1">_xludf.LET(_xlpm.x,LOWER(TRIM(A426)),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6" s="5" t="s">
        <v>223</v>
      </c>
      <c r="D426" s="1">
        <f t="shared" si="36"/>
        <v>0</v>
      </c>
      <c r="F426" s="1" t="str">
        <f t="shared" si="37"/>
        <v/>
      </c>
      <c r="G426" s="5" t="s">
        <v>204</v>
      </c>
      <c r="H426" s="1">
        <f t="shared" si="38"/>
        <v>1</v>
      </c>
      <c r="I426" s="5" t="s">
        <v>207</v>
      </c>
      <c r="J426" s="1" t="str">
        <f t="shared" si="39"/>
        <v/>
      </c>
      <c r="K426" s="5" t="s">
        <v>242</v>
      </c>
      <c r="L426" s="1">
        <f t="shared" si="40"/>
        <v>3</v>
      </c>
      <c r="M426" s="1">
        <v>53</v>
      </c>
      <c r="N426" s="1" t="s">
        <v>991</v>
      </c>
      <c r="O426" s="1">
        <f t="shared" si="41"/>
        <v>0</v>
      </c>
      <c r="P426" s="1">
        <v>14</v>
      </c>
      <c r="Q426" s="1">
        <v>24</v>
      </c>
      <c r="R426" s="1">
        <v>550000</v>
      </c>
      <c r="S426" s="1">
        <v>2</v>
      </c>
    </row>
    <row r="427" spans="1:19" ht="12.75" customHeight="1" x14ac:dyDescent="0.15">
      <c r="A427" s="5" t="s">
        <v>285</v>
      </c>
      <c r="B427" s="1" t="e">
        <f ca="1">_xludf.LET(_xlpm.x,LOWER(TRIM(A427)),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7" s="5" t="s">
        <v>223</v>
      </c>
      <c r="D427" s="1">
        <f t="shared" si="36"/>
        <v>0</v>
      </c>
      <c r="E427" s="5" t="s">
        <v>204</v>
      </c>
      <c r="F427" s="1">
        <f t="shared" si="37"/>
        <v>1</v>
      </c>
      <c r="G427" s="5" t="s">
        <v>204</v>
      </c>
      <c r="H427" s="1">
        <f t="shared" si="38"/>
        <v>1</v>
      </c>
      <c r="I427" s="5" t="s">
        <v>278</v>
      </c>
      <c r="J427" s="1">
        <f t="shared" si="39"/>
        <v>5</v>
      </c>
      <c r="K427" s="5" t="s">
        <v>278</v>
      </c>
      <c r="L427" s="1">
        <f t="shared" si="40"/>
        <v>5</v>
      </c>
      <c r="M427" s="1">
        <v>53</v>
      </c>
      <c r="N427" s="1" t="s">
        <v>1000</v>
      </c>
      <c r="O427" s="1">
        <f t="shared" si="41"/>
        <v>0</v>
      </c>
      <c r="P427" s="1">
        <v>14</v>
      </c>
      <c r="Q427" s="1">
        <v>7</v>
      </c>
      <c r="R427" s="1">
        <v>250000</v>
      </c>
      <c r="S427" s="1">
        <v>1</v>
      </c>
    </row>
    <row r="428" spans="1:19" ht="12.75" customHeight="1" x14ac:dyDescent="0.15">
      <c r="A428" s="5" t="s">
        <v>269</v>
      </c>
      <c r="B428" s="1" t="e">
        <f ca="1">_xludf.LET(_xlpm.x,LOWER(TRIM(A428)),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8" s="5" t="s">
        <v>223</v>
      </c>
      <c r="D428" s="1">
        <f t="shared" si="36"/>
        <v>0</v>
      </c>
      <c r="E428" s="5" t="s">
        <v>204</v>
      </c>
      <c r="F428" s="1">
        <f t="shared" si="37"/>
        <v>1</v>
      </c>
      <c r="G428" s="5" t="s">
        <v>204</v>
      </c>
      <c r="H428" s="1">
        <f t="shared" si="38"/>
        <v>1</v>
      </c>
      <c r="I428" s="5" t="s">
        <v>242</v>
      </c>
      <c r="J428" s="1">
        <f t="shared" si="39"/>
        <v>3</v>
      </c>
      <c r="K428" s="5" t="s">
        <v>242</v>
      </c>
      <c r="L428" s="1">
        <f t="shared" si="40"/>
        <v>3</v>
      </c>
      <c r="M428" s="1">
        <v>54</v>
      </c>
      <c r="N428" s="1" t="s">
        <v>995</v>
      </c>
      <c r="O428" s="1">
        <f t="shared" si="41"/>
        <v>0</v>
      </c>
      <c r="P428" s="1">
        <v>16</v>
      </c>
      <c r="Q428" s="1">
        <v>34</v>
      </c>
      <c r="R428" s="1">
        <v>-99</v>
      </c>
      <c r="S428" s="1">
        <v>2</v>
      </c>
    </row>
    <row r="429" spans="1:19" ht="12.75" customHeight="1" x14ac:dyDescent="0.15">
      <c r="A429" s="5" t="s">
        <v>285</v>
      </c>
      <c r="B429" s="1" t="e">
        <f ca="1">_xludf.LET(_xlpm.x,LOWER(TRIM(A429)),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9" s="5" t="s">
        <v>223</v>
      </c>
      <c r="D429" s="1">
        <f t="shared" si="36"/>
        <v>0</v>
      </c>
      <c r="E429" s="5" t="s">
        <v>204</v>
      </c>
      <c r="F429" s="1">
        <f t="shared" si="37"/>
        <v>1</v>
      </c>
      <c r="G429" s="5" t="s">
        <v>204</v>
      </c>
      <c r="H429" s="1">
        <f t="shared" si="38"/>
        <v>1</v>
      </c>
      <c r="I429" s="5" t="s">
        <v>271</v>
      </c>
      <c r="J429" s="1">
        <f t="shared" si="39"/>
        <v>4</v>
      </c>
      <c r="K429" s="5" t="s">
        <v>242</v>
      </c>
      <c r="L429" s="1">
        <f t="shared" si="40"/>
        <v>3</v>
      </c>
      <c r="M429" s="1">
        <v>54</v>
      </c>
      <c r="N429" s="1" t="s">
        <v>989</v>
      </c>
      <c r="O429" s="1">
        <f t="shared" si="41"/>
        <v>1</v>
      </c>
      <c r="P429" s="1">
        <v>13</v>
      </c>
      <c r="Q429" s="1">
        <v>3</v>
      </c>
      <c r="R429" s="1">
        <v>700000</v>
      </c>
      <c r="S429" s="1">
        <v>3</v>
      </c>
    </row>
    <row r="430" spans="1:19" ht="12.75" customHeight="1" x14ac:dyDescent="0.15">
      <c r="A430" s="5" t="s">
        <v>213</v>
      </c>
      <c r="B430" s="1" t="e">
        <f ca="1">_xludf.LET(_xlpm.x,LOWER(TRIM(A430)),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0" s="5" t="s">
        <v>223</v>
      </c>
      <c r="D430" s="1">
        <f t="shared" si="36"/>
        <v>0</v>
      </c>
      <c r="F430" s="1" t="str">
        <f t="shared" si="37"/>
        <v/>
      </c>
      <c r="G430" s="5" t="s">
        <v>204</v>
      </c>
      <c r="H430" s="1">
        <f t="shared" si="38"/>
        <v>1</v>
      </c>
      <c r="I430" s="5" t="s">
        <v>215</v>
      </c>
      <c r="J430" s="1">
        <f t="shared" si="39"/>
        <v>2</v>
      </c>
      <c r="K430" s="5" t="s">
        <v>264</v>
      </c>
      <c r="L430" s="1">
        <f t="shared" si="40"/>
        <v>1</v>
      </c>
      <c r="M430" s="1">
        <v>54</v>
      </c>
      <c r="N430" s="1" t="s">
        <v>992</v>
      </c>
      <c r="O430" s="1">
        <f t="shared" si="41"/>
        <v>0</v>
      </c>
      <c r="P430" s="1">
        <v>5</v>
      </c>
      <c r="Q430" s="1">
        <v>11</v>
      </c>
      <c r="R430" s="1">
        <v>1500000</v>
      </c>
      <c r="S430" s="1">
        <v>2</v>
      </c>
    </row>
    <row r="431" spans="1:19" ht="12.75" customHeight="1" x14ac:dyDescent="0.15">
      <c r="A431" s="5" t="s">
        <v>457</v>
      </c>
      <c r="B431" s="1" t="e">
        <f ca="1">_xludf.LET(_xlpm.x,LOWER(TRIM(A431)),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1" s="5" t="s">
        <v>223</v>
      </c>
      <c r="D431" s="1">
        <f t="shared" si="36"/>
        <v>0</v>
      </c>
      <c r="F431" s="1" t="str">
        <f t="shared" si="37"/>
        <v/>
      </c>
      <c r="G431" s="5" t="s">
        <v>204</v>
      </c>
      <c r="H431" s="1">
        <f t="shared" si="38"/>
        <v>1</v>
      </c>
      <c r="I431" s="5" t="s">
        <v>215</v>
      </c>
      <c r="J431" s="1">
        <f t="shared" si="39"/>
        <v>2</v>
      </c>
      <c r="K431" s="5" t="s">
        <v>242</v>
      </c>
      <c r="L431" s="1">
        <f t="shared" si="40"/>
        <v>3</v>
      </c>
      <c r="M431" s="1">
        <v>54</v>
      </c>
      <c r="N431" s="1" t="s">
        <v>989</v>
      </c>
      <c r="O431" s="1">
        <f t="shared" si="41"/>
        <v>1</v>
      </c>
      <c r="P431" s="1">
        <v>2</v>
      </c>
      <c r="Q431" s="1">
        <v>34</v>
      </c>
      <c r="R431" s="1">
        <v>400000</v>
      </c>
      <c r="S431" s="1">
        <v>2</v>
      </c>
    </row>
    <row r="432" spans="1:19" ht="12.75" customHeight="1" x14ac:dyDescent="0.15">
      <c r="A432" s="5" t="s">
        <v>285</v>
      </c>
      <c r="B432" s="1" t="e">
        <f ca="1">_xludf.LET(_xlpm.x,LOWER(TRIM(A432)),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2" s="5" t="s">
        <v>223</v>
      </c>
      <c r="D432" s="1">
        <f t="shared" si="36"/>
        <v>0</v>
      </c>
      <c r="E432" s="5" t="s">
        <v>204</v>
      </c>
      <c r="F432" s="1">
        <f t="shared" si="37"/>
        <v>1</v>
      </c>
      <c r="G432" s="5" t="s">
        <v>204</v>
      </c>
      <c r="H432" s="1">
        <f t="shared" si="38"/>
        <v>1</v>
      </c>
      <c r="I432" s="5" t="s">
        <v>207</v>
      </c>
      <c r="J432" s="1" t="str">
        <f t="shared" si="39"/>
        <v/>
      </c>
      <c r="K432" s="5" t="s">
        <v>242</v>
      </c>
      <c r="L432" s="1">
        <f t="shared" si="40"/>
        <v>3</v>
      </c>
      <c r="M432" s="1">
        <v>54</v>
      </c>
      <c r="N432" s="1" t="s">
        <v>1001</v>
      </c>
      <c r="O432" s="1">
        <f t="shared" si="41"/>
        <v>0</v>
      </c>
      <c r="P432" s="1">
        <v>2</v>
      </c>
      <c r="Q432" s="1">
        <v>3</v>
      </c>
      <c r="R432" s="1">
        <v>250000</v>
      </c>
      <c r="S432" s="1">
        <v>2</v>
      </c>
    </row>
    <row r="433" spans="1:19" ht="12.75" customHeight="1" x14ac:dyDescent="0.15">
      <c r="A433" s="5" t="s">
        <v>285</v>
      </c>
      <c r="B433" s="1" t="e">
        <f ca="1">_xludf.LET(_xlpm.x,LOWER(TRIM(A433)),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3" s="5" t="s">
        <v>223</v>
      </c>
      <c r="D433" s="1">
        <f t="shared" si="36"/>
        <v>0</v>
      </c>
      <c r="E433" s="5" t="s">
        <v>204</v>
      </c>
      <c r="F433" s="1">
        <f t="shared" si="37"/>
        <v>1</v>
      </c>
      <c r="G433" s="5" t="s">
        <v>204</v>
      </c>
      <c r="H433" s="1">
        <f t="shared" si="38"/>
        <v>1</v>
      </c>
      <c r="I433" s="5" t="s">
        <v>278</v>
      </c>
      <c r="J433" s="1">
        <f t="shared" si="39"/>
        <v>5</v>
      </c>
      <c r="K433" s="5" t="s">
        <v>278</v>
      </c>
      <c r="L433" s="1">
        <f t="shared" si="40"/>
        <v>5</v>
      </c>
      <c r="M433" s="1">
        <v>54</v>
      </c>
      <c r="N433" s="1" t="s">
        <v>987</v>
      </c>
      <c r="O433" s="1">
        <f t="shared" si="41"/>
        <v>0</v>
      </c>
      <c r="P433" s="1">
        <v>2</v>
      </c>
      <c r="Q433" s="1">
        <v>9</v>
      </c>
      <c r="R433" s="1">
        <v>600000</v>
      </c>
      <c r="S433" s="1">
        <v>1</v>
      </c>
    </row>
    <row r="434" spans="1:19" ht="12.75" customHeight="1" x14ac:dyDescent="0.15">
      <c r="A434" s="5" t="s">
        <v>213</v>
      </c>
      <c r="B434" s="1" t="e">
        <f ca="1">_xludf.LET(_xlpm.x,LOWER(TRIM(A434)),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4" s="5" t="s">
        <v>223</v>
      </c>
      <c r="D434" s="1">
        <f t="shared" si="36"/>
        <v>0</v>
      </c>
      <c r="F434" s="1" t="str">
        <f t="shared" si="37"/>
        <v/>
      </c>
      <c r="G434" s="5" t="s">
        <v>204</v>
      </c>
      <c r="H434" s="1">
        <f t="shared" si="38"/>
        <v>1</v>
      </c>
      <c r="I434" s="5" t="s">
        <v>271</v>
      </c>
      <c r="J434" s="1">
        <f t="shared" si="39"/>
        <v>4</v>
      </c>
      <c r="K434" s="5" t="s">
        <v>215</v>
      </c>
      <c r="L434" s="1">
        <f t="shared" si="40"/>
        <v>2</v>
      </c>
      <c r="M434" s="1">
        <v>54</v>
      </c>
      <c r="N434" s="1" t="s">
        <v>989</v>
      </c>
      <c r="O434" s="1">
        <f t="shared" si="41"/>
        <v>1</v>
      </c>
      <c r="P434" s="1">
        <v>12</v>
      </c>
      <c r="Q434" s="1">
        <v>1</v>
      </c>
      <c r="R434" s="1">
        <v>400000</v>
      </c>
      <c r="S434" s="1">
        <v>1</v>
      </c>
    </row>
    <row r="435" spans="1:19" ht="12.75" customHeight="1" x14ac:dyDescent="0.15">
      <c r="A435" s="5" t="s">
        <v>285</v>
      </c>
      <c r="B435" s="1" t="e">
        <f ca="1">_xludf.LET(_xlpm.x,LOWER(TRIM(A435)),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5" s="5" t="s">
        <v>223</v>
      </c>
      <c r="D435" s="1">
        <f t="shared" si="36"/>
        <v>0</v>
      </c>
      <c r="E435" s="5" t="s">
        <v>204</v>
      </c>
      <c r="F435" s="1">
        <f t="shared" si="37"/>
        <v>1</v>
      </c>
      <c r="G435" s="5" t="s">
        <v>204</v>
      </c>
      <c r="H435" s="1">
        <f t="shared" si="38"/>
        <v>1</v>
      </c>
      <c r="I435" s="5" t="s">
        <v>207</v>
      </c>
      <c r="J435" s="1" t="str">
        <f t="shared" si="39"/>
        <v/>
      </c>
      <c r="K435" s="5" t="s">
        <v>207</v>
      </c>
      <c r="L435" s="1" t="str">
        <f t="shared" si="40"/>
        <v/>
      </c>
      <c r="M435" s="1">
        <v>55</v>
      </c>
      <c r="N435" s="1" t="s">
        <v>987</v>
      </c>
      <c r="O435" s="1">
        <f t="shared" si="41"/>
        <v>0</v>
      </c>
      <c r="P435" s="1">
        <v>16</v>
      </c>
      <c r="Q435" s="1">
        <v>10</v>
      </c>
      <c r="R435" s="1">
        <v>270000</v>
      </c>
      <c r="S435" s="1">
        <v>3</v>
      </c>
    </row>
    <row r="436" spans="1:19" ht="12.75" customHeight="1" x14ac:dyDescent="0.15">
      <c r="A436" s="5" t="s">
        <v>285</v>
      </c>
      <c r="B436" s="1" t="e">
        <f ca="1">_xludf.LET(_xlpm.x,LOWER(TRIM(A436)),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6" s="5" t="s">
        <v>426</v>
      </c>
      <c r="D436" s="1">
        <f t="shared" si="36"/>
        <v>1</v>
      </c>
      <c r="F436" s="1" t="str">
        <f t="shared" si="37"/>
        <v/>
      </c>
      <c r="G436" s="5" t="s">
        <v>204</v>
      </c>
      <c r="H436" s="1">
        <f t="shared" si="38"/>
        <v>1</v>
      </c>
      <c r="I436" s="5" t="s">
        <v>215</v>
      </c>
      <c r="J436" s="1">
        <f t="shared" si="39"/>
        <v>2</v>
      </c>
      <c r="K436" s="5" t="s">
        <v>264</v>
      </c>
      <c r="L436" s="1">
        <f t="shared" si="40"/>
        <v>1</v>
      </c>
      <c r="M436" s="1">
        <v>55</v>
      </c>
      <c r="N436" s="1" t="s">
        <v>987</v>
      </c>
      <c r="O436" s="1">
        <f t="shared" si="41"/>
        <v>0</v>
      </c>
      <c r="P436" s="1">
        <v>12</v>
      </c>
      <c r="Q436" s="1">
        <v>31</v>
      </c>
      <c r="R436" s="1">
        <v>-99</v>
      </c>
      <c r="S436" s="1">
        <v>5</v>
      </c>
    </row>
    <row r="437" spans="1:19" ht="12.75" customHeight="1" x14ac:dyDescent="0.15">
      <c r="A437" s="5" t="s">
        <v>285</v>
      </c>
      <c r="B437" s="1" t="e">
        <f ca="1">_xludf.LET(_xlpm.x,LOWER(TRIM(A437)),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7" s="5" t="s">
        <v>223</v>
      </c>
      <c r="D437" s="1">
        <f t="shared" si="36"/>
        <v>0</v>
      </c>
      <c r="E437" s="5" t="s">
        <v>204</v>
      </c>
      <c r="F437" s="1">
        <f t="shared" si="37"/>
        <v>1</v>
      </c>
      <c r="G437" s="5" t="s">
        <v>204</v>
      </c>
      <c r="H437" s="1">
        <f t="shared" si="38"/>
        <v>1</v>
      </c>
      <c r="I437" s="5" t="s">
        <v>242</v>
      </c>
      <c r="J437" s="1">
        <f t="shared" si="39"/>
        <v>3</v>
      </c>
      <c r="K437" s="5" t="s">
        <v>215</v>
      </c>
      <c r="L437" s="1">
        <f t="shared" si="40"/>
        <v>2</v>
      </c>
      <c r="M437" s="1">
        <v>55</v>
      </c>
      <c r="N437" s="1" t="s">
        <v>988</v>
      </c>
      <c r="O437" s="1">
        <f t="shared" si="41"/>
        <v>0</v>
      </c>
      <c r="P437" s="1">
        <v>2</v>
      </c>
      <c r="Q437" s="1">
        <v>1</v>
      </c>
      <c r="R437" s="1">
        <v>350000</v>
      </c>
      <c r="S437" s="1">
        <v>5</v>
      </c>
    </row>
    <row r="438" spans="1:19" ht="12.75" customHeight="1" x14ac:dyDescent="0.15">
      <c r="A438" s="5" t="s">
        <v>213</v>
      </c>
      <c r="B438" s="1" t="e">
        <f ca="1">_xludf.LET(_xlpm.x,LOWER(TRIM(A438)),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8" s="5" t="s">
        <v>223</v>
      </c>
      <c r="D438" s="1">
        <f t="shared" si="36"/>
        <v>0</v>
      </c>
      <c r="F438" s="1" t="str">
        <f t="shared" si="37"/>
        <v/>
      </c>
      <c r="G438" s="5" t="s">
        <v>204</v>
      </c>
      <c r="H438" s="1">
        <f t="shared" si="38"/>
        <v>1</v>
      </c>
      <c r="I438" s="5" t="s">
        <v>271</v>
      </c>
      <c r="J438" s="1">
        <f t="shared" si="39"/>
        <v>4</v>
      </c>
      <c r="K438" s="5" t="s">
        <v>242</v>
      </c>
      <c r="L438" s="1">
        <f t="shared" si="40"/>
        <v>3</v>
      </c>
      <c r="M438" s="1">
        <v>55</v>
      </c>
      <c r="N438" s="1" t="s">
        <v>988</v>
      </c>
      <c r="O438" s="1">
        <f t="shared" si="41"/>
        <v>0</v>
      </c>
      <c r="P438" s="1">
        <v>2</v>
      </c>
      <c r="Q438" s="1">
        <v>1</v>
      </c>
      <c r="R438" s="1">
        <v>350000</v>
      </c>
      <c r="S438" s="1">
        <v>5</v>
      </c>
    </row>
    <row r="439" spans="1:19" ht="12.75" customHeight="1" x14ac:dyDescent="0.15">
      <c r="A439" s="5" t="s">
        <v>277</v>
      </c>
      <c r="B439" s="1" t="e">
        <f ca="1">_xludf.LET(_xlpm.x,LOWER(TRIM(A439)),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9" s="5" t="s">
        <v>223</v>
      </c>
      <c r="D439" s="1">
        <f t="shared" si="36"/>
        <v>0</v>
      </c>
      <c r="F439" s="1" t="str">
        <f t="shared" si="37"/>
        <v/>
      </c>
      <c r="G439" s="5" t="s">
        <v>204</v>
      </c>
      <c r="H439" s="1">
        <f t="shared" si="38"/>
        <v>1</v>
      </c>
      <c r="I439" s="5" t="s">
        <v>207</v>
      </c>
      <c r="J439" s="1" t="str">
        <f t="shared" si="39"/>
        <v/>
      </c>
      <c r="K439" s="5" t="s">
        <v>215</v>
      </c>
      <c r="L439" s="1">
        <f t="shared" si="40"/>
        <v>2</v>
      </c>
      <c r="M439" s="1">
        <v>55</v>
      </c>
      <c r="N439" s="1" t="s">
        <v>989</v>
      </c>
      <c r="O439" s="1">
        <f t="shared" si="41"/>
        <v>1</v>
      </c>
      <c r="P439" s="1">
        <v>2</v>
      </c>
      <c r="Q439" s="1">
        <v>11</v>
      </c>
      <c r="R439" s="1">
        <v>800000</v>
      </c>
      <c r="S439" s="1">
        <v>1</v>
      </c>
    </row>
    <row r="440" spans="1:19" ht="12.75" customHeight="1" x14ac:dyDescent="0.15">
      <c r="A440" s="5" t="s">
        <v>269</v>
      </c>
      <c r="B440" s="1" t="e">
        <f ca="1">_xludf.LET(_xlpm.x,LOWER(TRIM(A440)),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0" s="5" t="s">
        <v>223</v>
      </c>
      <c r="D440" s="1">
        <f t="shared" si="36"/>
        <v>0</v>
      </c>
      <c r="E440" s="5" t="s">
        <v>204</v>
      </c>
      <c r="F440" s="1">
        <f t="shared" si="37"/>
        <v>1</v>
      </c>
      <c r="G440" s="5" t="s">
        <v>204</v>
      </c>
      <c r="H440" s="1">
        <f t="shared" si="38"/>
        <v>1</v>
      </c>
      <c r="I440" s="5" t="s">
        <v>278</v>
      </c>
      <c r="J440" s="1">
        <f t="shared" si="39"/>
        <v>5</v>
      </c>
      <c r="K440" s="5" t="s">
        <v>242</v>
      </c>
      <c r="L440" s="1">
        <f t="shared" si="40"/>
        <v>3</v>
      </c>
      <c r="M440" s="1">
        <v>55</v>
      </c>
      <c r="N440" s="1" t="s">
        <v>989</v>
      </c>
      <c r="O440" s="1">
        <f t="shared" si="41"/>
        <v>1</v>
      </c>
      <c r="P440" s="1">
        <v>2</v>
      </c>
      <c r="Q440" s="1">
        <v>34</v>
      </c>
      <c r="R440" s="1">
        <v>400000</v>
      </c>
      <c r="S440" s="1">
        <v>1</v>
      </c>
    </row>
    <row r="441" spans="1:19" ht="12.75" customHeight="1" x14ac:dyDescent="0.15">
      <c r="A441" s="5" t="s">
        <v>269</v>
      </c>
      <c r="B441" s="1" t="e">
        <f ca="1">_xludf.LET(_xlpm.x,LOWER(TRIM(A441)),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1" s="5" t="s">
        <v>223</v>
      </c>
      <c r="D441" s="1">
        <f t="shared" si="36"/>
        <v>0</v>
      </c>
      <c r="E441" s="5" t="s">
        <v>206</v>
      </c>
      <c r="F441" s="1">
        <f t="shared" si="37"/>
        <v>0</v>
      </c>
      <c r="G441" s="5" t="s">
        <v>204</v>
      </c>
      <c r="H441" s="1">
        <f t="shared" si="38"/>
        <v>1</v>
      </c>
      <c r="I441" s="5" t="s">
        <v>207</v>
      </c>
      <c r="J441" s="1" t="str">
        <f t="shared" si="39"/>
        <v/>
      </c>
      <c r="K441" s="5" t="s">
        <v>264</v>
      </c>
      <c r="L441" s="1">
        <f t="shared" si="40"/>
        <v>1</v>
      </c>
      <c r="M441" s="1">
        <v>55</v>
      </c>
      <c r="N441" s="1" t="s">
        <v>989</v>
      </c>
      <c r="O441" s="1">
        <f t="shared" si="41"/>
        <v>1</v>
      </c>
      <c r="P441" s="1">
        <v>14</v>
      </c>
      <c r="Q441" s="1">
        <v>24</v>
      </c>
      <c r="R441" s="1">
        <v>250000</v>
      </c>
      <c r="S441" s="1">
        <v>6</v>
      </c>
    </row>
    <row r="442" spans="1:19" ht="12.75" customHeight="1" x14ac:dyDescent="0.15">
      <c r="A442" s="5" t="s">
        <v>285</v>
      </c>
      <c r="B442" s="1" t="e">
        <f ca="1">_xludf.LET(_xlpm.x,LOWER(TRIM(A442)),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2" s="5" t="s">
        <v>223</v>
      </c>
      <c r="D442" s="1">
        <f t="shared" si="36"/>
        <v>0</v>
      </c>
      <c r="F442" s="1" t="str">
        <f t="shared" si="37"/>
        <v/>
      </c>
      <c r="G442" s="5" t="s">
        <v>204</v>
      </c>
      <c r="H442" s="1">
        <f t="shared" si="38"/>
        <v>1</v>
      </c>
      <c r="I442" s="5" t="s">
        <v>242</v>
      </c>
      <c r="J442" s="1">
        <f t="shared" si="39"/>
        <v>3</v>
      </c>
      <c r="K442" s="5" t="s">
        <v>242</v>
      </c>
      <c r="L442" s="1">
        <f t="shared" si="40"/>
        <v>3</v>
      </c>
      <c r="M442" s="1">
        <v>55</v>
      </c>
      <c r="N442" s="1" t="s">
        <v>997</v>
      </c>
      <c r="O442" s="1">
        <f t="shared" si="41"/>
        <v>0</v>
      </c>
      <c r="P442" s="1">
        <v>14</v>
      </c>
      <c r="Q442" s="1">
        <v>7</v>
      </c>
      <c r="R442" s="1">
        <v>500000</v>
      </c>
      <c r="S442" s="1">
        <v>3</v>
      </c>
    </row>
    <row r="443" spans="1:19" ht="12.75" customHeight="1" x14ac:dyDescent="0.15">
      <c r="A443" s="5" t="s">
        <v>457</v>
      </c>
      <c r="B443" s="1" t="e">
        <f ca="1">_xludf.LET(_xlpm.x,LOWER(TRIM(A443)),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3" s="5" t="s">
        <v>223</v>
      </c>
      <c r="D443" s="1">
        <f t="shared" si="36"/>
        <v>0</v>
      </c>
      <c r="F443" s="1" t="str">
        <f t="shared" si="37"/>
        <v/>
      </c>
      <c r="G443" s="5" t="s">
        <v>204</v>
      </c>
      <c r="H443" s="1">
        <f t="shared" si="38"/>
        <v>1</v>
      </c>
      <c r="I443" s="5" t="s">
        <v>278</v>
      </c>
      <c r="J443" s="1">
        <f t="shared" si="39"/>
        <v>5</v>
      </c>
      <c r="K443" s="5" t="s">
        <v>278</v>
      </c>
      <c r="L443" s="1">
        <f t="shared" si="40"/>
        <v>5</v>
      </c>
      <c r="M443" s="1">
        <v>55</v>
      </c>
      <c r="N443" s="1" t="s">
        <v>992</v>
      </c>
      <c r="O443" s="1">
        <f t="shared" si="41"/>
        <v>0</v>
      </c>
      <c r="P443" s="1">
        <v>16</v>
      </c>
      <c r="Q443" s="1">
        <v>34</v>
      </c>
      <c r="R443" s="1">
        <v>800000</v>
      </c>
      <c r="S443" s="1">
        <v>3</v>
      </c>
    </row>
    <row r="444" spans="1:19" ht="12.75" customHeight="1" x14ac:dyDescent="0.15">
      <c r="A444" s="5" t="s">
        <v>277</v>
      </c>
      <c r="B444" s="1" t="e">
        <f ca="1">_xludf.LET(_xlpm.x,LOWER(TRIM(A444)),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4" s="5" t="s">
        <v>618</v>
      </c>
      <c r="D444" s="1">
        <f t="shared" si="36"/>
        <v>1</v>
      </c>
      <c r="F444" s="1" t="str">
        <f t="shared" si="37"/>
        <v/>
      </c>
      <c r="G444" s="5" t="s">
        <v>204</v>
      </c>
      <c r="H444" s="1">
        <f t="shared" si="38"/>
        <v>1</v>
      </c>
      <c r="I444" s="5" t="s">
        <v>264</v>
      </c>
      <c r="J444" s="1">
        <f t="shared" si="39"/>
        <v>1</v>
      </c>
      <c r="K444" s="5" t="s">
        <v>207</v>
      </c>
      <c r="L444" s="1" t="str">
        <f t="shared" si="40"/>
        <v/>
      </c>
      <c r="M444" s="1">
        <v>55</v>
      </c>
      <c r="N444" s="1" t="s">
        <v>989</v>
      </c>
      <c r="O444" s="1">
        <f t="shared" si="41"/>
        <v>1</v>
      </c>
      <c r="P444" s="1">
        <v>14</v>
      </c>
      <c r="Q444" s="1">
        <v>24</v>
      </c>
      <c r="R444" s="1">
        <v>600000</v>
      </c>
      <c r="S444" s="1">
        <v>2</v>
      </c>
    </row>
    <row r="445" spans="1:19" ht="12.75" customHeight="1" x14ac:dyDescent="0.15">
      <c r="A445" s="5" t="s">
        <v>269</v>
      </c>
      <c r="B445" s="1" t="e">
        <f ca="1">_xludf.LET(_xlpm.x,LOWER(TRIM(A445)),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5" s="5" t="s">
        <v>223</v>
      </c>
      <c r="D445" s="1">
        <f t="shared" si="36"/>
        <v>0</v>
      </c>
      <c r="E445" s="5" t="s">
        <v>204</v>
      </c>
      <c r="F445" s="1">
        <f t="shared" si="37"/>
        <v>1</v>
      </c>
      <c r="G445" s="5" t="s">
        <v>204</v>
      </c>
      <c r="H445" s="1">
        <f t="shared" si="38"/>
        <v>1</v>
      </c>
      <c r="I445" s="5" t="s">
        <v>207</v>
      </c>
      <c r="J445" s="1" t="str">
        <f t="shared" si="39"/>
        <v/>
      </c>
      <c r="K445" s="5" t="s">
        <v>242</v>
      </c>
      <c r="L445" s="1">
        <f t="shared" si="40"/>
        <v>3</v>
      </c>
      <c r="M445" s="1">
        <v>56</v>
      </c>
      <c r="N445" s="1" t="s">
        <v>989</v>
      </c>
      <c r="O445" s="1">
        <f t="shared" si="41"/>
        <v>1</v>
      </c>
      <c r="P445" s="1">
        <v>14</v>
      </c>
      <c r="Q445" s="1">
        <v>28</v>
      </c>
      <c r="R445" s="1">
        <v>150000</v>
      </c>
      <c r="S445" s="1">
        <v>2</v>
      </c>
    </row>
    <row r="446" spans="1:19" ht="12.75" customHeight="1" x14ac:dyDescent="0.15">
      <c r="A446" s="5" t="s">
        <v>285</v>
      </c>
      <c r="B446" s="1" t="e">
        <f ca="1">_xludf.LET(_xlpm.x,LOWER(TRIM(A446)),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6" s="5" t="s">
        <v>223</v>
      </c>
      <c r="D446" s="1">
        <f t="shared" si="36"/>
        <v>0</v>
      </c>
      <c r="E446" s="5" t="s">
        <v>204</v>
      </c>
      <c r="F446" s="1">
        <f t="shared" si="37"/>
        <v>1</v>
      </c>
      <c r="G446" s="5" t="s">
        <v>204</v>
      </c>
      <c r="H446" s="1">
        <f t="shared" si="38"/>
        <v>1</v>
      </c>
      <c r="I446" s="5" t="s">
        <v>278</v>
      </c>
      <c r="J446" s="1">
        <f t="shared" si="39"/>
        <v>5</v>
      </c>
      <c r="K446" s="5" t="s">
        <v>278</v>
      </c>
      <c r="L446" s="1">
        <f t="shared" si="40"/>
        <v>5</v>
      </c>
      <c r="M446" s="1">
        <v>56</v>
      </c>
      <c r="N446" s="1" t="s">
        <v>990</v>
      </c>
      <c r="O446" s="1">
        <f t="shared" si="41"/>
        <v>0</v>
      </c>
      <c r="P446" s="1">
        <v>14</v>
      </c>
      <c r="Q446" s="1">
        <v>24</v>
      </c>
      <c r="R446" s="1">
        <v>-99</v>
      </c>
      <c r="S446" s="1">
        <v>5</v>
      </c>
    </row>
    <row r="447" spans="1:19" ht="12.75" customHeight="1" x14ac:dyDescent="0.15">
      <c r="A447" s="5" t="s">
        <v>285</v>
      </c>
      <c r="B447" s="1" t="e">
        <f ca="1">_xludf.LET(_xlpm.x,LOWER(TRIM(A447)),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7" s="5" t="s">
        <v>223</v>
      </c>
      <c r="D447" s="1">
        <f t="shared" si="36"/>
        <v>0</v>
      </c>
      <c r="E447" s="5" t="s">
        <v>204</v>
      </c>
      <c r="F447" s="1">
        <f t="shared" si="37"/>
        <v>1</v>
      </c>
      <c r="G447" s="5" t="s">
        <v>204</v>
      </c>
      <c r="H447" s="1">
        <f t="shared" si="38"/>
        <v>1</v>
      </c>
      <c r="I447" s="5" t="s">
        <v>264</v>
      </c>
      <c r="J447" s="1">
        <f t="shared" si="39"/>
        <v>1</v>
      </c>
      <c r="K447" s="5" t="s">
        <v>264</v>
      </c>
      <c r="L447" s="1">
        <f t="shared" si="40"/>
        <v>1</v>
      </c>
      <c r="M447" s="1">
        <v>56</v>
      </c>
      <c r="N447" s="1" t="s">
        <v>992</v>
      </c>
      <c r="O447" s="1">
        <f t="shared" si="41"/>
        <v>0</v>
      </c>
      <c r="P447" s="1">
        <v>14</v>
      </c>
      <c r="Q447" s="1">
        <v>33</v>
      </c>
      <c r="R447" s="1">
        <v>500000</v>
      </c>
      <c r="S447" s="1">
        <v>3</v>
      </c>
    </row>
    <row r="448" spans="1:19" ht="12.75" customHeight="1" x14ac:dyDescent="0.15">
      <c r="A448" s="5" t="s">
        <v>213</v>
      </c>
      <c r="B448" s="1" t="e">
        <f ca="1">_xludf.LET(_xlpm.x,LOWER(TRIM(A448)),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8" s="5" t="s">
        <v>223</v>
      </c>
      <c r="D448" s="1">
        <f t="shared" si="36"/>
        <v>0</v>
      </c>
      <c r="F448" s="1" t="str">
        <f t="shared" si="37"/>
        <v/>
      </c>
      <c r="G448" s="5" t="s">
        <v>204</v>
      </c>
      <c r="H448" s="1">
        <f t="shared" si="38"/>
        <v>1</v>
      </c>
      <c r="I448" s="5" t="s">
        <v>207</v>
      </c>
      <c r="J448" s="1" t="str">
        <f t="shared" si="39"/>
        <v/>
      </c>
      <c r="K448" s="5" t="s">
        <v>242</v>
      </c>
      <c r="L448" s="1">
        <f t="shared" si="40"/>
        <v>3</v>
      </c>
      <c r="M448" s="1">
        <v>56</v>
      </c>
      <c r="N448" s="1" t="s">
        <v>1001</v>
      </c>
      <c r="O448" s="1">
        <f t="shared" si="41"/>
        <v>0</v>
      </c>
      <c r="P448" s="1">
        <v>14</v>
      </c>
      <c r="Q448" s="1">
        <v>13</v>
      </c>
      <c r="R448" s="1">
        <v>500000</v>
      </c>
      <c r="S448" s="1">
        <v>3</v>
      </c>
    </row>
    <row r="449" spans="1:19" ht="12.75" customHeight="1" x14ac:dyDescent="0.15">
      <c r="A449" s="5" t="s">
        <v>285</v>
      </c>
      <c r="B449" s="1" t="e">
        <f ca="1">_xludf.LET(_xlpm.x,LOWER(TRIM(A449)),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9" s="5" t="s">
        <v>223</v>
      </c>
      <c r="D449" s="1">
        <f t="shared" si="36"/>
        <v>0</v>
      </c>
      <c r="F449" s="1" t="str">
        <f t="shared" si="37"/>
        <v/>
      </c>
      <c r="G449" s="5" t="s">
        <v>204</v>
      </c>
      <c r="H449" s="1">
        <f t="shared" si="38"/>
        <v>1</v>
      </c>
      <c r="I449" s="5" t="s">
        <v>207</v>
      </c>
      <c r="J449" s="1" t="str">
        <f t="shared" si="39"/>
        <v/>
      </c>
      <c r="K449" s="5" t="s">
        <v>215</v>
      </c>
      <c r="L449" s="1">
        <f t="shared" si="40"/>
        <v>2</v>
      </c>
      <c r="M449" s="1">
        <v>56</v>
      </c>
      <c r="N449" s="1" t="s">
        <v>990</v>
      </c>
      <c r="O449" s="1">
        <f t="shared" si="41"/>
        <v>0</v>
      </c>
      <c r="P449" s="1">
        <v>2</v>
      </c>
      <c r="Q449" s="1">
        <v>11</v>
      </c>
      <c r="R449" s="1">
        <v>-99</v>
      </c>
      <c r="S449" s="1">
        <v>2</v>
      </c>
    </row>
    <row r="450" spans="1:19" ht="12.75" customHeight="1" x14ac:dyDescent="0.15">
      <c r="A450" s="5" t="s">
        <v>277</v>
      </c>
      <c r="B450" s="1" t="e">
        <f ca="1">_xludf.LET(_xlpm.x,LOWER(TRIM(A450)),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0" s="5" t="s">
        <v>223</v>
      </c>
      <c r="D450" s="1">
        <f t="shared" ref="D450:D503" si="42">IF(C450="Chilena (exclusivamente)",0,1)</f>
        <v>0</v>
      </c>
      <c r="F450" s="1" t="str">
        <f t="shared" ref="F450:F503" si="43">IF(ISBLANK(E450),"",IF(OR(E450="Sí",E450="Si"),1,IF(E450="No",0,"")))</f>
        <v/>
      </c>
      <c r="G450" s="5" t="s">
        <v>204</v>
      </c>
      <c r="H450" s="1">
        <f t="shared" ref="H450:H503" si="44">IF(ISBLANK(G450),"",IF(OR(G450="Sí",G450="Si"),1,IF(G450="No",0,"")))</f>
        <v>1</v>
      </c>
      <c r="I450" s="5" t="s">
        <v>242</v>
      </c>
      <c r="J450" s="1">
        <f t="shared" ref="J450:J503" si="45">IF(OR(ISBLANK(I450),TRIM(I450)="No respondió",TRIM(I450)="No respondio",TRIM(I450)="No aplica"),
   "",
   IF(TRIM(I450)="Entre 1 a 2 horas",1,
     IF(TRIM(I450)="Más de 2 horas y menos de 4 horas",2,
       IF(TRIM(I450)="Entre 4 a 6 horas",3,
         IF(TRIM(I450)="Más de 6 horas y menos de 8 horas",4,
           IF(TRIM(I450)="Más de 8 horas",5,"")
         )
       )
     )
   )
)</f>
        <v>3</v>
      </c>
      <c r="K450" s="5" t="s">
        <v>215</v>
      </c>
      <c r="L450" s="1">
        <f t="shared" ref="L450:L503" si="46">IF(OR(ISBLANK(K450),TRIM(K450)="No respondió",TRIM(K450)="No respondio",TRIM(K450)="No aplica"),
   "",
   IF(TRIM(K450)="Entre 1 a 2 horas",1,
     IF(TRIM(K450)="Más de 2 horas y menos de 4 horas",2,
       IF(TRIM(K450)="Entre 4 a 6 horas",3,
         IF(TRIM(K450)="Más de 6 horas y menos de 8 horas",4,
           IF(TRIM(K450)="Más de 8 horas",5,"")
         )
       )
     )
   )
)</f>
        <v>2</v>
      </c>
      <c r="M450" s="1">
        <v>56</v>
      </c>
      <c r="N450" s="1" t="s">
        <v>990</v>
      </c>
      <c r="O450" s="1">
        <f t="shared" ref="O450:O503" si="47">IF(N450="METROPOLITANA",1,0)</f>
        <v>0</v>
      </c>
      <c r="P450" s="1">
        <v>2</v>
      </c>
      <c r="Q450" s="1">
        <v>11</v>
      </c>
      <c r="R450" s="1">
        <v>-99</v>
      </c>
      <c r="S450" s="1">
        <v>2</v>
      </c>
    </row>
    <row r="451" spans="1:19" ht="12.75" customHeight="1" x14ac:dyDescent="0.15">
      <c r="A451" s="5" t="s">
        <v>285</v>
      </c>
      <c r="B451" s="1" t="e">
        <f ca="1">_xludf.LET(_xlpm.x,LOWER(TRIM(A451)),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1" s="5" t="s">
        <v>223</v>
      </c>
      <c r="D451" s="1">
        <f t="shared" si="42"/>
        <v>0</v>
      </c>
      <c r="F451" s="1" t="str">
        <f t="shared" si="43"/>
        <v/>
      </c>
      <c r="G451" s="5" t="s">
        <v>204</v>
      </c>
      <c r="H451" s="1">
        <f t="shared" si="44"/>
        <v>1</v>
      </c>
      <c r="I451" s="5" t="s">
        <v>278</v>
      </c>
      <c r="J451" s="1">
        <f t="shared" si="45"/>
        <v>5</v>
      </c>
      <c r="K451" s="5" t="s">
        <v>215</v>
      </c>
      <c r="L451" s="1">
        <f t="shared" si="46"/>
        <v>2</v>
      </c>
      <c r="M451" s="1">
        <v>57</v>
      </c>
      <c r="N451" s="1" t="s">
        <v>1000</v>
      </c>
      <c r="O451" s="1">
        <f t="shared" si="47"/>
        <v>0</v>
      </c>
      <c r="P451" s="1">
        <v>14</v>
      </c>
      <c r="Q451" s="1">
        <v>3</v>
      </c>
      <c r="R451" s="1">
        <v>240000</v>
      </c>
      <c r="S451" s="1">
        <v>3</v>
      </c>
    </row>
    <row r="452" spans="1:19" ht="12.75" customHeight="1" x14ac:dyDescent="0.15">
      <c r="A452" s="5" t="s">
        <v>269</v>
      </c>
      <c r="B452" s="1" t="e">
        <f ca="1">_xludf.LET(_xlpm.x,LOWER(TRIM(A452)),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2" s="5" t="s">
        <v>223</v>
      </c>
      <c r="D452" s="1">
        <f t="shared" si="42"/>
        <v>0</v>
      </c>
      <c r="E452" s="5" t="s">
        <v>204</v>
      </c>
      <c r="F452" s="1">
        <f t="shared" si="43"/>
        <v>1</v>
      </c>
      <c r="G452" s="5" t="s">
        <v>204</v>
      </c>
      <c r="H452" s="1">
        <f t="shared" si="44"/>
        <v>1</v>
      </c>
      <c r="I452" s="5" t="s">
        <v>215</v>
      </c>
      <c r="J452" s="1">
        <f t="shared" si="45"/>
        <v>2</v>
      </c>
      <c r="K452" s="5" t="s">
        <v>215</v>
      </c>
      <c r="L452" s="1">
        <f t="shared" si="46"/>
        <v>2</v>
      </c>
      <c r="M452" s="1">
        <v>57</v>
      </c>
      <c r="N452" s="1" t="s">
        <v>990</v>
      </c>
      <c r="O452" s="1">
        <f t="shared" si="47"/>
        <v>0</v>
      </c>
      <c r="P452" s="1">
        <v>14</v>
      </c>
      <c r="Q452" s="1">
        <v>5</v>
      </c>
      <c r="R452" s="1">
        <v>650000</v>
      </c>
      <c r="S452" s="1">
        <v>1</v>
      </c>
    </row>
    <row r="453" spans="1:19" ht="12.75" customHeight="1" x14ac:dyDescent="0.15">
      <c r="A453" s="5" t="s">
        <v>285</v>
      </c>
      <c r="B453" s="1" t="e">
        <f ca="1">_xludf.LET(_xlpm.x,LOWER(TRIM(A453)),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3" s="5" t="s">
        <v>223</v>
      </c>
      <c r="D453" s="1">
        <f t="shared" si="42"/>
        <v>0</v>
      </c>
      <c r="F453" s="1" t="str">
        <f t="shared" si="43"/>
        <v/>
      </c>
      <c r="G453" s="5" t="s">
        <v>204</v>
      </c>
      <c r="H453" s="1">
        <f t="shared" si="44"/>
        <v>1</v>
      </c>
      <c r="I453" s="5" t="s">
        <v>264</v>
      </c>
      <c r="J453" s="1">
        <f t="shared" si="45"/>
        <v>1</v>
      </c>
      <c r="K453" s="5" t="s">
        <v>242</v>
      </c>
      <c r="L453" s="1">
        <f t="shared" si="46"/>
        <v>3</v>
      </c>
      <c r="M453" s="1">
        <v>57</v>
      </c>
      <c r="N453" s="1" t="s">
        <v>989</v>
      </c>
      <c r="O453" s="1">
        <f t="shared" si="47"/>
        <v>1</v>
      </c>
      <c r="P453" s="1">
        <v>14</v>
      </c>
      <c r="Q453" s="1">
        <v>24</v>
      </c>
      <c r="R453" s="1">
        <v>0</v>
      </c>
      <c r="S453" s="1">
        <v>2</v>
      </c>
    </row>
    <row r="454" spans="1:19" ht="12.75" customHeight="1" x14ac:dyDescent="0.15">
      <c r="A454" s="5" t="s">
        <v>285</v>
      </c>
      <c r="B454" s="1" t="e">
        <f ca="1">_xludf.LET(_xlpm.x,LOWER(TRIM(A454)),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4" s="5" t="s">
        <v>223</v>
      </c>
      <c r="D454" s="1">
        <f t="shared" si="42"/>
        <v>0</v>
      </c>
      <c r="E454" s="5" t="s">
        <v>204</v>
      </c>
      <c r="F454" s="1">
        <f t="shared" si="43"/>
        <v>1</v>
      </c>
      <c r="G454" s="5" t="s">
        <v>204</v>
      </c>
      <c r="H454" s="1">
        <f t="shared" si="44"/>
        <v>1</v>
      </c>
      <c r="I454" s="5" t="s">
        <v>264</v>
      </c>
      <c r="J454" s="1">
        <f t="shared" si="45"/>
        <v>1</v>
      </c>
      <c r="K454" s="5" t="s">
        <v>215</v>
      </c>
      <c r="L454" s="1">
        <f t="shared" si="46"/>
        <v>2</v>
      </c>
      <c r="M454" s="1">
        <v>58</v>
      </c>
      <c r="N454" s="1" t="s">
        <v>987</v>
      </c>
      <c r="O454" s="1">
        <f t="shared" si="47"/>
        <v>0</v>
      </c>
      <c r="P454" s="1">
        <v>16</v>
      </c>
      <c r="Q454" s="1">
        <v>1</v>
      </c>
      <c r="R454" s="1">
        <v>800000</v>
      </c>
      <c r="S454" s="1">
        <v>3</v>
      </c>
    </row>
    <row r="455" spans="1:19" ht="12.75" customHeight="1" x14ac:dyDescent="0.15">
      <c r="A455" s="5" t="s">
        <v>285</v>
      </c>
      <c r="B455" s="1" t="e">
        <f ca="1">_xludf.LET(_xlpm.x,LOWER(TRIM(A455)),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5" s="5" t="s">
        <v>223</v>
      </c>
      <c r="D455" s="1">
        <f t="shared" si="42"/>
        <v>0</v>
      </c>
      <c r="F455" s="1" t="str">
        <f t="shared" si="43"/>
        <v/>
      </c>
      <c r="G455" s="5" t="s">
        <v>204</v>
      </c>
      <c r="H455" s="1">
        <f t="shared" si="44"/>
        <v>1</v>
      </c>
      <c r="I455" s="5" t="s">
        <v>271</v>
      </c>
      <c r="J455" s="1">
        <f t="shared" si="45"/>
        <v>4</v>
      </c>
      <c r="K455" s="5" t="s">
        <v>278</v>
      </c>
      <c r="L455" s="1">
        <f t="shared" si="46"/>
        <v>5</v>
      </c>
      <c r="M455" s="1">
        <v>58</v>
      </c>
      <c r="N455" s="1" t="s">
        <v>991</v>
      </c>
      <c r="O455" s="1">
        <f t="shared" si="47"/>
        <v>0</v>
      </c>
      <c r="P455" s="1">
        <v>2</v>
      </c>
      <c r="Q455" s="1">
        <v>1</v>
      </c>
      <c r="R455" s="1">
        <v>600000</v>
      </c>
      <c r="S455" s="1">
        <v>1</v>
      </c>
    </row>
    <row r="456" spans="1:19" ht="12.75" customHeight="1" x14ac:dyDescent="0.15">
      <c r="A456" s="5" t="s">
        <v>269</v>
      </c>
      <c r="B456" s="1" t="e">
        <f ca="1">_xludf.LET(_xlpm.x,LOWER(TRIM(A456)),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6" s="5" t="s">
        <v>223</v>
      </c>
      <c r="D456" s="1">
        <f t="shared" si="42"/>
        <v>0</v>
      </c>
      <c r="F456" s="1" t="str">
        <f t="shared" si="43"/>
        <v/>
      </c>
      <c r="G456" s="5" t="s">
        <v>204</v>
      </c>
      <c r="H456" s="1">
        <f t="shared" si="44"/>
        <v>1</v>
      </c>
      <c r="I456" s="5" t="s">
        <v>207</v>
      </c>
      <c r="J456" s="1" t="str">
        <f t="shared" si="45"/>
        <v/>
      </c>
      <c r="K456" s="5" t="s">
        <v>215</v>
      </c>
      <c r="L456" s="1">
        <f t="shared" si="46"/>
        <v>2</v>
      </c>
      <c r="M456" s="1">
        <v>58</v>
      </c>
      <c r="N456" s="1" t="s">
        <v>989</v>
      </c>
      <c r="O456" s="1">
        <f t="shared" si="47"/>
        <v>1</v>
      </c>
      <c r="P456" s="1">
        <v>2</v>
      </c>
      <c r="Q456" s="1">
        <v>5</v>
      </c>
      <c r="R456" s="1">
        <v>300000</v>
      </c>
      <c r="S456" s="1">
        <v>2</v>
      </c>
    </row>
    <row r="457" spans="1:19" ht="12.75" customHeight="1" x14ac:dyDescent="0.15">
      <c r="A457" s="5" t="s">
        <v>269</v>
      </c>
      <c r="B457" s="1" t="e">
        <f ca="1">_xludf.LET(_xlpm.x,LOWER(TRIM(A457)),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7" s="5" t="s">
        <v>358</v>
      </c>
      <c r="D457" s="1">
        <f t="shared" si="42"/>
        <v>1</v>
      </c>
      <c r="E457" s="5" t="s">
        <v>204</v>
      </c>
      <c r="F457" s="1">
        <f t="shared" si="43"/>
        <v>1</v>
      </c>
      <c r="G457" s="5" t="s">
        <v>204</v>
      </c>
      <c r="H457" s="1">
        <f t="shared" si="44"/>
        <v>1</v>
      </c>
      <c r="I457" s="5" t="s">
        <v>271</v>
      </c>
      <c r="J457" s="1">
        <f t="shared" si="45"/>
        <v>4</v>
      </c>
      <c r="K457" s="5" t="s">
        <v>242</v>
      </c>
      <c r="L457" s="1">
        <f t="shared" si="46"/>
        <v>3</v>
      </c>
      <c r="M457" s="1">
        <v>58</v>
      </c>
      <c r="N457" s="1" t="s">
        <v>989</v>
      </c>
      <c r="O457" s="1">
        <f t="shared" si="47"/>
        <v>1</v>
      </c>
      <c r="P457" s="1">
        <v>14</v>
      </c>
      <c r="Q457" s="1">
        <v>3</v>
      </c>
      <c r="R457" s="1">
        <v>0</v>
      </c>
      <c r="S457" s="1">
        <v>1</v>
      </c>
    </row>
    <row r="458" spans="1:19" ht="12.75" customHeight="1" x14ac:dyDescent="0.15">
      <c r="A458" s="5" t="s">
        <v>457</v>
      </c>
      <c r="B458" s="1" t="e">
        <f ca="1">_xludf.LET(_xlpm.x,LOWER(TRIM(A458)),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8" s="5" t="s">
        <v>223</v>
      </c>
      <c r="D458" s="1">
        <f t="shared" si="42"/>
        <v>0</v>
      </c>
      <c r="F458" s="1" t="str">
        <f t="shared" si="43"/>
        <v/>
      </c>
      <c r="G458" s="5" t="s">
        <v>204</v>
      </c>
      <c r="H458" s="1">
        <f t="shared" si="44"/>
        <v>1</v>
      </c>
      <c r="I458" s="5" t="s">
        <v>264</v>
      </c>
      <c r="J458" s="1">
        <f t="shared" si="45"/>
        <v>1</v>
      </c>
      <c r="K458" s="5" t="s">
        <v>207</v>
      </c>
      <c r="L458" s="1" t="str">
        <f t="shared" si="46"/>
        <v/>
      </c>
      <c r="M458" s="1">
        <v>59</v>
      </c>
      <c r="N458" s="1" t="s">
        <v>995</v>
      </c>
      <c r="O458" s="1">
        <f t="shared" si="47"/>
        <v>0</v>
      </c>
      <c r="P458" s="1">
        <v>18</v>
      </c>
      <c r="Q458" s="1">
        <v>13</v>
      </c>
      <c r="R458" s="1">
        <v>485000</v>
      </c>
      <c r="S458" s="1">
        <v>1</v>
      </c>
    </row>
    <row r="459" spans="1:19" ht="12.75" customHeight="1" x14ac:dyDescent="0.15">
      <c r="A459" s="5" t="s">
        <v>213</v>
      </c>
      <c r="B459" s="1" t="e">
        <f ca="1">_xludf.LET(_xlpm.x,LOWER(TRIM(A459)),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9" s="5" t="s">
        <v>223</v>
      </c>
      <c r="D459" s="1">
        <f t="shared" si="42"/>
        <v>0</v>
      </c>
      <c r="F459" s="1" t="str">
        <f t="shared" si="43"/>
        <v/>
      </c>
      <c r="G459" s="5" t="s">
        <v>204</v>
      </c>
      <c r="H459" s="1">
        <f t="shared" si="44"/>
        <v>1</v>
      </c>
      <c r="I459" s="5" t="s">
        <v>207</v>
      </c>
      <c r="J459" s="1" t="str">
        <f t="shared" si="45"/>
        <v/>
      </c>
      <c r="K459" s="5" t="s">
        <v>207</v>
      </c>
      <c r="L459" s="1" t="str">
        <f t="shared" si="46"/>
        <v/>
      </c>
      <c r="M459" s="1">
        <v>59</v>
      </c>
      <c r="N459" s="1" t="s">
        <v>989</v>
      </c>
      <c r="O459" s="1">
        <f t="shared" si="47"/>
        <v>1</v>
      </c>
      <c r="P459" s="1">
        <v>14</v>
      </c>
      <c r="Q459" s="1">
        <v>6</v>
      </c>
      <c r="R459" s="1">
        <v>3000000</v>
      </c>
      <c r="S459" s="1">
        <v>3</v>
      </c>
    </row>
    <row r="460" spans="1:19" ht="12.75" customHeight="1" x14ac:dyDescent="0.15">
      <c r="A460" s="5" t="s">
        <v>269</v>
      </c>
      <c r="B460" s="1" t="e">
        <f ca="1">_xludf.LET(_xlpm.x,LOWER(TRIM(A460)),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0" s="5" t="s">
        <v>223</v>
      </c>
      <c r="D460" s="1">
        <f t="shared" si="42"/>
        <v>0</v>
      </c>
      <c r="F460" s="1" t="str">
        <f t="shared" si="43"/>
        <v/>
      </c>
      <c r="G460" s="5" t="s">
        <v>204</v>
      </c>
      <c r="H460" s="1">
        <f t="shared" si="44"/>
        <v>1</v>
      </c>
      <c r="I460" s="5" t="s">
        <v>207</v>
      </c>
      <c r="J460" s="1" t="str">
        <f t="shared" si="45"/>
        <v/>
      </c>
      <c r="K460" s="5" t="s">
        <v>242</v>
      </c>
      <c r="L460" s="1">
        <f t="shared" si="46"/>
        <v>3</v>
      </c>
      <c r="M460" s="1">
        <v>59</v>
      </c>
      <c r="N460" s="1" t="s">
        <v>989</v>
      </c>
      <c r="O460" s="1">
        <f t="shared" si="47"/>
        <v>1</v>
      </c>
      <c r="P460" s="1">
        <v>14</v>
      </c>
      <c r="Q460" s="1">
        <v>6</v>
      </c>
      <c r="R460" s="1">
        <v>3000000</v>
      </c>
      <c r="S460" s="1">
        <v>3</v>
      </c>
    </row>
    <row r="461" spans="1:19" ht="12.75" customHeight="1" x14ac:dyDescent="0.15">
      <c r="A461" s="5" t="s">
        <v>285</v>
      </c>
      <c r="B461" s="1" t="e">
        <f ca="1">_xludf.LET(_xlpm.x,LOWER(TRIM(A461)),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1" s="5" t="s">
        <v>223</v>
      </c>
      <c r="D461" s="1">
        <f t="shared" si="42"/>
        <v>0</v>
      </c>
      <c r="E461" s="5" t="s">
        <v>204</v>
      </c>
      <c r="F461" s="1">
        <f t="shared" si="43"/>
        <v>1</v>
      </c>
      <c r="G461" s="5" t="s">
        <v>204</v>
      </c>
      <c r="H461" s="1">
        <f t="shared" si="44"/>
        <v>1</v>
      </c>
      <c r="I461" s="5" t="s">
        <v>242</v>
      </c>
      <c r="J461" s="1">
        <f t="shared" si="45"/>
        <v>3</v>
      </c>
      <c r="K461" s="5" t="s">
        <v>242</v>
      </c>
      <c r="L461" s="1">
        <f t="shared" si="46"/>
        <v>3</v>
      </c>
      <c r="M461" s="1">
        <v>59</v>
      </c>
      <c r="N461" s="1" t="s">
        <v>989</v>
      </c>
      <c r="O461" s="1">
        <f t="shared" si="47"/>
        <v>1</v>
      </c>
      <c r="P461" s="1">
        <v>4</v>
      </c>
      <c r="Q461" s="1">
        <v>11</v>
      </c>
      <c r="R461" s="1">
        <v>350000</v>
      </c>
      <c r="S461" s="1">
        <v>3</v>
      </c>
    </row>
    <row r="462" spans="1:19" ht="12.75" customHeight="1" x14ac:dyDescent="0.15">
      <c r="A462" s="5" t="s">
        <v>213</v>
      </c>
      <c r="B462" s="1" t="e">
        <f ca="1">_xludf.LET(_xlpm.x,LOWER(TRIM(A462)),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2" s="5" t="s">
        <v>223</v>
      </c>
      <c r="D462" s="1">
        <f t="shared" si="42"/>
        <v>0</v>
      </c>
      <c r="F462" s="1" t="str">
        <f t="shared" si="43"/>
        <v/>
      </c>
      <c r="G462" s="5" t="s">
        <v>204</v>
      </c>
      <c r="H462" s="1">
        <f t="shared" si="44"/>
        <v>1</v>
      </c>
      <c r="I462" s="5" t="s">
        <v>242</v>
      </c>
      <c r="J462" s="1">
        <f t="shared" si="45"/>
        <v>3</v>
      </c>
      <c r="K462" s="5" t="s">
        <v>271</v>
      </c>
      <c r="L462" s="1">
        <f t="shared" si="46"/>
        <v>4</v>
      </c>
      <c r="M462" s="1">
        <v>59</v>
      </c>
      <c r="N462" s="1" t="s">
        <v>989</v>
      </c>
      <c r="O462" s="1">
        <f t="shared" si="47"/>
        <v>1</v>
      </c>
      <c r="P462" s="1">
        <v>16</v>
      </c>
      <c r="Q462" s="1">
        <v>24</v>
      </c>
      <c r="R462" s="1">
        <v>400000</v>
      </c>
      <c r="S462" s="1">
        <v>1</v>
      </c>
    </row>
    <row r="463" spans="1:19" ht="12.75" customHeight="1" x14ac:dyDescent="0.15">
      <c r="A463" s="5" t="s">
        <v>277</v>
      </c>
      <c r="B463" s="1" t="e">
        <f ca="1">_xludf.LET(_xlpm.x,LOWER(TRIM(A463)),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3" s="5" t="s">
        <v>223</v>
      </c>
      <c r="D463" s="1">
        <f t="shared" si="42"/>
        <v>0</v>
      </c>
      <c r="F463" s="1" t="str">
        <f t="shared" si="43"/>
        <v/>
      </c>
      <c r="G463" s="5" t="s">
        <v>204</v>
      </c>
      <c r="H463" s="1">
        <f t="shared" si="44"/>
        <v>1</v>
      </c>
      <c r="I463" s="5" t="s">
        <v>215</v>
      </c>
      <c r="J463" s="1">
        <f t="shared" si="45"/>
        <v>2</v>
      </c>
      <c r="K463" s="5" t="s">
        <v>242</v>
      </c>
      <c r="L463" s="1">
        <f t="shared" si="46"/>
        <v>3</v>
      </c>
      <c r="M463" s="1">
        <v>59</v>
      </c>
      <c r="N463" s="1" t="s">
        <v>989</v>
      </c>
      <c r="O463" s="1">
        <f t="shared" si="47"/>
        <v>1</v>
      </c>
      <c r="P463" s="1">
        <v>16</v>
      </c>
      <c r="Q463" s="1">
        <v>24</v>
      </c>
      <c r="R463" s="1">
        <v>400000</v>
      </c>
      <c r="S463" s="1">
        <v>1</v>
      </c>
    </row>
    <row r="464" spans="1:19" ht="12.75" customHeight="1" x14ac:dyDescent="0.15">
      <c r="A464" s="5" t="s">
        <v>285</v>
      </c>
      <c r="B464" s="1" t="e">
        <f ca="1">_xludf.LET(_xlpm.x,LOWER(TRIM(A464)),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4" s="5" t="s">
        <v>223</v>
      </c>
      <c r="D464" s="1">
        <f t="shared" si="42"/>
        <v>0</v>
      </c>
      <c r="E464" s="5" t="s">
        <v>204</v>
      </c>
      <c r="F464" s="1">
        <f t="shared" si="43"/>
        <v>1</v>
      </c>
      <c r="G464" s="5" t="s">
        <v>204</v>
      </c>
      <c r="H464" s="1">
        <f t="shared" si="44"/>
        <v>1</v>
      </c>
      <c r="I464" s="5" t="s">
        <v>242</v>
      </c>
      <c r="J464" s="1">
        <f t="shared" si="45"/>
        <v>3</v>
      </c>
      <c r="K464" s="5" t="s">
        <v>215</v>
      </c>
      <c r="L464" s="1">
        <f t="shared" si="46"/>
        <v>2</v>
      </c>
      <c r="M464" s="1">
        <v>59</v>
      </c>
      <c r="N464" s="1" t="s">
        <v>996</v>
      </c>
      <c r="O464" s="1">
        <f t="shared" si="47"/>
        <v>0</v>
      </c>
      <c r="P464" s="1">
        <v>1</v>
      </c>
      <c r="Q464" s="1">
        <v>5</v>
      </c>
      <c r="R464" s="1">
        <v>500000</v>
      </c>
      <c r="S464" s="1">
        <v>1</v>
      </c>
    </row>
    <row r="465" spans="1:19" ht="12.75" customHeight="1" x14ac:dyDescent="0.15">
      <c r="A465" s="5" t="s">
        <v>285</v>
      </c>
      <c r="B465" s="1" t="e">
        <f ca="1">_xludf.LET(_xlpm.x,LOWER(TRIM(A465)),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5" s="5" t="s">
        <v>223</v>
      </c>
      <c r="D465" s="1">
        <f t="shared" si="42"/>
        <v>0</v>
      </c>
      <c r="F465" s="1" t="str">
        <f t="shared" si="43"/>
        <v/>
      </c>
      <c r="G465" s="5" t="s">
        <v>204</v>
      </c>
      <c r="H465" s="1">
        <f t="shared" si="44"/>
        <v>1</v>
      </c>
      <c r="I465" s="5" t="s">
        <v>207</v>
      </c>
      <c r="J465" s="1" t="str">
        <f t="shared" si="45"/>
        <v/>
      </c>
      <c r="K465" s="5" t="s">
        <v>278</v>
      </c>
      <c r="L465" s="1">
        <f t="shared" si="46"/>
        <v>5</v>
      </c>
      <c r="M465" s="1">
        <v>59</v>
      </c>
      <c r="N465" s="1" t="s">
        <v>989</v>
      </c>
      <c r="O465" s="1">
        <f t="shared" si="47"/>
        <v>1</v>
      </c>
      <c r="P465" s="1">
        <v>10</v>
      </c>
      <c r="Q465" s="1">
        <v>24</v>
      </c>
      <c r="R465" s="1">
        <v>1000000</v>
      </c>
      <c r="S465" s="1">
        <v>1</v>
      </c>
    </row>
    <row r="466" spans="1:19" ht="12.75" customHeight="1" x14ac:dyDescent="0.15">
      <c r="A466" s="5" t="s">
        <v>213</v>
      </c>
      <c r="B466" s="1" t="e">
        <f ca="1">_xludf.LET(_xlpm.x,LOWER(TRIM(A466)),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6" s="5" t="s">
        <v>223</v>
      </c>
      <c r="D466" s="1">
        <f t="shared" si="42"/>
        <v>0</v>
      </c>
      <c r="F466" s="1" t="str">
        <f t="shared" si="43"/>
        <v/>
      </c>
      <c r="G466" s="5" t="s">
        <v>204</v>
      </c>
      <c r="H466" s="1">
        <f t="shared" si="44"/>
        <v>1</v>
      </c>
      <c r="I466" s="5" t="s">
        <v>207</v>
      </c>
      <c r="J466" s="1" t="str">
        <f t="shared" si="45"/>
        <v/>
      </c>
      <c r="K466" s="5" t="s">
        <v>264</v>
      </c>
      <c r="L466" s="1">
        <f t="shared" si="46"/>
        <v>1</v>
      </c>
      <c r="M466" s="1">
        <v>59</v>
      </c>
      <c r="N466" s="1" t="s">
        <v>991</v>
      </c>
      <c r="O466" s="1">
        <f t="shared" si="47"/>
        <v>0</v>
      </c>
      <c r="P466" s="1">
        <v>14</v>
      </c>
      <c r="Q466" s="1">
        <v>34</v>
      </c>
      <c r="R466" s="1">
        <v>150000</v>
      </c>
      <c r="S466" s="1">
        <v>3</v>
      </c>
    </row>
    <row r="467" spans="1:19" ht="12.75" customHeight="1" x14ac:dyDescent="0.15">
      <c r="A467" s="5" t="s">
        <v>213</v>
      </c>
      <c r="B467" s="1" t="e">
        <f ca="1">_xludf.LET(_xlpm.x,LOWER(TRIM(A467)),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7" s="5" t="s">
        <v>223</v>
      </c>
      <c r="D467" s="1">
        <f t="shared" si="42"/>
        <v>0</v>
      </c>
      <c r="E467" s="5" t="s">
        <v>206</v>
      </c>
      <c r="F467" s="1">
        <f t="shared" si="43"/>
        <v>0</v>
      </c>
      <c r="G467" s="5" t="s">
        <v>204</v>
      </c>
      <c r="H467" s="1">
        <f t="shared" si="44"/>
        <v>1</v>
      </c>
      <c r="I467" s="5" t="s">
        <v>207</v>
      </c>
      <c r="J467" s="1" t="str">
        <f t="shared" si="45"/>
        <v/>
      </c>
      <c r="K467" s="5" t="s">
        <v>271</v>
      </c>
      <c r="L467" s="1">
        <f t="shared" si="46"/>
        <v>4</v>
      </c>
      <c r="M467" s="1">
        <v>59</v>
      </c>
      <c r="N467" s="1" t="s">
        <v>987</v>
      </c>
      <c r="O467" s="1">
        <f t="shared" si="47"/>
        <v>0</v>
      </c>
      <c r="P467" s="1">
        <v>14</v>
      </c>
      <c r="Q467" s="1">
        <v>34</v>
      </c>
      <c r="R467" s="1">
        <v>200000</v>
      </c>
      <c r="S467" s="1">
        <v>5</v>
      </c>
    </row>
    <row r="468" spans="1:19" ht="12.75" customHeight="1" x14ac:dyDescent="0.15">
      <c r="A468" s="5" t="s">
        <v>277</v>
      </c>
      <c r="B468" s="1" t="e">
        <f ca="1">_xludf.LET(_xlpm.x,LOWER(TRIM(A468)),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8" s="5" t="s">
        <v>223</v>
      </c>
      <c r="D468" s="1">
        <f t="shared" si="42"/>
        <v>0</v>
      </c>
      <c r="F468" s="1" t="str">
        <f t="shared" si="43"/>
        <v/>
      </c>
      <c r="G468" s="5" t="s">
        <v>204</v>
      </c>
      <c r="H468" s="1">
        <f t="shared" si="44"/>
        <v>1</v>
      </c>
      <c r="I468" s="5" t="s">
        <v>278</v>
      </c>
      <c r="J468" s="1">
        <f t="shared" si="45"/>
        <v>5</v>
      </c>
      <c r="K468" s="5" t="s">
        <v>278</v>
      </c>
      <c r="L468" s="1">
        <f t="shared" si="46"/>
        <v>5</v>
      </c>
      <c r="M468" s="1">
        <v>60</v>
      </c>
      <c r="N468" s="1" t="s">
        <v>988</v>
      </c>
      <c r="O468" s="1">
        <f t="shared" si="47"/>
        <v>0</v>
      </c>
      <c r="P468" s="1">
        <v>16</v>
      </c>
      <c r="Q468" s="1">
        <v>18</v>
      </c>
      <c r="R468" s="1">
        <v>1800000</v>
      </c>
      <c r="S468" s="1">
        <v>2</v>
      </c>
    </row>
    <row r="469" spans="1:19" ht="12.75" customHeight="1" x14ac:dyDescent="0.15">
      <c r="A469" s="5" t="s">
        <v>302</v>
      </c>
      <c r="B469" s="1" t="e">
        <f ca="1">_xludf.LET(_xlpm.x,LOWER(TRIM(A469)),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9" s="5" t="s">
        <v>223</v>
      </c>
      <c r="D469" s="1">
        <f t="shared" si="42"/>
        <v>0</v>
      </c>
      <c r="F469" s="1" t="str">
        <f t="shared" si="43"/>
        <v/>
      </c>
      <c r="G469" s="5" t="s">
        <v>204</v>
      </c>
      <c r="H469" s="1">
        <f t="shared" si="44"/>
        <v>1</v>
      </c>
      <c r="I469" s="5" t="s">
        <v>278</v>
      </c>
      <c r="J469" s="1">
        <f t="shared" si="45"/>
        <v>5</v>
      </c>
      <c r="K469" s="5" t="s">
        <v>215</v>
      </c>
      <c r="L469" s="1">
        <f t="shared" si="46"/>
        <v>2</v>
      </c>
      <c r="M469" s="1">
        <v>60</v>
      </c>
      <c r="N469" s="1" t="s">
        <v>989</v>
      </c>
      <c r="O469" s="1">
        <f t="shared" si="47"/>
        <v>1</v>
      </c>
      <c r="P469" s="1">
        <v>17</v>
      </c>
      <c r="Q469" s="1">
        <v>16</v>
      </c>
      <c r="R469" s="1">
        <v>1200000</v>
      </c>
      <c r="S469" s="1">
        <v>2</v>
      </c>
    </row>
    <row r="470" spans="1:19" ht="12.75" customHeight="1" x14ac:dyDescent="0.15">
      <c r="A470" s="5" t="s">
        <v>277</v>
      </c>
      <c r="B470" s="1" t="e">
        <f ca="1">_xludf.LET(_xlpm.x,LOWER(TRIM(A470)),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0" s="5" t="s">
        <v>223</v>
      </c>
      <c r="D470" s="1">
        <f t="shared" si="42"/>
        <v>0</v>
      </c>
      <c r="F470" s="1" t="str">
        <f t="shared" si="43"/>
        <v/>
      </c>
      <c r="G470" s="5" t="s">
        <v>204</v>
      </c>
      <c r="H470" s="1">
        <f t="shared" si="44"/>
        <v>1</v>
      </c>
      <c r="I470" s="5" t="s">
        <v>278</v>
      </c>
      <c r="J470" s="1">
        <f t="shared" si="45"/>
        <v>5</v>
      </c>
      <c r="K470" s="5" t="s">
        <v>278</v>
      </c>
      <c r="L470" s="1">
        <f t="shared" si="46"/>
        <v>5</v>
      </c>
      <c r="M470" s="1">
        <v>61</v>
      </c>
      <c r="N470" s="1" t="s">
        <v>987</v>
      </c>
      <c r="O470" s="1">
        <f t="shared" si="47"/>
        <v>0</v>
      </c>
      <c r="P470" s="1">
        <v>16</v>
      </c>
      <c r="Q470" s="1">
        <v>11</v>
      </c>
      <c r="R470" s="1">
        <v>665000</v>
      </c>
      <c r="S470" s="1">
        <v>4</v>
      </c>
    </row>
    <row r="471" spans="1:19" ht="12.75" customHeight="1" x14ac:dyDescent="0.15">
      <c r="A471" s="5" t="s">
        <v>285</v>
      </c>
      <c r="B471" s="1" t="e">
        <f ca="1">_xludf.LET(_xlpm.x,LOWER(TRIM(A471)),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1" s="5" t="s">
        <v>223</v>
      </c>
      <c r="D471" s="1">
        <f t="shared" si="42"/>
        <v>0</v>
      </c>
      <c r="E471" s="5" t="s">
        <v>204</v>
      </c>
      <c r="F471" s="1">
        <f t="shared" si="43"/>
        <v>1</v>
      </c>
      <c r="G471" s="5" t="s">
        <v>204</v>
      </c>
      <c r="H471" s="1">
        <f t="shared" si="44"/>
        <v>1</v>
      </c>
      <c r="I471" s="5" t="s">
        <v>242</v>
      </c>
      <c r="J471" s="1">
        <f t="shared" si="45"/>
        <v>3</v>
      </c>
      <c r="K471" s="5" t="s">
        <v>215</v>
      </c>
      <c r="L471" s="1">
        <f t="shared" si="46"/>
        <v>2</v>
      </c>
      <c r="M471" s="1">
        <v>61</v>
      </c>
      <c r="N471" s="1" t="s">
        <v>989</v>
      </c>
      <c r="O471" s="1">
        <f t="shared" si="47"/>
        <v>1</v>
      </c>
      <c r="P471" s="1">
        <v>15</v>
      </c>
      <c r="Q471" s="1">
        <v>1</v>
      </c>
      <c r="R471" s="1">
        <v>0</v>
      </c>
      <c r="S471" s="1">
        <v>2</v>
      </c>
    </row>
    <row r="472" spans="1:19" ht="12.75" customHeight="1" x14ac:dyDescent="0.15">
      <c r="A472" s="5" t="s">
        <v>213</v>
      </c>
      <c r="B472" s="1" t="e">
        <f ca="1">_xludf.LET(_xlpm.x,LOWER(TRIM(A472)),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2" s="5" t="s">
        <v>223</v>
      </c>
      <c r="D472" s="1">
        <f t="shared" si="42"/>
        <v>0</v>
      </c>
      <c r="E472" s="5" t="s">
        <v>204</v>
      </c>
      <c r="F472" s="1">
        <f t="shared" si="43"/>
        <v>1</v>
      </c>
      <c r="G472" s="5" t="s">
        <v>204</v>
      </c>
      <c r="H472" s="1">
        <f t="shared" si="44"/>
        <v>1</v>
      </c>
      <c r="I472" s="5" t="s">
        <v>207</v>
      </c>
      <c r="J472" s="1" t="str">
        <f t="shared" si="45"/>
        <v/>
      </c>
      <c r="K472" s="5" t="s">
        <v>242</v>
      </c>
      <c r="L472" s="1">
        <f t="shared" si="46"/>
        <v>3</v>
      </c>
      <c r="M472" s="1">
        <v>61</v>
      </c>
      <c r="N472" s="1" t="s">
        <v>989</v>
      </c>
      <c r="O472" s="1">
        <f t="shared" si="47"/>
        <v>1</v>
      </c>
      <c r="P472" s="1">
        <v>14</v>
      </c>
      <c r="Q472" s="1">
        <v>27</v>
      </c>
      <c r="R472" s="1">
        <v>600000</v>
      </c>
      <c r="S472" s="1">
        <v>3</v>
      </c>
    </row>
    <row r="473" spans="1:19" ht="12.75" customHeight="1" x14ac:dyDescent="0.15">
      <c r="A473" s="5" t="s">
        <v>302</v>
      </c>
      <c r="B473" s="1" t="e">
        <f ca="1">_xludf.LET(_xlpm.x,LOWER(TRIM(A473)),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3" s="5" t="s">
        <v>223</v>
      </c>
      <c r="D473" s="1">
        <f t="shared" si="42"/>
        <v>0</v>
      </c>
      <c r="F473" s="1" t="str">
        <f t="shared" si="43"/>
        <v/>
      </c>
      <c r="G473" s="5" t="s">
        <v>204</v>
      </c>
      <c r="H473" s="1">
        <f t="shared" si="44"/>
        <v>1</v>
      </c>
      <c r="I473" s="5" t="s">
        <v>207</v>
      </c>
      <c r="J473" s="1" t="str">
        <f t="shared" si="45"/>
        <v/>
      </c>
      <c r="K473" s="5" t="s">
        <v>215</v>
      </c>
      <c r="L473" s="1">
        <f t="shared" si="46"/>
        <v>2</v>
      </c>
      <c r="M473" s="1">
        <v>61</v>
      </c>
      <c r="N473" s="1" t="s">
        <v>989</v>
      </c>
      <c r="O473" s="1">
        <f t="shared" si="47"/>
        <v>1</v>
      </c>
      <c r="P473" s="1">
        <v>14</v>
      </c>
      <c r="Q473" s="1">
        <v>27</v>
      </c>
      <c r="R473" s="1">
        <v>600000</v>
      </c>
      <c r="S473" s="1">
        <v>3</v>
      </c>
    </row>
    <row r="474" spans="1:19" ht="12.75" customHeight="1" x14ac:dyDescent="0.15">
      <c r="A474" s="5" t="s">
        <v>285</v>
      </c>
      <c r="B474" s="1" t="e">
        <f ca="1">_xludf.LET(_xlpm.x,LOWER(TRIM(A474)),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4" s="5" t="s">
        <v>349</v>
      </c>
      <c r="D474" s="1">
        <f t="shared" si="42"/>
        <v>1</v>
      </c>
      <c r="E474" s="5" t="s">
        <v>204</v>
      </c>
      <c r="F474" s="1">
        <f t="shared" si="43"/>
        <v>1</v>
      </c>
      <c r="G474" s="5" t="s">
        <v>204</v>
      </c>
      <c r="H474" s="1">
        <f t="shared" si="44"/>
        <v>1</v>
      </c>
      <c r="I474" s="5" t="s">
        <v>278</v>
      </c>
      <c r="J474" s="1">
        <f t="shared" si="45"/>
        <v>5</v>
      </c>
      <c r="K474" s="5" t="s">
        <v>215</v>
      </c>
      <c r="L474" s="1">
        <f t="shared" si="46"/>
        <v>2</v>
      </c>
      <c r="M474" s="1">
        <v>62</v>
      </c>
      <c r="N474" s="1" t="s">
        <v>995</v>
      </c>
      <c r="O474" s="1">
        <f t="shared" si="47"/>
        <v>0</v>
      </c>
      <c r="P474" s="1">
        <v>16</v>
      </c>
      <c r="Q474" s="1">
        <v>11</v>
      </c>
      <c r="R474" s="1">
        <v>800000</v>
      </c>
      <c r="S474" s="1">
        <v>1</v>
      </c>
    </row>
    <row r="475" spans="1:19" ht="12.75" customHeight="1" x14ac:dyDescent="0.15">
      <c r="A475" s="5" t="s">
        <v>269</v>
      </c>
      <c r="B475" s="1" t="e">
        <f ca="1">_xludf.LET(_xlpm.x,LOWER(TRIM(A475)),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5" s="5" t="s">
        <v>223</v>
      </c>
      <c r="D475" s="1">
        <f t="shared" si="42"/>
        <v>0</v>
      </c>
      <c r="E475" s="5" t="s">
        <v>204</v>
      </c>
      <c r="F475" s="1">
        <f t="shared" si="43"/>
        <v>1</v>
      </c>
      <c r="G475" s="5" t="s">
        <v>204</v>
      </c>
      <c r="H475" s="1">
        <f t="shared" si="44"/>
        <v>1</v>
      </c>
      <c r="I475" s="5" t="s">
        <v>278</v>
      </c>
      <c r="J475" s="1">
        <f t="shared" si="45"/>
        <v>5</v>
      </c>
      <c r="K475" s="5" t="s">
        <v>215</v>
      </c>
      <c r="L475" s="1">
        <f t="shared" si="46"/>
        <v>2</v>
      </c>
      <c r="M475" s="1">
        <v>62</v>
      </c>
      <c r="N475" s="1" t="s">
        <v>995</v>
      </c>
      <c r="O475" s="1">
        <f t="shared" si="47"/>
        <v>0</v>
      </c>
      <c r="P475" s="1">
        <v>16</v>
      </c>
      <c r="Q475" s="1">
        <v>11</v>
      </c>
      <c r="R475" s="1">
        <v>800000</v>
      </c>
      <c r="S475" s="1">
        <v>1</v>
      </c>
    </row>
    <row r="476" spans="1:19" ht="12.75" customHeight="1" x14ac:dyDescent="0.15">
      <c r="A476" s="5" t="s">
        <v>262</v>
      </c>
      <c r="B476" s="1" t="e">
        <f ca="1">_xludf.LET(_xlpm.x,LOWER(TRIM(A476)),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6" s="5" t="s">
        <v>223</v>
      </c>
      <c r="D476" s="1">
        <f t="shared" si="42"/>
        <v>0</v>
      </c>
      <c r="E476" s="5" t="s">
        <v>204</v>
      </c>
      <c r="F476" s="1">
        <f t="shared" si="43"/>
        <v>1</v>
      </c>
      <c r="G476" s="5" t="s">
        <v>204</v>
      </c>
      <c r="H476" s="1">
        <f t="shared" si="44"/>
        <v>1</v>
      </c>
      <c r="I476" s="5" t="s">
        <v>271</v>
      </c>
      <c r="J476" s="1">
        <f t="shared" si="45"/>
        <v>4</v>
      </c>
      <c r="K476" s="5" t="s">
        <v>271</v>
      </c>
      <c r="L476" s="1">
        <f t="shared" si="46"/>
        <v>4</v>
      </c>
      <c r="M476" s="1">
        <v>62</v>
      </c>
      <c r="N476" s="1" t="s">
        <v>987</v>
      </c>
      <c r="O476" s="1">
        <f t="shared" si="47"/>
        <v>0</v>
      </c>
      <c r="P476" s="1">
        <v>14</v>
      </c>
      <c r="Q476" s="1">
        <v>6</v>
      </c>
      <c r="R476" s="1">
        <v>290000</v>
      </c>
      <c r="S476" s="1">
        <v>3</v>
      </c>
    </row>
    <row r="477" spans="1:19" ht="12.75" customHeight="1" x14ac:dyDescent="0.15">
      <c r="A477" s="5" t="s">
        <v>269</v>
      </c>
      <c r="B477" s="1" t="e">
        <f ca="1">_xludf.LET(_xlpm.x,LOWER(TRIM(A477)),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7" s="5" t="s">
        <v>223</v>
      </c>
      <c r="D477" s="1">
        <f t="shared" si="42"/>
        <v>0</v>
      </c>
      <c r="E477" s="5" t="s">
        <v>206</v>
      </c>
      <c r="F477" s="1">
        <f t="shared" si="43"/>
        <v>0</v>
      </c>
      <c r="G477" s="5" t="s">
        <v>204</v>
      </c>
      <c r="H477" s="1">
        <f t="shared" si="44"/>
        <v>1</v>
      </c>
      <c r="I477" s="5" t="s">
        <v>207</v>
      </c>
      <c r="J477" s="1" t="str">
        <f t="shared" si="45"/>
        <v/>
      </c>
      <c r="K477" s="5" t="s">
        <v>215</v>
      </c>
      <c r="L477" s="1">
        <f t="shared" si="46"/>
        <v>2</v>
      </c>
      <c r="M477" s="1">
        <v>62</v>
      </c>
      <c r="N477" s="1" t="s">
        <v>987</v>
      </c>
      <c r="O477" s="1">
        <f t="shared" si="47"/>
        <v>0</v>
      </c>
      <c r="P477" s="1">
        <v>14</v>
      </c>
      <c r="Q477" s="1">
        <v>5</v>
      </c>
      <c r="R477" s="1">
        <v>700000</v>
      </c>
      <c r="S477" s="1">
        <v>3</v>
      </c>
    </row>
    <row r="478" spans="1:19" ht="12.75" customHeight="1" x14ac:dyDescent="0.15">
      <c r="A478" s="5" t="s">
        <v>285</v>
      </c>
      <c r="B478" s="1" t="e">
        <f ca="1">_xludf.LET(_xlpm.x,LOWER(TRIM(A478)),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8" s="5" t="s">
        <v>223</v>
      </c>
      <c r="D478" s="1">
        <f t="shared" si="42"/>
        <v>0</v>
      </c>
      <c r="E478" s="5" t="s">
        <v>204</v>
      </c>
      <c r="F478" s="1">
        <f t="shared" si="43"/>
        <v>1</v>
      </c>
      <c r="G478" s="5" t="s">
        <v>204</v>
      </c>
      <c r="H478" s="1">
        <f t="shared" si="44"/>
        <v>1</v>
      </c>
      <c r="I478" s="5" t="s">
        <v>278</v>
      </c>
      <c r="J478" s="1">
        <f t="shared" si="45"/>
        <v>5</v>
      </c>
      <c r="K478" s="5" t="s">
        <v>278</v>
      </c>
      <c r="L478" s="1">
        <f t="shared" si="46"/>
        <v>5</v>
      </c>
      <c r="M478" s="1">
        <v>62</v>
      </c>
      <c r="N478" s="1" t="s">
        <v>989</v>
      </c>
      <c r="O478" s="1">
        <f t="shared" si="47"/>
        <v>1</v>
      </c>
      <c r="P478" s="1">
        <v>10</v>
      </c>
      <c r="Q478" s="1">
        <v>1</v>
      </c>
      <c r="R478" s="1">
        <v>500000</v>
      </c>
      <c r="S478" s="1">
        <v>3</v>
      </c>
    </row>
    <row r="479" spans="1:19" ht="12.75" customHeight="1" x14ac:dyDescent="0.15">
      <c r="A479" s="5" t="s">
        <v>213</v>
      </c>
      <c r="B479" s="1" t="e">
        <f ca="1">_xludf.LET(_xlpm.x,LOWER(TRIM(A479)),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9" s="5" t="s">
        <v>358</v>
      </c>
      <c r="D479" s="1">
        <f t="shared" si="42"/>
        <v>1</v>
      </c>
      <c r="F479" s="1" t="str">
        <f t="shared" si="43"/>
        <v/>
      </c>
      <c r="G479" s="5" t="s">
        <v>204</v>
      </c>
      <c r="H479" s="1">
        <f t="shared" si="44"/>
        <v>1</v>
      </c>
      <c r="I479" s="5" t="s">
        <v>242</v>
      </c>
      <c r="J479" s="1">
        <f t="shared" si="45"/>
        <v>3</v>
      </c>
      <c r="K479" s="5" t="s">
        <v>215</v>
      </c>
      <c r="L479" s="1">
        <f t="shared" si="46"/>
        <v>2</v>
      </c>
      <c r="M479" s="1">
        <v>62</v>
      </c>
      <c r="N479" s="1" t="s">
        <v>990</v>
      </c>
      <c r="O479" s="1">
        <f t="shared" si="47"/>
        <v>0</v>
      </c>
      <c r="P479" s="1">
        <v>16</v>
      </c>
      <c r="Q479" s="1">
        <v>8</v>
      </c>
      <c r="R479" s="1">
        <v>600000</v>
      </c>
      <c r="S479" s="1">
        <v>2</v>
      </c>
    </row>
    <row r="480" spans="1:19" ht="12.75" customHeight="1" x14ac:dyDescent="0.15">
      <c r="A480" s="5" t="s">
        <v>269</v>
      </c>
      <c r="B480" s="1" t="e">
        <f ca="1">_xludf.LET(_xlpm.x,LOWER(TRIM(A480)),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0" s="5" t="s">
        <v>223</v>
      </c>
      <c r="D480" s="1">
        <f t="shared" si="42"/>
        <v>0</v>
      </c>
      <c r="E480" s="5" t="s">
        <v>206</v>
      </c>
      <c r="F480" s="1">
        <f t="shared" si="43"/>
        <v>0</v>
      </c>
      <c r="G480" s="5" t="s">
        <v>204</v>
      </c>
      <c r="H480" s="1">
        <f t="shared" si="44"/>
        <v>1</v>
      </c>
      <c r="I480" s="5" t="s">
        <v>271</v>
      </c>
      <c r="J480" s="1">
        <f t="shared" si="45"/>
        <v>4</v>
      </c>
      <c r="K480" s="5" t="s">
        <v>278</v>
      </c>
      <c r="L480" s="1">
        <f t="shared" si="46"/>
        <v>5</v>
      </c>
      <c r="M480" s="1">
        <v>62</v>
      </c>
      <c r="N480" s="1" t="s">
        <v>998</v>
      </c>
      <c r="O480" s="1">
        <f t="shared" si="47"/>
        <v>0</v>
      </c>
      <c r="P480" s="1">
        <v>14</v>
      </c>
      <c r="Q480" s="1">
        <v>1</v>
      </c>
      <c r="R480" s="1">
        <v>150000</v>
      </c>
      <c r="S480" s="1">
        <v>1</v>
      </c>
    </row>
    <row r="481" spans="1:19" ht="12.75" customHeight="1" x14ac:dyDescent="0.15">
      <c r="A481" s="5" t="s">
        <v>269</v>
      </c>
      <c r="B481" s="1" t="e">
        <f ca="1">_xludf.LET(_xlpm.x,LOWER(TRIM(A481)),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1" s="5" t="s">
        <v>358</v>
      </c>
      <c r="D481" s="1">
        <f t="shared" si="42"/>
        <v>1</v>
      </c>
      <c r="E481" s="5" t="s">
        <v>204</v>
      </c>
      <c r="F481" s="1">
        <f t="shared" si="43"/>
        <v>1</v>
      </c>
      <c r="G481" s="5" t="s">
        <v>204</v>
      </c>
      <c r="H481" s="1">
        <f t="shared" si="44"/>
        <v>1</v>
      </c>
      <c r="I481" s="5" t="s">
        <v>215</v>
      </c>
      <c r="J481" s="1">
        <f t="shared" si="45"/>
        <v>2</v>
      </c>
      <c r="K481" s="5" t="s">
        <v>264</v>
      </c>
      <c r="L481" s="1">
        <f t="shared" si="46"/>
        <v>1</v>
      </c>
      <c r="M481" s="1">
        <v>63</v>
      </c>
      <c r="N481" s="1" t="s">
        <v>989</v>
      </c>
      <c r="O481" s="1">
        <f t="shared" si="47"/>
        <v>1</v>
      </c>
      <c r="P481" s="1">
        <v>14</v>
      </c>
      <c r="Q481" s="1">
        <v>34</v>
      </c>
      <c r="R481" s="1">
        <v>0</v>
      </c>
      <c r="S481" s="1">
        <v>1</v>
      </c>
    </row>
    <row r="482" spans="1:19" ht="12.75" customHeight="1" x14ac:dyDescent="0.15">
      <c r="A482" s="5" t="s">
        <v>302</v>
      </c>
      <c r="B482" s="1" t="e">
        <f ca="1">_xludf.LET(_xlpm.x,LOWER(TRIM(A482)),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2" s="5" t="s">
        <v>223</v>
      </c>
      <c r="D482" s="1">
        <f t="shared" si="42"/>
        <v>0</v>
      </c>
      <c r="F482" s="1" t="str">
        <f t="shared" si="43"/>
        <v/>
      </c>
      <c r="G482" s="5" t="s">
        <v>204</v>
      </c>
      <c r="H482" s="1">
        <f t="shared" si="44"/>
        <v>1</v>
      </c>
      <c r="I482" s="5" t="s">
        <v>278</v>
      </c>
      <c r="J482" s="1">
        <f t="shared" si="45"/>
        <v>5</v>
      </c>
      <c r="K482" s="5" t="s">
        <v>278</v>
      </c>
      <c r="L482" s="1">
        <f t="shared" si="46"/>
        <v>5</v>
      </c>
      <c r="M482" s="1">
        <v>63</v>
      </c>
      <c r="N482" s="1" t="s">
        <v>989</v>
      </c>
      <c r="O482" s="1">
        <f t="shared" si="47"/>
        <v>1</v>
      </c>
      <c r="P482" s="1">
        <v>3</v>
      </c>
      <c r="Q482" s="1">
        <v>13</v>
      </c>
      <c r="R482" s="1">
        <v>400000</v>
      </c>
      <c r="S482" s="1">
        <v>2</v>
      </c>
    </row>
    <row r="483" spans="1:19" ht="12.75" customHeight="1" x14ac:dyDescent="0.15">
      <c r="A483" s="5" t="s">
        <v>285</v>
      </c>
      <c r="B483" s="1" t="e">
        <f ca="1">_xludf.LET(_xlpm.x,LOWER(TRIM(A483)),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3" s="5" t="s">
        <v>223</v>
      </c>
      <c r="D483" s="1">
        <f t="shared" si="42"/>
        <v>0</v>
      </c>
      <c r="E483" s="5" t="s">
        <v>204</v>
      </c>
      <c r="F483" s="1">
        <f t="shared" si="43"/>
        <v>1</v>
      </c>
      <c r="G483" s="5" t="s">
        <v>204</v>
      </c>
      <c r="H483" s="1">
        <f t="shared" si="44"/>
        <v>1</v>
      </c>
      <c r="I483" s="5" t="s">
        <v>215</v>
      </c>
      <c r="J483" s="1">
        <f t="shared" si="45"/>
        <v>2</v>
      </c>
      <c r="K483" s="5" t="s">
        <v>215</v>
      </c>
      <c r="L483" s="1">
        <f t="shared" si="46"/>
        <v>2</v>
      </c>
      <c r="M483" s="1">
        <v>64</v>
      </c>
      <c r="N483" s="1" t="s">
        <v>989</v>
      </c>
      <c r="O483" s="1">
        <f t="shared" si="47"/>
        <v>1</v>
      </c>
      <c r="P483" s="1">
        <v>13</v>
      </c>
      <c r="Q483" s="1">
        <v>24</v>
      </c>
      <c r="R483" s="1">
        <v>600000</v>
      </c>
      <c r="S483" s="1">
        <v>2</v>
      </c>
    </row>
    <row r="484" spans="1:19" ht="12.75" customHeight="1" x14ac:dyDescent="0.15">
      <c r="A484" s="5" t="s">
        <v>213</v>
      </c>
      <c r="B484" s="1" t="e">
        <f ca="1">_xludf.LET(_xlpm.x,LOWER(TRIM(A484)),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4" s="5" t="s">
        <v>223</v>
      </c>
      <c r="D484" s="1">
        <f t="shared" si="42"/>
        <v>0</v>
      </c>
      <c r="F484" s="1" t="str">
        <f t="shared" si="43"/>
        <v/>
      </c>
      <c r="G484" s="5" t="s">
        <v>204</v>
      </c>
      <c r="H484" s="1">
        <f t="shared" si="44"/>
        <v>1</v>
      </c>
      <c r="I484" s="5" t="s">
        <v>264</v>
      </c>
      <c r="J484" s="1">
        <f t="shared" si="45"/>
        <v>1</v>
      </c>
      <c r="K484" s="5" t="s">
        <v>242</v>
      </c>
      <c r="L484" s="1">
        <f t="shared" si="46"/>
        <v>3</v>
      </c>
      <c r="M484" s="1">
        <v>64</v>
      </c>
      <c r="N484" s="1" t="s">
        <v>987</v>
      </c>
      <c r="O484" s="1">
        <f t="shared" si="47"/>
        <v>0</v>
      </c>
      <c r="P484" s="1">
        <v>14</v>
      </c>
      <c r="Q484" s="1">
        <v>34</v>
      </c>
      <c r="R484" s="1">
        <v>1890000</v>
      </c>
      <c r="S484" s="1">
        <v>3</v>
      </c>
    </row>
    <row r="485" spans="1:19" ht="12.75" customHeight="1" x14ac:dyDescent="0.15">
      <c r="A485" s="5" t="s">
        <v>213</v>
      </c>
      <c r="B485" s="1" t="e">
        <f ca="1">_xludf.LET(_xlpm.x,LOWER(TRIM(A485)),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5" s="5" t="s">
        <v>223</v>
      </c>
      <c r="D485" s="1">
        <f t="shared" si="42"/>
        <v>0</v>
      </c>
      <c r="F485" s="1" t="str">
        <f t="shared" si="43"/>
        <v/>
      </c>
      <c r="G485" s="5" t="s">
        <v>204</v>
      </c>
      <c r="H485" s="1">
        <f t="shared" si="44"/>
        <v>1</v>
      </c>
      <c r="I485" s="5" t="s">
        <v>278</v>
      </c>
      <c r="J485" s="1">
        <f t="shared" si="45"/>
        <v>5</v>
      </c>
      <c r="K485" s="5" t="s">
        <v>278</v>
      </c>
      <c r="L485" s="1">
        <f t="shared" si="46"/>
        <v>5</v>
      </c>
      <c r="M485" s="1">
        <v>64</v>
      </c>
      <c r="N485" s="1" t="s">
        <v>987</v>
      </c>
      <c r="O485" s="1">
        <f t="shared" si="47"/>
        <v>0</v>
      </c>
      <c r="P485" s="1">
        <v>14</v>
      </c>
      <c r="Q485" s="1">
        <v>34</v>
      </c>
      <c r="R485" s="1">
        <v>1890000</v>
      </c>
      <c r="S485" s="1">
        <v>3</v>
      </c>
    </row>
    <row r="486" spans="1:19" ht="12.75" customHeight="1" x14ac:dyDescent="0.15">
      <c r="A486" s="5" t="s">
        <v>285</v>
      </c>
      <c r="B486" s="1" t="e">
        <f ca="1">_xludf.LET(_xlpm.x,LOWER(TRIM(A486)),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6" s="5" t="s">
        <v>223</v>
      </c>
      <c r="D486" s="1">
        <f t="shared" si="42"/>
        <v>0</v>
      </c>
      <c r="E486" s="5" t="s">
        <v>204</v>
      </c>
      <c r="F486" s="1">
        <f t="shared" si="43"/>
        <v>1</v>
      </c>
      <c r="G486" s="5" t="s">
        <v>204</v>
      </c>
      <c r="H486" s="1">
        <f t="shared" si="44"/>
        <v>1</v>
      </c>
      <c r="I486" s="5" t="s">
        <v>278</v>
      </c>
      <c r="J486" s="1">
        <f t="shared" si="45"/>
        <v>5</v>
      </c>
      <c r="K486" s="5" t="s">
        <v>278</v>
      </c>
      <c r="L486" s="1">
        <f t="shared" si="46"/>
        <v>5</v>
      </c>
      <c r="M486" s="1">
        <v>64</v>
      </c>
      <c r="N486" s="1" t="s">
        <v>989</v>
      </c>
      <c r="O486" s="1">
        <f t="shared" si="47"/>
        <v>1</v>
      </c>
      <c r="P486" s="1">
        <v>15</v>
      </c>
      <c r="Q486" s="1">
        <v>13</v>
      </c>
      <c r="R486" s="1">
        <v>500000</v>
      </c>
      <c r="S486" s="1">
        <v>3</v>
      </c>
    </row>
    <row r="487" spans="1:19" ht="12.75" customHeight="1" x14ac:dyDescent="0.15">
      <c r="A487" s="5" t="s">
        <v>269</v>
      </c>
      <c r="B487" s="1" t="e">
        <f ca="1">_xludf.LET(_xlpm.x,LOWER(TRIM(A487)),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7" s="5" t="s">
        <v>223</v>
      </c>
      <c r="D487" s="1">
        <f t="shared" si="42"/>
        <v>0</v>
      </c>
      <c r="E487" s="5" t="s">
        <v>204</v>
      </c>
      <c r="F487" s="1">
        <f t="shared" si="43"/>
        <v>1</v>
      </c>
      <c r="G487" s="5" t="s">
        <v>204</v>
      </c>
      <c r="H487" s="1">
        <f t="shared" si="44"/>
        <v>1</v>
      </c>
      <c r="I487" s="5" t="s">
        <v>242</v>
      </c>
      <c r="J487" s="1">
        <f t="shared" si="45"/>
        <v>3</v>
      </c>
      <c r="K487" s="5" t="s">
        <v>242</v>
      </c>
      <c r="L487" s="1">
        <f t="shared" si="46"/>
        <v>3</v>
      </c>
      <c r="M487" s="1">
        <v>64</v>
      </c>
      <c r="N487" s="1" t="s">
        <v>989</v>
      </c>
      <c r="O487" s="1">
        <f t="shared" si="47"/>
        <v>1</v>
      </c>
      <c r="P487" s="1">
        <v>15</v>
      </c>
      <c r="Q487" s="1">
        <v>13</v>
      </c>
      <c r="R487" s="1">
        <v>500000</v>
      </c>
      <c r="S487" s="1">
        <v>3</v>
      </c>
    </row>
    <row r="488" spans="1:19" ht="12.75" customHeight="1" x14ac:dyDescent="0.15">
      <c r="A488" s="5" t="s">
        <v>285</v>
      </c>
      <c r="B488" s="1" t="e">
        <f ca="1">_xludf.LET(_xlpm.x,LOWER(TRIM(A488)),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8" s="5" t="s">
        <v>223</v>
      </c>
      <c r="D488" s="1">
        <f t="shared" si="42"/>
        <v>0</v>
      </c>
      <c r="E488" s="5" t="s">
        <v>204</v>
      </c>
      <c r="F488" s="1">
        <f t="shared" si="43"/>
        <v>1</v>
      </c>
      <c r="G488" s="5" t="s">
        <v>204</v>
      </c>
      <c r="H488" s="1">
        <f t="shared" si="44"/>
        <v>1</v>
      </c>
      <c r="I488" s="5" t="s">
        <v>207</v>
      </c>
      <c r="J488" s="1" t="str">
        <f t="shared" si="45"/>
        <v/>
      </c>
      <c r="K488" s="5" t="s">
        <v>215</v>
      </c>
      <c r="L488" s="1">
        <f t="shared" si="46"/>
        <v>2</v>
      </c>
      <c r="M488" s="1">
        <v>64</v>
      </c>
      <c r="N488" s="1" t="s">
        <v>989</v>
      </c>
      <c r="O488" s="1">
        <f t="shared" si="47"/>
        <v>1</v>
      </c>
      <c r="P488" s="1">
        <v>14</v>
      </c>
      <c r="Q488" s="1">
        <v>34</v>
      </c>
      <c r="R488" s="1">
        <v>500000</v>
      </c>
      <c r="S488" s="1">
        <v>1</v>
      </c>
    </row>
    <row r="489" spans="1:19" ht="12.75" customHeight="1" x14ac:dyDescent="0.15">
      <c r="A489" s="5" t="s">
        <v>213</v>
      </c>
      <c r="B489" s="1" t="e">
        <f ca="1">_xludf.LET(_xlpm.x,LOWER(TRIM(A489)),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9" s="5" t="s">
        <v>223</v>
      </c>
      <c r="D489" s="1">
        <f t="shared" si="42"/>
        <v>0</v>
      </c>
      <c r="F489" s="1" t="str">
        <f t="shared" si="43"/>
        <v/>
      </c>
      <c r="G489" s="5" t="s">
        <v>204</v>
      </c>
      <c r="H489" s="1">
        <f t="shared" si="44"/>
        <v>1</v>
      </c>
      <c r="I489" s="5" t="s">
        <v>278</v>
      </c>
      <c r="J489" s="1">
        <f t="shared" si="45"/>
        <v>5</v>
      </c>
      <c r="K489" s="5" t="s">
        <v>278</v>
      </c>
      <c r="L489" s="1">
        <f t="shared" si="46"/>
        <v>5</v>
      </c>
      <c r="M489" s="1">
        <v>64</v>
      </c>
      <c r="N489" s="1" t="s">
        <v>995</v>
      </c>
      <c r="O489" s="1">
        <f t="shared" si="47"/>
        <v>0</v>
      </c>
      <c r="P489" s="1">
        <v>16</v>
      </c>
      <c r="Q489" s="1">
        <v>14</v>
      </c>
      <c r="R489" s="1">
        <v>616000</v>
      </c>
      <c r="S489" s="1">
        <v>2</v>
      </c>
    </row>
    <row r="490" spans="1:19" ht="12.75" customHeight="1" x14ac:dyDescent="0.15">
      <c r="A490" s="5" t="s">
        <v>213</v>
      </c>
      <c r="B490" s="1" t="e">
        <f ca="1">_xludf.LET(_xlpm.x,LOWER(TRIM(A490)),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0" s="5" t="s">
        <v>223</v>
      </c>
      <c r="D490" s="1">
        <f t="shared" si="42"/>
        <v>0</v>
      </c>
      <c r="F490" s="1" t="str">
        <f t="shared" si="43"/>
        <v/>
      </c>
      <c r="G490" s="5" t="s">
        <v>204</v>
      </c>
      <c r="H490" s="1">
        <f t="shared" si="44"/>
        <v>1</v>
      </c>
      <c r="I490" s="5" t="s">
        <v>215</v>
      </c>
      <c r="J490" s="1">
        <f t="shared" si="45"/>
        <v>2</v>
      </c>
      <c r="K490" s="5" t="s">
        <v>242</v>
      </c>
      <c r="L490" s="1">
        <f t="shared" si="46"/>
        <v>3</v>
      </c>
      <c r="M490" s="1">
        <v>64</v>
      </c>
      <c r="N490" s="1" t="s">
        <v>995</v>
      </c>
      <c r="O490" s="1">
        <f t="shared" si="47"/>
        <v>0</v>
      </c>
      <c r="P490" s="1">
        <v>16</v>
      </c>
      <c r="Q490" s="1">
        <v>14</v>
      </c>
      <c r="R490" s="1">
        <v>616000</v>
      </c>
      <c r="S490" s="1">
        <v>2</v>
      </c>
    </row>
    <row r="491" spans="1:19" ht="12.75" customHeight="1" x14ac:dyDescent="0.15">
      <c r="A491" s="5" t="s">
        <v>213</v>
      </c>
      <c r="B491" s="1" t="e">
        <f ca="1">_xludf.LET(_xlpm.x,LOWER(TRIM(A491)),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1" s="5" t="s">
        <v>223</v>
      </c>
      <c r="D491" s="1">
        <f t="shared" si="42"/>
        <v>0</v>
      </c>
      <c r="F491" s="1" t="str">
        <f t="shared" si="43"/>
        <v/>
      </c>
      <c r="G491" s="5" t="s">
        <v>204</v>
      </c>
      <c r="H491" s="1">
        <f t="shared" si="44"/>
        <v>1</v>
      </c>
      <c r="I491" s="5" t="s">
        <v>207</v>
      </c>
      <c r="J491" s="1" t="str">
        <f t="shared" si="45"/>
        <v/>
      </c>
      <c r="K491" s="5" t="s">
        <v>242</v>
      </c>
      <c r="L491" s="1">
        <f t="shared" si="46"/>
        <v>3</v>
      </c>
      <c r="M491" s="1">
        <v>65</v>
      </c>
      <c r="N491" s="1" t="s">
        <v>989</v>
      </c>
      <c r="O491" s="1">
        <f t="shared" si="47"/>
        <v>1</v>
      </c>
      <c r="P491" s="1">
        <v>16</v>
      </c>
      <c r="Q491" s="1">
        <v>1</v>
      </c>
      <c r="R491" s="1">
        <v>420000</v>
      </c>
      <c r="S491" s="1">
        <v>3</v>
      </c>
    </row>
    <row r="492" spans="1:19" ht="12.75" customHeight="1" x14ac:dyDescent="0.15">
      <c r="A492" s="5" t="s">
        <v>213</v>
      </c>
      <c r="B492" s="1" t="e">
        <f ca="1">_xludf.LET(_xlpm.x,LOWER(TRIM(A492)),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2" s="5" t="s">
        <v>223</v>
      </c>
      <c r="D492" s="1">
        <f t="shared" si="42"/>
        <v>0</v>
      </c>
      <c r="F492" s="1" t="str">
        <f t="shared" si="43"/>
        <v/>
      </c>
      <c r="G492" s="5" t="s">
        <v>204</v>
      </c>
      <c r="H492" s="1">
        <f t="shared" si="44"/>
        <v>1</v>
      </c>
      <c r="I492" s="5" t="s">
        <v>278</v>
      </c>
      <c r="J492" s="1">
        <f t="shared" si="45"/>
        <v>5</v>
      </c>
      <c r="K492" s="5" t="s">
        <v>215</v>
      </c>
      <c r="L492" s="1">
        <f t="shared" si="46"/>
        <v>2</v>
      </c>
      <c r="M492" s="1">
        <v>66</v>
      </c>
      <c r="N492" s="1" t="s">
        <v>988</v>
      </c>
      <c r="O492" s="1">
        <f t="shared" si="47"/>
        <v>0</v>
      </c>
      <c r="P492" s="1">
        <v>10</v>
      </c>
      <c r="Q492" s="1">
        <v>3</v>
      </c>
      <c r="R492" s="1">
        <v>800000</v>
      </c>
      <c r="S492" s="1">
        <v>2</v>
      </c>
    </row>
    <row r="493" spans="1:19" ht="12.75" customHeight="1" x14ac:dyDescent="0.15">
      <c r="A493" s="5" t="s">
        <v>269</v>
      </c>
      <c r="B493" s="1" t="e">
        <f ca="1">_xludf.LET(_xlpm.x,LOWER(TRIM(A493)),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3" s="5" t="s">
        <v>223</v>
      </c>
      <c r="D493" s="1">
        <f t="shared" si="42"/>
        <v>0</v>
      </c>
      <c r="E493" s="5" t="s">
        <v>204</v>
      </c>
      <c r="F493" s="1">
        <f t="shared" si="43"/>
        <v>1</v>
      </c>
      <c r="G493" s="5" t="s">
        <v>204</v>
      </c>
      <c r="H493" s="1">
        <f t="shared" si="44"/>
        <v>1</v>
      </c>
      <c r="I493" s="5" t="s">
        <v>215</v>
      </c>
      <c r="J493" s="1">
        <f t="shared" si="45"/>
        <v>2</v>
      </c>
      <c r="K493" s="5" t="s">
        <v>215</v>
      </c>
      <c r="L493" s="1">
        <f t="shared" si="46"/>
        <v>2</v>
      </c>
      <c r="M493" s="1">
        <v>67</v>
      </c>
      <c r="N493" s="1" t="s">
        <v>987</v>
      </c>
      <c r="O493" s="1">
        <f t="shared" si="47"/>
        <v>0</v>
      </c>
      <c r="P493" s="1">
        <v>14</v>
      </c>
      <c r="Q493" s="1">
        <v>28</v>
      </c>
      <c r="R493" s="1">
        <v>0</v>
      </c>
      <c r="S493" s="1">
        <v>3</v>
      </c>
    </row>
    <row r="494" spans="1:19" ht="12.75" customHeight="1" x14ac:dyDescent="0.15">
      <c r="A494" s="5" t="s">
        <v>277</v>
      </c>
      <c r="B494" s="1" t="e">
        <f ca="1">_xludf.LET(_xlpm.x,LOWER(TRIM(A494)),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4" s="5" t="s">
        <v>223</v>
      </c>
      <c r="D494" s="1">
        <f t="shared" si="42"/>
        <v>0</v>
      </c>
      <c r="F494" s="1" t="str">
        <f t="shared" si="43"/>
        <v/>
      </c>
      <c r="G494" s="5" t="s">
        <v>204</v>
      </c>
      <c r="H494" s="1">
        <f t="shared" si="44"/>
        <v>1</v>
      </c>
      <c r="I494" s="5" t="s">
        <v>242</v>
      </c>
      <c r="J494" s="1">
        <f t="shared" si="45"/>
        <v>3</v>
      </c>
      <c r="K494" s="5" t="s">
        <v>215</v>
      </c>
      <c r="L494" s="1">
        <f t="shared" si="46"/>
        <v>2</v>
      </c>
      <c r="M494" s="1">
        <v>67</v>
      </c>
      <c r="N494" s="1" t="s">
        <v>987</v>
      </c>
      <c r="O494" s="1">
        <f t="shared" si="47"/>
        <v>0</v>
      </c>
      <c r="P494" s="1">
        <v>14</v>
      </c>
      <c r="Q494" s="1">
        <v>28</v>
      </c>
      <c r="R494" s="1">
        <v>0</v>
      </c>
      <c r="S494" s="1">
        <v>3</v>
      </c>
    </row>
    <row r="495" spans="1:19" ht="12.75" customHeight="1" x14ac:dyDescent="0.15">
      <c r="A495" s="5" t="s">
        <v>213</v>
      </c>
      <c r="B495" s="1" t="e">
        <f ca="1">_xludf.LET(_xlpm.x,LOWER(TRIM(A495)),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5" s="5" t="s">
        <v>358</v>
      </c>
      <c r="D495" s="1">
        <f t="shared" si="42"/>
        <v>1</v>
      </c>
      <c r="E495" s="5" t="s">
        <v>204</v>
      </c>
      <c r="F495" s="1">
        <f t="shared" si="43"/>
        <v>1</v>
      </c>
      <c r="G495" s="5" t="s">
        <v>204</v>
      </c>
      <c r="H495" s="1">
        <f t="shared" si="44"/>
        <v>1</v>
      </c>
      <c r="I495" s="5" t="s">
        <v>271</v>
      </c>
      <c r="J495" s="1">
        <f t="shared" si="45"/>
        <v>4</v>
      </c>
      <c r="K495" s="5" t="s">
        <v>215</v>
      </c>
      <c r="L495" s="1">
        <f t="shared" si="46"/>
        <v>2</v>
      </c>
      <c r="M495" s="1">
        <v>67</v>
      </c>
      <c r="N495" s="1" t="s">
        <v>987</v>
      </c>
      <c r="O495" s="1">
        <f t="shared" si="47"/>
        <v>0</v>
      </c>
      <c r="P495" s="1">
        <v>6</v>
      </c>
      <c r="Q495" s="1">
        <v>3</v>
      </c>
      <c r="R495" s="1">
        <v>-99</v>
      </c>
      <c r="S495" s="1">
        <v>1</v>
      </c>
    </row>
    <row r="496" spans="1:19" ht="12.75" customHeight="1" x14ac:dyDescent="0.15">
      <c r="A496" s="5" t="s">
        <v>213</v>
      </c>
      <c r="B496" s="1" t="e">
        <f ca="1">_xludf.LET(_xlpm.x,LOWER(TRIM(A496)),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6" s="5" t="s">
        <v>349</v>
      </c>
      <c r="D496" s="1">
        <f t="shared" si="42"/>
        <v>1</v>
      </c>
      <c r="F496" s="1" t="str">
        <f t="shared" si="43"/>
        <v/>
      </c>
      <c r="G496" s="5" t="s">
        <v>204</v>
      </c>
      <c r="H496" s="1">
        <f t="shared" si="44"/>
        <v>1</v>
      </c>
      <c r="I496" s="5" t="s">
        <v>207</v>
      </c>
      <c r="J496" s="1" t="str">
        <f t="shared" si="45"/>
        <v/>
      </c>
      <c r="K496" s="5" t="s">
        <v>207</v>
      </c>
      <c r="L496" s="1" t="str">
        <f t="shared" si="46"/>
        <v/>
      </c>
      <c r="M496" s="1">
        <v>68</v>
      </c>
      <c r="N496" s="1" t="s">
        <v>988</v>
      </c>
      <c r="O496" s="1">
        <f t="shared" si="47"/>
        <v>0</v>
      </c>
      <c r="P496" s="1">
        <v>14</v>
      </c>
      <c r="Q496" s="1">
        <v>34</v>
      </c>
      <c r="R496" s="1">
        <v>700000</v>
      </c>
      <c r="S496" s="1">
        <v>2</v>
      </c>
    </row>
    <row r="497" spans="1:19" ht="12.75" customHeight="1" x14ac:dyDescent="0.15">
      <c r="A497" s="5" t="s">
        <v>213</v>
      </c>
      <c r="B497" s="1" t="e">
        <f ca="1">_xludf.LET(_xlpm.x,LOWER(TRIM(A497)),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7" s="5" t="s">
        <v>223</v>
      </c>
      <c r="D497" s="1">
        <f t="shared" si="42"/>
        <v>0</v>
      </c>
      <c r="F497" s="1" t="str">
        <f t="shared" si="43"/>
        <v/>
      </c>
      <c r="G497" s="5" t="s">
        <v>204</v>
      </c>
      <c r="H497" s="1">
        <f t="shared" si="44"/>
        <v>1</v>
      </c>
      <c r="I497" s="5" t="s">
        <v>271</v>
      </c>
      <c r="J497" s="1">
        <f t="shared" si="45"/>
        <v>4</v>
      </c>
      <c r="K497" s="5" t="s">
        <v>215</v>
      </c>
      <c r="L497" s="1">
        <f t="shared" si="46"/>
        <v>2</v>
      </c>
      <c r="M497" s="1">
        <v>68</v>
      </c>
      <c r="N497" s="1" t="s">
        <v>987</v>
      </c>
      <c r="O497" s="1">
        <f t="shared" si="47"/>
        <v>0</v>
      </c>
      <c r="P497" s="1">
        <v>12</v>
      </c>
      <c r="Q497" s="1">
        <v>5</v>
      </c>
      <c r="R497" s="1">
        <v>400000</v>
      </c>
      <c r="S497" s="1">
        <v>1</v>
      </c>
    </row>
    <row r="498" spans="1:19" ht="12.75" customHeight="1" x14ac:dyDescent="0.15">
      <c r="A498" s="5" t="s">
        <v>213</v>
      </c>
      <c r="B498" s="1" t="e">
        <f ca="1">_xludf.LET(_xlpm.x,LOWER(TRIM(A498)),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8" s="5" t="s">
        <v>223</v>
      </c>
      <c r="D498" s="1">
        <f t="shared" si="42"/>
        <v>0</v>
      </c>
      <c r="F498" s="1" t="str">
        <f t="shared" si="43"/>
        <v/>
      </c>
      <c r="G498" s="5" t="s">
        <v>204</v>
      </c>
      <c r="H498" s="1">
        <f t="shared" si="44"/>
        <v>1</v>
      </c>
      <c r="I498" s="5" t="s">
        <v>278</v>
      </c>
      <c r="J498" s="1">
        <f t="shared" si="45"/>
        <v>5</v>
      </c>
      <c r="K498" s="5" t="s">
        <v>215</v>
      </c>
      <c r="L498" s="1">
        <f t="shared" si="46"/>
        <v>2</v>
      </c>
      <c r="M498" s="1">
        <v>68</v>
      </c>
      <c r="N498" s="1" t="s">
        <v>990</v>
      </c>
      <c r="O498" s="1">
        <f t="shared" si="47"/>
        <v>0</v>
      </c>
      <c r="P498" s="1">
        <v>12</v>
      </c>
      <c r="Q498" s="1">
        <v>1</v>
      </c>
      <c r="R498" s="1">
        <v>260000</v>
      </c>
      <c r="S498" s="1">
        <v>2</v>
      </c>
    </row>
    <row r="499" spans="1:19" ht="12.75" customHeight="1" x14ac:dyDescent="0.15">
      <c r="A499" s="5" t="s">
        <v>285</v>
      </c>
      <c r="B499" s="1" t="e">
        <f ca="1">_xludf.LET(_xlpm.x,LOWER(TRIM(A499)),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9" s="5" t="s">
        <v>223</v>
      </c>
      <c r="D499" s="1">
        <f t="shared" si="42"/>
        <v>0</v>
      </c>
      <c r="E499" s="5" t="s">
        <v>204</v>
      </c>
      <c r="F499" s="1">
        <f t="shared" si="43"/>
        <v>1</v>
      </c>
      <c r="G499" s="5" t="s">
        <v>204</v>
      </c>
      <c r="H499" s="1">
        <f t="shared" si="44"/>
        <v>1</v>
      </c>
      <c r="I499" s="5" t="s">
        <v>207</v>
      </c>
      <c r="J499" s="1" t="str">
        <f t="shared" si="45"/>
        <v/>
      </c>
      <c r="K499" s="5" t="s">
        <v>264</v>
      </c>
      <c r="L499" s="1">
        <f t="shared" si="46"/>
        <v>1</v>
      </c>
      <c r="M499" s="1">
        <v>68</v>
      </c>
      <c r="N499" s="1" t="s">
        <v>990</v>
      </c>
      <c r="O499" s="1">
        <f t="shared" si="47"/>
        <v>0</v>
      </c>
      <c r="P499" s="1">
        <v>9</v>
      </c>
      <c r="Q499" s="1">
        <v>5</v>
      </c>
      <c r="R499" s="1">
        <v>460000</v>
      </c>
      <c r="S499" s="1">
        <v>1</v>
      </c>
    </row>
    <row r="500" spans="1:19" ht="12.75" customHeight="1" x14ac:dyDescent="0.15">
      <c r="A500" s="5" t="s">
        <v>213</v>
      </c>
      <c r="B500" s="1" t="e">
        <f ca="1">_xludf.LET(_xlpm.x,LOWER(TRIM(A500)),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0" s="5" t="s">
        <v>223</v>
      </c>
      <c r="D500" s="1">
        <f t="shared" si="42"/>
        <v>0</v>
      </c>
      <c r="E500" s="5" t="s">
        <v>204</v>
      </c>
      <c r="F500" s="1">
        <f t="shared" si="43"/>
        <v>1</v>
      </c>
      <c r="G500" s="5" t="s">
        <v>204</v>
      </c>
      <c r="H500" s="1">
        <f t="shared" si="44"/>
        <v>1</v>
      </c>
      <c r="I500" s="5" t="s">
        <v>207</v>
      </c>
      <c r="J500" s="1" t="str">
        <f t="shared" si="45"/>
        <v/>
      </c>
      <c r="K500" s="5" t="s">
        <v>215</v>
      </c>
      <c r="L500" s="1">
        <f t="shared" si="46"/>
        <v>2</v>
      </c>
      <c r="M500" s="1">
        <v>68</v>
      </c>
      <c r="N500" s="1" t="s">
        <v>998</v>
      </c>
      <c r="O500" s="1">
        <f t="shared" si="47"/>
        <v>0</v>
      </c>
      <c r="P500" s="1">
        <v>3</v>
      </c>
      <c r="Q500" s="1">
        <v>2</v>
      </c>
      <c r="R500" s="1">
        <v>500000</v>
      </c>
      <c r="S500" s="1">
        <v>1</v>
      </c>
    </row>
    <row r="501" spans="1:19" ht="12.75" customHeight="1" x14ac:dyDescent="0.15">
      <c r="A501" s="5" t="s">
        <v>285</v>
      </c>
      <c r="B501" s="1" t="e">
        <f ca="1">_xludf.LET(_xlpm.x,LOWER(TRIM(A501)),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1" s="5" t="s">
        <v>223</v>
      </c>
      <c r="D501" s="1">
        <f t="shared" si="42"/>
        <v>0</v>
      </c>
      <c r="E501" s="5" t="s">
        <v>204</v>
      </c>
      <c r="F501" s="1">
        <f t="shared" si="43"/>
        <v>1</v>
      </c>
      <c r="G501" s="5" t="s">
        <v>204</v>
      </c>
      <c r="H501" s="1">
        <f t="shared" si="44"/>
        <v>1</v>
      </c>
      <c r="I501" s="5" t="s">
        <v>271</v>
      </c>
      <c r="J501" s="1">
        <f t="shared" si="45"/>
        <v>4</v>
      </c>
      <c r="K501" s="5" t="s">
        <v>242</v>
      </c>
      <c r="L501" s="1">
        <f t="shared" si="46"/>
        <v>3</v>
      </c>
      <c r="M501" s="1">
        <v>69</v>
      </c>
      <c r="N501" s="1" t="s">
        <v>990</v>
      </c>
      <c r="O501" s="1">
        <f t="shared" si="47"/>
        <v>0</v>
      </c>
      <c r="P501" s="1">
        <v>12</v>
      </c>
      <c r="Q501" s="1">
        <v>5</v>
      </c>
      <c r="R501" s="1">
        <v>230000</v>
      </c>
      <c r="S501" s="1">
        <v>3</v>
      </c>
    </row>
    <row r="502" spans="1:19" ht="12.75" customHeight="1" x14ac:dyDescent="0.15">
      <c r="A502" s="5" t="s">
        <v>213</v>
      </c>
      <c r="B502" s="1" t="e">
        <f ca="1">_xludf.LET(_xlpm.x,LOWER(TRIM(A502)),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2" s="5" t="s">
        <v>223</v>
      </c>
      <c r="D502" s="1">
        <f t="shared" si="42"/>
        <v>0</v>
      </c>
      <c r="F502" s="1" t="str">
        <f t="shared" si="43"/>
        <v/>
      </c>
      <c r="G502" s="5" t="s">
        <v>204</v>
      </c>
      <c r="H502" s="1">
        <f t="shared" si="44"/>
        <v>1</v>
      </c>
      <c r="I502" s="5" t="s">
        <v>278</v>
      </c>
      <c r="J502" s="1">
        <f t="shared" si="45"/>
        <v>5</v>
      </c>
      <c r="K502" s="5" t="s">
        <v>278</v>
      </c>
      <c r="L502" s="1">
        <f t="shared" si="46"/>
        <v>5</v>
      </c>
      <c r="M502" s="1">
        <v>71</v>
      </c>
      <c r="N502" s="1" t="s">
        <v>995</v>
      </c>
      <c r="O502" s="1">
        <f t="shared" si="47"/>
        <v>0</v>
      </c>
      <c r="P502" s="1">
        <v>18</v>
      </c>
      <c r="Q502" s="1">
        <v>24</v>
      </c>
      <c r="R502" s="1">
        <v>600000</v>
      </c>
      <c r="S502" s="1">
        <v>1</v>
      </c>
    </row>
    <row r="503" spans="1:19" ht="12.75" customHeight="1" x14ac:dyDescent="0.15">
      <c r="A503" s="5" t="s">
        <v>285</v>
      </c>
      <c r="B503" s="1" t="e">
        <f ca="1">_xludf.LET(_xlpm.x,LOWER(TRIM(A503)),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3" s="5" t="s">
        <v>223</v>
      </c>
      <c r="D503" s="1">
        <f t="shared" si="42"/>
        <v>0</v>
      </c>
      <c r="E503" s="5" t="s">
        <v>204</v>
      </c>
      <c r="F503" s="1">
        <f t="shared" si="43"/>
        <v>1</v>
      </c>
      <c r="G503" s="5" t="s">
        <v>204</v>
      </c>
      <c r="H503" s="1">
        <f t="shared" si="44"/>
        <v>1</v>
      </c>
      <c r="I503" s="5" t="s">
        <v>242</v>
      </c>
      <c r="J503" s="1">
        <f t="shared" si="45"/>
        <v>3</v>
      </c>
      <c r="K503" s="5" t="s">
        <v>242</v>
      </c>
      <c r="L503" s="1">
        <f t="shared" si="46"/>
        <v>3</v>
      </c>
      <c r="M503" s="1">
        <v>73</v>
      </c>
      <c r="N503" s="1" t="s">
        <v>999</v>
      </c>
      <c r="O503" s="1">
        <f t="shared" si="47"/>
        <v>0</v>
      </c>
      <c r="P503" s="1">
        <v>1</v>
      </c>
      <c r="Q503" s="1">
        <v>34</v>
      </c>
      <c r="R503" s="1">
        <v>500000</v>
      </c>
      <c r="S503" s="1">
        <v>1</v>
      </c>
    </row>
    <row r="504" spans="1:19" ht="12.75" customHeight="1" x14ac:dyDescent="0.15"/>
    <row r="505" spans="1:19" ht="12.75" customHeight="1" x14ac:dyDescent="0.15"/>
    <row r="506" spans="1:19" ht="12.75" customHeight="1" x14ac:dyDescent="0.15"/>
    <row r="507" spans="1:19" ht="12.75" customHeight="1" x14ac:dyDescent="0.15"/>
    <row r="508" spans="1:19" ht="12.75" customHeight="1" x14ac:dyDescent="0.15"/>
    <row r="509" spans="1:19" ht="12.75" customHeight="1" x14ac:dyDescent="0.15"/>
    <row r="510" spans="1:19" ht="12.75" customHeight="1" x14ac:dyDescent="0.15"/>
    <row r="511" spans="1:19" ht="12.75" customHeight="1" x14ac:dyDescent="0.15"/>
    <row r="512" spans="1:19"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autoFilter ref="A1:S503" xr:uid="{00000000-0009-0000-0000-000002000000}">
    <sortState xmlns:xlrd2="http://schemas.microsoft.com/office/spreadsheetml/2017/richdata2" ref="A2:S503">
      <sortCondition ref="M2:M503"/>
    </sortState>
  </autoFilter>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000"/>
  <sheetViews>
    <sheetView topLeftCell="A22" workbookViewId="0">
      <selection activeCell="L54" sqref="L54"/>
    </sheetView>
  </sheetViews>
  <sheetFormatPr baseColWidth="10" defaultColWidth="12.5" defaultRowHeight="15" customHeight="1" x14ac:dyDescent="0.15"/>
  <cols>
    <col min="1" max="26" width="8.5" customWidth="1"/>
    <col min="27" max="27" width="11.5" customWidth="1"/>
    <col min="28" max="34" width="8.5" customWidth="1"/>
  </cols>
  <sheetData>
    <row r="1" spans="1:28" ht="12.75" customHeight="1" x14ac:dyDescent="0.15">
      <c r="A1" s="1" t="s">
        <v>1002</v>
      </c>
      <c r="B1" s="1" t="s">
        <v>36</v>
      </c>
      <c r="C1" s="1" t="s">
        <v>966</v>
      </c>
      <c r="D1" s="1" t="s">
        <v>967</v>
      </c>
      <c r="E1" s="1" t="s">
        <v>968</v>
      </c>
      <c r="F1" s="1" t="s">
        <v>137</v>
      </c>
      <c r="G1" s="1" t="s">
        <v>144</v>
      </c>
      <c r="H1" s="1" t="s">
        <v>145</v>
      </c>
      <c r="I1" s="1" t="s">
        <v>154</v>
      </c>
      <c r="J1" s="1" t="s">
        <v>155</v>
      </c>
      <c r="K1" s="1" t="s">
        <v>162</v>
      </c>
      <c r="L1" s="1" t="s">
        <v>163</v>
      </c>
      <c r="M1" s="1" t="s">
        <v>170</v>
      </c>
      <c r="N1" s="1" t="s">
        <v>171</v>
      </c>
      <c r="O1" s="1" t="s">
        <v>186</v>
      </c>
      <c r="P1" s="1" t="s">
        <v>187</v>
      </c>
      <c r="Q1" s="1" t="s">
        <v>969</v>
      </c>
      <c r="R1" s="1" t="s">
        <v>970</v>
      </c>
      <c r="S1" s="1" t="s">
        <v>971</v>
      </c>
      <c r="T1" s="1" t="s">
        <v>972</v>
      </c>
      <c r="U1" s="1" t="s">
        <v>973</v>
      </c>
      <c r="V1" s="1" t="s">
        <v>974</v>
      </c>
      <c r="W1" s="1" t="s">
        <v>975</v>
      </c>
      <c r="X1" s="1" t="s">
        <v>976</v>
      </c>
      <c r="Y1" s="1" t="s">
        <v>977</v>
      </c>
      <c r="Z1" s="1" t="s">
        <v>978</v>
      </c>
      <c r="AA1" s="1" t="s">
        <v>979</v>
      </c>
      <c r="AB1" s="1" t="s">
        <v>980</v>
      </c>
    </row>
    <row r="2" spans="1:28" ht="12.75" customHeight="1" x14ac:dyDescent="0.15">
      <c r="A2" s="5">
        <v>178</v>
      </c>
      <c r="B2" s="5" t="s">
        <v>238</v>
      </c>
      <c r="C2" s="1">
        <v>13</v>
      </c>
      <c r="D2" s="5" t="s">
        <v>983</v>
      </c>
      <c r="E2" s="1">
        <v>1</v>
      </c>
      <c r="F2" s="5" t="s">
        <v>983</v>
      </c>
      <c r="G2" s="1">
        <v>1</v>
      </c>
      <c r="H2" s="5" t="s">
        <v>983</v>
      </c>
      <c r="I2" s="1">
        <v>7</v>
      </c>
      <c r="J2" s="5" t="s">
        <v>981</v>
      </c>
      <c r="K2" s="1">
        <v>1</v>
      </c>
      <c r="L2" s="5" t="s">
        <v>983</v>
      </c>
      <c r="M2" s="1">
        <v>1</v>
      </c>
      <c r="N2" s="5" t="s">
        <v>983</v>
      </c>
      <c r="O2" s="1">
        <v>0</v>
      </c>
      <c r="P2" s="5" t="s">
        <v>983</v>
      </c>
      <c r="Q2" s="1">
        <v>1</v>
      </c>
      <c r="R2" s="1">
        <v>0</v>
      </c>
      <c r="S2" s="1" t="s">
        <v>194</v>
      </c>
      <c r="T2" s="1">
        <v>0</v>
      </c>
      <c r="U2" s="1" t="s">
        <v>194</v>
      </c>
      <c r="V2" s="1" t="s">
        <v>194</v>
      </c>
      <c r="W2" s="1">
        <v>42</v>
      </c>
      <c r="X2" s="1">
        <v>1</v>
      </c>
      <c r="Y2" s="1">
        <v>16</v>
      </c>
      <c r="Z2" s="1">
        <v>3</v>
      </c>
      <c r="AA2" s="1">
        <v>12000000</v>
      </c>
      <c r="AB2" s="1">
        <v>2</v>
      </c>
    </row>
    <row r="3" spans="1:28" ht="12.75" customHeight="1" x14ac:dyDescent="0.15">
      <c r="A3" s="5">
        <v>179</v>
      </c>
      <c r="B3" s="5" t="s">
        <v>238</v>
      </c>
      <c r="C3" s="1">
        <v>20</v>
      </c>
      <c r="D3" s="5" t="s">
        <v>982</v>
      </c>
      <c r="E3" s="1">
        <v>5</v>
      </c>
      <c r="F3" s="5" t="s">
        <v>981</v>
      </c>
      <c r="G3" s="1">
        <v>2</v>
      </c>
      <c r="H3" s="5" t="s">
        <v>982</v>
      </c>
      <c r="I3" s="1">
        <v>9</v>
      </c>
      <c r="J3" s="5" t="s">
        <v>981</v>
      </c>
      <c r="K3" s="1">
        <v>8</v>
      </c>
      <c r="L3" s="5" t="s">
        <v>981</v>
      </c>
      <c r="M3" s="1">
        <v>12</v>
      </c>
      <c r="N3" s="5" t="s">
        <v>981</v>
      </c>
      <c r="O3" s="1">
        <v>1</v>
      </c>
      <c r="P3" s="5" t="s">
        <v>982</v>
      </c>
      <c r="Q3" s="1">
        <v>1</v>
      </c>
      <c r="R3" s="1">
        <v>0</v>
      </c>
      <c r="S3" s="1">
        <v>1</v>
      </c>
      <c r="T3" s="1">
        <v>1</v>
      </c>
      <c r="U3" s="1">
        <v>3</v>
      </c>
      <c r="V3" s="1">
        <v>3</v>
      </c>
      <c r="W3" s="1">
        <v>42</v>
      </c>
      <c r="X3" s="1">
        <v>1</v>
      </c>
      <c r="Y3" s="1">
        <v>16</v>
      </c>
      <c r="Z3" s="1">
        <v>3</v>
      </c>
      <c r="AA3" s="1">
        <v>12000000</v>
      </c>
      <c r="AB3" s="1">
        <v>2</v>
      </c>
    </row>
    <row r="4" spans="1:28" ht="12.75" customHeight="1" x14ac:dyDescent="0.15">
      <c r="A4" s="5">
        <v>141</v>
      </c>
      <c r="B4" s="5" t="s">
        <v>238</v>
      </c>
      <c r="C4" s="1">
        <v>39</v>
      </c>
      <c r="D4" s="5" t="s">
        <v>981</v>
      </c>
      <c r="E4" s="1">
        <v>3</v>
      </c>
      <c r="F4" s="5" t="s">
        <v>982</v>
      </c>
      <c r="G4" s="1">
        <v>3</v>
      </c>
      <c r="H4" s="5" t="s">
        <v>982</v>
      </c>
      <c r="I4" s="1">
        <v>12</v>
      </c>
      <c r="J4" s="5" t="s">
        <v>981</v>
      </c>
      <c r="K4" s="1">
        <v>3</v>
      </c>
      <c r="L4" s="5" t="s">
        <v>982</v>
      </c>
      <c r="M4" s="1">
        <v>3</v>
      </c>
      <c r="N4" s="5" t="s">
        <v>982</v>
      </c>
      <c r="O4" s="1">
        <v>0</v>
      </c>
      <c r="P4" s="5" t="s">
        <v>983</v>
      </c>
      <c r="Q4" s="1">
        <v>1</v>
      </c>
      <c r="R4" s="1">
        <v>0</v>
      </c>
      <c r="S4" s="1">
        <v>1</v>
      </c>
      <c r="T4" s="1">
        <v>1</v>
      </c>
      <c r="U4" s="1" t="s">
        <v>194</v>
      </c>
      <c r="V4" s="1" t="s">
        <v>194</v>
      </c>
      <c r="W4" s="1">
        <v>50</v>
      </c>
      <c r="X4" s="1">
        <v>1</v>
      </c>
      <c r="Y4" s="1">
        <v>16</v>
      </c>
      <c r="Z4" s="1">
        <v>34</v>
      </c>
      <c r="AA4" s="1">
        <v>7000000</v>
      </c>
      <c r="AB4" s="1">
        <v>3</v>
      </c>
    </row>
    <row r="5" spans="1:28" ht="12.75" customHeight="1" x14ac:dyDescent="0.15">
      <c r="A5" s="5">
        <v>140</v>
      </c>
      <c r="B5" s="5" t="s">
        <v>238</v>
      </c>
      <c r="C5" s="1">
        <v>34</v>
      </c>
      <c r="D5" s="5" t="s">
        <v>981</v>
      </c>
      <c r="E5" s="1">
        <v>3</v>
      </c>
      <c r="F5" s="5" t="s">
        <v>982</v>
      </c>
      <c r="G5" s="1">
        <v>9</v>
      </c>
      <c r="H5" s="5" t="s">
        <v>981</v>
      </c>
      <c r="I5" s="1">
        <v>10</v>
      </c>
      <c r="J5" s="5" t="s">
        <v>981</v>
      </c>
      <c r="K5" s="1">
        <v>8</v>
      </c>
      <c r="L5" s="5" t="s">
        <v>981</v>
      </c>
      <c r="M5" s="1">
        <v>8</v>
      </c>
      <c r="N5" s="5" t="s">
        <v>981</v>
      </c>
      <c r="O5" s="1">
        <v>3</v>
      </c>
      <c r="P5" s="5" t="s">
        <v>982</v>
      </c>
      <c r="Q5" s="1">
        <v>0</v>
      </c>
      <c r="R5" s="1">
        <v>0</v>
      </c>
      <c r="S5" s="1">
        <v>0</v>
      </c>
      <c r="T5" s="1">
        <v>1</v>
      </c>
      <c r="U5" s="1">
        <v>3</v>
      </c>
      <c r="V5" s="1">
        <v>4</v>
      </c>
      <c r="W5" s="1">
        <v>50</v>
      </c>
      <c r="X5" s="1">
        <v>1</v>
      </c>
      <c r="Y5" s="1">
        <v>16</v>
      </c>
      <c r="Z5" s="1">
        <v>34</v>
      </c>
      <c r="AA5" s="1">
        <v>7000000</v>
      </c>
      <c r="AB5" s="1">
        <v>3</v>
      </c>
    </row>
    <row r="6" spans="1:28" ht="12.75" customHeight="1" x14ac:dyDescent="0.15">
      <c r="A6" s="5">
        <v>129</v>
      </c>
      <c r="B6" s="5" t="s">
        <v>984</v>
      </c>
      <c r="C6" s="1">
        <v>31</v>
      </c>
      <c r="D6" s="5" t="s">
        <v>981</v>
      </c>
      <c r="E6" s="1">
        <v>3</v>
      </c>
      <c r="F6" s="5" t="s">
        <v>982</v>
      </c>
      <c r="G6" s="1">
        <v>3</v>
      </c>
      <c r="H6" s="5" t="s">
        <v>982</v>
      </c>
      <c r="I6" s="1">
        <v>4</v>
      </c>
      <c r="J6" s="5" t="s">
        <v>982</v>
      </c>
      <c r="K6" s="1">
        <v>3</v>
      </c>
      <c r="L6" s="5" t="s">
        <v>982</v>
      </c>
      <c r="M6" s="1">
        <v>3</v>
      </c>
      <c r="N6" s="5" t="s">
        <v>982</v>
      </c>
      <c r="O6" s="1">
        <v>0</v>
      </c>
      <c r="P6" s="5" t="s">
        <v>983</v>
      </c>
      <c r="Q6" s="1">
        <v>0</v>
      </c>
      <c r="R6" s="1">
        <v>0</v>
      </c>
      <c r="S6" s="1" t="s">
        <v>194</v>
      </c>
      <c r="T6" s="1">
        <v>1</v>
      </c>
      <c r="U6" s="1">
        <v>5</v>
      </c>
      <c r="V6" s="1">
        <v>3</v>
      </c>
      <c r="W6" s="1">
        <v>50</v>
      </c>
      <c r="X6" s="1">
        <v>1</v>
      </c>
      <c r="Y6" s="1">
        <v>16</v>
      </c>
      <c r="Z6" s="1">
        <v>34</v>
      </c>
      <c r="AA6" s="1">
        <v>5400000</v>
      </c>
      <c r="AB6" s="1">
        <v>1</v>
      </c>
    </row>
    <row r="7" spans="1:28" ht="12.75" customHeight="1" x14ac:dyDescent="0.15">
      <c r="A7" s="5">
        <v>452</v>
      </c>
      <c r="B7" s="5" t="s">
        <v>238</v>
      </c>
      <c r="C7" s="1">
        <v>29</v>
      </c>
      <c r="D7" s="5" t="s">
        <v>981</v>
      </c>
      <c r="E7" s="1">
        <v>5</v>
      </c>
      <c r="F7" s="5" t="s">
        <v>981</v>
      </c>
      <c r="G7" s="1">
        <v>3</v>
      </c>
      <c r="H7" s="5" t="s">
        <v>982</v>
      </c>
      <c r="I7" s="1">
        <v>12</v>
      </c>
      <c r="J7" s="5" t="s">
        <v>981</v>
      </c>
      <c r="K7" s="1">
        <v>12</v>
      </c>
      <c r="L7" s="5" t="s">
        <v>981</v>
      </c>
      <c r="M7" s="1">
        <v>3</v>
      </c>
      <c r="N7" s="5" t="s">
        <v>982</v>
      </c>
      <c r="O7" s="1">
        <v>1</v>
      </c>
      <c r="P7" s="5" t="s">
        <v>982</v>
      </c>
      <c r="Q7" s="1">
        <v>0</v>
      </c>
      <c r="R7" s="1">
        <v>0</v>
      </c>
      <c r="S7" s="1" t="s">
        <v>194</v>
      </c>
      <c r="T7" s="1">
        <v>1</v>
      </c>
      <c r="U7" s="1" t="s">
        <v>194</v>
      </c>
      <c r="V7" s="1">
        <v>3</v>
      </c>
      <c r="W7" s="1">
        <v>48</v>
      </c>
      <c r="X7" s="1">
        <v>1</v>
      </c>
      <c r="Y7" s="1">
        <v>6</v>
      </c>
      <c r="Z7" s="1">
        <v>25</v>
      </c>
      <c r="AA7" s="1">
        <v>3000000</v>
      </c>
      <c r="AB7" s="1">
        <v>2</v>
      </c>
    </row>
    <row r="8" spans="1:28" ht="12.75" customHeight="1" x14ac:dyDescent="0.15">
      <c r="A8" s="5">
        <v>98</v>
      </c>
      <c r="B8" s="5" t="s">
        <v>238</v>
      </c>
      <c r="C8" s="1">
        <v>12</v>
      </c>
      <c r="D8" s="5" t="s">
        <v>983</v>
      </c>
      <c r="E8" s="1">
        <v>3</v>
      </c>
      <c r="F8" s="5" t="s">
        <v>982</v>
      </c>
      <c r="G8" s="1">
        <v>3</v>
      </c>
      <c r="H8" s="5" t="s">
        <v>982</v>
      </c>
      <c r="I8" s="1">
        <v>12</v>
      </c>
      <c r="J8" s="5" t="s">
        <v>981</v>
      </c>
      <c r="K8" s="1">
        <v>3</v>
      </c>
      <c r="L8" s="5" t="s">
        <v>982</v>
      </c>
      <c r="M8" s="1">
        <v>3</v>
      </c>
      <c r="N8" s="5" t="s">
        <v>982</v>
      </c>
      <c r="O8" s="1">
        <v>0</v>
      </c>
      <c r="P8" s="5" t="s">
        <v>983</v>
      </c>
      <c r="Q8" s="1">
        <v>0</v>
      </c>
      <c r="R8" s="1">
        <v>0</v>
      </c>
      <c r="S8" s="1" t="s">
        <v>194</v>
      </c>
      <c r="T8" s="1">
        <v>1</v>
      </c>
      <c r="U8" s="1" t="s">
        <v>194</v>
      </c>
      <c r="V8" s="1" t="s">
        <v>194</v>
      </c>
      <c r="W8" s="1">
        <v>59</v>
      </c>
      <c r="X8" s="1">
        <v>1</v>
      </c>
      <c r="Y8" s="1">
        <v>14</v>
      </c>
      <c r="Z8" s="1">
        <v>6</v>
      </c>
      <c r="AA8" s="1">
        <v>3000000</v>
      </c>
      <c r="AB8" s="1">
        <v>3</v>
      </c>
    </row>
    <row r="9" spans="1:28" ht="12.75" customHeight="1" x14ac:dyDescent="0.15">
      <c r="A9" s="5">
        <v>99</v>
      </c>
      <c r="B9" s="5" t="s">
        <v>984</v>
      </c>
      <c r="C9" s="1">
        <v>42</v>
      </c>
      <c r="D9" s="5" t="s">
        <v>981</v>
      </c>
      <c r="E9" s="1">
        <v>4</v>
      </c>
      <c r="F9" s="5" t="s">
        <v>982</v>
      </c>
      <c r="G9" s="1">
        <v>9</v>
      </c>
      <c r="H9" s="5" t="s">
        <v>981</v>
      </c>
      <c r="I9" s="1">
        <v>7</v>
      </c>
      <c r="J9" s="5" t="s">
        <v>981</v>
      </c>
      <c r="K9" s="1">
        <v>11</v>
      </c>
      <c r="L9" s="5" t="s">
        <v>981</v>
      </c>
      <c r="M9" s="1">
        <v>7</v>
      </c>
      <c r="N9" s="5" t="s">
        <v>981</v>
      </c>
      <c r="O9" s="1">
        <v>1</v>
      </c>
      <c r="P9" s="5" t="s">
        <v>982</v>
      </c>
      <c r="Q9" s="1">
        <v>1</v>
      </c>
      <c r="R9" s="1">
        <v>0</v>
      </c>
      <c r="S9" s="1" t="s">
        <v>194</v>
      </c>
      <c r="T9" s="1">
        <v>1</v>
      </c>
      <c r="U9" s="1" t="s">
        <v>194</v>
      </c>
      <c r="V9" s="1">
        <v>3</v>
      </c>
      <c r="W9" s="1">
        <v>59</v>
      </c>
      <c r="X9" s="1">
        <v>1</v>
      </c>
      <c r="Y9" s="1">
        <v>14</v>
      </c>
      <c r="Z9" s="1">
        <v>6</v>
      </c>
      <c r="AA9" s="1">
        <v>3000000</v>
      </c>
      <c r="AB9" s="1">
        <v>3</v>
      </c>
    </row>
    <row r="10" spans="1:28" ht="12.75" customHeight="1" x14ac:dyDescent="0.15">
      <c r="A10" s="5">
        <v>15</v>
      </c>
      <c r="B10" s="5" t="s">
        <v>238</v>
      </c>
      <c r="C10" s="1">
        <v>16</v>
      </c>
      <c r="D10" s="5" t="s">
        <v>983</v>
      </c>
      <c r="E10" s="1">
        <v>6</v>
      </c>
      <c r="F10" s="5" t="s">
        <v>981</v>
      </c>
      <c r="G10" s="1">
        <v>2</v>
      </c>
      <c r="H10" s="5" t="s">
        <v>982</v>
      </c>
      <c r="I10" s="1">
        <v>16</v>
      </c>
      <c r="J10" s="5" t="s">
        <v>981</v>
      </c>
      <c r="K10" s="1">
        <v>4</v>
      </c>
      <c r="L10" s="5" t="s">
        <v>982</v>
      </c>
      <c r="M10" s="1">
        <v>4</v>
      </c>
      <c r="N10" s="5" t="s">
        <v>982</v>
      </c>
      <c r="O10" s="1">
        <v>0</v>
      </c>
      <c r="P10" s="5" t="s">
        <v>983</v>
      </c>
      <c r="Q10" s="1">
        <v>1</v>
      </c>
      <c r="R10" s="1">
        <v>0</v>
      </c>
      <c r="S10" s="1" t="s">
        <v>194</v>
      </c>
      <c r="T10" s="1">
        <v>1</v>
      </c>
      <c r="U10" s="1">
        <v>3</v>
      </c>
      <c r="V10" s="1">
        <v>5</v>
      </c>
      <c r="W10" s="1">
        <v>47</v>
      </c>
      <c r="X10" s="1">
        <v>1</v>
      </c>
      <c r="Y10" s="1">
        <v>18</v>
      </c>
      <c r="Z10" s="1">
        <v>7</v>
      </c>
      <c r="AA10" s="1">
        <v>2500000</v>
      </c>
      <c r="AB10" s="1">
        <v>4</v>
      </c>
    </row>
    <row r="11" spans="1:28" ht="12.75" customHeight="1" x14ac:dyDescent="0.15">
      <c r="A11" s="5">
        <v>219</v>
      </c>
      <c r="B11" s="5" t="s">
        <v>238</v>
      </c>
      <c r="C11" s="1">
        <v>12</v>
      </c>
      <c r="D11" s="5" t="s">
        <v>983</v>
      </c>
      <c r="E11" s="1">
        <v>1</v>
      </c>
      <c r="F11" s="5" t="s">
        <v>983</v>
      </c>
      <c r="G11" s="1">
        <v>1</v>
      </c>
      <c r="H11" s="5" t="s">
        <v>983</v>
      </c>
      <c r="I11" s="1">
        <v>3</v>
      </c>
      <c r="J11" s="5" t="s">
        <v>982</v>
      </c>
      <c r="K11" s="1">
        <v>1</v>
      </c>
      <c r="L11" s="5" t="s">
        <v>983</v>
      </c>
      <c r="M11" s="1">
        <v>0</v>
      </c>
      <c r="N11" s="5" t="s">
        <v>983</v>
      </c>
      <c r="O11" s="1">
        <v>0</v>
      </c>
      <c r="P11" s="5" t="s">
        <v>983</v>
      </c>
      <c r="Q11" s="1">
        <v>0</v>
      </c>
      <c r="R11" s="1">
        <v>0</v>
      </c>
      <c r="S11" s="1" t="s">
        <v>194</v>
      </c>
      <c r="T11" s="1">
        <v>1</v>
      </c>
      <c r="U11" s="1" t="s">
        <v>194</v>
      </c>
      <c r="V11" s="1">
        <v>2</v>
      </c>
      <c r="W11" s="1">
        <v>52</v>
      </c>
      <c r="X11" s="1">
        <v>1</v>
      </c>
      <c r="Y11" s="1">
        <v>14</v>
      </c>
      <c r="Z11" s="1">
        <v>15</v>
      </c>
      <c r="AA11" s="1">
        <v>2300000</v>
      </c>
      <c r="AB11" s="1">
        <v>3</v>
      </c>
    </row>
    <row r="12" spans="1:28" ht="12.75" customHeight="1" x14ac:dyDescent="0.15">
      <c r="A12" s="5">
        <v>291</v>
      </c>
      <c r="B12" s="5" t="s">
        <v>238</v>
      </c>
      <c r="C12" s="1">
        <v>24</v>
      </c>
      <c r="D12" s="5" t="s">
        <v>981</v>
      </c>
      <c r="E12" s="1">
        <v>0</v>
      </c>
      <c r="F12" s="5" t="s">
        <v>983</v>
      </c>
      <c r="G12" s="1">
        <v>1</v>
      </c>
      <c r="H12" s="5" t="s">
        <v>983</v>
      </c>
      <c r="I12" s="1">
        <v>15</v>
      </c>
      <c r="J12" s="5" t="s">
        <v>981</v>
      </c>
      <c r="K12" s="1">
        <v>1</v>
      </c>
      <c r="L12" s="5" t="s">
        <v>983</v>
      </c>
      <c r="M12" s="1">
        <v>0</v>
      </c>
      <c r="N12" s="5" t="s">
        <v>983</v>
      </c>
      <c r="O12" s="1">
        <v>0</v>
      </c>
      <c r="P12" s="5" t="s">
        <v>983</v>
      </c>
      <c r="Q12" s="1">
        <v>1</v>
      </c>
      <c r="R12" s="1">
        <v>0</v>
      </c>
      <c r="S12" s="1">
        <v>1</v>
      </c>
      <c r="T12" s="1">
        <v>1</v>
      </c>
      <c r="U12" s="1" t="s">
        <v>194</v>
      </c>
      <c r="V12" s="1" t="s">
        <v>194</v>
      </c>
      <c r="W12" s="1">
        <v>40</v>
      </c>
      <c r="X12" s="1">
        <v>0</v>
      </c>
      <c r="Y12" s="1">
        <v>18</v>
      </c>
      <c r="Z12" s="1">
        <v>34</v>
      </c>
      <c r="AA12" s="1">
        <v>2000000</v>
      </c>
      <c r="AB12" s="1">
        <v>7</v>
      </c>
    </row>
    <row r="13" spans="1:28" ht="12.75" customHeight="1" x14ac:dyDescent="0.15">
      <c r="A13" s="5">
        <v>85</v>
      </c>
      <c r="B13" s="5" t="s">
        <v>984</v>
      </c>
      <c r="C13" s="1">
        <v>16</v>
      </c>
      <c r="D13" s="5" t="s">
        <v>983</v>
      </c>
      <c r="E13" s="1">
        <v>1</v>
      </c>
      <c r="F13" s="5" t="s">
        <v>983</v>
      </c>
      <c r="G13" s="1">
        <v>8</v>
      </c>
      <c r="H13" s="5" t="s">
        <v>981</v>
      </c>
      <c r="I13" s="1">
        <v>1</v>
      </c>
      <c r="J13" s="5" t="s">
        <v>982</v>
      </c>
      <c r="K13" s="1">
        <v>0</v>
      </c>
      <c r="L13" s="5" t="s">
        <v>983</v>
      </c>
      <c r="M13" s="1">
        <v>5</v>
      </c>
      <c r="N13" s="5" t="s">
        <v>982</v>
      </c>
      <c r="O13" s="1">
        <v>0</v>
      </c>
      <c r="P13" s="5" t="s">
        <v>983</v>
      </c>
      <c r="Q13" s="1">
        <v>1</v>
      </c>
      <c r="R13" s="1">
        <v>0</v>
      </c>
      <c r="S13" s="1" t="s">
        <v>194</v>
      </c>
      <c r="T13" s="1">
        <v>0</v>
      </c>
      <c r="U13" s="1" t="s">
        <v>194</v>
      </c>
      <c r="V13" s="1" t="s">
        <v>194</v>
      </c>
      <c r="W13" s="1">
        <v>41</v>
      </c>
      <c r="X13" s="1">
        <v>1</v>
      </c>
      <c r="Y13" s="1">
        <v>17</v>
      </c>
      <c r="Z13" s="1">
        <v>24</v>
      </c>
      <c r="AA13" s="1">
        <v>2000000</v>
      </c>
      <c r="AB13" s="1">
        <v>3</v>
      </c>
    </row>
    <row r="14" spans="1:28" ht="12.75" customHeight="1" x14ac:dyDescent="0.15">
      <c r="A14" s="5">
        <v>84</v>
      </c>
      <c r="B14" s="5" t="s">
        <v>238</v>
      </c>
      <c r="C14" s="1">
        <v>15</v>
      </c>
      <c r="D14" s="5" t="s">
        <v>983</v>
      </c>
      <c r="E14" s="1">
        <v>5</v>
      </c>
      <c r="F14" s="5" t="s">
        <v>981</v>
      </c>
      <c r="G14" s="1">
        <v>0</v>
      </c>
      <c r="H14" s="5" t="s">
        <v>983</v>
      </c>
      <c r="I14" s="1">
        <v>15</v>
      </c>
      <c r="J14" s="5" t="s">
        <v>981</v>
      </c>
      <c r="K14" s="1">
        <v>0</v>
      </c>
      <c r="L14" s="5" t="s">
        <v>983</v>
      </c>
      <c r="M14" s="1">
        <v>0</v>
      </c>
      <c r="N14" s="5" t="s">
        <v>983</v>
      </c>
      <c r="O14" s="1">
        <v>0</v>
      </c>
      <c r="P14" s="5" t="s">
        <v>983</v>
      </c>
      <c r="Q14" s="1">
        <v>0</v>
      </c>
      <c r="R14" s="1">
        <v>0</v>
      </c>
      <c r="S14" s="1">
        <v>1</v>
      </c>
      <c r="T14" s="1">
        <v>1</v>
      </c>
      <c r="U14" s="1">
        <v>3</v>
      </c>
      <c r="V14" s="1">
        <v>5</v>
      </c>
      <c r="W14" s="1">
        <v>41</v>
      </c>
      <c r="X14" s="1">
        <v>1</v>
      </c>
      <c r="Y14" s="1">
        <v>17</v>
      </c>
      <c r="Z14" s="1">
        <v>24</v>
      </c>
      <c r="AA14" s="1">
        <v>2000000</v>
      </c>
      <c r="AB14" s="1">
        <v>3</v>
      </c>
    </row>
    <row r="15" spans="1:28" ht="12.75" customHeight="1" x14ac:dyDescent="0.15">
      <c r="A15" s="5">
        <v>105</v>
      </c>
      <c r="B15" s="5" t="s">
        <v>238</v>
      </c>
      <c r="C15" s="1">
        <v>36</v>
      </c>
      <c r="D15" s="5" t="s">
        <v>981</v>
      </c>
      <c r="E15" s="1">
        <v>0</v>
      </c>
      <c r="F15" s="5" t="s">
        <v>983</v>
      </c>
      <c r="G15" s="1">
        <v>4</v>
      </c>
      <c r="H15" s="5" t="s">
        <v>982</v>
      </c>
      <c r="I15" s="1">
        <v>8</v>
      </c>
      <c r="J15" s="5" t="s">
        <v>981</v>
      </c>
      <c r="K15" s="1">
        <v>0</v>
      </c>
      <c r="L15" s="5" t="s">
        <v>983</v>
      </c>
      <c r="M15" s="1">
        <v>8</v>
      </c>
      <c r="N15" s="5" t="s">
        <v>981</v>
      </c>
      <c r="O15" s="1">
        <v>0</v>
      </c>
      <c r="P15" s="5" t="s">
        <v>983</v>
      </c>
      <c r="Q15" s="1">
        <v>1</v>
      </c>
      <c r="R15" s="1">
        <v>0</v>
      </c>
      <c r="S15" s="1">
        <v>1</v>
      </c>
      <c r="T15" s="1">
        <v>1</v>
      </c>
      <c r="U15" s="1">
        <v>5</v>
      </c>
      <c r="V15" s="1">
        <v>4</v>
      </c>
      <c r="W15" s="1">
        <v>34</v>
      </c>
      <c r="X15" s="1">
        <v>0</v>
      </c>
      <c r="Y15" s="1">
        <v>14</v>
      </c>
      <c r="Z15" s="1">
        <v>24</v>
      </c>
      <c r="AA15" s="1">
        <v>2000000</v>
      </c>
      <c r="AB15" s="1">
        <v>4</v>
      </c>
    </row>
    <row r="16" spans="1:28" ht="12.75" customHeight="1" x14ac:dyDescent="0.15">
      <c r="A16" s="5">
        <v>146</v>
      </c>
      <c r="B16" s="5" t="s">
        <v>238</v>
      </c>
      <c r="C16" s="1">
        <v>13</v>
      </c>
      <c r="D16" s="5" t="s">
        <v>983</v>
      </c>
      <c r="E16" s="1">
        <v>3</v>
      </c>
      <c r="F16" s="5" t="s">
        <v>982</v>
      </c>
      <c r="G16" s="1">
        <v>3</v>
      </c>
      <c r="H16" s="5" t="s">
        <v>982</v>
      </c>
      <c r="I16" s="1">
        <v>0</v>
      </c>
      <c r="J16" s="5" t="s">
        <v>983</v>
      </c>
      <c r="K16" s="1">
        <v>1</v>
      </c>
      <c r="L16" s="5" t="s">
        <v>983</v>
      </c>
      <c r="M16" s="1">
        <v>0</v>
      </c>
      <c r="N16" s="5" t="s">
        <v>983</v>
      </c>
      <c r="O16" s="1">
        <v>0</v>
      </c>
      <c r="P16" s="5" t="s">
        <v>983</v>
      </c>
      <c r="Q16" s="1">
        <v>1</v>
      </c>
      <c r="R16" s="1">
        <v>0</v>
      </c>
      <c r="S16" s="1">
        <v>1</v>
      </c>
      <c r="T16" s="1">
        <v>1</v>
      </c>
      <c r="U16" s="1">
        <v>3</v>
      </c>
      <c r="V16" s="1">
        <v>3</v>
      </c>
      <c r="W16" s="1">
        <v>33</v>
      </c>
      <c r="X16" s="1">
        <v>1</v>
      </c>
      <c r="Y16" s="1">
        <v>18</v>
      </c>
      <c r="Z16" s="1">
        <v>6</v>
      </c>
      <c r="AA16" s="1">
        <v>2000000</v>
      </c>
      <c r="AB16" s="1">
        <v>3</v>
      </c>
    </row>
    <row r="17" spans="1:28" ht="12.75" customHeight="1" x14ac:dyDescent="0.15">
      <c r="A17" s="5">
        <v>103</v>
      </c>
      <c r="B17" s="5" t="s">
        <v>238</v>
      </c>
      <c r="C17" s="1">
        <v>28</v>
      </c>
      <c r="D17" s="5" t="s">
        <v>981</v>
      </c>
      <c r="E17" s="1">
        <v>5</v>
      </c>
      <c r="F17" s="5" t="s">
        <v>981</v>
      </c>
      <c r="G17" s="1">
        <v>3</v>
      </c>
      <c r="H17" s="5" t="s">
        <v>982</v>
      </c>
      <c r="I17" s="1">
        <v>12</v>
      </c>
      <c r="J17" s="5" t="s">
        <v>981</v>
      </c>
      <c r="K17" s="1">
        <v>3</v>
      </c>
      <c r="L17" s="5" t="s">
        <v>982</v>
      </c>
      <c r="M17" s="1">
        <v>2</v>
      </c>
      <c r="N17" s="5" t="s">
        <v>983</v>
      </c>
      <c r="O17" s="1">
        <v>0</v>
      </c>
      <c r="P17" s="5" t="s">
        <v>983</v>
      </c>
      <c r="Q17" s="1">
        <v>0</v>
      </c>
      <c r="R17" s="1">
        <v>0</v>
      </c>
      <c r="S17" s="1" t="s">
        <v>194</v>
      </c>
      <c r="T17" s="1">
        <v>1</v>
      </c>
      <c r="U17" s="1">
        <v>5</v>
      </c>
      <c r="V17" s="1">
        <v>5</v>
      </c>
      <c r="W17" s="1">
        <v>64</v>
      </c>
      <c r="X17" s="1">
        <v>0</v>
      </c>
      <c r="Y17" s="1">
        <v>14</v>
      </c>
      <c r="Z17" s="1">
        <v>34</v>
      </c>
      <c r="AA17" s="1">
        <v>1890000</v>
      </c>
      <c r="AB17" s="1">
        <v>3</v>
      </c>
    </row>
    <row r="18" spans="1:28" ht="12.75" customHeight="1" x14ac:dyDescent="0.15">
      <c r="A18" s="5">
        <v>102</v>
      </c>
      <c r="B18" s="5" t="s">
        <v>238</v>
      </c>
      <c r="C18" s="1">
        <v>32</v>
      </c>
      <c r="D18" s="5" t="s">
        <v>981</v>
      </c>
      <c r="E18" s="1">
        <v>7</v>
      </c>
      <c r="F18" s="5" t="s">
        <v>981</v>
      </c>
      <c r="G18" s="1">
        <v>2</v>
      </c>
      <c r="H18" s="5" t="s">
        <v>982</v>
      </c>
      <c r="I18" s="1">
        <v>8</v>
      </c>
      <c r="J18" s="5" t="s">
        <v>981</v>
      </c>
      <c r="K18" s="1">
        <v>8</v>
      </c>
      <c r="L18" s="5" t="s">
        <v>981</v>
      </c>
      <c r="M18" s="1">
        <v>7</v>
      </c>
      <c r="N18" s="5" t="s">
        <v>981</v>
      </c>
      <c r="O18" s="1">
        <v>2</v>
      </c>
      <c r="P18" s="5" t="s">
        <v>982</v>
      </c>
      <c r="Q18" s="1">
        <v>0</v>
      </c>
      <c r="R18" s="1">
        <v>0</v>
      </c>
      <c r="S18" s="1" t="s">
        <v>194</v>
      </c>
      <c r="T18" s="1">
        <v>1</v>
      </c>
      <c r="U18" s="1">
        <v>1</v>
      </c>
      <c r="V18" s="1">
        <v>3</v>
      </c>
      <c r="W18" s="1">
        <v>64</v>
      </c>
      <c r="X18" s="1">
        <v>0</v>
      </c>
      <c r="Y18" s="1">
        <v>14</v>
      </c>
      <c r="Z18" s="1">
        <v>34</v>
      </c>
      <c r="AA18" s="1">
        <v>1890000</v>
      </c>
      <c r="AB18" s="1">
        <v>3</v>
      </c>
    </row>
    <row r="19" spans="1:28" ht="12.75" customHeight="1" x14ac:dyDescent="0.15">
      <c r="A19" s="5">
        <v>104</v>
      </c>
      <c r="B19" s="5" t="s">
        <v>984</v>
      </c>
      <c r="C19" s="1">
        <v>29</v>
      </c>
      <c r="D19" s="5" t="s">
        <v>981</v>
      </c>
      <c r="E19" s="1">
        <v>5</v>
      </c>
      <c r="F19" s="5" t="s">
        <v>981</v>
      </c>
      <c r="G19" s="1">
        <v>2</v>
      </c>
      <c r="H19" s="5" t="s">
        <v>982</v>
      </c>
      <c r="I19" s="1">
        <v>10</v>
      </c>
      <c r="J19" s="5" t="s">
        <v>981</v>
      </c>
      <c r="K19" s="1">
        <v>6</v>
      </c>
      <c r="L19" s="5" t="s">
        <v>981</v>
      </c>
      <c r="M19" s="1">
        <v>6</v>
      </c>
      <c r="N19" s="5" t="s">
        <v>981</v>
      </c>
      <c r="O19" s="1">
        <v>0</v>
      </c>
      <c r="P19" s="5" t="s">
        <v>983</v>
      </c>
      <c r="Q19" s="1">
        <v>0</v>
      </c>
      <c r="R19" s="1">
        <v>0</v>
      </c>
      <c r="S19" s="1">
        <v>1</v>
      </c>
      <c r="T19" s="1">
        <v>1</v>
      </c>
      <c r="U19" s="1">
        <v>5</v>
      </c>
      <c r="V19" s="1">
        <v>3</v>
      </c>
      <c r="W19" s="1">
        <v>37</v>
      </c>
      <c r="X19" s="1">
        <v>0</v>
      </c>
      <c r="Y19" s="1">
        <v>17</v>
      </c>
      <c r="Z19" s="1">
        <v>31</v>
      </c>
      <c r="AA19" s="1">
        <v>1800000</v>
      </c>
      <c r="AB19" s="1">
        <v>3</v>
      </c>
    </row>
    <row r="20" spans="1:28" ht="12.75" customHeight="1" x14ac:dyDescent="0.15">
      <c r="A20" s="5">
        <v>2</v>
      </c>
      <c r="B20" s="5" t="s">
        <v>238</v>
      </c>
      <c r="C20" s="1">
        <v>27</v>
      </c>
      <c r="D20" s="5" t="s">
        <v>981</v>
      </c>
      <c r="E20" s="1">
        <v>9</v>
      </c>
      <c r="F20" s="5" t="s">
        <v>981</v>
      </c>
      <c r="G20" s="1">
        <v>10</v>
      </c>
      <c r="H20" s="5" t="s">
        <v>981</v>
      </c>
      <c r="I20" s="1">
        <v>0</v>
      </c>
      <c r="J20" s="5" t="s">
        <v>983</v>
      </c>
      <c r="K20" s="1">
        <v>10</v>
      </c>
      <c r="L20" s="5" t="s">
        <v>981</v>
      </c>
      <c r="M20" s="1">
        <v>11</v>
      </c>
      <c r="N20" s="5" t="s">
        <v>981</v>
      </c>
      <c r="O20" s="1">
        <v>3</v>
      </c>
      <c r="P20" s="5" t="s">
        <v>982</v>
      </c>
      <c r="Q20" s="1">
        <v>0</v>
      </c>
      <c r="R20" s="1">
        <v>0</v>
      </c>
      <c r="S20" s="1" t="s">
        <v>194</v>
      </c>
      <c r="T20" s="1">
        <v>1</v>
      </c>
      <c r="U20" s="1">
        <v>5</v>
      </c>
      <c r="V20" s="1">
        <v>5</v>
      </c>
      <c r="W20" s="1">
        <v>60</v>
      </c>
      <c r="X20" s="1">
        <v>0</v>
      </c>
      <c r="Y20" s="1">
        <v>16</v>
      </c>
      <c r="Z20" s="1">
        <v>18</v>
      </c>
      <c r="AA20" s="1">
        <v>1800000</v>
      </c>
      <c r="AB20" s="1">
        <v>2</v>
      </c>
    </row>
    <row r="21" spans="1:28" ht="12.75" customHeight="1" x14ac:dyDescent="0.15">
      <c r="A21" s="5">
        <v>153</v>
      </c>
      <c r="B21" s="5" t="s">
        <v>238</v>
      </c>
      <c r="C21" s="1">
        <v>21</v>
      </c>
      <c r="D21" s="5" t="s">
        <v>982</v>
      </c>
      <c r="E21" s="1">
        <v>5</v>
      </c>
      <c r="F21" s="5" t="s">
        <v>981</v>
      </c>
      <c r="G21" s="1">
        <v>4</v>
      </c>
      <c r="H21" s="5" t="s">
        <v>982</v>
      </c>
      <c r="I21" s="1">
        <v>6</v>
      </c>
      <c r="J21" s="5" t="s">
        <v>981</v>
      </c>
      <c r="K21" s="1">
        <v>5</v>
      </c>
      <c r="L21" s="5" t="s">
        <v>982</v>
      </c>
      <c r="M21" s="1">
        <v>4</v>
      </c>
      <c r="N21" s="5" t="s">
        <v>982</v>
      </c>
      <c r="O21" s="1">
        <v>0</v>
      </c>
      <c r="P21" s="5" t="s">
        <v>983</v>
      </c>
      <c r="Q21" s="1">
        <v>0</v>
      </c>
      <c r="R21" s="1">
        <v>0</v>
      </c>
      <c r="S21" s="1" t="s">
        <v>194</v>
      </c>
      <c r="T21" s="1">
        <v>1</v>
      </c>
      <c r="U21" s="1">
        <v>3</v>
      </c>
      <c r="V21" s="1">
        <v>3</v>
      </c>
      <c r="W21" s="1">
        <v>46</v>
      </c>
      <c r="X21" s="1">
        <v>0</v>
      </c>
      <c r="Y21" s="1">
        <v>14</v>
      </c>
      <c r="Z21" s="1">
        <v>11</v>
      </c>
      <c r="AA21" s="1">
        <v>1800000</v>
      </c>
      <c r="AB21" s="1">
        <v>4</v>
      </c>
    </row>
    <row r="22" spans="1:28" ht="12.75" customHeight="1" x14ac:dyDescent="0.15">
      <c r="A22" s="5">
        <v>188</v>
      </c>
      <c r="B22" s="5" t="s">
        <v>238</v>
      </c>
      <c r="C22" s="1">
        <v>32</v>
      </c>
      <c r="D22" s="5" t="s">
        <v>981</v>
      </c>
      <c r="E22" s="1">
        <v>5</v>
      </c>
      <c r="F22" s="5" t="s">
        <v>981</v>
      </c>
      <c r="G22" s="1">
        <v>6</v>
      </c>
      <c r="H22" s="5" t="s">
        <v>981</v>
      </c>
      <c r="I22" s="1">
        <v>4</v>
      </c>
      <c r="J22" s="5" t="s">
        <v>982</v>
      </c>
      <c r="K22" s="1">
        <v>5</v>
      </c>
      <c r="L22" s="5" t="s">
        <v>982</v>
      </c>
      <c r="M22" s="1">
        <v>3</v>
      </c>
      <c r="N22" s="5" t="s">
        <v>982</v>
      </c>
      <c r="O22" s="1">
        <v>3</v>
      </c>
      <c r="P22" s="5" t="s">
        <v>982</v>
      </c>
      <c r="Q22" s="1">
        <v>1</v>
      </c>
      <c r="R22" s="1">
        <v>1</v>
      </c>
      <c r="S22" s="1">
        <v>1</v>
      </c>
      <c r="T22" s="1">
        <v>1</v>
      </c>
      <c r="U22" s="1">
        <v>5</v>
      </c>
      <c r="V22" s="1">
        <v>4</v>
      </c>
      <c r="W22" s="1">
        <v>46</v>
      </c>
      <c r="X22" s="1">
        <v>0</v>
      </c>
      <c r="Y22" s="1">
        <v>2</v>
      </c>
      <c r="Z22" s="1">
        <v>13</v>
      </c>
      <c r="AA22" s="1">
        <v>1700000</v>
      </c>
      <c r="AB22" s="1">
        <v>5</v>
      </c>
    </row>
    <row r="23" spans="1:28" ht="12.75" customHeight="1" x14ac:dyDescent="0.15">
      <c r="A23" s="5">
        <v>210</v>
      </c>
      <c r="B23" s="5" t="s">
        <v>238</v>
      </c>
      <c r="C23" s="1">
        <v>12</v>
      </c>
      <c r="D23" s="5" t="s">
        <v>983</v>
      </c>
      <c r="E23" s="1">
        <v>0</v>
      </c>
      <c r="F23" s="5" t="s">
        <v>983</v>
      </c>
      <c r="G23" s="1">
        <v>0</v>
      </c>
      <c r="H23" s="5" t="s">
        <v>983</v>
      </c>
      <c r="I23" s="1">
        <v>0</v>
      </c>
      <c r="J23" s="5" t="s">
        <v>983</v>
      </c>
      <c r="K23" s="1">
        <v>0</v>
      </c>
      <c r="L23" s="5" t="s">
        <v>983</v>
      </c>
      <c r="M23" s="1">
        <v>0</v>
      </c>
      <c r="N23" s="5" t="s">
        <v>983</v>
      </c>
      <c r="O23" s="1">
        <v>0</v>
      </c>
      <c r="P23" s="5" t="s">
        <v>983</v>
      </c>
      <c r="Q23" s="1">
        <v>0</v>
      </c>
      <c r="R23" s="1">
        <v>0</v>
      </c>
      <c r="S23" s="1">
        <v>1</v>
      </c>
      <c r="T23" s="1">
        <v>1</v>
      </c>
      <c r="U23" s="1">
        <v>2</v>
      </c>
      <c r="V23" s="1">
        <v>2</v>
      </c>
      <c r="W23" s="1">
        <v>45</v>
      </c>
      <c r="X23" s="1">
        <v>0</v>
      </c>
      <c r="Y23" s="1">
        <v>18</v>
      </c>
      <c r="Z23" s="1">
        <v>6</v>
      </c>
      <c r="AA23" s="1">
        <v>1700000</v>
      </c>
      <c r="AB23" s="1">
        <v>4</v>
      </c>
    </row>
    <row r="24" spans="1:28" ht="12.75" customHeight="1" x14ac:dyDescent="0.15">
      <c r="A24" s="5">
        <v>201</v>
      </c>
      <c r="B24" s="5" t="s">
        <v>984</v>
      </c>
      <c r="C24" s="1">
        <v>29</v>
      </c>
      <c r="D24" s="5" t="s">
        <v>981</v>
      </c>
      <c r="E24" s="1">
        <v>6</v>
      </c>
      <c r="F24" s="5" t="s">
        <v>981</v>
      </c>
      <c r="G24" s="1">
        <v>6</v>
      </c>
      <c r="H24" s="5" t="s">
        <v>981</v>
      </c>
      <c r="I24" s="1">
        <v>6</v>
      </c>
      <c r="J24" s="5" t="s">
        <v>981</v>
      </c>
      <c r="K24" s="1">
        <v>9</v>
      </c>
      <c r="L24" s="5" t="s">
        <v>981</v>
      </c>
      <c r="M24" s="1">
        <v>9</v>
      </c>
      <c r="N24" s="5" t="s">
        <v>981</v>
      </c>
      <c r="O24" s="1">
        <v>2</v>
      </c>
      <c r="P24" s="5" t="s">
        <v>982</v>
      </c>
      <c r="Q24" s="1">
        <v>0</v>
      </c>
      <c r="R24" s="1">
        <v>0</v>
      </c>
      <c r="S24" s="1" t="s">
        <v>194</v>
      </c>
      <c r="T24" s="1">
        <v>1</v>
      </c>
      <c r="U24" s="1">
        <v>2</v>
      </c>
      <c r="V24" s="1">
        <v>1</v>
      </c>
      <c r="W24" s="1">
        <v>54</v>
      </c>
      <c r="X24" s="1">
        <v>0</v>
      </c>
      <c r="Y24" s="1">
        <v>5</v>
      </c>
      <c r="Z24" s="1">
        <v>11</v>
      </c>
      <c r="AA24" s="1">
        <v>1500000</v>
      </c>
      <c r="AB24" s="1">
        <v>2</v>
      </c>
    </row>
    <row r="25" spans="1:28" ht="12.75" customHeight="1" x14ac:dyDescent="0.15">
      <c r="A25" s="5">
        <v>349</v>
      </c>
      <c r="B25" s="5" t="s">
        <v>238</v>
      </c>
      <c r="C25" s="1">
        <v>30</v>
      </c>
      <c r="D25" s="5" t="s">
        <v>981</v>
      </c>
      <c r="E25" s="1">
        <v>3</v>
      </c>
      <c r="F25" s="5" t="s">
        <v>982</v>
      </c>
      <c r="G25" s="1">
        <v>1</v>
      </c>
      <c r="H25" s="5" t="s">
        <v>983</v>
      </c>
      <c r="I25" s="1">
        <v>7</v>
      </c>
      <c r="J25" s="5" t="s">
        <v>981</v>
      </c>
      <c r="K25" s="1">
        <v>0</v>
      </c>
      <c r="L25" s="5" t="s">
        <v>983</v>
      </c>
      <c r="M25" s="1">
        <v>0</v>
      </c>
      <c r="N25" s="5" t="s">
        <v>983</v>
      </c>
      <c r="O25" s="1">
        <v>0</v>
      </c>
      <c r="P25" s="5" t="s">
        <v>983</v>
      </c>
      <c r="Q25" s="1">
        <v>0</v>
      </c>
      <c r="R25" s="1">
        <v>0</v>
      </c>
      <c r="S25" s="1" t="s">
        <v>194</v>
      </c>
      <c r="T25" s="1">
        <v>1</v>
      </c>
      <c r="U25" s="1">
        <v>5</v>
      </c>
      <c r="V25" s="1">
        <v>5</v>
      </c>
      <c r="W25" s="1">
        <v>51</v>
      </c>
      <c r="X25" s="1">
        <v>1</v>
      </c>
      <c r="Y25" s="1">
        <v>2</v>
      </c>
      <c r="Z25" s="1">
        <v>24</v>
      </c>
      <c r="AA25" s="1">
        <v>1400000</v>
      </c>
      <c r="AB25" s="1">
        <v>1</v>
      </c>
    </row>
    <row r="26" spans="1:28" ht="12.75" customHeight="1" x14ac:dyDescent="0.15">
      <c r="A26" s="5">
        <v>229</v>
      </c>
      <c r="B26" s="5" t="s">
        <v>238</v>
      </c>
      <c r="C26" s="1">
        <v>17</v>
      </c>
      <c r="D26" s="5" t="s">
        <v>983</v>
      </c>
      <c r="E26" s="1">
        <v>1</v>
      </c>
      <c r="F26" s="5" t="s">
        <v>983</v>
      </c>
      <c r="G26" s="1">
        <v>2</v>
      </c>
      <c r="H26" s="5" t="s">
        <v>982</v>
      </c>
      <c r="I26" s="1">
        <v>0</v>
      </c>
      <c r="J26" s="5" t="s">
        <v>983</v>
      </c>
      <c r="K26" s="1">
        <v>1</v>
      </c>
      <c r="L26" s="5" t="s">
        <v>983</v>
      </c>
      <c r="M26" s="1">
        <v>3</v>
      </c>
      <c r="N26" s="5" t="s">
        <v>982</v>
      </c>
      <c r="O26" s="1">
        <v>0</v>
      </c>
      <c r="P26" s="5" t="s">
        <v>983</v>
      </c>
      <c r="Q26" s="1">
        <v>0</v>
      </c>
      <c r="R26" s="1">
        <v>0</v>
      </c>
      <c r="S26" s="1" t="s">
        <v>194</v>
      </c>
      <c r="T26" s="1">
        <v>1</v>
      </c>
      <c r="U26" s="1">
        <v>3</v>
      </c>
      <c r="V26" s="1">
        <v>4</v>
      </c>
      <c r="W26" s="1">
        <v>48</v>
      </c>
      <c r="X26" s="1">
        <v>0</v>
      </c>
      <c r="Y26" s="1">
        <v>14</v>
      </c>
      <c r="Z26" s="1">
        <v>9</v>
      </c>
      <c r="AA26" s="1">
        <v>1400000</v>
      </c>
      <c r="AB26" s="1">
        <v>1</v>
      </c>
    </row>
    <row r="27" spans="1:28" ht="12.75" customHeight="1" x14ac:dyDescent="0.15">
      <c r="A27" s="5">
        <v>303</v>
      </c>
      <c r="B27" s="5" t="s">
        <v>238</v>
      </c>
      <c r="C27" s="1">
        <v>25</v>
      </c>
      <c r="D27" s="5" t="s">
        <v>981</v>
      </c>
      <c r="E27" s="1">
        <v>6</v>
      </c>
      <c r="F27" s="5" t="s">
        <v>981</v>
      </c>
      <c r="G27" s="1">
        <v>0</v>
      </c>
      <c r="H27" s="5" t="s">
        <v>983</v>
      </c>
      <c r="I27" s="1">
        <v>12</v>
      </c>
      <c r="J27" s="5" t="s">
        <v>981</v>
      </c>
      <c r="K27" s="1">
        <v>0</v>
      </c>
      <c r="L27" s="5" t="s">
        <v>983</v>
      </c>
      <c r="M27" s="1">
        <v>0</v>
      </c>
      <c r="N27" s="5" t="s">
        <v>983</v>
      </c>
      <c r="O27" s="1">
        <v>0</v>
      </c>
      <c r="P27" s="5" t="s">
        <v>983</v>
      </c>
      <c r="Q27" s="1">
        <v>0</v>
      </c>
      <c r="R27" s="1">
        <v>1</v>
      </c>
      <c r="S27" s="1" t="s">
        <v>194</v>
      </c>
      <c r="T27" s="1">
        <v>1</v>
      </c>
      <c r="U27" s="1">
        <v>3</v>
      </c>
      <c r="V27" s="1">
        <v>3</v>
      </c>
      <c r="W27" s="1">
        <v>52</v>
      </c>
      <c r="X27" s="1">
        <v>1</v>
      </c>
      <c r="Y27" s="1">
        <v>14</v>
      </c>
      <c r="Z27" s="1">
        <v>2</v>
      </c>
      <c r="AA27" s="1">
        <v>1400000</v>
      </c>
      <c r="AB27" s="1">
        <v>3</v>
      </c>
    </row>
    <row r="28" spans="1:28" ht="12.75" customHeight="1" x14ac:dyDescent="0.15">
      <c r="A28" s="5">
        <v>95</v>
      </c>
      <c r="B28" s="5" t="s">
        <v>984</v>
      </c>
      <c r="C28" s="1">
        <v>13</v>
      </c>
      <c r="D28" s="5" t="s">
        <v>983</v>
      </c>
      <c r="E28" s="1">
        <v>6</v>
      </c>
      <c r="F28" s="5" t="s">
        <v>981</v>
      </c>
      <c r="G28" s="1">
        <v>9</v>
      </c>
      <c r="H28" s="5" t="s">
        <v>981</v>
      </c>
      <c r="I28" s="1">
        <v>9</v>
      </c>
      <c r="J28" s="5" t="s">
        <v>981</v>
      </c>
      <c r="K28" s="1">
        <v>6</v>
      </c>
      <c r="L28" s="5" t="s">
        <v>981</v>
      </c>
      <c r="M28" s="1">
        <v>6</v>
      </c>
      <c r="N28" s="5" t="s">
        <v>981</v>
      </c>
      <c r="O28" s="1">
        <v>0</v>
      </c>
      <c r="P28" s="5" t="s">
        <v>983</v>
      </c>
      <c r="Q28" s="1">
        <v>1</v>
      </c>
      <c r="R28" s="1">
        <v>0</v>
      </c>
      <c r="S28" s="1">
        <v>1</v>
      </c>
      <c r="T28" s="1">
        <v>1</v>
      </c>
      <c r="U28" s="1">
        <v>5</v>
      </c>
      <c r="V28" s="1">
        <v>5</v>
      </c>
      <c r="W28" s="1">
        <v>44</v>
      </c>
      <c r="X28" s="1">
        <v>0</v>
      </c>
      <c r="Y28" s="1">
        <v>16</v>
      </c>
      <c r="Z28" s="1">
        <v>13</v>
      </c>
      <c r="AA28" s="1">
        <v>1300000</v>
      </c>
      <c r="AB28" s="1">
        <v>3</v>
      </c>
    </row>
    <row r="29" spans="1:28" ht="12.75" customHeight="1" x14ac:dyDescent="0.15">
      <c r="A29" s="5">
        <v>110</v>
      </c>
      <c r="B29" s="5" t="s">
        <v>238</v>
      </c>
      <c r="C29" s="1">
        <v>23</v>
      </c>
      <c r="D29" s="5" t="s">
        <v>982</v>
      </c>
      <c r="E29" s="1">
        <v>5</v>
      </c>
      <c r="F29" s="5" t="s">
        <v>981</v>
      </c>
      <c r="G29" s="1">
        <v>1</v>
      </c>
      <c r="H29" s="5" t="s">
        <v>983</v>
      </c>
      <c r="I29" s="1">
        <v>0</v>
      </c>
      <c r="J29" s="5" t="s">
        <v>983</v>
      </c>
      <c r="K29" s="1">
        <v>3</v>
      </c>
      <c r="L29" s="5" t="s">
        <v>982</v>
      </c>
      <c r="M29" s="1">
        <v>3</v>
      </c>
      <c r="N29" s="5" t="s">
        <v>982</v>
      </c>
      <c r="O29" s="1">
        <v>0</v>
      </c>
      <c r="P29" s="5" t="s">
        <v>983</v>
      </c>
      <c r="Q29" s="1">
        <v>0</v>
      </c>
      <c r="R29" s="1">
        <v>0</v>
      </c>
      <c r="S29" s="1">
        <v>1</v>
      </c>
      <c r="T29" s="1">
        <v>1</v>
      </c>
      <c r="U29" s="1">
        <v>3</v>
      </c>
      <c r="V29" s="1">
        <v>3</v>
      </c>
      <c r="W29" s="1">
        <v>37</v>
      </c>
      <c r="X29" s="1">
        <v>0</v>
      </c>
      <c r="Y29" s="1">
        <v>16</v>
      </c>
      <c r="Z29" s="1">
        <v>11</v>
      </c>
      <c r="AA29" s="1">
        <v>1300000</v>
      </c>
      <c r="AB29" s="1">
        <v>4</v>
      </c>
    </row>
    <row r="30" spans="1:28" ht="12.75" customHeight="1" x14ac:dyDescent="0.15">
      <c r="A30" s="5">
        <v>40</v>
      </c>
      <c r="B30" s="5" t="s">
        <v>238</v>
      </c>
      <c r="C30" s="1">
        <v>43</v>
      </c>
      <c r="D30" s="5" t="s">
        <v>981</v>
      </c>
      <c r="E30" s="1">
        <v>8</v>
      </c>
      <c r="F30" s="5" t="s">
        <v>981</v>
      </c>
      <c r="G30" s="1">
        <v>7</v>
      </c>
      <c r="H30" s="5" t="s">
        <v>981</v>
      </c>
      <c r="I30" s="1">
        <v>8</v>
      </c>
      <c r="J30" s="5" t="s">
        <v>981</v>
      </c>
      <c r="K30" s="1">
        <v>8</v>
      </c>
      <c r="L30" s="5" t="s">
        <v>981</v>
      </c>
      <c r="M30" s="1">
        <v>4</v>
      </c>
      <c r="N30" s="5" t="s">
        <v>982</v>
      </c>
      <c r="O30" s="1">
        <v>0</v>
      </c>
      <c r="P30" s="5" t="s">
        <v>983</v>
      </c>
      <c r="Q30" s="1">
        <v>1</v>
      </c>
      <c r="R30" s="1">
        <v>0</v>
      </c>
      <c r="S30" s="1">
        <v>1</v>
      </c>
      <c r="T30" s="1">
        <v>1</v>
      </c>
      <c r="U30" s="1">
        <v>3</v>
      </c>
      <c r="V30" s="1">
        <v>2</v>
      </c>
      <c r="W30" s="1">
        <v>42</v>
      </c>
      <c r="X30" s="1">
        <v>0</v>
      </c>
      <c r="Y30" s="1">
        <v>14</v>
      </c>
      <c r="Z30" s="1">
        <v>34</v>
      </c>
      <c r="AA30" s="1">
        <v>1232000</v>
      </c>
      <c r="AB30" s="1">
        <v>3</v>
      </c>
    </row>
    <row r="31" spans="1:28" ht="12.75" customHeight="1" x14ac:dyDescent="0.15">
      <c r="A31" s="5">
        <v>248</v>
      </c>
      <c r="B31" s="5" t="s">
        <v>238</v>
      </c>
      <c r="C31" s="1">
        <v>24</v>
      </c>
      <c r="D31" s="5" t="s">
        <v>981</v>
      </c>
      <c r="E31" s="1">
        <v>3</v>
      </c>
      <c r="F31" s="5" t="s">
        <v>982</v>
      </c>
      <c r="G31" s="1">
        <v>1</v>
      </c>
      <c r="H31" s="5" t="s">
        <v>983</v>
      </c>
      <c r="I31" s="1">
        <v>6</v>
      </c>
      <c r="J31" s="5" t="s">
        <v>981</v>
      </c>
      <c r="K31" s="1">
        <v>1</v>
      </c>
      <c r="L31" s="5" t="s">
        <v>983</v>
      </c>
      <c r="M31" s="1">
        <v>3</v>
      </c>
      <c r="N31" s="5" t="s">
        <v>982</v>
      </c>
      <c r="O31" s="1">
        <v>0</v>
      </c>
      <c r="P31" s="5" t="s">
        <v>983</v>
      </c>
      <c r="Q31" s="1">
        <v>1</v>
      </c>
      <c r="R31" s="1">
        <v>0</v>
      </c>
      <c r="S31" s="1">
        <v>1</v>
      </c>
      <c r="T31" s="1">
        <v>1</v>
      </c>
      <c r="U31" s="1">
        <v>5</v>
      </c>
      <c r="V31" s="1">
        <v>5</v>
      </c>
      <c r="W31" s="1">
        <v>39</v>
      </c>
      <c r="X31" s="1">
        <v>0</v>
      </c>
      <c r="Y31" s="1">
        <v>16</v>
      </c>
      <c r="Z31" s="1">
        <v>34</v>
      </c>
      <c r="AA31" s="1">
        <v>1200000</v>
      </c>
      <c r="AB31" s="1">
        <v>4</v>
      </c>
    </row>
    <row r="32" spans="1:28" ht="12.75" customHeight="1" x14ac:dyDescent="0.15">
      <c r="A32" s="5">
        <v>414</v>
      </c>
      <c r="B32" s="5" t="s">
        <v>984</v>
      </c>
      <c r="C32" s="1">
        <v>12</v>
      </c>
      <c r="D32" s="5" t="s">
        <v>983</v>
      </c>
      <c r="E32" s="1">
        <v>0</v>
      </c>
      <c r="F32" s="5" t="s">
        <v>983</v>
      </c>
      <c r="G32" s="1">
        <v>0</v>
      </c>
      <c r="H32" s="5" t="s">
        <v>983</v>
      </c>
      <c r="I32" s="1">
        <v>16</v>
      </c>
      <c r="J32" s="5" t="s">
        <v>981</v>
      </c>
      <c r="K32" s="1">
        <v>0</v>
      </c>
      <c r="L32" s="5" t="s">
        <v>983</v>
      </c>
      <c r="M32" s="1">
        <v>0</v>
      </c>
      <c r="N32" s="5" t="s">
        <v>983</v>
      </c>
      <c r="O32" s="1">
        <v>0</v>
      </c>
      <c r="P32" s="5" t="s">
        <v>983</v>
      </c>
      <c r="Q32" s="1">
        <v>0</v>
      </c>
      <c r="R32" s="1">
        <v>0</v>
      </c>
      <c r="S32" s="1" t="s">
        <v>194</v>
      </c>
      <c r="T32" s="1">
        <v>1</v>
      </c>
      <c r="U32" s="1" t="s">
        <v>194</v>
      </c>
      <c r="V32" s="1" t="s">
        <v>194</v>
      </c>
      <c r="W32" s="1">
        <v>25</v>
      </c>
      <c r="X32" s="1">
        <v>1</v>
      </c>
      <c r="Y32" s="1">
        <v>2</v>
      </c>
      <c r="Z32" s="1">
        <v>34</v>
      </c>
      <c r="AA32" s="1">
        <v>1200000</v>
      </c>
      <c r="AB32" s="1">
        <v>1</v>
      </c>
    </row>
    <row r="33" spans="1:28" ht="12.75" customHeight="1" x14ac:dyDescent="0.15">
      <c r="A33" s="5">
        <v>73</v>
      </c>
      <c r="B33" s="5" t="s">
        <v>238</v>
      </c>
      <c r="C33" s="1">
        <v>12</v>
      </c>
      <c r="D33" s="5" t="s">
        <v>983</v>
      </c>
      <c r="E33" s="1">
        <v>2</v>
      </c>
      <c r="F33" s="5" t="s">
        <v>982</v>
      </c>
      <c r="G33" s="1">
        <v>0</v>
      </c>
      <c r="H33" s="5" t="s">
        <v>983</v>
      </c>
      <c r="I33" s="1">
        <v>4</v>
      </c>
      <c r="J33" s="5" t="s">
        <v>982</v>
      </c>
      <c r="K33" s="1">
        <v>0</v>
      </c>
      <c r="L33" s="5" t="s">
        <v>983</v>
      </c>
      <c r="M33" s="1">
        <v>0</v>
      </c>
      <c r="N33" s="5" t="s">
        <v>983</v>
      </c>
      <c r="O33" s="1">
        <v>0</v>
      </c>
      <c r="P33" s="5" t="s">
        <v>983</v>
      </c>
      <c r="Q33" s="1">
        <v>1</v>
      </c>
      <c r="R33" s="1">
        <v>0</v>
      </c>
      <c r="S33" s="1">
        <v>1</v>
      </c>
      <c r="T33" s="1">
        <v>1</v>
      </c>
      <c r="U33" s="1" t="s">
        <v>194</v>
      </c>
      <c r="V33" s="1">
        <v>2</v>
      </c>
      <c r="W33" s="1">
        <v>41</v>
      </c>
      <c r="X33" s="1">
        <v>0</v>
      </c>
      <c r="Y33" s="1">
        <v>18</v>
      </c>
      <c r="Z33" s="1">
        <v>31</v>
      </c>
      <c r="AA33" s="1">
        <v>1200000</v>
      </c>
      <c r="AB33" s="1">
        <v>2</v>
      </c>
    </row>
    <row r="34" spans="1:28" ht="12.75" customHeight="1" x14ac:dyDescent="0.15">
      <c r="A34" s="5">
        <v>337</v>
      </c>
      <c r="B34" s="5" t="s">
        <v>984</v>
      </c>
      <c r="C34" s="1">
        <v>30</v>
      </c>
      <c r="D34" s="5" t="s">
        <v>981</v>
      </c>
      <c r="E34" s="1">
        <v>3</v>
      </c>
      <c r="F34" s="5" t="s">
        <v>982</v>
      </c>
      <c r="G34" s="1">
        <v>10</v>
      </c>
      <c r="H34" s="5" t="s">
        <v>981</v>
      </c>
      <c r="I34" s="1">
        <v>2</v>
      </c>
      <c r="J34" s="5" t="s">
        <v>982</v>
      </c>
      <c r="K34" s="1">
        <v>0</v>
      </c>
      <c r="L34" s="5" t="s">
        <v>983</v>
      </c>
      <c r="M34" s="1">
        <v>7</v>
      </c>
      <c r="N34" s="5" t="s">
        <v>981</v>
      </c>
      <c r="O34" s="1">
        <v>2</v>
      </c>
      <c r="P34" s="5" t="s">
        <v>982</v>
      </c>
      <c r="Q34" s="1">
        <v>0</v>
      </c>
      <c r="R34" s="1">
        <v>0</v>
      </c>
      <c r="S34" s="1" t="s">
        <v>194</v>
      </c>
      <c r="T34" s="1">
        <v>1</v>
      </c>
      <c r="U34" s="1">
        <v>5</v>
      </c>
      <c r="V34" s="1">
        <v>2</v>
      </c>
      <c r="W34" s="1">
        <v>60</v>
      </c>
      <c r="X34" s="1">
        <v>1</v>
      </c>
      <c r="Y34" s="1">
        <v>17</v>
      </c>
      <c r="Z34" s="1">
        <v>16</v>
      </c>
      <c r="AA34" s="1">
        <v>1200000</v>
      </c>
      <c r="AB34" s="1">
        <v>2</v>
      </c>
    </row>
    <row r="35" spans="1:28" ht="12.75" customHeight="1" x14ac:dyDescent="0.15">
      <c r="A35" s="5">
        <v>336</v>
      </c>
      <c r="B35" s="5" t="s">
        <v>238</v>
      </c>
      <c r="C35" s="1">
        <v>33</v>
      </c>
      <c r="D35" s="5" t="s">
        <v>981</v>
      </c>
      <c r="E35" s="1">
        <v>4</v>
      </c>
      <c r="F35" s="5" t="s">
        <v>982</v>
      </c>
      <c r="G35" s="1">
        <v>4</v>
      </c>
      <c r="H35" s="5" t="s">
        <v>982</v>
      </c>
      <c r="I35" s="1">
        <v>10</v>
      </c>
      <c r="J35" s="5" t="s">
        <v>981</v>
      </c>
      <c r="K35" s="1">
        <v>1</v>
      </c>
      <c r="L35" s="5" t="s">
        <v>983</v>
      </c>
      <c r="M35" s="1">
        <v>4</v>
      </c>
      <c r="N35" s="5" t="s">
        <v>982</v>
      </c>
      <c r="O35" s="1">
        <v>0</v>
      </c>
      <c r="P35" s="5" t="s">
        <v>983</v>
      </c>
      <c r="Q35" s="1">
        <v>1</v>
      </c>
      <c r="R35" s="1">
        <v>0</v>
      </c>
      <c r="S35" s="1">
        <v>1</v>
      </c>
      <c r="T35" s="1">
        <v>1</v>
      </c>
      <c r="U35" s="1" t="s">
        <v>194</v>
      </c>
      <c r="V35" s="1">
        <v>4</v>
      </c>
      <c r="W35" s="1">
        <v>35</v>
      </c>
      <c r="X35" s="1">
        <v>1</v>
      </c>
      <c r="Y35" s="1">
        <v>88</v>
      </c>
      <c r="Z35" s="1">
        <v>2</v>
      </c>
      <c r="AA35" s="1">
        <v>1200000</v>
      </c>
      <c r="AB35" s="1">
        <v>4</v>
      </c>
    </row>
    <row r="36" spans="1:28" ht="12.75" customHeight="1" x14ac:dyDescent="0.15">
      <c r="A36" s="5">
        <v>44</v>
      </c>
      <c r="B36" s="5" t="s">
        <v>238</v>
      </c>
      <c r="C36" s="1">
        <v>28</v>
      </c>
      <c r="D36" s="5" t="s">
        <v>981</v>
      </c>
      <c r="E36" s="1">
        <v>3</v>
      </c>
      <c r="F36" s="5" t="s">
        <v>982</v>
      </c>
      <c r="G36" s="1">
        <v>4</v>
      </c>
      <c r="H36" s="5" t="s">
        <v>982</v>
      </c>
      <c r="I36" s="1">
        <v>16</v>
      </c>
      <c r="J36" s="5" t="s">
        <v>981</v>
      </c>
      <c r="K36" s="1">
        <v>4</v>
      </c>
      <c r="L36" s="5" t="s">
        <v>982</v>
      </c>
      <c r="M36" s="1">
        <v>1</v>
      </c>
      <c r="N36" s="5" t="s">
        <v>983</v>
      </c>
      <c r="O36" s="1">
        <v>0</v>
      </c>
      <c r="P36" s="5" t="s">
        <v>983</v>
      </c>
      <c r="Q36" s="1">
        <v>1</v>
      </c>
      <c r="R36" s="1">
        <v>0</v>
      </c>
      <c r="S36" s="1">
        <v>1</v>
      </c>
      <c r="T36" s="1">
        <v>1</v>
      </c>
      <c r="U36" s="1">
        <v>5</v>
      </c>
      <c r="V36" s="1">
        <v>5</v>
      </c>
      <c r="W36" s="1">
        <v>35</v>
      </c>
      <c r="X36" s="1">
        <v>1</v>
      </c>
      <c r="Y36" s="1">
        <v>12</v>
      </c>
      <c r="Z36" s="1">
        <v>24</v>
      </c>
      <c r="AA36" s="1">
        <v>1150000</v>
      </c>
      <c r="AB36" s="1">
        <v>1</v>
      </c>
    </row>
    <row r="37" spans="1:28" ht="12.75" customHeight="1" x14ac:dyDescent="0.15">
      <c r="A37" s="5">
        <v>176</v>
      </c>
      <c r="B37" s="5" t="s">
        <v>238</v>
      </c>
      <c r="C37" s="1">
        <v>35</v>
      </c>
      <c r="D37" s="5" t="s">
        <v>981</v>
      </c>
      <c r="E37" s="1">
        <v>6</v>
      </c>
      <c r="F37" s="5" t="s">
        <v>981</v>
      </c>
      <c r="G37" s="1">
        <v>5</v>
      </c>
      <c r="H37" s="5" t="s">
        <v>982</v>
      </c>
      <c r="I37" s="1">
        <v>2</v>
      </c>
      <c r="J37" s="5" t="s">
        <v>982</v>
      </c>
      <c r="K37" s="1">
        <v>10</v>
      </c>
      <c r="L37" s="5" t="s">
        <v>981</v>
      </c>
      <c r="M37" s="1">
        <v>6</v>
      </c>
      <c r="N37" s="5" t="s">
        <v>981</v>
      </c>
      <c r="O37" s="1">
        <v>2</v>
      </c>
      <c r="P37" s="5" t="s">
        <v>982</v>
      </c>
      <c r="Q37" s="1">
        <v>1</v>
      </c>
      <c r="R37" s="1">
        <v>0</v>
      </c>
      <c r="S37" s="1" t="s">
        <v>194</v>
      </c>
      <c r="T37" s="1">
        <v>1</v>
      </c>
      <c r="U37" s="1">
        <v>3</v>
      </c>
      <c r="V37" s="1">
        <v>5</v>
      </c>
      <c r="W37" s="1">
        <v>53</v>
      </c>
      <c r="X37" s="1">
        <v>1</v>
      </c>
      <c r="Y37" s="1">
        <v>14</v>
      </c>
      <c r="Z37" s="1">
        <v>3</v>
      </c>
      <c r="AA37" s="1">
        <v>1100000</v>
      </c>
      <c r="AB37" s="1">
        <v>2</v>
      </c>
    </row>
    <row r="38" spans="1:28" ht="12.75" customHeight="1" x14ac:dyDescent="0.15">
      <c r="A38" s="5">
        <v>101</v>
      </c>
      <c r="B38" s="5" t="s">
        <v>238</v>
      </c>
      <c r="C38" s="1">
        <v>27</v>
      </c>
      <c r="D38" s="5" t="s">
        <v>981</v>
      </c>
      <c r="E38" s="1">
        <v>4</v>
      </c>
      <c r="F38" s="5" t="s">
        <v>982</v>
      </c>
      <c r="G38" s="1">
        <v>6</v>
      </c>
      <c r="H38" s="5" t="s">
        <v>981</v>
      </c>
      <c r="I38" s="1">
        <v>6</v>
      </c>
      <c r="J38" s="5" t="s">
        <v>981</v>
      </c>
      <c r="K38" s="1">
        <v>6</v>
      </c>
      <c r="L38" s="5" t="s">
        <v>981</v>
      </c>
      <c r="M38" s="1">
        <v>12</v>
      </c>
      <c r="N38" s="5" t="s">
        <v>981</v>
      </c>
      <c r="O38" s="1">
        <v>1</v>
      </c>
      <c r="P38" s="5" t="s">
        <v>982</v>
      </c>
      <c r="Q38" s="1">
        <v>1</v>
      </c>
      <c r="R38" s="1">
        <v>0</v>
      </c>
      <c r="S38" s="1" t="s">
        <v>194</v>
      </c>
      <c r="T38" s="1">
        <v>1</v>
      </c>
      <c r="U38" s="1">
        <v>3</v>
      </c>
      <c r="V38" s="1">
        <v>2</v>
      </c>
      <c r="W38" s="1">
        <v>39</v>
      </c>
      <c r="X38" s="1">
        <v>1</v>
      </c>
      <c r="Y38" s="1">
        <v>15</v>
      </c>
      <c r="Z38" s="1">
        <v>5</v>
      </c>
      <c r="AA38" s="1">
        <v>1030000</v>
      </c>
      <c r="AB38" s="1">
        <v>3</v>
      </c>
    </row>
    <row r="39" spans="1:28" ht="12.75" customHeight="1" x14ac:dyDescent="0.15">
      <c r="A39" s="5">
        <v>309</v>
      </c>
      <c r="B39" s="5" t="s">
        <v>238</v>
      </c>
      <c r="C39" s="1">
        <v>26</v>
      </c>
      <c r="D39" s="5" t="s">
        <v>981</v>
      </c>
      <c r="E39" s="1">
        <v>7</v>
      </c>
      <c r="F39" s="5" t="s">
        <v>981</v>
      </c>
      <c r="G39" s="1">
        <v>3</v>
      </c>
      <c r="H39" s="5" t="s">
        <v>982</v>
      </c>
      <c r="I39" s="1">
        <v>5</v>
      </c>
      <c r="J39" s="5" t="s">
        <v>981</v>
      </c>
      <c r="K39" s="1">
        <v>3</v>
      </c>
      <c r="L39" s="5" t="s">
        <v>982</v>
      </c>
      <c r="M39" s="1">
        <v>2</v>
      </c>
      <c r="N39" s="5" t="s">
        <v>983</v>
      </c>
      <c r="O39" s="1">
        <v>0</v>
      </c>
      <c r="P39" s="5" t="s">
        <v>983</v>
      </c>
      <c r="Q39" s="1">
        <v>1</v>
      </c>
      <c r="R39" s="1">
        <v>1</v>
      </c>
      <c r="S39" s="1" t="s">
        <v>194</v>
      </c>
      <c r="T39" s="1">
        <v>1</v>
      </c>
      <c r="U39" s="1">
        <v>5</v>
      </c>
      <c r="V39" s="1">
        <v>5</v>
      </c>
      <c r="W39" s="1">
        <v>38</v>
      </c>
      <c r="X39" s="1">
        <v>0</v>
      </c>
      <c r="Y39" s="1">
        <v>18</v>
      </c>
      <c r="Z39" s="1">
        <v>34</v>
      </c>
      <c r="AA39" s="1">
        <v>1000000</v>
      </c>
      <c r="AB39" s="1">
        <v>4</v>
      </c>
    </row>
    <row r="40" spans="1:28" ht="12.75" customHeight="1" x14ac:dyDescent="0.15">
      <c r="A40" s="5">
        <v>283</v>
      </c>
      <c r="B40" s="5" t="s">
        <v>238</v>
      </c>
      <c r="C40" s="1">
        <v>36</v>
      </c>
      <c r="D40" s="5" t="s">
        <v>981</v>
      </c>
      <c r="E40" s="1">
        <v>9</v>
      </c>
      <c r="F40" s="5" t="s">
        <v>981</v>
      </c>
      <c r="G40" s="1">
        <v>8</v>
      </c>
      <c r="H40" s="5" t="s">
        <v>981</v>
      </c>
      <c r="I40" s="1">
        <v>7</v>
      </c>
      <c r="J40" s="5" t="s">
        <v>981</v>
      </c>
      <c r="K40" s="1">
        <v>4</v>
      </c>
      <c r="L40" s="5" t="s">
        <v>982</v>
      </c>
      <c r="M40" s="1">
        <v>4</v>
      </c>
      <c r="N40" s="5" t="s">
        <v>982</v>
      </c>
      <c r="O40" s="1">
        <v>1</v>
      </c>
      <c r="P40" s="5" t="s">
        <v>982</v>
      </c>
      <c r="Q40" s="1">
        <v>1</v>
      </c>
      <c r="R40" s="1">
        <v>0</v>
      </c>
      <c r="S40" s="1" t="s">
        <v>194</v>
      </c>
      <c r="T40" s="1">
        <v>1</v>
      </c>
      <c r="U40" s="1">
        <v>4</v>
      </c>
      <c r="V40" s="1">
        <v>5</v>
      </c>
      <c r="W40" s="1">
        <v>29</v>
      </c>
      <c r="X40" s="1">
        <v>0</v>
      </c>
      <c r="Y40" s="1">
        <v>6</v>
      </c>
      <c r="Z40" s="1">
        <v>34</v>
      </c>
      <c r="AA40" s="1">
        <v>1000000</v>
      </c>
      <c r="AB40" s="1">
        <v>4</v>
      </c>
    </row>
    <row r="41" spans="1:28" ht="12.75" customHeight="1" x14ac:dyDescent="0.15">
      <c r="A41" s="5">
        <v>177</v>
      </c>
      <c r="B41" s="5" t="s">
        <v>238</v>
      </c>
      <c r="C41" s="1">
        <v>15</v>
      </c>
      <c r="D41" s="5" t="s">
        <v>983</v>
      </c>
      <c r="E41" s="1">
        <v>3</v>
      </c>
      <c r="F41" s="5" t="s">
        <v>982</v>
      </c>
      <c r="G41" s="1">
        <v>1</v>
      </c>
      <c r="H41" s="5" t="s">
        <v>983</v>
      </c>
      <c r="I41" s="1">
        <v>15</v>
      </c>
      <c r="J41" s="5" t="s">
        <v>981</v>
      </c>
      <c r="K41" s="1">
        <v>0</v>
      </c>
      <c r="L41" s="5" t="s">
        <v>983</v>
      </c>
      <c r="M41" s="1">
        <v>0</v>
      </c>
      <c r="N41" s="5" t="s">
        <v>983</v>
      </c>
      <c r="O41" s="1">
        <v>0</v>
      </c>
      <c r="P41" s="5" t="s">
        <v>983</v>
      </c>
      <c r="Q41" s="1">
        <v>1</v>
      </c>
      <c r="R41" s="1">
        <v>0</v>
      </c>
      <c r="S41" s="1" t="s">
        <v>194</v>
      </c>
      <c r="T41" s="1">
        <v>1</v>
      </c>
      <c r="U41" s="1">
        <v>4</v>
      </c>
      <c r="V41" s="1">
        <v>3</v>
      </c>
      <c r="W41" s="1">
        <v>42</v>
      </c>
      <c r="X41" s="1">
        <v>1</v>
      </c>
      <c r="Y41" s="1">
        <v>15</v>
      </c>
      <c r="Z41" s="1">
        <v>29</v>
      </c>
      <c r="AA41" s="1">
        <v>1000000</v>
      </c>
      <c r="AB41" s="1">
        <v>1</v>
      </c>
    </row>
    <row r="42" spans="1:28" ht="12.75" customHeight="1" x14ac:dyDescent="0.15">
      <c r="A42" s="5">
        <v>418</v>
      </c>
      <c r="B42" s="5" t="s">
        <v>238</v>
      </c>
      <c r="C42" s="1">
        <v>34</v>
      </c>
      <c r="D42" s="5" t="s">
        <v>981</v>
      </c>
      <c r="E42" s="1">
        <v>0</v>
      </c>
      <c r="F42" s="5" t="s">
        <v>983</v>
      </c>
      <c r="G42" s="1">
        <v>12</v>
      </c>
      <c r="H42" s="5" t="s">
        <v>981</v>
      </c>
      <c r="I42" s="1">
        <v>16</v>
      </c>
      <c r="J42" s="5" t="s">
        <v>981</v>
      </c>
      <c r="K42" s="1">
        <v>12</v>
      </c>
      <c r="L42" s="5" t="s">
        <v>981</v>
      </c>
      <c r="M42" s="1">
        <v>8</v>
      </c>
      <c r="N42" s="5" t="s">
        <v>981</v>
      </c>
      <c r="O42" s="1">
        <v>1</v>
      </c>
      <c r="P42" s="5" t="s">
        <v>982</v>
      </c>
      <c r="Q42" s="1">
        <v>1</v>
      </c>
      <c r="R42" s="1">
        <v>0</v>
      </c>
      <c r="S42" s="1" t="s">
        <v>194</v>
      </c>
      <c r="T42" s="1">
        <v>1</v>
      </c>
      <c r="U42" s="1" t="s">
        <v>194</v>
      </c>
      <c r="V42" s="1">
        <v>5</v>
      </c>
      <c r="W42" s="1">
        <v>59</v>
      </c>
      <c r="X42" s="1">
        <v>1</v>
      </c>
      <c r="Y42" s="1">
        <v>10</v>
      </c>
      <c r="Z42" s="1">
        <v>24</v>
      </c>
      <c r="AA42" s="1">
        <v>1000000</v>
      </c>
      <c r="AB42" s="1">
        <v>1</v>
      </c>
    </row>
    <row r="43" spans="1:28" ht="12.75" customHeight="1" x14ac:dyDescent="0.15">
      <c r="A43" s="5">
        <v>119</v>
      </c>
      <c r="B43" s="5" t="s">
        <v>238</v>
      </c>
      <c r="C43" s="1">
        <v>37</v>
      </c>
      <c r="D43" s="5" t="s">
        <v>981</v>
      </c>
      <c r="E43" s="1">
        <v>7</v>
      </c>
      <c r="F43" s="5" t="s">
        <v>981</v>
      </c>
      <c r="G43" s="1">
        <v>5</v>
      </c>
      <c r="H43" s="5" t="s">
        <v>982</v>
      </c>
      <c r="I43" s="1">
        <v>11</v>
      </c>
      <c r="J43" s="5" t="s">
        <v>981</v>
      </c>
      <c r="K43" s="1">
        <v>0</v>
      </c>
      <c r="L43" s="5" t="s">
        <v>983</v>
      </c>
      <c r="M43" s="1">
        <v>0</v>
      </c>
      <c r="N43" s="5" t="s">
        <v>983</v>
      </c>
      <c r="O43" s="1">
        <v>3</v>
      </c>
      <c r="P43" s="5" t="s">
        <v>982</v>
      </c>
      <c r="Q43" s="1">
        <v>1</v>
      </c>
      <c r="R43" s="1">
        <v>0</v>
      </c>
      <c r="S43" s="1">
        <v>1</v>
      </c>
      <c r="T43" s="1">
        <v>1</v>
      </c>
      <c r="U43" s="1">
        <v>5</v>
      </c>
      <c r="V43" s="1">
        <v>5</v>
      </c>
      <c r="W43" s="1">
        <v>45</v>
      </c>
      <c r="X43" s="1">
        <v>1</v>
      </c>
      <c r="Y43" s="1">
        <v>14</v>
      </c>
      <c r="Z43" s="1">
        <v>3</v>
      </c>
      <c r="AA43" s="1">
        <v>1000000</v>
      </c>
      <c r="AB43" s="1">
        <v>3</v>
      </c>
    </row>
    <row r="44" spans="1:28" ht="12.75" customHeight="1" x14ac:dyDescent="0.15">
      <c r="A44" s="5">
        <v>434</v>
      </c>
      <c r="B44" s="5" t="s">
        <v>238</v>
      </c>
      <c r="C44" s="1">
        <v>25</v>
      </c>
      <c r="D44" s="5" t="s">
        <v>981</v>
      </c>
      <c r="E44" s="1">
        <v>6</v>
      </c>
      <c r="F44" s="5" t="s">
        <v>981</v>
      </c>
      <c r="G44" s="1">
        <v>6</v>
      </c>
      <c r="H44" s="5" t="s">
        <v>981</v>
      </c>
      <c r="I44" s="1">
        <v>8</v>
      </c>
      <c r="J44" s="5" t="s">
        <v>981</v>
      </c>
      <c r="K44" s="1">
        <v>6</v>
      </c>
      <c r="L44" s="5" t="s">
        <v>981</v>
      </c>
      <c r="M44" s="1">
        <v>6</v>
      </c>
      <c r="N44" s="5" t="s">
        <v>981</v>
      </c>
      <c r="O44" s="1">
        <v>0</v>
      </c>
      <c r="P44" s="5" t="s">
        <v>983</v>
      </c>
      <c r="Q44" s="1">
        <v>0</v>
      </c>
      <c r="R44" s="1">
        <v>0</v>
      </c>
      <c r="S44" s="1" t="s">
        <v>194</v>
      </c>
      <c r="T44" s="1">
        <v>1</v>
      </c>
      <c r="U44" s="1">
        <v>3</v>
      </c>
      <c r="V44" s="1">
        <v>2</v>
      </c>
      <c r="W44" s="1">
        <v>44</v>
      </c>
      <c r="X44" s="1">
        <v>0</v>
      </c>
      <c r="Y44" s="1">
        <v>6</v>
      </c>
      <c r="Z44" s="1">
        <v>2</v>
      </c>
      <c r="AA44" s="1">
        <v>1000000</v>
      </c>
      <c r="AB44" s="1">
        <v>2</v>
      </c>
    </row>
    <row r="45" spans="1:28" ht="12.75" customHeight="1" x14ac:dyDescent="0.15">
      <c r="A45" s="5">
        <v>259</v>
      </c>
      <c r="B45" s="5" t="s">
        <v>238</v>
      </c>
      <c r="C45" s="1">
        <v>31</v>
      </c>
      <c r="D45" s="5" t="s">
        <v>981</v>
      </c>
      <c r="E45" s="1">
        <v>7</v>
      </c>
      <c r="F45" s="5" t="s">
        <v>981</v>
      </c>
      <c r="G45" s="1">
        <v>6</v>
      </c>
      <c r="H45" s="5" t="s">
        <v>981</v>
      </c>
      <c r="I45" s="1">
        <v>7</v>
      </c>
      <c r="J45" s="5" t="s">
        <v>981</v>
      </c>
      <c r="K45" s="1">
        <v>2</v>
      </c>
      <c r="L45" s="5" t="s">
        <v>983</v>
      </c>
      <c r="M45" s="1">
        <v>6</v>
      </c>
      <c r="N45" s="5" t="s">
        <v>981</v>
      </c>
      <c r="O45" s="1">
        <v>0</v>
      </c>
      <c r="P45" s="5" t="s">
        <v>983</v>
      </c>
      <c r="Q45" s="1">
        <v>0</v>
      </c>
      <c r="R45" s="1">
        <v>0</v>
      </c>
      <c r="S45" s="1" t="s">
        <v>194</v>
      </c>
      <c r="T45" s="1">
        <v>1</v>
      </c>
      <c r="U45" s="1" t="s">
        <v>194</v>
      </c>
      <c r="V45" s="1">
        <v>2</v>
      </c>
      <c r="W45" s="1">
        <v>39</v>
      </c>
      <c r="X45" s="1">
        <v>1</v>
      </c>
      <c r="Y45" s="1">
        <v>18</v>
      </c>
      <c r="Z45" s="1">
        <v>18</v>
      </c>
      <c r="AA45" s="1">
        <v>950000</v>
      </c>
      <c r="AB45" s="1">
        <v>1</v>
      </c>
    </row>
    <row r="46" spans="1:28" ht="12.75" customHeight="1" x14ac:dyDescent="0.15">
      <c r="A46" s="5">
        <v>453</v>
      </c>
      <c r="B46" s="5" t="s">
        <v>984</v>
      </c>
      <c r="C46" s="1">
        <v>41</v>
      </c>
      <c r="D46" s="5" t="s">
        <v>981</v>
      </c>
      <c r="E46" s="1">
        <v>2</v>
      </c>
      <c r="F46" s="5" t="s">
        <v>982</v>
      </c>
      <c r="G46" s="1">
        <v>6</v>
      </c>
      <c r="H46" s="5" t="s">
        <v>981</v>
      </c>
      <c r="I46" s="1">
        <v>11</v>
      </c>
      <c r="J46" s="5" t="s">
        <v>981</v>
      </c>
      <c r="K46" s="1">
        <v>8</v>
      </c>
      <c r="L46" s="5" t="s">
        <v>981</v>
      </c>
      <c r="M46" s="1">
        <v>8</v>
      </c>
      <c r="N46" s="5" t="s">
        <v>981</v>
      </c>
      <c r="O46" s="1">
        <v>3</v>
      </c>
      <c r="P46" s="5" t="s">
        <v>982</v>
      </c>
      <c r="Q46" s="1">
        <v>1</v>
      </c>
      <c r="R46" s="1">
        <v>0</v>
      </c>
      <c r="S46" s="1">
        <v>1</v>
      </c>
      <c r="T46" s="1">
        <v>1</v>
      </c>
      <c r="U46" s="1">
        <v>3</v>
      </c>
      <c r="V46" s="1">
        <v>3</v>
      </c>
      <c r="W46" s="1">
        <v>39</v>
      </c>
      <c r="X46" s="1">
        <v>0</v>
      </c>
      <c r="Y46" s="1">
        <v>2</v>
      </c>
      <c r="Z46" s="1">
        <v>34</v>
      </c>
      <c r="AA46" s="1">
        <v>900000</v>
      </c>
      <c r="AB46" s="1">
        <v>1</v>
      </c>
    </row>
    <row r="47" spans="1:28" ht="12.75" customHeight="1" x14ac:dyDescent="0.15">
      <c r="A47" s="5">
        <v>408</v>
      </c>
      <c r="B47" s="5" t="s">
        <v>238</v>
      </c>
      <c r="C47" s="1">
        <v>22</v>
      </c>
      <c r="D47" s="5" t="s">
        <v>982</v>
      </c>
      <c r="E47" s="1">
        <v>5</v>
      </c>
      <c r="F47" s="5" t="s">
        <v>981</v>
      </c>
      <c r="G47" s="1">
        <v>3</v>
      </c>
      <c r="H47" s="5" t="s">
        <v>982</v>
      </c>
      <c r="I47" s="1">
        <v>4</v>
      </c>
      <c r="J47" s="5" t="s">
        <v>982</v>
      </c>
      <c r="K47" s="1">
        <v>7</v>
      </c>
      <c r="L47" s="5" t="s">
        <v>981</v>
      </c>
      <c r="M47" s="1">
        <v>4</v>
      </c>
      <c r="N47" s="5" t="s">
        <v>982</v>
      </c>
      <c r="O47" s="1">
        <v>1</v>
      </c>
      <c r="P47" s="5" t="s">
        <v>982</v>
      </c>
      <c r="Q47" s="1">
        <v>1</v>
      </c>
      <c r="R47" s="1">
        <v>0</v>
      </c>
      <c r="S47" s="1">
        <v>1</v>
      </c>
      <c r="T47" s="1">
        <v>1</v>
      </c>
      <c r="U47" s="1">
        <v>4</v>
      </c>
      <c r="V47" s="1">
        <v>2</v>
      </c>
      <c r="W47" s="1">
        <v>50</v>
      </c>
      <c r="X47" s="1">
        <v>0</v>
      </c>
      <c r="Y47" s="1">
        <v>18</v>
      </c>
      <c r="Z47" s="1">
        <v>27</v>
      </c>
      <c r="AA47" s="1">
        <v>900000</v>
      </c>
      <c r="AB47" s="1">
        <v>2</v>
      </c>
    </row>
    <row r="48" spans="1:28" ht="12.75" customHeight="1" x14ac:dyDescent="0.15">
      <c r="A48" s="5">
        <v>137</v>
      </c>
      <c r="B48" s="5" t="s">
        <v>238</v>
      </c>
      <c r="C48" s="1">
        <v>39</v>
      </c>
      <c r="D48" s="5" t="s">
        <v>981</v>
      </c>
      <c r="E48" s="1">
        <v>0</v>
      </c>
      <c r="F48" s="5" t="s">
        <v>983</v>
      </c>
      <c r="G48" s="1">
        <v>0</v>
      </c>
      <c r="H48" s="5" t="s">
        <v>983</v>
      </c>
      <c r="I48" s="1">
        <v>16</v>
      </c>
      <c r="J48" s="5" t="s">
        <v>981</v>
      </c>
      <c r="K48" s="1">
        <v>0</v>
      </c>
      <c r="L48" s="5" t="s">
        <v>983</v>
      </c>
      <c r="M48" s="1">
        <v>0</v>
      </c>
      <c r="N48" s="5" t="s">
        <v>983</v>
      </c>
      <c r="O48" s="1">
        <v>0</v>
      </c>
      <c r="P48" s="5" t="s">
        <v>983</v>
      </c>
      <c r="Q48" s="1">
        <v>0</v>
      </c>
      <c r="R48" s="1">
        <v>0</v>
      </c>
      <c r="S48" s="1">
        <v>1</v>
      </c>
      <c r="T48" s="1">
        <v>1</v>
      </c>
      <c r="U48" s="1">
        <v>3</v>
      </c>
      <c r="V48" s="1">
        <v>5</v>
      </c>
      <c r="W48" s="1">
        <v>27</v>
      </c>
      <c r="X48" s="1">
        <v>1</v>
      </c>
      <c r="Y48" s="1">
        <v>18</v>
      </c>
      <c r="Z48" s="1">
        <v>24</v>
      </c>
      <c r="AA48" s="1">
        <v>900000</v>
      </c>
      <c r="AB48" s="1">
        <v>4</v>
      </c>
    </row>
    <row r="49" spans="1:28" ht="12.75" customHeight="1" x14ac:dyDescent="0.15">
      <c r="A49" s="5">
        <v>9</v>
      </c>
      <c r="B49" s="5" t="s">
        <v>238</v>
      </c>
      <c r="C49" s="1">
        <v>23</v>
      </c>
      <c r="D49" s="5" t="s">
        <v>982</v>
      </c>
      <c r="E49" s="1">
        <v>4</v>
      </c>
      <c r="F49" s="5" t="s">
        <v>982</v>
      </c>
      <c r="G49" s="1">
        <v>4</v>
      </c>
      <c r="H49" s="5" t="s">
        <v>982</v>
      </c>
      <c r="I49" s="1">
        <v>6</v>
      </c>
      <c r="J49" s="5" t="s">
        <v>981</v>
      </c>
      <c r="K49" s="1">
        <v>0</v>
      </c>
      <c r="L49" s="5" t="s">
        <v>983</v>
      </c>
      <c r="M49" s="1">
        <v>5</v>
      </c>
      <c r="N49" s="5" t="s">
        <v>982</v>
      </c>
      <c r="O49" s="1">
        <v>0</v>
      </c>
      <c r="P49" s="5" t="s">
        <v>983</v>
      </c>
      <c r="Q49" s="1">
        <v>0</v>
      </c>
      <c r="R49" s="1">
        <v>0</v>
      </c>
      <c r="S49" s="1">
        <v>0</v>
      </c>
      <c r="T49" s="1">
        <v>1</v>
      </c>
      <c r="U49" s="1">
        <v>4</v>
      </c>
      <c r="V49" s="1">
        <v>3</v>
      </c>
      <c r="W49" s="1">
        <v>47</v>
      </c>
      <c r="X49" s="1">
        <v>0</v>
      </c>
      <c r="Y49" s="1">
        <v>14</v>
      </c>
      <c r="Z49" s="1">
        <v>24</v>
      </c>
      <c r="AA49" s="1">
        <v>900000</v>
      </c>
      <c r="AB49" s="1">
        <v>5</v>
      </c>
    </row>
    <row r="50" spans="1:28" ht="12.75" customHeight="1" x14ac:dyDescent="0.15">
      <c r="A50" s="5">
        <v>164</v>
      </c>
      <c r="B50" s="5" t="s">
        <v>238</v>
      </c>
      <c r="C50" s="1">
        <v>29</v>
      </c>
      <c r="D50" s="5" t="s">
        <v>981</v>
      </c>
      <c r="E50" s="1">
        <v>4</v>
      </c>
      <c r="F50" s="5" t="s">
        <v>982</v>
      </c>
      <c r="G50" s="1">
        <v>0</v>
      </c>
      <c r="H50" s="5" t="s">
        <v>983</v>
      </c>
      <c r="I50" s="1">
        <v>16</v>
      </c>
      <c r="J50" s="5" t="s">
        <v>981</v>
      </c>
      <c r="K50" s="1">
        <v>0</v>
      </c>
      <c r="L50" s="5" t="s">
        <v>983</v>
      </c>
      <c r="M50" s="1">
        <v>0</v>
      </c>
      <c r="N50" s="5" t="s">
        <v>983</v>
      </c>
      <c r="O50" s="1">
        <v>0</v>
      </c>
      <c r="P50" s="5" t="s">
        <v>983</v>
      </c>
      <c r="Q50" s="1">
        <v>0</v>
      </c>
      <c r="R50" s="1">
        <v>0</v>
      </c>
      <c r="S50" s="1" t="s">
        <v>194</v>
      </c>
      <c r="T50" s="1">
        <v>1</v>
      </c>
      <c r="U50" s="1">
        <v>3</v>
      </c>
      <c r="V50" s="1">
        <v>3</v>
      </c>
      <c r="W50" s="1">
        <v>45</v>
      </c>
      <c r="X50" s="1">
        <v>1</v>
      </c>
      <c r="Y50" s="1">
        <v>18</v>
      </c>
      <c r="Z50" s="1">
        <v>21</v>
      </c>
      <c r="AA50" s="1">
        <v>900000</v>
      </c>
      <c r="AB50" s="1">
        <v>1</v>
      </c>
    </row>
    <row r="51" spans="1:28" ht="12.75" customHeight="1" x14ac:dyDescent="0.15">
      <c r="A51" s="5">
        <v>206</v>
      </c>
      <c r="B51" s="5" t="s">
        <v>238</v>
      </c>
      <c r="C51" s="1">
        <v>20</v>
      </c>
      <c r="D51" s="5" t="s">
        <v>982</v>
      </c>
      <c r="E51" s="1">
        <v>2</v>
      </c>
      <c r="F51" s="5" t="s">
        <v>982</v>
      </c>
      <c r="G51" s="1">
        <v>3</v>
      </c>
      <c r="H51" s="5" t="s">
        <v>982</v>
      </c>
      <c r="I51" s="1">
        <v>3</v>
      </c>
      <c r="J51" s="5" t="s">
        <v>982</v>
      </c>
      <c r="K51" s="1">
        <v>2</v>
      </c>
      <c r="L51" s="5" t="s">
        <v>983</v>
      </c>
      <c r="M51" s="1">
        <v>1</v>
      </c>
      <c r="N51" s="5" t="s">
        <v>983</v>
      </c>
      <c r="O51" s="1">
        <v>0</v>
      </c>
      <c r="P51" s="5" t="s">
        <v>983</v>
      </c>
      <c r="Q51" s="1">
        <v>1</v>
      </c>
      <c r="R51" s="1">
        <v>0</v>
      </c>
      <c r="S51" s="1">
        <v>1</v>
      </c>
      <c r="T51" s="1">
        <v>1</v>
      </c>
      <c r="U51" s="1">
        <v>1</v>
      </c>
      <c r="V51" s="1">
        <v>1</v>
      </c>
      <c r="W51" s="1">
        <v>44</v>
      </c>
      <c r="X51" s="1">
        <v>1</v>
      </c>
      <c r="Y51" s="1">
        <v>15</v>
      </c>
      <c r="Z51" s="1">
        <v>9</v>
      </c>
      <c r="AA51" s="1">
        <v>900000</v>
      </c>
      <c r="AB51" s="1">
        <v>3</v>
      </c>
    </row>
    <row r="52" spans="1:28" ht="12.75" customHeight="1" x14ac:dyDescent="0.15">
      <c r="A52" s="5">
        <v>323</v>
      </c>
      <c r="B52" s="5" t="s">
        <v>984</v>
      </c>
      <c r="C52" s="1">
        <v>20</v>
      </c>
      <c r="D52" s="5" t="s">
        <v>982</v>
      </c>
      <c r="E52" s="1">
        <v>4</v>
      </c>
      <c r="F52" s="5" t="s">
        <v>982</v>
      </c>
      <c r="G52" s="1">
        <v>0</v>
      </c>
      <c r="H52" s="5" t="s">
        <v>983</v>
      </c>
      <c r="I52" s="1">
        <v>8</v>
      </c>
      <c r="J52" s="5" t="s">
        <v>981</v>
      </c>
      <c r="K52" s="1">
        <v>3</v>
      </c>
      <c r="L52" s="5" t="s">
        <v>982</v>
      </c>
      <c r="M52" s="1">
        <v>1</v>
      </c>
      <c r="N52" s="5" t="s">
        <v>983</v>
      </c>
      <c r="O52" s="1">
        <v>0</v>
      </c>
      <c r="P52" s="5" t="s">
        <v>983</v>
      </c>
      <c r="Q52" s="1">
        <v>0</v>
      </c>
      <c r="R52" s="1">
        <v>0</v>
      </c>
      <c r="S52" s="1" t="s">
        <v>194</v>
      </c>
      <c r="T52" s="1">
        <v>1</v>
      </c>
      <c r="U52" s="1">
        <v>4</v>
      </c>
      <c r="V52" s="1">
        <v>2</v>
      </c>
      <c r="W52" s="1">
        <v>35</v>
      </c>
      <c r="X52" s="1">
        <v>1</v>
      </c>
      <c r="Y52" s="1">
        <v>18</v>
      </c>
      <c r="Z52" s="1">
        <v>3</v>
      </c>
      <c r="AA52" s="1">
        <v>900000</v>
      </c>
      <c r="AB52" s="1">
        <v>5</v>
      </c>
    </row>
    <row r="53" spans="1:28" ht="12.75" customHeight="1" x14ac:dyDescent="0.15">
      <c r="A53" s="5">
        <v>162</v>
      </c>
      <c r="B53" s="5" t="s">
        <v>238</v>
      </c>
      <c r="C53" s="1">
        <v>24</v>
      </c>
      <c r="D53" s="5" t="s">
        <v>981</v>
      </c>
      <c r="E53" s="1">
        <v>4</v>
      </c>
      <c r="F53" s="5" t="s">
        <v>982</v>
      </c>
      <c r="G53" s="1">
        <v>4</v>
      </c>
      <c r="H53" s="5" t="s">
        <v>982</v>
      </c>
      <c r="I53" s="1">
        <v>8</v>
      </c>
      <c r="J53" s="5" t="s">
        <v>981</v>
      </c>
      <c r="K53" s="1">
        <v>4</v>
      </c>
      <c r="L53" s="5" t="s">
        <v>982</v>
      </c>
      <c r="M53" s="1">
        <v>3</v>
      </c>
      <c r="N53" s="5" t="s">
        <v>982</v>
      </c>
      <c r="O53" s="1">
        <v>0</v>
      </c>
      <c r="P53" s="5" t="s">
        <v>983</v>
      </c>
      <c r="Q53" s="1">
        <v>1</v>
      </c>
      <c r="R53" s="1">
        <v>1</v>
      </c>
      <c r="S53" s="1">
        <v>1</v>
      </c>
      <c r="T53" s="1">
        <v>1</v>
      </c>
      <c r="U53" s="1">
        <v>4</v>
      </c>
      <c r="V53" s="1">
        <v>4</v>
      </c>
      <c r="W53" s="1">
        <v>36</v>
      </c>
      <c r="X53" s="1">
        <v>0</v>
      </c>
      <c r="Y53" s="1">
        <v>16</v>
      </c>
      <c r="Z53" s="1">
        <v>3</v>
      </c>
      <c r="AA53" s="1">
        <v>900000</v>
      </c>
      <c r="AB53" s="1">
        <v>6</v>
      </c>
    </row>
    <row r="54" spans="1:28" ht="12.75" customHeight="1" x14ac:dyDescent="0.15">
      <c r="A54" s="5">
        <v>476</v>
      </c>
      <c r="B54" s="5" t="s">
        <v>238</v>
      </c>
      <c r="C54" s="1">
        <v>14</v>
      </c>
      <c r="D54" s="5" t="s">
        <v>983</v>
      </c>
      <c r="E54" s="1">
        <v>1</v>
      </c>
      <c r="F54" s="5" t="s">
        <v>983</v>
      </c>
      <c r="G54" s="1">
        <v>0</v>
      </c>
      <c r="H54" s="5" t="s">
        <v>983</v>
      </c>
      <c r="I54" s="1">
        <v>7</v>
      </c>
      <c r="J54" s="5" t="s">
        <v>981</v>
      </c>
      <c r="K54" s="1">
        <v>0</v>
      </c>
      <c r="L54" s="5" t="s">
        <v>983</v>
      </c>
      <c r="M54" s="1">
        <v>0</v>
      </c>
      <c r="N54" s="5" t="s">
        <v>983</v>
      </c>
      <c r="O54" s="1">
        <v>1</v>
      </c>
      <c r="P54" s="5" t="s">
        <v>982</v>
      </c>
      <c r="Q54" s="1">
        <v>1</v>
      </c>
      <c r="R54" s="1">
        <v>0</v>
      </c>
      <c r="S54" s="1">
        <v>1</v>
      </c>
      <c r="T54" s="1">
        <v>1</v>
      </c>
      <c r="U54" s="1" t="s">
        <v>194</v>
      </c>
      <c r="V54" s="1">
        <v>1</v>
      </c>
      <c r="W54" s="1">
        <v>49</v>
      </c>
      <c r="X54" s="1">
        <v>1</v>
      </c>
      <c r="Y54" s="1">
        <v>18</v>
      </c>
      <c r="Z54" s="1">
        <v>2</v>
      </c>
      <c r="AA54" s="1">
        <v>900000</v>
      </c>
      <c r="AB54" s="1">
        <v>1</v>
      </c>
    </row>
    <row r="55" spans="1:28" ht="12.75" customHeight="1" x14ac:dyDescent="0.15">
      <c r="A55" s="5">
        <v>32</v>
      </c>
      <c r="B55" s="5" t="s">
        <v>238</v>
      </c>
      <c r="C55" s="1">
        <v>35</v>
      </c>
      <c r="D55" s="5" t="s">
        <v>981</v>
      </c>
      <c r="E55" s="1">
        <v>9</v>
      </c>
      <c r="F55" s="5" t="s">
        <v>981</v>
      </c>
      <c r="G55" s="1">
        <v>9</v>
      </c>
      <c r="H55" s="5" t="s">
        <v>981</v>
      </c>
      <c r="I55" s="1">
        <v>4</v>
      </c>
      <c r="J55" s="5" t="s">
        <v>982</v>
      </c>
      <c r="K55" s="1">
        <v>9</v>
      </c>
      <c r="L55" s="5" t="s">
        <v>981</v>
      </c>
      <c r="M55" s="1">
        <v>9</v>
      </c>
      <c r="N55" s="5" t="s">
        <v>981</v>
      </c>
      <c r="O55" s="1">
        <v>7</v>
      </c>
      <c r="P55" s="5" t="s">
        <v>982</v>
      </c>
      <c r="Q55" s="1">
        <v>1</v>
      </c>
      <c r="R55" s="1">
        <v>0</v>
      </c>
      <c r="S55" s="1" t="s">
        <v>194</v>
      </c>
      <c r="T55" s="1">
        <v>1</v>
      </c>
      <c r="U55" s="1">
        <v>2</v>
      </c>
      <c r="V55" s="1">
        <v>2</v>
      </c>
      <c r="W55" s="1">
        <v>48</v>
      </c>
      <c r="X55" s="1">
        <v>0</v>
      </c>
      <c r="Y55" s="1">
        <v>14</v>
      </c>
      <c r="Z55" s="1">
        <v>2</v>
      </c>
      <c r="AA55" s="1">
        <v>900000</v>
      </c>
      <c r="AB55" s="1">
        <v>4</v>
      </c>
    </row>
    <row r="56" spans="1:28" ht="12.75" customHeight="1" x14ac:dyDescent="0.15">
      <c r="A56" s="5">
        <v>90</v>
      </c>
      <c r="B56" s="5" t="s">
        <v>238</v>
      </c>
      <c r="C56" s="1">
        <v>27</v>
      </c>
      <c r="D56" s="5" t="s">
        <v>981</v>
      </c>
      <c r="E56" s="1">
        <v>1</v>
      </c>
      <c r="F56" s="5" t="s">
        <v>983</v>
      </c>
      <c r="G56" s="1">
        <v>5</v>
      </c>
      <c r="H56" s="5" t="s">
        <v>982</v>
      </c>
      <c r="I56" s="1">
        <v>12</v>
      </c>
      <c r="J56" s="5" t="s">
        <v>981</v>
      </c>
      <c r="K56" s="1">
        <v>2</v>
      </c>
      <c r="L56" s="5" t="s">
        <v>983</v>
      </c>
      <c r="M56" s="1">
        <v>2</v>
      </c>
      <c r="N56" s="5" t="s">
        <v>983</v>
      </c>
      <c r="O56" s="1">
        <v>0</v>
      </c>
      <c r="P56" s="5" t="s">
        <v>983</v>
      </c>
      <c r="Q56" s="1">
        <v>1</v>
      </c>
      <c r="R56" s="1">
        <v>0</v>
      </c>
      <c r="S56" s="1">
        <v>1</v>
      </c>
      <c r="T56" s="1">
        <v>1</v>
      </c>
      <c r="U56" s="1">
        <v>3</v>
      </c>
      <c r="V56" s="1">
        <v>4</v>
      </c>
      <c r="W56" s="1">
        <v>0</v>
      </c>
      <c r="X56" s="1">
        <v>1</v>
      </c>
      <c r="Y56" s="1">
        <v>17</v>
      </c>
      <c r="Z56" s="1">
        <v>34</v>
      </c>
      <c r="AA56" s="1">
        <v>850000</v>
      </c>
      <c r="AB56" s="1">
        <v>3</v>
      </c>
    </row>
    <row r="57" spans="1:28" ht="12.75" customHeight="1" x14ac:dyDescent="0.15">
      <c r="A57" s="5">
        <v>296</v>
      </c>
      <c r="B57" s="5" t="s">
        <v>238</v>
      </c>
      <c r="C57" s="1">
        <v>28</v>
      </c>
      <c r="D57" s="5" t="s">
        <v>981</v>
      </c>
      <c r="E57" s="1">
        <v>5</v>
      </c>
      <c r="F57" s="5" t="s">
        <v>981</v>
      </c>
      <c r="G57" s="1">
        <v>8</v>
      </c>
      <c r="H57" s="5" t="s">
        <v>981</v>
      </c>
      <c r="I57" s="1">
        <v>13</v>
      </c>
      <c r="J57" s="5" t="s">
        <v>981</v>
      </c>
      <c r="K57" s="1">
        <v>1</v>
      </c>
      <c r="L57" s="5" t="s">
        <v>983</v>
      </c>
      <c r="M57" s="1">
        <v>0</v>
      </c>
      <c r="N57" s="5" t="s">
        <v>983</v>
      </c>
      <c r="O57" s="1">
        <v>0</v>
      </c>
      <c r="P57" s="5" t="s">
        <v>983</v>
      </c>
      <c r="Q57" s="1">
        <v>0</v>
      </c>
      <c r="R57" s="1">
        <v>0</v>
      </c>
      <c r="S57" s="1" t="s">
        <v>194</v>
      </c>
      <c r="T57" s="1">
        <v>1</v>
      </c>
      <c r="U57" s="1">
        <v>5</v>
      </c>
      <c r="V57" s="1">
        <v>5</v>
      </c>
      <c r="W57" s="1">
        <v>50</v>
      </c>
      <c r="X57" s="1">
        <v>0</v>
      </c>
      <c r="Y57" s="1">
        <v>4</v>
      </c>
      <c r="Z57" s="1">
        <v>32</v>
      </c>
      <c r="AA57" s="1">
        <v>850000</v>
      </c>
      <c r="AB57" s="1">
        <v>2</v>
      </c>
    </row>
    <row r="58" spans="1:28" ht="12.75" customHeight="1" x14ac:dyDescent="0.15">
      <c r="A58" s="5">
        <v>297</v>
      </c>
      <c r="B58" s="5" t="s">
        <v>238</v>
      </c>
      <c r="C58" s="1">
        <v>17</v>
      </c>
      <c r="D58" s="5" t="s">
        <v>983</v>
      </c>
      <c r="E58" s="1">
        <v>2</v>
      </c>
      <c r="F58" s="5" t="s">
        <v>982</v>
      </c>
      <c r="G58" s="1">
        <v>2</v>
      </c>
      <c r="H58" s="5" t="s">
        <v>982</v>
      </c>
      <c r="I58" s="1">
        <v>8</v>
      </c>
      <c r="J58" s="5" t="s">
        <v>981</v>
      </c>
      <c r="K58" s="1">
        <v>2</v>
      </c>
      <c r="L58" s="5" t="s">
        <v>983</v>
      </c>
      <c r="M58" s="1">
        <v>12</v>
      </c>
      <c r="N58" s="5" t="s">
        <v>981</v>
      </c>
      <c r="O58" s="1">
        <v>0</v>
      </c>
      <c r="P58" s="5" t="s">
        <v>983</v>
      </c>
      <c r="Q58" s="1">
        <v>1</v>
      </c>
      <c r="R58" s="1">
        <v>0</v>
      </c>
      <c r="S58" s="1">
        <v>1</v>
      </c>
      <c r="T58" s="1">
        <v>1</v>
      </c>
      <c r="U58" s="1" t="s">
        <v>194</v>
      </c>
      <c r="V58" s="1">
        <v>3</v>
      </c>
      <c r="W58" s="1">
        <v>50</v>
      </c>
      <c r="X58" s="1">
        <v>0</v>
      </c>
      <c r="Y58" s="1">
        <v>4</v>
      </c>
      <c r="Z58" s="1">
        <v>32</v>
      </c>
      <c r="AA58" s="1">
        <v>850000</v>
      </c>
      <c r="AB58" s="1">
        <v>2</v>
      </c>
    </row>
    <row r="59" spans="1:28" ht="12.75" customHeight="1" x14ac:dyDescent="0.15">
      <c r="A59" s="5">
        <v>227</v>
      </c>
      <c r="B59" s="5" t="s">
        <v>238</v>
      </c>
      <c r="C59" s="1">
        <v>22</v>
      </c>
      <c r="D59" s="5" t="s">
        <v>982</v>
      </c>
      <c r="E59" s="1">
        <v>0</v>
      </c>
      <c r="F59" s="5" t="s">
        <v>983</v>
      </c>
      <c r="G59" s="1">
        <v>0</v>
      </c>
      <c r="H59" s="5" t="s">
        <v>983</v>
      </c>
      <c r="I59" s="1">
        <v>16</v>
      </c>
      <c r="J59" s="5" t="s">
        <v>981</v>
      </c>
      <c r="K59" s="1">
        <v>0</v>
      </c>
      <c r="L59" s="5" t="s">
        <v>983</v>
      </c>
      <c r="M59" s="1">
        <v>0</v>
      </c>
      <c r="N59" s="5" t="s">
        <v>983</v>
      </c>
      <c r="O59" s="1">
        <v>0</v>
      </c>
      <c r="P59" s="5" t="s">
        <v>983</v>
      </c>
      <c r="Q59" s="1">
        <v>0</v>
      </c>
      <c r="R59" s="1">
        <v>0</v>
      </c>
      <c r="S59" s="1">
        <v>1</v>
      </c>
      <c r="T59" s="1">
        <v>1</v>
      </c>
      <c r="U59" s="1" t="s">
        <v>194</v>
      </c>
      <c r="V59" s="1">
        <v>1</v>
      </c>
      <c r="W59" s="1">
        <v>41</v>
      </c>
      <c r="X59" s="1">
        <v>0</v>
      </c>
      <c r="Y59" s="1">
        <v>17</v>
      </c>
      <c r="Z59" s="1">
        <v>14</v>
      </c>
      <c r="AA59" s="1">
        <v>850000</v>
      </c>
      <c r="AB59" s="1">
        <v>2</v>
      </c>
    </row>
    <row r="60" spans="1:28" ht="12.75" customHeight="1" x14ac:dyDescent="0.15">
      <c r="A60" s="5">
        <v>27</v>
      </c>
      <c r="B60" s="5" t="s">
        <v>238</v>
      </c>
      <c r="C60" s="1">
        <v>22</v>
      </c>
      <c r="D60" s="5" t="s">
        <v>982</v>
      </c>
      <c r="E60" s="1">
        <v>5</v>
      </c>
      <c r="F60" s="5" t="s">
        <v>981</v>
      </c>
      <c r="G60" s="1">
        <v>0</v>
      </c>
      <c r="H60" s="5" t="s">
        <v>983</v>
      </c>
      <c r="I60" s="1">
        <v>10</v>
      </c>
      <c r="J60" s="5" t="s">
        <v>981</v>
      </c>
      <c r="K60" s="1">
        <v>0</v>
      </c>
      <c r="L60" s="5" t="s">
        <v>983</v>
      </c>
      <c r="M60" s="1">
        <v>0</v>
      </c>
      <c r="N60" s="5" t="s">
        <v>983</v>
      </c>
      <c r="O60" s="1">
        <v>0</v>
      </c>
      <c r="P60" s="5" t="s">
        <v>983</v>
      </c>
      <c r="Q60" s="1">
        <v>0</v>
      </c>
      <c r="R60" s="1">
        <v>0</v>
      </c>
      <c r="S60" s="1">
        <v>1</v>
      </c>
      <c r="T60" s="1">
        <v>1</v>
      </c>
      <c r="U60" s="1">
        <v>3</v>
      </c>
      <c r="V60" s="1">
        <v>2</v>
      </c>
      <c r="W60" s="1">
        <v>36</v>
      </c>
      <c r="X60" s="1">
        <v>1</v>
      </c>
      <c r="Y60" s="1">
        <v>9</v>
      </c>
      <c r="Z60" s="1">
        <v>10</v>
      </c>
      <c r="AA60" s="1">
        <v>850000</v>
      </c>
      <c r="AB60" s="1">
        <v>1</v>
      </c>
    </row>
    <row r="61" spans="1:28" ht="12.75" customHeight="1" x14ac:dyDescent="0.15">
      <c r="A61" s="5">
        <v>456</v>
      </c>
      <c r="B61" s="5" t="s">
        <v>238</v>
      </c>
      <c r="C61" s="1">
        <v>21</v>
      </c>
      <c r="D61" s="5" t="s">
        <v>982</v>
      </c>
      <c r="E61" s="1">
        <v>6</v>
      </c>
      <c r="F61" s="5" t="s">
        <v>981</v>
      </c>
      <c r="G61" s="1">
        <v>5</v>
      </c>
      <c r="H61" s="5" t="s">
        <v>982</v>
      </c>
      <c r="I61" s="1">
        <v>12</v>
      </c>
      <c r="J61" s="5" t="s">
        <v>981</v>
      </c>
      <c r="K61" s="1">
        <v>4</v>
      </c>
      <c r="L61" s="5" t="s">
        <v>982</v>
      </c>
      <c r="M61" s="1">
        <v>4</v>
      </c>
      <c r="N61" s="5" t="s">
        <v>982</v>
      </c>
      <c r="O61" s="1">
        <v>0</v>
      </c>
      <c r="P61" s="5" t="s">
        <v>983</v>
      </c>
      <c r="Q61" s="1">
        <v>1</v>
      </c>
      <c r="R61" s="1">
        <v>1</v>
      </c>
      <c r="S61" s="1">
        <v>1</v>
      </c>
      <c r="T61" s="1">
        <v>1</v>
      </c>
      <c r="U61" s="1">
        <v>1</v>
      </c>
      <c r="V61" s="1">
        <v>2</v>
      </c>
      <c r="W61" s="1">
        <v>37</v>
      </c>
      <c r="X61" s="1">
        <v>1</v>
      </c>
      <c r="Y61" s="1">
        <v>18</v>
      </c>
      <c r="Z61" s="1">
        <v>2</v>
      </c>
      <c r="AA61" s="1">
        <v>850000</v>
      </c>
      <c r="AB61" s="1">
        <v>1</v>
      </c>
    </row>
    <row r="62" spans="1:28" ht="12.75" customHeight="1" x14ac:dyDescent="0.15">
      <c r="A62" s="5">
        <v>123</v>
      </c>
      <c r="B62" s="5" t="s">
        <v>238</v>
      </c>
      <c r="C62" s="1">
        <v>12</v>
      </c>
      <c r="D62" s="5" t="s">
        <v>983</v>
      </c>
      <c r="E62" s="1">
        <v>3</v>
      </c>
      <c r="F62" s="5" t="s">
        <v>982</v>
      </c>
      <c r="G62" s="1">
        <v>0</v>
      </c>
      <c r="H62" s="5" t="s">
        <v>983</v>
      </c>
      <c r="I62" s="1">
        <v>4</v>
      </c>
      <c r="J62" s="5" t="s">
        <v>982</v>
      </c>
      <c r="K62" s="1">
        <v>0</v>
      </c>
      <c r="L62" s="5" t="s">
        <v>983</v>
      </c>
      <c r="M62" s="1">
        <v>0</v>
      </c>
      <c r="N62" s="5" t="s">
        <v>983</v>
      </c>
      <c r="O62" s="1">
        <v>0</v>
      </c>
      <c r="P62" s="5" t="s">
        <v>983</v>
      </c>
      <c r="Q62" s="1">
        <v>0</v>
      </c>
      <c r="R62" s="1">
        <v>0</v>
      </c>
      <c r="S62" s="1" t="s">
        <v>194</v>
      </c>
      <c r="T62" s="1">
        <v>1</v>
      </c>
      <c r="U62" s="1" t="s">
        <v>194</v>
      </c>
      <c r="V62" s="1">
        <v>1</v>
      </c>
      <c r="W62" s="1">
        <v>33</v>
      </c>
      <c r="X62" s="1">
        <v>0</v>
      </c>
      <c r="Y62" s="1">
        <v>18</v>
      </c>
      <c r="Z62" s="1">
        <v>34</v>
      </c>
      <c r="AA62" s="1">
        <v>800000</v>
      </c>
      <c r="AB62" s="1">
        <v>2</v>
      </c>
    </row>
    <row r="63" spans="1:28" ht="12.75" customHeight="1" x14ac:dyDescent="0.15">
      <c r="A63" s="5">
        <v>125</v>
      </c>
      <c r="B63" s="5" t="s">
        <v>238</v>
      </c>
      <c r="C63" s="1">
        <v>31</v>
      </c>
      <c r="D63" s="5" t="s">
        <v>981</v>
      </c>
      <c r="E63" s="1">
        <v>6</v>
      </c>
      <c r="F63" s="5" t="s">
        <v>981</v>
      </c>
      <c r="G63" s="1">
        <v>4</v>
      </c>
      <c r="H63" s="5" t="s">
        <v>982</v>
      </c>
      <c r="I63" s="1">
        <v>7</v>
      </c>
      <c r="J63" s="5" t="s">
        <v>981</v>
      </c>
      <c r="K63" s="1">
        <v>12</v>
      </c>
      <c r="L63" s="5" t="s">
        <v>981</v>
      </c>
      <c r="M63" s="1">
        <v>10</v>
      </c>
      <c r="N63" s="5" t="s">
        <v>981</v>
      </c>
      <c r="O63" s="1">
        <v>1</v>
      </c>
      <c r="P63" s="5" t="s">
        <v>982</v>
      </c>
      <c r="Q63" s="1">
        <v>0</v>
      </c>
      <c r="R63" s="1">
        <v>0</v>
      </c>
      <c r="S63" s="1">
        <v>0</v>
      </c>
      <c r="T63" s="1">
        <v>1</v>
      </c>
      <c r="U63" s="1">
        <v>5</v>
      </c>
      <c r="V63" s="1">
        <v>5</v>
      </c>
      <c r="W63" s="1">
        <v>49</v>
      </c>
      <c r="X63" s="1">
        <v>0</v>
      </c>
      <c r="Y63" s="1">
        <v>17</v>
      </c>
      <c r="Z63" s="1">
        <v>34</v>
      </c>
      <c r="AA63" s="1">
        <v>800000</v>
      </c>
      <c r="AB63" s="1">
        <v>4</v>
      </c>
    </row>
    <row r="64" spans="1:28" ht="12.75" customHeight="1" x14ac:dyDescent="0.15">
      <c r="A64" s="5">
        <v>124</v>
      </c>
      <c r="B64" s="5" t="s">
        <v>984</v>
      </c>
      <c r="C64" s="1">
        <v>27</v>
      </c>
      <c r="D64" s="5" t="s">
        <v>981</v>
      </c>
      <c r="E64" s="1">
        <v>1</v>
      </c>
      <c r="F64" s="5" t="s">
        <v>983</v>
      </c>
      <c r="G64" s="1">
        <v>0</v>
      </c>
      <c r="H64" s="5" t="s">
        <v>983</v>
      </c>
      <c r="I64" s="1">
        <v>3</v>
      </c>
      <c r="J64" s="5" t="s">
        <v>982</v>
      </c>
      <c r="K64" s="1">
        <v>1</v>
      </c>
      <c r="L64" s="5" t="s">
        <v>983</v>
      </c>
      <c r="M64" s="1">
        <v>0</v>
      </c>
      <c r="N64" s="5" t="s">
        <v>983</v>
      </c>
      <c r="O64" s="1">
        <v>0</v>
      </c>
      <c r="P64" s="5" t="s">
        <v>983</v>
      </c>
      <c r="Q64" s="1">
        <v>0</v>
      </c>
      <c r="R64" s="1">
        <v>0</v>
      </c>
      <c r="S64" s="1" t="s">
        <v>194</v>
      </c>
      <c r="T64" s="1">
        <v>1</v>
      </c>
      <c r="U64" s="1">
        <v>2</v>
      </c>
      <c r="V64" s="1">
        <v>2</v>
      </c>
      <c r="W64" s="1">
        <v>49</v>
      </c>
      <c r="X64" s="1">
        <v>0</v>
      </c>
      <c r="Y64" s="1">
        <v>17</v>
      </c>
      <c r="Z64" s="1">
        <v>34</v>
      </c>
      <c r="AA64" s="1">
        <v>800000</v>
      </c>
      <c r="AB64" s="1">
        <v>4</v>
      </c>
    </row>
    <row r="65" spans="1:28" ht="12.75" customHeight="1" x14ac:dyDescent="0.15">
      <c r="A65" s="5">
        <v>448</v>
      </c>
      <c r="B65" s="5" t="s">
        <v>238</v>
      </c>
      <c r="C65" s="1">
        <v>16</v>
      </c>
      <c r="D65" s="5" t="s">
        <v>983</v>
      </c>
      <c r="E65" s="1">
        <v>0</v>
      </c>
      <c r="F65" s="5" t="s">
        <v>983</v>
      </c>
      <c r="G65" s="1">
        <v>1</v>
      </c>
      <c r="H65" s="5" t="s">
        <v>983</v>
      </c>
      <c r="I65" s="1">
        <v>15</v>
      </c>
      <c r="J65" s="5" t="s">
        <v>981</v>
      </c>
      <c r="K65" s="1">
        <v>0</v>
      </c>
      <c r="L65" s="5" t="s">
        <v>983</v>
      </c>
      <c r="M65" s="1">
        <v>0</v>
      </c>
      <c r="N65" s="5" t="s">
        <v>983</v>
      </c>
      <c r="O65" s="1">
        <v>0</v>
      </c>
      <c r="P65" s="5" t="s">
        <v>983</v>
      </c>
      <c r="Q65" s="1">
        <v>0</v>
      </c>
      <c r="R65" s="1">
        <v>0</v>
      </c>
      <c r="S65" s="1" t="s">
        <v>194</v>
      </c>
      <c r="T65" s="1">
        <v>1</v>
      </c>
      <c r="U65" s="1">
        <v>5</v>
      </c>
      <c r="V65" s="1">
        <v>5</v>
      </c>
      <c r="W65" s="1">
        <v>55</v>
      </c>
      <c r="X65" s="1">
        <v>0</v>
      </c>
      <c r="Y65" s="1">
        <v>16</v>
      </c>
      <c r="Z65" s="1">
        <v>34</v>
      </c>
      <c r="AA65" s="1">
        <v>800000</v>
      </c>
      <c r="AB65" s="1">
        <v>3</v>
      </c>
    </row>
    <row r="66" spans="1:28" ht="12.75" customHeight="1" x14ac:dyDescent="0.15">
      <c r="A66" s="5">
        <v>42</v>
      </c>
      <c r="B66" s="5" t="s">
        <v>238</v>
      </c>
      <c r="C66" s="1">
        <v>29</v>
      </c>
      <c r="D66" s="5" t="s">
        <v>981</v>
      </c>
      <c r="E66" s="1">
        <v>3</v>
      </c>
      <c r="F66" s="5" t="s">
        <v>982</v>
      </c>
      <c r="G66" s="1">
        <v>0</v>
      </c>
      <c r="H66" s="5" t="s">
        <v>983</v>
      </c>
      <c r="I66" s="1">
        <v>16</v>
      </c>
      <c r="J66" s="5" t="s">
        <v>981</v>
      </c>
      <c r="K66" s="1">
        <v>0</v>
      </c>
      <c r="L66" s="5" t="s">
        <v>983</v>
      </c>
      <c r="M66" s="1">
        <v>0</v>
      </c>
      <c r="N66" s="5" t="s">
        <v>983</v>
      </c>
      <c r="O66" s="1">
        <v>0</v>
      </c>
      <c r="P66" s="5" t="s">
        <v>983</v>
      </c>
      <c r="Q66" s="1">
        <v>0</v>
      </c>
      <c r="R66" s="1">
        <v>0</v>
      </c>
      <c r="S66" s="1" t="s">
        <v>194</v>
      </c>
      <c r="T66" s="1">
        <v>1</v>
      </c>
      <c r="U66" s="1">
        <v>1</v>
      </c>
      <c r="V66" s="1">
        <v>3</v>
      </c>
      <c r="W66" s="1">
        <v>51</v>
      </c>
      <c r="X66" s="1">
        <v>0</v>
      </c>
      <c r="Y66" s="1">
        <v>14</v>
      </c>
      <c r="Z66" s="1">
        <v>29</v>
      </c>
      <c r="AA66" s="1">
        <v>800000</v>
      </c>
      <c r="AB66" s="1">
        <v>4</v>
      </c>
    </row>
    <row r="67" spans="1:28" ht="12.75" customHeight="1" x14ac:dyDescent="0.15">
      <c r="A67" s="5">
        <v>288</v>
      </c>
      <c r="B67" s="5" t="s">
        <v>238</v>
      </c>
      <c r="C67" s="1">
        <v>21</v>
      </c>
      <c r="D67" s="5" t="s">
        <v>982</v>
      </c>
      <c r="E67" s="1">
        <v>4</v>
      </c>
      <c r="F67" s="5" t="s">
        <v>982</v>
      </c>
      <c r="G67" s="1">
        <v>3</v>
      </c>
      <c r="H67" s="5" t="s">
        <v>982</v>
      </c>
      <c r="I67" s="1">
        <v>5</v>
      </c>
      <c r="J67" s="5" t="s">
        <v>981</v>
      </c>
      <c r="K67" s="1">
        <v>1</v>
      </c>
      <c r="L67" s="5" t="s">
        <v>983</v>
      </c>
      <c r="M67" s="1">
        <v>0</v>
      </c>
      <c r="N67" s="5" t="s">
        <v>983</v>
      </c>
      <c r="O67" s="1">
        <v>0</v>
      </c>
      <c r="P67" s="5" t="s">
        <v>983</v>
      </c>
      <c r="Q67" s="1">
        <v>0</v>
      </c>
      <c r="R67" s="1">
        <v>0</v>
      </c>
      <c r="S67" s="1" t="s">
        <v>194</v>
      </c>
      <c r="T67" s="1">
        <v>1</v>
      </c>
      <c r="U67" s="1" t="s">
        <v>194</v>
      </c>
      <c r="V67" s="1">
        <v>3</v>
      </c>
      <c r="W67" s="1">
        <v>47</v>
      </c>
      <c r="X67" s="1">
        <v>1</v>
      </c>
      <c r="Y67" s="1">
        <v>4</v>
      </c>
      <c r="Z67" s="1">
        <v>29</v>
      </c>
      <c r="AA67" s="1">
        <v>800000</v>
      </c>
      <c r="AB67" s="1">
        <v>3</v>
      </c>
    </row>
    <row r="68" spans="1:28" ht="12.75" customHeight="1" x14ac:dyDescent="0.15">
      <c r="A68" s="5">
        <v>130</v>
      </c>
      <c r="B68" s="5" t="s">
        <v>238</v>
      </c>
      <c r="C68" s="1">
        <v>19</v>
      </c>
      <c r="D68" s="5" t="s">
        <v>982</v>
      </c>
      <c r="E68" s="1">
        <v>3</v>
      </c>
      <c r="F68" s="5" t="s">
        <v>982</v>
      </c>
      <c r="G68" s="1">
        <v>0</v>
      </c>
      <c r="H68" s="5" t="s">
        <v>983</v>
      </c>
      <c r="I68" s="1">
        <v>8</v>
      </c>
      <c r="J68" s="5" t="s">
        <v>981</v>
      </c>
      <c r="K68" s="1">
        <v>0</v>
      </c>
      <c r="L68" s="5" t="s">
        <v>983</v>
      </c>
      <c r="M68" s="1">
        <v>0</v>
      </c>
      <c r="N68" s="5" t="s">
        <v>983</v>
      </c>
      <c r="O68" s="1">
        <v>0</v>
      </c>
      <c r="P68" s="5" t="s">
        <v>983</v>
      </c>
      <c r="Q68" s="1">
        <v>1</v>
      </c>
      <c r="R68" s="1">
        <v>0</v>
      </c>
      <c r="S68" s="1">
        <v>1</v>
      </c>
      <c r="T68" s="1">
        <v>1</v>
      </c>
      <c r="U68" s="1">
        <v>5</v>
      </c>
      <c r="V68" s="1">
        <v>4</v>
      </c>
      <c r="W68" s="1">
        <v>41</v>
      </c>
      <c r="X68" s="1">
        <v>0</v>
      </c>
      <c r="Y68" s="1">
        <v>10</v>
      </c>
      <c r="Z68" s="1">
        <v>17</v>
      </c>
      <c r="AA68" s="1">
        <v>800000</v>
      </c>
      <c r="AB68" s="1">
        <v>5</v>
      </c>
    </row>
    <row r="69" spans="1:28" ht="12.75" customHeight="1" x14ac:dyDescent="0.15">
      <c r="A69" s="5">
        <v>22</v>
      </c>
      <c r="B69" s="5" t="s">
        <v>238</v>
      </c>
      <c r="C69" s="1">
        <v>18</v>
      </c>
      <c r="D69" s="5" t="s">
        <v>983</v>
      </c>
      <c r="E69" s="1">
        <v>5</v>
      </c>
      <c r="F69" s="5" t="s">
        <v>981</v>
      </c>
      <c r="G69" s="1">
        <v>3</v>
      </c>
      <c r="H69" s="5" t="s">
        <v>982</v>
      </c>
      <c r="I69" s="1">
        <v>16</v>
      </c>
      <c r="J69" s="5" t="s">
        <v>981</v>
      </c>
      <c r="K69" s="1">
        <v>0</v>
      </c>
      <c r="L69" s="5" t="s">
        <v>983</v>
      </c>
      <c r="M69" s="1">
        <v>0</v>
      </c>
      <c r="N69" s="5" t="s">
        <v>983</v>
      </c>
      <c r="O69" s="1">
        <v>0</v>
      </c>
      <c r="P69" s="5" t="s">
        <v>983</v>
      </c>
      <c r="Q69" s="1">
        <v>1</v>
      </c>
      <c r="R69" s="1">
        <v>1</v>
      </c>
      <c r="S69" s="1">
        <v>1</v>
      </c>
      <c r="T69" s="1">
        <v>1</v>
      </c>
      <c r="U69" s="1">
        <v>5</v>
      </c>
      <c r="V69" s="1">
        <v>2</v>
      </c>
      <c r="W69" s="1">
        <v>62</v>
      </c>
      <c r="X69" s="1">
        <v>0</v>
      </c>
      <c r="Y69" s="1">
        <v>16</v>
      </c>
      <c r="Z69" s="1">
        <v>11</v>
      </c>
      <c r="AA69" s="1">
        <v>800000</v>
      </c>
      <c r="AB69" s="1">
        <v>1</v>
      </c>
    </row>
    <row r="70" spans="1:28" ht="12.75" customHeight="1" x14ac:dyDescent="0.15">
      <c r="A70" s="5">
        <v>23</v>
      </c>
      <c r="B70" s="5" t="s">
        <v>238</v>
      </c>
      <c r="C70" s="1">
        <v>17</v>
      </c>
      <c r="D70" s="5" t="s">
        <v>983</v>
      </c>
      <c r="E70" s="1">
        <v>0</v>
      </c>
      <c r="F70" s="5" t="s">
        <v>983</v>
      </c>
      <c r="G70" s="1">
        <v>1</v>
      </c>
      <c r="H70" s="5" t="s">
        <v>983</v>
      </c>
      <c r="I70" s="1">
        <v>4</v>
      </c>
      <c r="J70" s="5" t="s">
        <v>982</v>
      </c>
      <c r="K70" s="1">
        <v>0</v>
      </c>
      <c r="L70" s="5" t="s">
        <v>983</v>
      </c>
      <c r="M70" s="1">
        <v>0</v>
      </c>
      <c r="N70" s="5" t="s">
        <v>983</v>
      </c>
      <c r="O70" s="1">
        <v>0</v>
      </c>
      <c r="P70" s="5" t="s">
        <v>983</v>
      </c>
      <c r="Q70" s="1">
        <v>1</v>
      </c>
      <c r="R70" s="1">
        <v>0</v>
      </c>
      <c r="S70" s="1">
        <v>1</v>
      </c>
      <c r="T70" s="1">
        <v>1</v>
      </c>
      <c r="U70" s="1">
        <v>5</v>
      </c>
      <c r="V70" s="1">
        <v>2</v>
      </c>
      <c r="W70" s="1">
        <v>62</v>
      </c>
      <c r="X70" s="1">
        <v>0</v>
      </c>
      <c r="Y70" s="1">
        <v>16</v>
      </c>
      <c r="Z70" s="1">
        <v>11</v>
      </c>
      <c r="AA70" s="1">
        <v>800000</v>
      </c>
      <c r="AB70" s="1">
        <v>1</v>
      </c>
    </row>
    <row r="71" spans="1:28" ht="12.75" customHeight="1" x14ac:dyDescent="0.15">
      <c r="A71" s="5">
        <v>298</v>
      </c>
      <c r="B71" s="5" t="s">
        <v>238</v>
      </c>
      <c r="C71" s="1">
        <v>26</v>
      </c>
      <c r="D71" s="5" t="s">
        <v>981</v>
      </c>
      <c r="E71" s="1">
        <v>5</v>
      </c>
      <c r="F71" s="5" t="s">
        <v>981</v>
      </c>
      <c r="G71" s="1">
        <v>6</v>
      </c>
      <c r="H71" s="5" t="s">
        <v>981</v>
      </c>
      <c r="I71" s="1">
        <v>6</v>
      </c>
      <c r="J71" s="5" t="s">
        <v>981</v>
      </c>
      <c r="K71" s="1">
        <v>1</v>
      </c>
      <c r="L71" s="5" t="s">
        <v>983</v>
      </c>
      <c r="M71" s="1">
        <v>8</v>
      </c>
      <c r="N71" s="5" t="s">
        <v>981</v>
      </c>
      <c r="O71" s="1">
        <v>4</v>
      </c>
      <c r="P71" s="5" t="s">
        <v>982</v>
      </c>
      <c r="Q71" s="1">
        <v>0</v>
      </c>
      <c r="R71" s="1">
        <v>0</v>
      </c>
      <c r="S71" s="1" t="s">
        <v>194</v>
      </c>
      <c r="T71" s="1">
        <v>1</v>
      </c>
      <c r="U71" s="1" t="s">
        <v>194</v>
      </c>
      <c r="V71" s="1">
        <v>2</v>
      </c>
      <c r="W71" s="1">
        <v>55</v>
      </c>
      <c r="X71" s="1">
        <v>1</v>
      </c>
      <c r="Y71" s="1">
        <v>2</v>
      </c>
      <c r="Z71" s="1">
        <v>11</v>
      </c>
      <c r="AA71" s="1">
        <v>800000</v>
      </c>
      <c r="AB71" s="1">
        <v>1</v>
      </c>
    </row>
    <row r="72" spans="1:28" ht="12.75" customHeight="1" x14ac:dyDescent="0.15">
      <c r="A72" s="5">
        <v>261</v>
      </c>
      <c r="B72" s="5" t="s">
        <v>238</v>
      </c>
      <c r="C72" s="1">
        <v>30</v>
      </c>
      <c r="D72" s="5" t="s">
        <v>981</v>
      </c>
      <c r="E72" s="1">
        <v>6</v>
      </c>
      <c r="F72" s="5" t="s">
        <v>981</v>
      </c>
      <c r="G72" s="1">
        <v>6</v>
      </c>
      <c r="H72" s="5" t="s">
        <v>981</v>
      </c>
      <c r="I72" s="1">
        <v>8</v>
      </c>
      <c r="J72" s="5" t="s">
        <v>981</v>
      </c>
      <c r="K72" s="1">
        <v>6</v>
      </c>
      <c r="L72" s="5" t="s">
        <v>981</v>
      </c>
      <c r="M72" s="1">
        <v>6</v>
      </c>
      <c r="N72" s="5" t="s">
        <v>981</v>
      </c>
      <c r="O72" s="1">
        <v>0</v>
      </c>
      <c r="P72" s="5" t="s">
        <v>983</v>
      </c>
      <c r="Q72" s="1">
        <v>0</v>
      </c>
      <c r="R72" s="1">
        <v>1</v>
      </c>
      <c r="S72" s="1" t="s">
        <v>194</v>
      </c>
      <c r="T72" s="1">
        <v>1</v>
      </c>
      <c r="U72" s="1" t="s">
        <v>194</v>
      </c>
      <c r="V72" s="1" t="s">
        <v>194</v>
      </c>
      <c r="W72" s="1">
        <v>40</v>
      </c>
      <c r="X72" s="1">
        <v>1</v>
      </c>
      <c r="Y72" s="1">
        <v>2</v>
      </c>
      <c r="Z72" s="1">
        <v>10</v>
      </c>
      <c r="AA72" s="1">
        <v>800000</v>
      </c>
      <c r="AB72" s="1">
        <v>2</v>
      </c>
    </row>
    <row r="73" spans="1:28" ht="12.75" customHeight="1" x14ac:dyDescent="0.15">
      <c r="A73" s="5">
        <v>394</v>
      </c>
      <c r="B73" s="5" t="s">
        <v>984</v>
      </c>
      <c r="C73" s="1">
        <v>21</v>
      </c>
      <c r="D73" s="5" t="s">
        <v>982</v>
      </c>
      <c r="E73" s="1">
        <v>1</v>
      </c>
      <c r="F73" s="5" t="s">
        <v>983</v>
      </c>
      <c r="G73" s="1">
        <v>0</v>
      </c>
      <c r="H73" s="5" t="s">
        <v>983</v>
      </c>
      <c r="I73" s="1">
        <v>0</v>
      </c>
      <c r="J73" s="5" t="s">
        <v>983</v>
      </c>
      <c r="K73" s="1">
        <v>0</v>
      </c>
      <c r="L73" s="5" t="s">
        <v>983</v>
      </c>
      <c r="M73" s="1">
        <v>0</v>
      </c>
      <c r="N73" s="5" t="s">
        <v>983</v>
      </c>
      <c r="O73" s="1">
        <v>0</v>
      </c>
      <c r="P73" s="5" t="s">
        <v>983</v>
      </c>
      <c r="Q73" s="1">
        <v>1</v>
      </c>
      <c r="R73" s="1">
        <v>0</v>
      </c>
      <c r="S73" s="1">
        <v>1</v>
      </c>
      <c r="T73" s="1">
        <v>1</v>
      </c>
      <c r="U73" s="1">
        <v>5</v>
      </c>
      <c r="V73" s="1">
        <v>5</v>
      </c>
      <c r="W73" s="1">
        <v>36</v>
      </c>
      <c r="X73" s="1">
        <v>0</v>
      </c>
      <c r="Y73" s="1">
        <v>14</v>
      </c>
      <c r="Z73" s="1">
        <v>7</v>
      </c>
      <c r="AA73" s="1">
        <v>800000</v>
      </c>
      <c r="AB73" s="1">
        <v>2</v>
      </c>
    </row>
    <row r="74" spans="1:28" ht="12.75" customHeight="1" x14ac:dyDescent="0.15">
      <c r="A74" s="5">
        <v>393</v>
      </c>
      <c r="B74" s="5" t="s">
        <v>238</v>
      </c>
      <c r="C74" s="1">
        <v>12</v>
      </c>
      <c r="D74" s="5" t="s">
        <v>983</v>
      </c>
      <c r="E74" s="1">
        <v>3</v>
      </c>
      <c r="F74" s="5" t="s">
        <v>982</v>
      </c>
      <c r="G74" s="1">
        <v>3</v>
      </c>
      <c r="H74" s="5" t="s">
        <v>982</v>
      </c>
      <c r="I74" s="1">
        <v>12</v>
      </c>
      <c r="J74" s="5" t="s">
        <v>981</v>
      </c>
      <c r="K74" s="1">
        <v>3</v>
      </c>
      <c r="L74" s="5" t="s">
        <v>982</v>
      </c>
      <c r="M74" s="1">
        <v>3</v>
      </c>
      <c r="N74" s="5" t="s">
        <v>982</v>
      </c>
      <c r="O74" s="1">
        <v>0</v>
      </c>
      <c r="P74" s="5" t="s">
        <v>983</v>
      </c>
      <c r="Q74" s="1">
        <v>0</v>
      </c>
      <c r="R74" s="1">
        <v>1</v>
      </c>
      <c r="S74" s="1" t="s">
        <v>194</v>
      </c>
      <c r="T74" s="1">
        <v>1</v>
      </c>
      <c r="U74" s="1">
        <v>1</v>
      </c>
      <c r="V74" s="1">
        <v>3</v>
      </c>
      <c r="W74" s="1">
        <v>36</v>
      </c>
      <c r="X74" s="1">
        <v>0</v>
      </c>
      <c r="Y74" s="1">
        <v>14</v>
      </c>
      <c r="Z74" s="1">
        <v>7</v>
      </c>
      <c r="AA74" s="1">
        <v>800000</v>
      </c>
      <c r="AB74" s="1">
        <v>2</v>
      </c>
    </row>
    <row r="75" spans="1:28" ht="12.75" customHeight="1" x14ac:dyDescent="0.15">
      <c r="A75" s="5">
        <v>400</v>
      </c>
      <c r="B75" s="5" t="s">
        <v>984</v>
      </c>
      <c r="C75" s="1">
        <v>24</v>
      </c>
      <c r="D75" s="5" t="s">
        <v>981</v>
      </c>
      <c r="E75" s="1">
        <v>6</v>
      </c>
      <c r="F75" s="5" t="s">
        <v>981</v>
      </c>
      <c r="G75" s="1">
        <v>3</v>
      </c>
      <c r="H75" s="5" t="s">
        <v>982</v>
      </c>
      <c r="I75" s="1">
        <v>12</v>
      </c>
      <c r="J75" s="5" t="s">
        <v>981</v>
      </c>
      <c r="K75" s="1">
        <v>3</v>
      </c>
      <c r="L75" s="5" t="s">
        <v>982</v>
      </c>
      <c r="M75" s="1">
        <v>3</v>
      </c>
      <c r="N75" s="5" t="s">
        <v>982</v>
      </c>
      <c r="O75" s="1">
        <v>7</v>
      </c>
      <c r="P75" s="5" t="s">
        <v>982</v>
      </c>
      <c r="Q75" s="1">
        <v>1</v>
      </c>
      <c r="R75" s="1">
        <v>0</v>
      </c>
      <c r="S75" s="1">
        <v>1</v>
      </c>
      <c r="T75" s="1">
        <v>1</v>
      </c>
      <c r="U75" s="1">
        <v>5</v>
      </c>
      <c r="V75" s="1">
        <v>3</v>
      </c>
      <c r="W75" s="1">
        <v>41</v>
      </c>
      <c r="X75" s="1">
        <v>0</v>
      </c>
      <c r="Y75" s="1">
        <v>6</v>
      </c>
      <c r="Z75" s="1">
        <v>6</v>
      </c>
      <c r="AA75" s="1">
        <v>800000</v>
      </c>
      <c r="AB75" s="1">
        <v>3</v>
      </c>
    </row>
    <row r="76" spans="1:28" ht="12.75" customHeight="1" x14ac:dyDescent="0.15">
      <c r="A76" s="5">
        <v>19</v>
      </c>
      <c r="B76" s="5" t="s">
        <v>238</v>
      </c>
      <c r="C76" s="1">
        <v>37</v>
      </c>
      <c r="D76" s="5" t="s">
        <v>981</v>
      </c>
      <c r="E76" s="1">
        <v>8</v>
      </c>
      <c r="F76" s="5" t="s">
        <v>981</v>
      </c>
      <c r="G76" s="1">
        <v>2</v>
      </c>
      <c r="H76" s="5" t="s">
        <v>982</v>
      </c>
      <c r="I76" s="1">
        <v>8</v>
      </c>
      <c r="J76" s="5" t="s">
        <v>981</v>
      </c>
      <c r="K76" s="1">
        <v>12</v>
      </c>
      <c r="L76" s="5" t="s">
        <v>981</v>
      </c>
      <c r="M76" s="1">
        <v>12</v>
      </c>
      <c r="N76" s="5" t="s">
        <v>981</v>
      </c>
      <c r="O76" s="1">
        <v>0</v>
      </c>
      <c r="P76" s="5" t="s">
        <v>983</v>
      </c>
      <c r="Q76" s="1">
        <v>0</v>
      </c>
      <c r="R76" s="1">
        <v>0</v>
      </c>
      <c r="S76" s="1" t="s">
        <v>194</v>
      </c>
      <c r="T76" s="1">
        <v>1</v>
      </c>
      <c r="U76" s="1">
        <v>5</v>
      </c>
      <c r="V76" s="1">
        <v>2</v>
      </c>
      <c r="W76" s="1">
        <v>66</v>
      </c>
      <c r="X76" s="1">
        <v>0</v>
      </c>
      <c r="Y76" s="1">
        <v>10</v>
      </c>
      <c r="Z76" s="1">
        <v>3</v>
      </c>
      <c r="AA76" s="1">
        <v>800000</v>
      </c>
      <c r="AB76" s="1">
        <v>2</v>
      </c>
    </row>
    <row r="77" spans="1:28" ht="12.75" customHeight="1" x14ac:dyDescent="0.15">
      <c r="A77" s="5">
        <v>407</v>
      </c>
      <c r="B77" s="5" t="s">
        <v>984</v>
      </c>
      <c r="C77" s="1">
        <v>18</v>
      </c>
      <c r="D77" s="5" t="s">
        <v>983</v>
      </c>
      <c r="E77" s="1">
        <v>2</v>
      </c>
      <c r="F77" s="5" t="s">
        <v>982</v>
      </c>
      <c r="G77" s="1">
        <v>0</v>
      </c>
      <c r="H77" s="5" t="s">
        <v>983</v>
      </c>
      <c r="I77" s="1">
        <v>0</v>
      </c>
      <c r="J77" s="5" t="s">
        <v>983</v>
      </c>
      <c r="K77" s="1">
        <v>0</v>
      </c>
      <c r="L77" s="5" t="s">
        <v>983</v>
      </c>
      <c r="M77" s="1">
        <v>0</v>
      </c>
      <c r="N77" s="5" t="s">
        <v>983</v>
      </c>
      <c r="O77" s="1">
        <v>0</v>
      </c>
      <c r="P77" s="5" t="s">
        <v>983</v>
      </c>
      <c r="Q77" s="1">
        <v>0</v>
      </c>
      <c r="R77" s="1">
        <v>0</v>
      </c>
      <c r="S77" s="1">
        <v>0</v>
      </c>
      <c r="T77" s="1">
        <v>1</v>
      </c>
      <c r="U77" s="1">
        <v>3</v>
      </c>
      <c r="V77" s="1">
        <v>3</v>
      </c>
      <c r="W77" s="1">
        <v>42</v>
      </c>
      <c r="X77" s="1">
        <v>0</v>
      </c>
      <c r="Y77" s="1">
        <v>16</v>
      </c>
      <c r="Z77" s="1">
        <v>2</v>
      </c>
      <c r="AA77" s="1">
        <v>800000</v>
      </c>
      <c r="AB77" s="1">
        <v>3</v>
      </c>
    </row>
    <row r="78" spans="1:28" ht="12.75" customHeight="1" x14ac:dyDescent="0.15">
      <c r="A78" s="5">
        <v>143</v>
      </c>
      <c r="B78" s="5" t="s">
        <v>238</v>
      </c>
      <c r="C78" s="1">
        <v>17</v>
      </c>
      <c r="D78" s="5" t="s">
        <v>983</v>
      </c>
      <c r="E78" s="1">
        <v>3</v>
      </c>
      <c r="F78" s="5" t="s">
        <v>982</v>
      </c>
      <c r="G78" s="1">
        <v>6</v>
      </c>
      <c r="H78" s="5" t="s">
        <v>981</v>
      </c>
      <c r="I78" s="1">
        <v>3</v>
      </c>
      <c r="J78" s="5" t="s">
        <v>982</v>
      </c>
      <c r="K78" s="1">
        <v>0</v>
      </c>
      <c r="L78" s="5" t="s">
        <v>983</v>
      </c>
      <c r="M78" s="1">
        <v>0</v>
      </c>
      <c r="N78" s="5" t="s">
        <v>983</v>
      </c>
      <c r="O78" s="1">
        <v>0</v>
      </c>
      <c r="P78" s="5" t="s">
        <v>983</v>
      </c>
      <c r="Q78" s="1">
        <v>1</v>
      </c>
      <c r="R78" s="1">
        <v>0</v>
      </c>
      <c r="S78" s="1">
        <v>1</v>
      </c>
      <c r="T78" s="1">
        <v>0</v>
      </c>
      <c r="U78" s="1" t="s">
        <v>194</v>
      </c>
      <c r="V78" s="1" t="s">
        <v>194</v>
      </c>
      <c r="W78" s="1">
        <v>34</v>
      </c>
      <c r="X78" s="1">
        <v>1</v>
      </c>
      <c r="Y78" s="1">
        <v>14</v>
      </c>
      <c r="Z78" s="1">
        <v>2</v>
      </c>
      <c r="AA78" s="1">
        <v>800000</v>
      </c>
      <c r="AB78" s="1">
        <v>5</v>
      </c>
    </row>
    <row r="79" spans="1:28" ht="12.75" customHeight="1" x14ac:dyDescent="0.15">
      <c r="A79" s="5">
        <v>112</v>
      </c>
      <c r="B79" s="5" t="s">
        <v>238</v>
      </c>
      <c r="C79" s="1">
        <v>23</v>
      </c>
      <c r="D79" s="5" t="s">
        <v>982</v>
      </c>
      <c r="E79" s="1">
        <v>6</v>
      </c>
      <c r="F79" s="5" t="s">
        <v>981</v>
      </c>
      <c r="G79" s="1">
        <v>4</v>
      </c>
      <c r="H79" s="5" t="s">
        <v>982</v>
      </c>
      <c r="I79" s="1">
        <v>11</v>
      </c>
      <c r="J79" s="5" t="s">
        <v>981</v>
      </c>
      <c r="K79" s="1">
        <v>5</v>
      </c>
      <c r="L79" s="5" t="s">
        <v>982</v>
      </c>
      <c r="M79" s="1">
        <v>4</v>
      </c>
      <c r="N79" s="5" t="s">
        <v>982</v>
      </c>
      <c r="O79" s="1">
        <v>0</v>
      </c>
      <c r="P79" s="5" t="s">
        <v>983</v>
      </c>
      <c r="Q79" s="1">
        <v>1</v>
      </c>
      <c r="R79" s="1">
        <v>0</v>
      </c>
      <c r="S79" s="1">
        <v>1</v>
      </c>
      <c r="T79" s="1">
        <v>1</v>
      </c>
      <c r="U79" s="1">
        <v>1</v>
      </c>
      <c r="V79" s="1">
        <v>2</v>
      </c>
      <c r="W79" s="1">
        <v>58</v>
      </c>
      <c r="X79" s="1">
        <v>0</v>
      </c>
      <c r="Y79" s="1">
        <v>16</v>
      </c>
      <c r="Z79" s="1">
        <v>1</v>
      </c>
      <c r="AA79" s="1">
        <v>800000</v>
      </c>
      <c r="AB79" s="1">
        <v>3</v>
      </c>
    </row>
    <row r="80" spans="1:28" ht="12.75" customHeight="1" x14ac:dyDescent="0.15">
      <c r="A80" s="5">
        <v>52</v>
      </c>
      <c r="B80" s="5" t="s">
        <v>238</v>
      </c>
      <c r="C80" s="1">
        <v>22</v>
      </c>
      <c r="D80" s="5" t="s">
        <v>982</v>
      </c>
      <c r="E80" s="1">
        <v>5</v>
      </c>
      <c r="F80" s="5" t="s">
        <v>981</v>
      </c>
      <c r="G80" s="1">
        <v>5</v>
      </c>
      <c r="H80" s="5" t="s">
        <v>982</v>
      </c>
      <c r="I80" s="1">
        <v>8</v>
      </c>
      <c r="J80" s="5" t="s">
        <v>981</v>
      </c>
      <c r="K80" s="1">
        <v>5</v>
      </c>
      <c r="L80" s="5" t="s">
        <v>982</v>
      </c>
      <c r="M80" s="1">
        <v>3</v>
      </c>
      <c r="N80" s="5" t="s">
        <v>982</v>
      </c>
      <c r="O80" s="1">
        <v>0</v>
      </c>
      <c r="P80" s="5" t="s">
        <v>983</v>
      </c>
      <c r="Q80" s="1">
        <v>1</v>
      </c>
      <c r="R80" s="1">
        <v>0</v>
      </c>
      <c r="S80" s="1">
        <v>1</v>
      </c>
      <c r="T80" s="1">
        <v>1</v>
      </c>
      <c r="U80" s="1">
        <v>5</v>
      </c>
      <c r="V80" s="1">
        <v>5</v>
      </c>
      <c r="W80" s="1">
        <v>51</v>
      </c>
      <c r="X80" s="1">
        <v>0</v>
      </c>
      <c r="Y80" s="1">
        <v>16</v>
      </c>
      <c r="Z80" s="1">
        <v>24</v>
      </c>
      <c r="AA80" s="1">
        <v>780000</v>
      </c>
      <c r="AB80" s="1">
        <v>3</v>
      </c>
    </row>
    <row r="81" spans="1:28" ht="12.75" customHeight="1" x14ac:dyDescent="0.15">
      <c r="A81" s="5">
        <v>5</v>
      </c>
      <c r="B81" s="5" t="s">
        <v>238</v>
      </c>
      <c r="C81" s="1">
        <v>20</v>
      </c>
      <c r="D81" s="5" t="s">
        <v>982</v>
      </c>
      <c r="E81" s="1">
        <v>9</v>
      </c>
      <c r="F81" s="5" t="s">
        <v>981</v>
      </c>
      <c r="G81" s="1">
        <v>6</v>
      </c>
      <c r="H81" s="5" t="s">
        <v>981</v>
      </c>
      <c r="I81" s="1">
        <v>4</v>
      </c>
      <c r="J81" s="5" t="s">
        <v>982</v>
      </c>
      <c r="K81" s="1">
        <v>4</v>
      </c>
      <c r="L81" s="5" t="s">
        <v>982</v>
      </c>
      <c r="M81" s="1">
        <v>2</v>
      </c>
      <c r="N81" s="5" t="s">
        <v>983</v>
      </c>
      <c r="O81" s="1">
        <v>4</v>
      </c>
      <c r="P81" s="5" t="s">
        <v>982</v>
      </c>
      <c r="Q81" s="1">
        <v>0</v>
      </c>
      <c r="R81" s="1">
        <v>0</v>
      </c>
      <c r="S81" s="1" t="s">
        <v>194</v>
      </c>
      <c r="T81" s="1">
        <v>1</v>
      </c>
      <c r="U81" s="1">
        <v>2</v>
      </c>
      <c r="V81" s="1">
        <v>2</v>
      </c>
      <c r="W81" s="1">
        <v>51</v>
      </c>
      <c r="X81" s="1">
        <v>1</v>
      </c>
      <c r="Y81" s="1">
        <v>16</v>
      </c>
      <c r="Z81" s="1">
        <v>34</v>
      </c>
      <c r="AA81" s="1">
        <v>750000</v>
      </c>
      <c r="AB81" s="1">
        <v>2</v>
      </c>
    </row>
    <row r="82" spans="1:28" ht="12.75" customHeight="1" x14ac:dyDescent="0.15">
      <c r="A82" s="5">
        <v>437</v>
      </c>
      <c r="B82" s="5" t="s">
        <v>238</v>
      </c>
      <c r="C82" s="1">
        <v>23</v>
      </c>
      <c r="D82" s="5" t="s">
        <v>982</v>
      </c>
      <c r="E82" s="1">
        <v>12</v>
      </c>
      <c r="F82" s="5" t="s">
        <v>981</v>
      </c>
      <c r="G82" s="1">
        <v>6</v>
      </c>
      <c r="H82" s="5" t="s">
        <v>981</v>
      </c>
      <c r="I82" s="1">
        <v>11</v>
      </c>
      <c r="J82" s="5" t="s">
        <v>981</v>
      </c>
      <c r="K82" s="1">
        <v>1</v>
      </c>
      <c r="L82" s="5" t="s">
        <v>983</v>
      </c>
      <c r="M82" s="1">
        <v>11</v>
      </c>
      <c r="N82" s="5" t="s">
        <v>981</v>
      </c>
      <c r="O82" s="1">
        <v>0</v>
      </c>
      <c r="P82" s="5" t="s">
        <v>983</v>
      </c>
      <c r="Q82" s="1">
        <v>1</v>
      </c>
      <c r="R82" s="1">
        <v>0</v>
      </c>
      <c r="S82" s="1">
        <v>1</v>
      </c>
      <c r="T82" s="1">
        <v>1</v>
      </c>
      <c r="U82" s="1">
        <v>3</v>
      </c>
      <c r="V82" s="1">
        <v>3</v>
      </c>
      <c r="W82" s="1">
        <v>32</v>
      </c>
      <c r="X82" s="1">
        <v>0</v>
      </c>
      <c r="Y82" s="1">
        <v>16</v>
      </c>
      <c r="Z82" s="1">
        <v>34</v>
      </c>
      <c r="AA82" s="1">
        <v>750000</v>
      </c>
      <c r="AB82" s="1">
        <v>4</v>
      </c>
    </row>
    <row r="83" spans="1:28" ht="12.75" customHeight="1" x14ac:dyDescent="0.15">
      <c r="A83" s="5">
        <v>89</v>
      </c>
      <c r="B83" s="5" t="s">
        <v>984</v>
      </c>
      <c r="C83" s="1">
        <v>47</v>
      </c>
      <c r="D83" s="5" t="s">
        <v>981</v>
      </c>
      <c r="E83" s="1">
        <v>0</v>
      </c>
      <c r="F83" s="5" t="s">
        <v>983</v>
      </c>
      <c r="G83" s="1">
        <v>1</v>
      </c>
      <c r="H83" s="5" t="s">
        <v>983</v>
      </c>
      <c r="I83" s="1">
        <v>5</v>
      </c>
      <c r="J83" s="5" t="s">
        <v>981</v>
      </c>
      <c r="K83" s="1">
        <v>3</v>
      </c>
      <c r="L83" s="5" t="s">
        <v>982</v>
      </c>
      <c r="M83" s="1">
        <v>0</v>
      </c>
      <c r="N83" s="5" t="s">
        <v>983</v>
      </c>
      <c r="O83" s="1">
        <v>0</v>
      </c>
      <c r="P83" s="5" t="s">
        <v>983</v>
      </c>
      <c r="Q83" s="1">
        <v>1</v>
      </c>
      <c r="R83" s="1">
        <v>0</v>
      </c>
      <c r="S83" s="1">
        <v>1</v>
      </c>
      <c r="T83" s="1">
        <v>1</v>
      </c>
      <c r="U83" s="1">
        <v>5</v>
      </c>
      <c r="V83" s="1">
        <v>2</v>
      </c>
      <c r="W83" s="1">
        <v>49</v>
      </c>
      <c r="X83" s="1">
        <v>1</v>
      </c>
      <c r="Y83" s="1">
        <v>12</v>
      </c>
      <c r="Z83" s="1">
        <v>15</v>
      </c>
      <c r="AA83" s="1">
        <v>750000</v>
      </c>
      <c r="AB83" s="1">
        <v>3</v>
      </c>
    </row>
    <row r="84" spans="1:28" ht="12.75" customHeight="1" x14ac:dyDescent="0.15">
      <c r="A84" s="5">
        <v>154</v>
      </c>
      <c r="B84" s="5" t="s">
        <v>238</v>
      </c>
      <c r="C84" s="1">
        <v>28</v>
      </c>
      <c r="D84" s="5" t="s">
        <v>981</v>
      </c>
      <c r="E84" s="1">
        <v>3</v>
      </c>
      <c r="F84" s="5" t="s">
        <v>982</v>
      </c>
      <c r="G84" s="1">
        <v>4</v>
      </c>
      <c r="H84" s="5" t="s">
        <v>982</v>
      </c>
      <c r="I84" s="1">
        <v>8</v>
      </c>
      <c r="J84" s="5" t="s">
        <v>981</v>
      </c>
      <c r="K84" s="1">
        <v>4</v>
      </c>
      <c r="L84" s="5" t="s">
        <v>982</v>
      </c>
      <c r="M84" s="1">
        <v>3</v>
      </c>
      <c r="N84" s="5" t="s">
        <v>982</v>
      </c>
      <c r="O84" s="1">
        <v>4</v>
      </c>
      <c r="P84" s="5" t="s">
        <v>982</v>
      </c>
      <c r="Q84" s="1">
        <v>1</v>
      </c>
      <c r="R84" s="1">
        <v>0</v>
      </c>
      <c r="S84" s="1">
        <v>1</v>
      </c>
      <c r="T84" s="1">
        <v>1</v>
      </c>
      <c r="U84" s="1">
        <v>4</v>
      </c>
      <c r="V84" s="1">
        <v>4</v>
      </c>
      <c r="W84" s="1">
        <v>42</v>
      </c>
      <c r="X84" s="1">
        <v>0</v>
      </c>
      <c r="Y84" s="1">
        <v>18</v>
      </c>
      <c r="Z84" s="1">
        <v>1</v>
      </c>
      <c r="AA84" s="1">
        <v>750000</v>
      </c>
      <c r="AB84" s="1">
        <v>3</v>
      </c>
    </row>
    <row r="85" spans="1:28" ht="12.75" customHeight="1" x14ac:dyDescent="0.15">
      <c r="A85" s="5">
        <v>149</v>
      </c>
      <c r="B85" s="5" t="s">
        <v>238</v>
      </c>
      <c r="C85" s="1">
        <v>12</v>
      </c>
      <c r="D85" s="5" t="s">
        <v>983</v>
      </c>
      <c r="E85" s="1">
        <v>3</v>
      </c>
      <c r="F85" s="5" t="s">
        <v>982</v>
      </c>
      <c r="G85" s="1">
        <v>3</v>
      </c>
      <c r="H85" s="5" t="s">
        <v>982</v>
      </c>
      <c r="I85" s="1">
        <v>12</v>
      </c>
      <c r="J85" s="5" t="s">
        <v>981</v>
      </c>
      <c r="K85" s="1">
        <v>3</v>
      </c>
      <c r="L85" s="5" t="s">
        <v>982</v>
      </c>
      <c r="M85" s="1">
        <v>3</v>
      </c>
      <c r="N85" s="5" t="s">
        <v>982</v>
      </c>
      <c r="O85" s="1">
        <v>0</v>
      </c>
      <c r="P85" s="5" t="s">
        <v>983</v>
      </c>
      <c r="Q85" s="1">
        <v>1</v>
      </c>
      <c r="R85" s="1">
        <v>0</v>
      </c>
      <c r="S85" s="1">
        <v>1</v>
      </c>
      <c r="T85" s="1">
        <v>1</v>
      </c>
      <c r="U85" s="1" t="s">
        <v>194</v>
      </c>
      <c r="V85" s="1" t="s">
        <v>194</v>
      </c>
      <c r="W85" s="1">
        <v>34</v>
      </c>
      <c r="X85" s="1">
        <v>0</v>
      </c>
      <c r="Y85" s="1">
        <v>18</v>
      </c>
      <c r="Z85" s="1">
        <v>34</v>
      </c>
      <c r="AA85" s="1">
        <v>700000</v>
      </c>
      <c r="AB85" s="1">
        <v>3</v>
      </c>
    </row>
    <row r="86" spans="1:28" ht="12.75" customHeight="1" x14ac:dyDescent="0.15">
      <c r="A86" s="5">
        <v>150</v>
      </c>
      <c r="B86" s="5" t="s">
        <v>238</v>
      </c>
      <c r="C86" s="1">
        <v>23</v>
      </c>
      <c r="D86" s="5" t="s">
        <v>982</v>
      </c>
      <c r="E86" s="1">
        <v>6</v>
      </c>
      <c r="F86" s="5" t="s">
        <v>981</v>
      </c>
      <c r="G86" s="1">
        <v>6</v>
      </c>
      <c r="H86" s="5" t="s">
        <v>981</v>
      </c>
      <c r="I86" s="1">
        <v>0</v>
      </c>
      <c r="J86" s="5" t="s">
        <v>983</v>
      </c>
      <c r="K86" s="1">
        <v>4</v>
      </c>
      <c r="L86" s="5" t="s">
        <v>982</v>
      </c>
      <c r="M86" s="1">
        <v>4</v>
      </c>
      <c r="N86" s="5" t="s">
        <v>982</v>
      </c>
      <c r="O86" s="1">
        <v>0</v>
      </c>
      <c r="P86" s="5" t="s">
        <v>983</v>
      </c>
      <c r="Q86" s="1">
        <v>0</v>
      </c>
      <c r="R86" s="1">
        <v>0</v>
      </c>
      <c r="S86" s="1" t="s">
        <v>194</v>
      </c>
      <c r="T86" s="1">
        <v>1</v>
      </c>
      <c r="U86" s="1">
        <v>5</v>
      </c>
      <c r="V86" s="1">
        <v>4</v>
      </c>
      <c r="W86" s="1">
        <v>34</v>
      </c>
      <c r="X86" s="1">
        <v>0</v>
      </c>
      <c r="Y86" s="1">
        <v>18</v>
      </c>
      <c r="Z86" s="1">
        <v>34</v>
      </c>
      <c r="AA86" s="1">
        <v>700000</v>
      </c>
      <c r="AB86" s="1">
        <v>3</v>
      </c>
    </row>
    <row r="87" spans="1:28" ht="12.75" customHeight="1" x14ac:dyDescent="0.15">
      <c r="A87" s="5">
        <v>293</v>
      </c>
      <c r="B87" s="5" t="s">
        <v>238</v>
      </c>
      <c r="C87" s="1">
        <v>36</v>
      </c>
      <c r="D87" s="5" t="s">
        <v>981</v>
      </c>
      <c r="E87" s="1">
        <v>8</v>
      </c>
      <c r="F87" s="5" t="s">
        <v>981</v>
      </c>
      <c r="G87" s="1">
        <v>8</v>
      </c>
      <c r="H87" s="5" t="s">
        <v>981</v>
      </c>
      <c r="I87" s="1">
        <v>8</v>
      </c>
      <c r="J87" s="5" t="s">
        <v>981</v>
      </c>
      <c r="K87" s="1">
        <v>6</v>
      </c>
      <c r="L87" s="5" t="s">
        <v>981</v>
      </c>
      <c r="M87" s="1">
        <v>6</v>
      </c>
      <c r="N87" s="5" t="s">
        <v>981</v>
      </c>
      <c r="O87" s="1">
        <v>0</v>
      </c>
      <c r="P87" s="5" t="s">
        <v>983</v>
      </c>
      <c r="Q87" s="1">
        <v>0</v>
      </c>
      <c r="R87" s="1">
        <v>1</v>
      </c>
      <c r="S87" s="1" t="s">
        <v>194</v>
      </c>
      <c r="T87" s="1">
        <v>1</v>
      </c>
      <c r="U87" s="1">
        <v>2</v>
      </c>
      <c r="V87" s="1">
        <v>3</v>
      </c>
      <c r="W87" s="1">
        <v>42</v>
      </c>
      <c r="X87" s="1">
        <v>0</v>
      </c>
      <c r="Y87" s="1">
        <v>18</v>
      </c>
      <c r="Z87" s="1">
        <v>34</v>
      </c>
      <c r="AA87" s="1">
        <v>700000</v>
      </c>
      <c r="AB87" s="1">
        <v>4</v>
      </c>
    </row>
    <row r="88" spans="1:28" ht="12.75" customHeight="1" x14ac:dyDescent="0.15">
      <c r="A88" s="5">
        <v>196</v>
      </c>
      <c r="B88" s="5" t="s">
        <v>238</v>
      </c>
      <c r="C88" s="1">
        <v>12</v>
      </c>
      <c r="D88" s="5" t="s">
        <v>983</v>
      </c>
      <c r="E88" s="1">
        <v>5</v>
      </c>
      <c r="F88" s="5" t="s">
        <v>981</v>
      </c>
      <c r="G88" s="1">
        <v>0</v>
      </c>
      <c r="H88" s="5" t="s">
        <v>983</v>
      </c>
      <c r="I88" s="1">
        <v>11</v>
      </c>
      <c r="J88" s="5" t="s">
        <v>981</v>
      </c>
      <c r="K88" s="1">
        <v>2</v>
      </c>
      <c r="L88" s="5" t="s">
        <v>983</v>
      </c>
      <c r="M88" s="1">
        <v>0</v>
      </c>
      <c r="N88" s="5" t="s">
        <v>983</v>
      </c>
      <c r="O88" s="1">
        <v>0</v>
      </c>
      <c r="P88" s="5" t="s">
        <v>983</v>
      </c>
      <c r="Q88" s="1">
        <v>1</v>
      </c>
      <c r="R88" s="1">
        <v>0</v>
      </c>
      <c r="S88" s="1">
        <v>1</v>
      </c>
      <c r="T88" s="1">
        <v>1</v>
      </c>
      <c r="U88" s="1">
        <v>5</v>
      </c>
      <c r="V88" s="1">
        <v>3</v>
      </c>
      <c r="W88" s="1">
        <v>39</v>
      </c>
      <c r="X88" s="1">
        <v>1</v>
      </c>
      <c r="Y88" s="1">
        <v>14</v>
      </c>
      <c r="Z88" s="1">
        <v>34</v>
      </c>
      <c r="AA88" s="1">
        <v>700000</v>
      </c>
      <c r="AB88" s="1">
        <v>3</v>
      </c>
    </row>
    <row r="89" spans="1:28" ht="12.75" customHeight="1" x14ac:dyDescent="0.15">
      <c r="A89" s="5">
        <v>30</v>
      </c>
      <c r="B89" s="5" t="s">
        <v>984</v>
      </c>
      <c r="C89" s="1">
        <v>26</v>
      </c>
      <c r="D89" s="5" t="s">
        <v>981</v>
      </c>
      <c r="E89" s="1">
        <v>7</v>
      </c>
      <c r="F89" s="5" t="s">
        <v>981</v>
      </c>
      <c r="G89" s="1">
        <v>6</v>
      </c>
      <c r="H89" s="5" t="s">
        <v>981</v>
      </c>
      <c r="I89" s="1">
        <v>9</v>
      </c>
      <c r="J89" s="5" t="s">
        <v>981</v>
      </c>
      <c r="K89" s="1">
        <v>9</v>
      </c>
      <c r="L89" s="5" t="s">
        <v>981</v>
      </c>
      <c r="M89" s="1">
        <v>12</v>
      </c>
      <c r="N89" s="5" t="s">
        <v>981</v>
      </c>
      <c r="O89" s="1">
        <v>3</v>
      </c>
      <c r="P89" s="5" t="s">
        <v>982</v>
      </c>
      <c r="Q89" s="1">
        <v>0</v>
      </c>
      <c r="R89" s="1">
        <v>1</v>
      </c>
      <c r="S89" s="1" t="s">
        <v>194</v>
      </c>
      <c r="T89" s="1">
        <v>1</v>
      </c>
      <c r="U89" s="1" t="s">
        <v>194</v>
      </c>
      <c r="V89" s="1" t="s">
        <v>194</v>
      </c>
      <c r="W89" s="1">
        <v>68</v>
      </c>
      <c r="X89" s="1">
        <v>0</v>
      </c>
      <c r="Y89" s="1">
        <v>14</v>
      </c>
      <c r="Z89" s="1">
        <v>34</v>
      </c>
      <c r="AA89" s="1">
        <v>700000</v>
      </c>
      <c r="AB89" s="1">
        <v>2</v>
      </c>
    </row>
    <row r="90" spans="1:28" ht="12.75" customHeight="1" x14ac:dyDescent="0.15">
      <c r="A90" s="5">
        <v>165</v>
      </c>
      <c r="B90" s="5" t="s">
        <v>238</v>
      </c>
      <c r="C90" s="1">
        <v>17</v>
      </c>
      <c r="D90" s="5" t="s">
        <v>983</v>
      </c>
      <c r="E90" s="1">
        <v>3</v>
      </c>
      <c r="F90" s="5" t="s">
        <v>982</v>
      </c>
      <c r="G90" s="1">
        <v>6</v>
      </c>
      <c r="H90" s="5" t="s">
        <v>981</v>
      </c>
      <c r="I90" s="1">
        <v>6</v>
      </c>
      <c r="J90" s="5" t="s">
        <v>981</v>
      </c>
      <c r="K90" s="1">
        <v>4</v>
      </c>
      <c r="L90" s="5" t="s">
        <v>982</v>
      </c>
      <c r="M90" s="1">
        <v>5</v>
      </c>
      <c r="N90" s="5" t="s">
        <v>982</v>
      </c>
      <c r="O90" s="1">
        <v>3</v>
      </c>
      <c r="P90" s="5" t="s">
        <v>982</v>
      </c>
      <c r="Q90" s="1">
        <v>1</v>
      </c>
      <c r="R90" s="1">
        <v>0</v>
      </c>
      <c r="S90" s="1">
        <v>1</v>
      </c>
      <c r="T90" s="1">
        <v>1</v>
      </c>
      <c r="U90" s="1">
        <v>3</v>
      </c>
      <c r="V90" s="1">
        <v>2</v>
      </c>
      <c r="W90" s="1">
        <v>31</v>
      </c>
      <c r="X90" s="1">
        <v>0</v>
      </c>
      <c r="Y90" s="1">
        <v>18</v>
      </c>
      <c r="Z90" s="1">
        <v>25</v>
      </c>
      <c r="AA90" s="1">
        <v>700000</v>
      </c>
      <c r="AB90" s="1">
        <v>1</v>
      </c>
    </row>
    <row r="91" spans="1:28" ht="12.75" customHeight="1" x14ac:dyDescent="0.15">
      <c r="A91" s="5">
        <v>185</v>
      </c>
      <c r="B91" s="5" t="s">
        <v>238</v>
      </c>
      <c r="C91" s="1">
        <v>37</v>
      </c>
      <c r="D91" s="5" t="s">
        <v>981</v>
      </c>
      <c r="E91" s="1">
        <v>6</v>
      </c>
      <c r="F91" s="5" t="s">
        <v>981</v>
      </c>
      <c r="G91" s="1">
        <v>6</v>
      </c>
      <c r="H91" s="5" t="s">
        <v>981</v>
      </c>
      <c r="I91" s="1">
        <v>16</v>
      </c>
      <c r="J91" s="5" t="s">
        <v>981</v>
      </c>
      <c r="K91" s="1">
        <v>2</v>
      </c>
      <c r="L91" s="5" t="s">
        <v>983</v>
      </c>
      <c r="M91" s="1">
        <v>3</v>
      </c>
      <c r="N91" s="5" t="s">
        <v>982</v>
      </c>
      <c r="O91" s="1">
        <v>0</v>
      </c>
      <c r="P91" s="5" t="s">
        <v>983</v>
      </c>
      <c r="Q91" s="1">
        <v>0</v>
      </c>
      <c r="R91" s="1">
        <v>0</v>
      </c>
      <c r="S91" s="1" t="s">
        <v>194</v>
      </c>
      <c r="T91" s="1">
        <v>1</v>
      </c>
      <c r="U91" s="1">
        <v>1</v>
      </c>
      <c r="V91" s="1">
        <v>3</v>
      </c>
      <c r="W91" s="1">
        <v>47</v>
      </c>
      <c r="X91" s="1">
        <v>0</v>
      </c>
      <c r="Y91" s="1">
        <v>14</v>
      </c>
      <c r="Z91" s="1">
        <v>24</v>
      </c>
      <c r="AA91" s="1">
        <v>700000</v>
      </c>
      <c r="AB91" s="1">
        <v>6</v>
      </c>
    </row>
    <row r="92" spans="1:28" ht="12.75" customHeight="1" x14ac:dyDescent="0.15">
      <c r="A92" s="5">
        <v>186</v>
      </c>
      <c r="B92" s="5" t="s">
        <v>238</v>
      </c>
      <c r="C92" s="1">
        <v>32</v>
      </c>
      <c r="D92" s="5" t="s">
        <v>981</v>
      </c>
      <c r="E92" s="1">
        <v>9</v>
      </c>
      <c r="F92" s="5" t="s">
        <v>981</v>
      </c>
      <c r="G92" s="1">
        <v>9</v>
      </c>
      <c r="H92" s="5" t="s">
        <v>981</v>
      </c>
      <c r="I92" s="1">
        <v>9</v>
      </c>
      <c r="J92" s="5" t="s">
        <v>981</v>
      </c>
      <c r="K92" s="1">
        <v>9</v>
      </c>
      <c r="L92" s="5" t="s">
        <v>981</v>
      </c>
      <c r="M92" s="1">
        <v>9</v>
      </c>
      <c r="N92" s="5" t="s">
        <v>981</v>
      </c>
      <c r="O92" s="1">
        <v>2</v>
      </c>
      <c r="P92" s="5" t="s">
        <v>982</v>
      </c>
      <c r="Q92" s="1">
        <v>0</v>
      </c>
      <c r="R92" s="1">
        <v>0</v>
      </c>
      <c r="S92" s="1" t="s">
        <v>194</v>
      </c>
      <c r="T92" s="1">
        <v>1</v>
      </c>
      <c r="U92" s="1">
        <v>1</v>
      </c>
      <c r="V92" s="1">
        <v>1</v>
      </c>
      <c r="W92" s="1">
        <v>47</v>
      </c>
      <c r="X92" s="1">
        <v>0</v>
      </c>
      <c r="Y92" s="1">
        <v>14</v>
      </c>
      <c r="Z92" s="1">
        <v>24</v>
      </c>
      <c r="AA92" s="1">
        <v>700000</v>
      </c>
      <c r="AB92" s="1">
        <v>6</v>
      </c>
    </row>
    <row r="93" spans="1:28" ht="12.75" customHeight="1" x14ac:dyDescent="0.15">
      <c r="A93" s="5">
        <v>160</v>
      </c>
      <c r="B93" s="5" t="s">
        <v>238</v>
      </c>
      <c r="C93" s="1">
        <v>32</v>
      </c>
      <c r="D93" s="5" t="s">
        <v>981</v>
      </c>
      <c r="E93" s="1">
        <v>6</v>
      </c>
      <c r="F93" s="5" t="s">
        <v>981</v>
      </c>
      <c r="G93" s="1">
        <v>5</v>
      </c>
      <c r="H93" s="5" t="s">
        <v>982</v>
      </c>
      <c r="I93" s="1">
        <v>3</v>
      </c>
      <c r="J93" s="5" t="s">
        <v>982</v>
      </c>
      <c r="K93" s="1">
        <v>7</v>
      </c>
      <c r="L93" s="5" t="s">
        <v>981</v>
      </c>
      <c r="M93" s="1">
        <v>7</v>
      </c>
      <c r="N93" s="5" t="s">
        <v>981</v>
      </c>
      <c r="O93" s="1">
        <v>0</v>
      </c>
      <c r="P93" s="5" t="s">
        <v>983</v>
      </c>
      <c r="Q93" s="1">
        <v>1</v>
      </c>
      <c r="R93" s="1">
        <v>0</v>
      </c>
      <c r="S93" s="1">
        <v>1</v>
      </c>
      <c r="T93" s="1">
        <v>1</v>
      </c>
      <c r="U93" s="1" t="s">
        <v>194</v>
      </c>
      <c r="V93" s="1">
        <v>3</v>
      </c>
      <c r="W93" s="1">
        <v>31</v>
      </c>
      <c r="X93" s="1">
        <v>0</v>
      </c>
      <c r="Y93" s="1">
        <v>16</v>
      </c>
      <c r="Z93" s="1">
        <v>5</v>
      </c>
      <c r="AA93" s="1">
        <v>700000</v>
      </c>
      <c r="AB93" s="1">
        <v>4</v>
      </c>
    </row>
    <row r="94" spans="1:28" ht="12.75" customHeight="1" x14ac:dyDescent="0.15">
      <c r="A94" s="5">
        <v>86</v>
      </c>
      <c r="B94" s="5" t="s">
        <v>984</v>
      </c>
      <c r="C94" s="1">
        <v>21</v>
      </c>
      <c r="D94" s="5" t="s">
        <v>982</v>
      </c>
      <c r="E94" s="1">
        <v>5</v>
      </c>
      <c r="F94" s="5" t="s">
        <v>981</v>
      </c>
      <c r="G94" s="1">
        <v>3</v>
      </c>
      <c r="H94" s="5" t="s">
        <v>982</v>
      </c>
      <c r="I94" s="1">
        <v>3</v>
      </c>
      <c r="J94" s="5" t="s">
        <v>982</v>
      </c>
      <c r="K94" s="1">
        <v>4</v>
      </c>
      <c r="L94" s="5" t="s">
        <v>982</v>
      </c>
      <c r="M94" s="1">
        <v>3</v>
      </c>
      <c r="N94" s="5" t="s">
        <v>982</v>
      </c>
      <c r="O94" s="1">
        <v>0</v>
      </c>
      <c r="P94" s="5" t="s">
        <v>983</v>
      </c>
      <c r="Q94" s="1">
        <v>1</v>
      </c>
      <c r="R94" s="1">
        <v>0</v>
      </c>
      <c r="S94" s="1">
        <v>0</v>
      </c>
      <c r="T94" s="1">
        <v>1</v>
      </c>
      <c r="U94" s="1" t="s">
        <v>194</v>
      </c>
      <c r="V94" s="1">
        <v>2</v>
      </c>
      <c r="W94" s="1">
        <v>62</v>
      </c>
      <c r="X94" s="1">
        <v>0</v>
      </c>
      <c r="Y94" s="1">
        <v>14</v>
      </c>
      <c r="Z94" s="1">
        <v>5</v>
      </c>
      <c r="AA94" s="1">
        <v>700000</v>
      </c>
      <c r="AB94" s="1">
        <v>3</v>
      </c>
    </row>
    <row r="95" spans="1:28" ht="12.75" customHeight="1" x14ac:dyDescent="0.15">
      <c r="A95" s="5">
        <v>88</v>
      </c>
      <c r="B95" s="5" t="s">
        <v>984</v>
      </c>
      <c r="C95" s="1">
        <v>15</v>
      </c>
      <c r="D95" s="5" t="s">
        <v>983</v>
      </c>
      <c r="E95" s="1">
        <v>3</v>
      </c>
      <c r="F95" s="5" t="s">
        <v>982</v>
      </c>
      <c r="G95" s="1">
        <v>8</v>
      </c>
      <c r="H95" s="5" t="s">
        <v>981</v>
      </c>
      <c r="I95" s="1">
        <v>6</v>
      </c>
      <c r="J95" s="5" t="s">
        <v>981</v>
      </c>
      <c r="K95" s="1">
        <v>6</v>
      </c>
      <c r="L95" s="5" t="s">
        <v>981</v>
      </c>
      <c r="M95" s="1">
        <v>6</v>
      </c>
      <c r="N95" s="5" t="s">
        <v>981</v>
      </c>
      <c r="O95" s="1">
        <v>5</v>
      </c>
      <c r="P95" s="5" t="s">
        <v>982</v>
      </c>
      <c r="Q95" s="1">
        <v>1</v>
      </c>
      <c r="R95" s="1">
        <v>0</v>
      </c>
      <c r="S95" s="1">
        <v>1</v>
      </c>
      <c r="T95" s="1">
        <v>1</v>
      </c>
      <c r="U95" s="1">
        <v>4</v>
      </c>
      <c r="V95" s="1">
        <v>3</v>
      </c>
      <c r="W95" s="1">
        <v>54</v>
      </c>
      <c r="X95" s="1">
        <v>1</v>
      </c>
      <c r="Y95" s="1">
        <v>13</v>
      </c>
      <c r="Z95" s="1">
        <v>3</v>
      </c>
      <c r="AA95" s="1">
        <v>700000</v>
      </c>
      <c r="AB95" s="1">
        <v>3</v>
      </c>
    </row>
    <row r="96" spans="1:28" ht="12.75" customHeight="1" x14ac:dyDescent="0.15">
      <c r="A96" s="5">
        <v>111</v>
      </c>
      <c r="B96" s="5" t="s">
        <v>984</v>
      </c>
      <c r="C96" s="1">
        <v>21</v>
      </c>
      <c r="D96" s="5" t="s">
        <v>982</v>
      </c>
      <c r="E96" s="1">
        <v>2</v>
      </c>
      <c r="F96" s="5" t="s">
        <v>982</v>
      </c>
      <c r="G96" s="1">
        <v>4</v>
      </c>
      <c r="H96" s="5" t="s">
        <v>982</v>
      </c>
      <c r="I96" s="1">
        <v>9</v>
      </c>
      <c r="J96" s="5" t="s">
        <v>981</v>
      </c>
      <c r="K96" s="1">
        <v>0</v>
      </c>
      <c r="L96" s="5" t="s">
        <v>983</v>
      </c>
      <c r="M96" s="1">
        <v>2</v>
      </c>
      <c r="N96" s="5" t="s">
        <v>983</v>
      </c>
      <c r="O96" s="1">
        <v>1</v>
      </c>
      <c r="P96" s="5" t="s">
        <v>982</v>
      </c>
      <c r="Q96" s="1">
        <v>1</v>
      </c>
      <c r="R96" s="1">
        <v>0</v>
      </c>
      <c r="S96" s="1" t="s">
        <v>194</v>
      </c>
      <c r="T96" s="1">
        <v>0</v>
      </c>
      <c r="U96" s="1" t="s">
        <v>194</v>
      </c>
      <c r="V96" s="1" t="s">
        <v>194</v>
      </c>
      <c r="W96" s="1">
        <v>37</v>
      </c>
      <c r="X96" s="1">
        <v>1</v>
      </c>
      <c r="Y96" s="1">
        <v>18</v>
      </c>
      <c r="Z96" s="1">
        <v>2</v>
      </c>
      <c r="AA96" s="1">
        <v>700000</v>
      </c>
      <c r="AB96" s="1">
        <v>5</v>
      </c>
    </row>
    <row r="97" spans="1:28" ht="12.75" customHeight="1" x14ac:dyDescent="0.15">
      <c r="A97" s="5">
        <v>461</v>
      </c>
      <c r="B97" s="5" t="s">
        <v>238</v>
      </c>
      <c r="C97" s="1">
        <v>19</v>
      </c>
      <c r="D97" s="5" t="s">
        <v>982</v>
      </c>
      <c r="E97" s="1">
        <v>8</v>
      </c>
      <c r="F97" s="5" t="s">
        <v>981</v>
      </c>
      <c r="G97" s="1">
        <v>2</v>
      </c>
      <c r="H97" s="5" t="s">
        <v>982</v>
      </c>
      <c r="I97" s="1">
        <v>3</v>
      </c>
      <c r="J97" s="5" t="s">
        <v>982</v>
      </c>
      <c r="K97" s="1">
        <v>0</v>
      </c>
      <c r="L97" s="5" t="s">
        <v>983</v>
      </c>
      <c r="M97" s="1">
        <v>0</v>
      </c>
      <c r="N97" s="5" t="s">
        <v>983</v>
      </c>
      <c r="O97" s="1">
        <v>0</v>
      </c>
      <c r="P97" s="5" t="s">
        <v>983</v>
      </c>
      <c r="Q97" s="1">
        <v>1</v>
      </c>
      <c r="R97" s="1">
        <v>0</v>
      </c>
      <c r="S97" s="1" t="s">
        <v>194</v>
      </c>
      <c r="T97" s="1">
        <v>1</v>
      </c>
      <c r="U97" s="1">
        <v>3</v>
      </c>
      <c r="V97" s="1">
        <v>3</v>
      </c>
      <c r="W97" s="1">
        <v>45</v>
      </c>
      <c r="X97" s="1">
        <v>1</v>
      </c>
      <c r="Y97" s="1">
        <v>16</v>
      </c>
      <c r="Z97" s="1">
        <v>2</v>
      </c>
      <c r="AA97" s="1">
        <v>700000</v>
      </c>
      <c r="AB97" s="1">
        <v>4</v>
      </c>
    </row>
    <row r="98" spans="1:28" ht="12.75" customHeight="1" x14ac:dyDescent="0.15">
      <c r="A98" s="5">
        <v>460</v>
      </c>
      <c r="B98" s="5" t="s">
        <v>238</v>
      </c>
      <c r="C98" s="1">
        <v>29</v>
      </c>
      <c r="D98" s="5" t="s">
        <v>981</v>
      </c>
      <c r="E98" s="1">
        <v>3</v>
      </c>
      <c r="F98" s="5" t="s">
        <v>982</v>
      </c>
      <c r="G98" s="1">
        <v>6</v>
      </c>
      <c r="H98" s="5" t="s">
        <v>981</v>
      </c>
      <c r="I98" s="1">
        <v>8</v>
      </c>
      <c r="J98" s="5" t="s">
        <v>981</v>
      </c>
      <c r="K98" s="1">
        <v>3</v>
      </c>
      <c r="L98" s="5" t="s">
        <v>982</v>
      </c>
      <c r="M98" s="1">
        <v>6</v>
      </c>
      <c r="N98" s="5" t="s">
        <v>981</v>
      </c>
      <c r="O98" s="1">
        <v>5</v>
      </c>
      <c r="P98" s="5" t="s">
        <v>982</v>
      </c>
      <c r="Q98" s="1">
        <v>1</v>
      </c>
      <c r="R98" s="1">
        <v>0</v>
      </c>
      <c r="S98" s="1">
        <v>1</v>
      </c>
      <c r="T98" s="1">
        <v>1</v>
      </c>
      <c r="U98" s="1">
        <v>5</v>
      </c>
      <c r="V98" s="1">
        <v>2</v>
      </c>
      <c r="W98" s="1">
        <v>45</v>
      </c>
      <c r="X98" s="1">
        <v>1</v>
      </c>
      <c r="Y98" s="1">
        <v>16</v>
      </c>
      <c r="Z98" s="1">
        <v>2</v>
      </c>
      <c r="AA98" s="1">
        <v>700000</v>
      </c>
      <c r="AB98" s="1">
        <v>4</v>
      </c>
    </row>
    <row r="99" spans="1:28" ht="12.75" customHeight="1" x14ac:dyDescent="0.15">
      <c r="A99" s="5">
        <v>34</v>
      </c>
      <c r="B99" s="5" t="s">
        <v>238</v>
      </c>
      <c r="C99" s="1">
        <v>21</v>
      </c>
      <c r="D99" s="5" t="s">
        <v>982</v>
      </c>
      <c r="E99" s="1">
        <v>2</v>
      </c>
      <c r="F99" s="5" t="s">
        <v>982</v>
      </c>
      <c r="G99" s="1">
        <v>3</v>
      </c>
      <c r="H99" s="5" t="s">
        <v>982</v>
      </c>
      <c r="I99" s="1">
        <v>5</v>
      </c>
      <c r="J99" s="5" t="s">
        <v>981</v>
      </c>
      <c r="K99" s="1">
        <v>0</v>
      </c>
      <c r="L99" s="5" t="s">
        <v>983</v>
      </c>
      <c r="M99" s="1">
        <v>0</v>
      </c>
      <c r="N99" s="5" t="s">
        <v>983</v>
      </c>
      <c r="O99" s="1">
        <v>0</v>
      </c>
      <c r="P99" s="5" t="s">
        <v>983</v>
      </c>
      <c r="Q99" s="1">
        <v>1</v>
      </c>
      <c r="R99" s="1">
        <v>0</v>
      </c>
      <c r="S99" s="1" t="s">
        <v>194</v>
      </c>
      <c r="T99" s="1">
        <v>1</v>
      </c>
      <c r="U99" s="1">
        <v>2</v>
      </c>
      <c r="V99" s="1">
        <v>2</v>
      </c>
      <c r="W99" s="1">
        <v>51</v>
      </c>
      <c r="X99" s="1">
        <v>0</v>
      </c>
      <c r="Y99" s="1">
        <v>6</v>
      </c>
      <c r="Z99" s="1">
        <v>2</v>
      </c>
      <c r="AA99" s="1">
        <v>700000</v>
      </c>
      <c r="AB99" s="1">
        <v>2</v>
      </c>
    </row>
    <row r="100" spans="1:28" ht="12.75" customHeight="1" x14ac:dyDescent="0.15">
      <c r="A100" s="5">
        <v>264</v>
      </c>
      <c r="B100" s="5" t="s">
        <v>238</v>
      </c>
      <c r="C100" s="1">
        <v>23</v>
      </c>
      <c r="D100" s="5" t="s">
        <v>982</v>
      </c>
      <c r="E100" s="1">
        <v>6</v>
      </c>
      <c r="F100" s="5" t="s">
        <v>981</v>
      </c>
      <c r="G100" s="1">
        <v>8</v>
      </c>
      <c r="H100" s="5" t="s">
        <v>981</v>
      </c>
      <c r="I100" s="1">
        <v>4</v>
      </c>
      <c r="J100" s="5" t="s">
        <v>982</v>
      </c>
      <c r="K100" s="1">
        <v>3</v>
      </c>
      <c r="L100" s="5" t="s">
        <v>982</v>
      </c>
      <c r="M100" s="1">
        <v>9</v>
      </c>
      <c r="N100" s="5" t="s">
        <v>981</v>
      </c>
      <c r="O100" s="1">
        <v>8</v>
      </c>
      <c r="P100" s="5" t="s">
        <v>982</v>
      </c>
      <c r="Q100" s="1">
        <v>0</v>
      </c>
      <c r="R100" s="1">
        <v>1</v>
      </c>
      <c r="S100" s="1" t="s">
        <v>194</v>
      </c>
      <c r="T100" s="1">
        <v>1</v>
      </c>
      <c r="U100" s="1">
        <v>5</v>
      </c>
      <c r="V100" s="1">
        <v>5</v>
      </c>
      <c r="W100" s="1">
        <v>39</v>
      </c>
      <c r="X100" s="1">
        <v>0</v>
      </c>
      <c r="Y100" s="1">
        <v>3</v>
      </c>
      <c r="Z100" s="1">
        <v>1</v>
      </c>
      <c r="AA100" s="1">
        <v>700000</v>
      </c>
      <c r="AB100" s="1">
        <v>1</v>
      </c>
    </row>
    <row r="101" spans="1:28" ht="12.75" customHeight="1" x14ac:dyDescent="0.15">
      <c r="A101" s="5">
        <v>263</v>
      </c>
      <c r="B101" s="5" t="s">
        <v>238</v>
      </c>
      <c r="C101" s="1">
        <v>18</v>
      </c>
      <c r="D101" s="5" t="s">
        <v>983</v>
      </c>
      <c r="E101" s="1">
        <v>2</v>
      </c>
      <c r="F101" s="5" t="s">
        <v>982</v>
      </c>
      <c r="G101" s="1">
        <v>6</v>
      </c>
      <c r="H101" s="5" t="s">
        <v>981</v>
      </c>
      <c r="I101" s="1">
        <v>3</v>
      </c>
      <c r="J101" s="5" t="s">
        <v>982</v>
      </c>
      <c r="K101" s="1">
        <v>0</v>
      </c>
      <c r="L101" s="5" t="s">
        <v>983</v>
      </c>
      <c r="M101" s="1">
        <v>1</v>
      </c>
      <c r="N101" s="5" t="s">
        <v>983</v>
      </c>
      <c r="O101" s="1">
        <v>0</v>
      </c>
      <c r="P101" s="5" t="s">
        <v>983</v>
      </c>
      <c r="Q101" s="1">
        <v>1</v>
      </c>
      <c r="R101" s="1">
        <v>0</v>
      </c>
      <c r="S101" s="1" t="s">
        <v>194</v>
      </c>
      <c r="T101" s="1">
        <v>1</v>
      </c>
      <c r="U101" s="1">
        <v>5</v>
      </c>
      <c r="V101" s="1">
        <v>2</v>
      </c>
      <c r="W101" s="1">
        <v>39</v>
      </c>
      <c r="X101" s="1">
        <v>0</v>
      </c>
      <c r="Y101" s="1">
        <v>3</v>
      </c>
      <c r="Z101" s="1">
        <v>1</v>
      </c>
      <c r="AA101" s="1">
        <v>700000</v>
      </c>
      <c r="AB101" s="1">
        <v>1</v>
      </c>
    </row>
    <row r="102" spans="1:28" ht="12.75" customHeight="1" x14ac:dyDescent="0.15">
      <c r="A102" s="5">
        <v>16</v>
      </c>
      <c r="B102" s="5" t="s">
        <v>984</v>
      </c>
      <c r="C102" s="1">
        <v>19</v>
      </c>
      <c r="D102" s="5" t="s">
        <v>982</v>
      </c>
      <c r="E102" s="1">
        <v>0</v>
      </c>
      <c r="F102" s="5" t="s">
        <v>983</v>
      </c>
      <c r="G102" s="1">
        <v>7</v>
      </c>
      <c r="H102" s="5" t="s">
        <v>981</v>
      </c>
      <c r="I102" s="1">
        <v>0</v>
      </c>
      <c r="J102" s="5" t="s">
        <v>983</v>
      </c>
      <c r="K102" s="1">
        <v>0</v>
      </c>
      <c r="L102" s="5" t="s">
        <v>983</v>
      </c>
      <c r="M102" s="1">
        <v>11</v>
      </c>
      <c r="N102" s="5" t="s">
        <v>981</v>
      </c>
      <c r="O102" s="1">
        <v>2</v>
      </c>
      <c r="P102" s="5" t="s">
        <v>982</v>
      </c>
      <c r="Q102" s="1">
        <v>0</v>
      </c>
      <c r="R102" s="1">
        <v>0</v>
      </c>
      <c r="S102" s="1" t="s">
        <v>194</v>
      </c>
      <c r="T102" s="1">
        <v>1</v>
      </c>
      <c r="U102" s="1">
        <v>5</v>
      </c>
      <c r="V102" s="1">
        <v>5</v>
      </c>
      <c r="W102" s="1">
        <v>61</v>
      </c>
      <c r="X102" s="1">
        <v>0</v>
      </c>
      <c r="Y102" s="1">
        <v>16</v>
      </c>
      <c r="Z102" s="1">
        <v>11</v>
      </c>
      <c r="AA102" s="1">
        <v>665000</v>
      </c>
      <c r="AB102" s="1">
        <v>4</v>
      </c>
    </row>
    <row r="103" spans="1:28" ht="12.75" customHeight="1" x14ac:dyDescent="0.15">
      <c r="A103" s="5">
        <v>475</v>
      </c>
      <c r="B103" s="5" t="s">
        <v>238</v>
      </c>
      <c r="C103" s="1">
        <v>20</v>
      </c>
      <c r="D103" s="5" t="s">
        <v>982</v>
      </c>
      <c r="E103" s="1">
        <v>4</v>
      </c>
      <c r="F103" s="5" t="s">
        <v>982</v>
      </c>
      <c r="G103" s="1">
        <v>4</v>
      </c>
      <c r="H103" s="5" t="s">
        <v>982</v>
      </c>
      <c r="I103" s="1">
        <v>8</v>
      </c>
      <c r="J103" s="5" t="s">
        <v>981</v>
      </c>
      <c r="K103" s="1">
        <v>0</v>
      </c>
      <c r="L103" s="5" t="s">
        <v>983</v>
      </c>
      <c r="M103" s="1">
        <v>0</v>
      </c>
      <c r="N103" s="5" t="s">
        <v>983</v>
      </c>
      <c r="O103" s="1">
        <v>0</v>
      </c>
      <c r="P103" s="5" t="s">
        <v>983</v>
      </c>
      <c r="Q103" s="1">
        <v>1</v>
      </c>
      <c r="R103" s="1">
        <v>0</v>
      </c>
      <c r="S103" s="1">
        <v>1</v>
      </c>
      <c r="T103" s="1">
        <v>1</v>
      </c>
      <c r="U103" s="1">
        <v>3</v>
      </c>
      <c r="V103" s="1">
        <v>4</v>
      </c>
      <c r="W103" s="1">
        <v>44</v>
      </c>
      <c r="X103" s="1">
        <v>0</v>
      </c>
      <c r="Y103" s="1">
        <v>4</v>
      </c>
      <c r="Z103" s="1">
        <v>31</v>
      </c>
      <c r="AA103" s="1">
        <v>650000</v>
      </c>
      <c r="AB103" s="1">
        <v>2</v>
      </c>
    </row>
    <row r="104" spans="1:28" ht="12.75" customHeight="1" x14ac:dyDescent="0.15">
      <c r="A104" s="5">
        <v>83</v>
      </c>
      <c r="B104" s="5" t="s">
        <v>238</v>
      </c>
      <c r="C104" s="1">
        <v>13</v>
      </c>
      <c r="D104" s="5" t="s">
        <v>983</v>
      </c>
      <c r="E104" s="1">
        <v>6</v>
      </c>
      <c r="F104" s="5" t="s">
        <v>981</v>
      </c>
      <c r="G104" s="1">
        <v>6</v>
      </c>
      <c r="H104" s="5" t="s">
        <v>981</v>
      </c>
      <c r="I104" s="1">
        <v>8</v>
      </c>
      <c r="J104" s="5" t="s">
        <v>981</v>
      </c>
      <c r="K104" s="1">
        <v>6</v>
      </c>
      <c r="L104" s="5" t="s">
        <v>981</v>
      </c>
      <c r="M104" s="1">
        <v>6</v>
      </c>
      <c r="N104" s="5" t="s">
        <v>981</v>
      </c>
      <c r="O104" s="1">
        <v>0</v>
      </c>
      <c r="P104" s="5" t="s">
        <v>983</v>
      </c>
      <c r="Q104" s="1">
        <v>0</v>
      </c>
      <c r="R104" s="1">
        <v>0</v>
      </c>
      <c r="S104" s="1">
        <v>0</v>
      </c>
      <c r="T104" s="1">
        <v>1</v>
      </c>
      <c r="U104" s="1">
        <v>2</v>
      </c>
      <c r="V104" s="1">
        <v>3</v>
      </c>
      <c r="W104" s="1">
        <v>31</v>
      </c>
      <c r="X104" s="1">
        <v>0</v>
      </c>
      <c r="Y104" s="1">
        <v>16</v>
      </c>
      <c r="Z104" s="1">
        <v>28</v>
      </c>
      <c r="AA104" s="1">
        <v>650000</v>
      </c>
      <c r="AB104" s="1">
        <v>4</v>
      </c>
    </row>
    <row r="105" spans="1:28" ht="12.75" customHeight="1" x14ac:dyDescent="0.15">
      <c r="A105" s="5">
        <v>106</v>
      </c>
      <c r="B105" s="5" t="s">
        <v>984</v>
      </c>
      <c r="C105" s="1">
        <v>36</v>
      </c>
      <c r="D105" s="5" t="s">
        <v>981</v>
      </c>
      <c r="E105" s="1">
        <v>1</v>
      </c>
      <c r="F105" s="5" t="s">
        <v>983</v>
      </c>
      <c r="G105" s="1">
        <v>8</v>
      </c>
      <c r="H105" s="5" t="s">
        <v>981</v>
      </c>
      <c r="I105" s="1">
        <v>1</v>
      </c>
      <c r="J105" s="5" t="s">
        <v>982</v>
      </c>
      <c r="K105" s="1">
        <v>7</v>
      </c>
      <c r="L105" s="5" t="s">
        <v>981</v>
      </c>
      <c r="M105" s="1">
        <v>7</v>
      </c>
      <c r="N105" s="5" t="s">
        <v>981</v>
      </c>
      <c r="O105" s="1">
        <v>1</v>
      </c>
      <c r="P105" s="5" t="s">
        <v>982</v>
      </c>
      <c r="Q105" s="1">
        <v>0</v>
      </c>
      <c r="R105" s="1">
        <v>0</v>
      </c>
      <c r="S105" s="1" t="s">
        <v>194</v>
      </c>
      <c r="T105" s="1">
        <v>1</v>
      </c>
      <c r="U105" s="1">
        <v>3</v>
      </c>
      <c r="V105" s="1">
        <v>3</v>
      </c>
      <c r="W105" s="1">
        <v>11</v>
      </c>
      <c r="X105" s="1">
        <v>1</v>
      </c>
      <c r="Y105" s="1">
        <v>8</v>
      </c>
      <c r="Z105" s="1">
        <v>11</v>
      </c>
      <c r="AA105" s="1">
        <v>650000</v>
      </c>
      <c r="AB105" s="1">
        <v>3</v>
      </c>
    </row>
    <row r="106" spans="1:28" ht="12.75" customHeight="1" x14ac:dyDescent="0.15">
      <c r="A106" s="5">
        <v>387</v>
      </c>
      <c r="B106" s="5" t="s">
        <v>984</v>
      </c>
      <c r="C106" s="1">
        <v>15</v>
      </c>
      <c r="D106" s="5" t="s">
        <v>983</v>
      </c>
      <c r="E106" s="1">
        <v>8</v>
      </c>
      <c r="F106" s="5" t="s">
        <v>981</v>
      </c>
      <c r="G106" s="1">
        <v>2</v>
      </c>
      <c r="H106" s="5" t="s">
        <v>982</v>
      </c>
      <c r="I106" s="1">
        <v>4</v>
      </c>
      <c r="J106" s="5" t="s">
        <v>982</v>
      </c>
      <c r="K106" s="1">
        <v>0</v>
      </c>
      <c r="L106" s="5" t="s">
        <v>983</v>
      </c>
      <c r="M106" s="1">
        <v>6</v>
      </c>
      <c r="N106" s="5" t="s">
        <v>981</v>
      </c>
      <c r="O106" s="1">
        <v>0</v>
      </c>
      <c r="P106" s="5" t="s">
        <v>983</v>
      </c>
      <c r="Q106" s="1">
        <v>1</v>
      </c>
      <c r="R106" s="1">
        <v>0</v>
      </c>
      <c r="S106" s="1">
        <v>1</v>
      </c>
      <c r="T106" s="1">
        <v>0</v>
      </c>
      <c r="U106" s="1" t="s">
        <v>194</v>
      </c>
      <c r="V106" s="1" t="s">
        <v>194</v>
      </c>
      <c r="W106" s="1">
        <v>41</v>
      </c>
      <c r="X106" s="1">
        <v>1</v>
      </c>
      <c r="Y106" s="1">
        <v>2</v>
      </c>
      <c r="Z106" s="1">
        <v>9</v>
      </c>
      <c r="AA106" s="1">
        <v>650000</v>
      </c>
      <c r="AB106" s="1">
        <v>4</v>
      </c>
    </row>
    <row r="107" spans="1:28" ht="12.75" customHeight="1" x14ac:dyDescent="0.15">
      <c r="A107" s="5">
        <v>269</v>
      </c>
      <c r="B107" s="5" t="s">
        <v>238</v>
      </c>
      <c r="C107" s="1">
        <v>18</v>
      </c>
      <c r="D107" s="5" t="s">
        <v>983</v>
      </c>
      <c r="E107" s="1">
        <v>2</v>
      </c>
      <c r="F107" s="5" t="s">
        <v>982</v>
      </c>
      <c r="G107" s="1">
        <v>0</v>
      </c>
      <c r="H107" s="5" t="s">
        <v>983</v>
      </c>
      <c r="I107" s="1">
        <v>16</v>
      </c>
      <c r="J107" s="5" t="s">
        <v>981</v>
      </c>
      <c r="K107" s="1">
        <v>0</v>
      </c>
      <c r="L107" s="5" t="s">
        <v>983</v>
      </c>
      <c r="M107" s="1">
        <v>0</v>
      </c>
      <c r="N107" s="5" t="s">
        <v>983</v>
      </c>
      <c r="O107" s="1">
        <v>0</v>
      </c>
      <c r="P107" s="5" t="s">
        <v>983</v>
      </c>
      <c r="Q107" s="1">
        <v>0</v>
      </c>
      <c r="R107" s="1">
        <v>0</v>
      </c>
      <c r="S107" s="1" t="s">
        <v>194</v>
      </c>
      <c r="T107" s="1">
        <v>1</v>
      </c>
      <c r="U107" s="1">
        <v>5</v>
      </c>
      <c r="V107" s="1">
        <v>5</v>
      </c>
      <c r="W107" s="1">
        <v>48</v>
      </c>
      <c r="X107" s="1">
        <v>0</v>
      </c>
      <c r="Y107" s="1">
        <v>17</v>
      </c>
      <c r="Z107" s="1">
        <v>7</v>
      </c>
      <c r="AA107" s="1">
        <v>650000</v>
      </c>
      <c r="AB107" s="1">
        <v>2</v>
      </c>
    </row>
    <row r="108" spans="1:28" ht="12.75" customHeight="1" x14ac:dyDescent="0.15">
      <c r="A108" s="5">
        <v>128</v>
      </c>
      <c r="B108" s="5" t="s">
        <v>984</v>
      </c>
      <c r="C108" s="1">
        <v>22</v>
      </c>
      <c r="D108" s="5" t="s">
        <v>982</v>
      </c>
      <c r="E108" s="1">
        <v>7</v>
      </c>
      <c r="F108" s="5" t="s">
        <v>981</v>
      </c>
      <c r="G108" s="1">
        <v>1</v>
      </c>
      <c r="H108" s="5" t="s">
        <v>983</v>
      </c>
      <c r="I108" s="1">
        <v>8</v>
      </c>
      <c r="J108" s="5" t="s">
        <v>981</v>
      </c>
      <c r="K108" s="1">
        <v>12</v>
      </c>
      <c r="L108" s="5" t="s">
        <v>981</v>
      </c>
      <c r="M108" s="1">
        <v>12</v>
      </c>
      <c r="N108" s="5" t="s">
        <v>981</v>
      </c>
      <c r="O108" s="1">
        <v>0</v>
      </c>
      <c r="P108" s="5" t="s">
        <v>983</v>
      </c>
      <c r="Q108" s="1">
        <v>0</v>
      </c>
      <c r="R108" s="1">
        <v>0</v>
      </c>
      <c r="S108" s="1" t="s">
        <v>194</v>
      </c>
      <c r="T108" s="1">
        <v>1</v>
      </c>
      <c r="U108" s="1">
        <v>3</v>
      </c>
      <c r="V108" s="1">
        <v>3</v>
      </c>
      <c r="W108" s="1">
        <v>45</v>
      </c>
      <c r="X108" s="1">
        <v>0</v>
      </c>
      <c r="Y108" s="1">
        <v>14</v>
      </c>
      <c r="Z108" s="1">
        <v>7</v>
      </c>
      <c r="AA108" s="1">
        <v>650000</v>
      </c>
      <c r="AB108" s="1">
        <v>1</v>
      </c>
    </row>
    <row r="109" spans="1:28" ht="12.75" customHeight="1" x14ac:dyDescent="0.15">
      <c r="A109" s="5">
        <v>127</v>
      </c>
      <c r="B109" s="5" t="s">
        <v>238</v>
      </c>
      <c r="C109" s="1">
        <v>19</v>
      </c>
      <c r="D109" s="5" t="s">
        <v>982</v>
      </c>
      <c r="E109" s="1">
        <v>0</v>
      </c>
      <c r="F109" s="5" t="s">
        <v>983</v>
      </c>
      <c r="G109" s="1">
        <v>0</v>
      </c>
      <c r="H109" s="5" t="s">
        <v>983</v>
      </c>
      <c r="I109" s="1">
        <v>0</v>
      </c>
      <c r="J109" s="5" t="s">
        <v>983</v>
      </c>
      <c r="K109" s="1">
        <v>0</v>
      </c>
      <c r="L109" s="5" t="s">
        <v>983</v>
      </c>
      <c r="M109" s="1">
        <v>2</v>
      </c>
      <c r="N109" s="5" t="s">
        <v>983</v>
      </c>
      <c r="O109" s="1">
        <v>0</v>
      </c>
      <c r="P109" s="5" t="s">
        <v>983</v>
      </c>
      <c r="Q109" s="1">
        <v>0</v>
      </c>
      <c r="R109" s="1">
        <v>0</v>
      </c>
      <c r="S109" s="1">
        <v>1</v>
      </c>
      <c r="T109" s="1">
        <v>1</v>
      </c>
      <c r="U109" s="1">
        <v>3</v>
      </c>
      <c r="V109" s="1">
        <v>3</v>
      </c>
      <c r="W109" s="1">
        <v>45</v>
      </c>
      <c r="X109" s="1">
        <v>0</v>
      </c>
      <c r="Y109" s="1">
        <v>14</v>
      </c>
      <c r="Z109" s="1">
        <v>7</v>
      </c>
      <c r="AA109" s="1">
        <v>650000</v>
      </c>
      <c r="AB109" s="1">
        <v>1</v>
      </c>
    </row>
    <row r="110" spans="1:28" ht="12.75" customHeight="1" x14ac:dyDescent="0.15">
      <c r="A110" s="5">
        <v>78</v>
      </c>
      <c r="B110" s="5" t="s">
        <v>238</v>
      </c>
      <c r="C110" s="1">
        <v>17</v>
      </c>
      <c r="D110" s="5" t="s">
        <v>983</v>
      </c>
      <c r="E110" s="1">
        <v>10</v>
      </c>
      <c r="F110" s="5" t="s">
        <v>981</v>
      </c>
      <c r="G110" s="1">
        <v>9</v>
      </c>
      <c r="H110" s="5" t="s">
        <v>981</v>
      </c>
      <c r="I110" s="1">
        <v>3</v>
      </c>
      <c r="J110" s="5" t="s">
        <v>982</v>
      </c>
      <c r="K110" s="1">
        <v>10</v>
      </c>
      <c r="L110" s="5" t="s">
        <v>981</v>
      </c>
      <c r="M110" s="1">
        <v>9</v>
      </c>
      <c r="N110" s="5" t="s">
        <v>981</v>
      </c>
      <c r="O110" s="1">
        <v>0</v>
      </c>
      <c r="P110" s="5" t="s">
        <v>983</v>
      </c>
      <c r="Q110" s="1">
        <v>1</v>
      </c>
      <c r="R110" s="1">
        <v>0</v>
      </c>
      <c r="S110" s="1">
        <v>1</v>
      </c>
      <c r="T110" s="1">
        <v>1</v>
      </c>
      <c r="U110" s="1">
        <v>2</v>
      </c>
      <c r="V110" s="1">
        <v>2</v>
      </c>
      <c r="W110" s="1">
        <v>57</v>
      </c>
      <c r="X110" s="1">
        <v>0</v>
      </c>
      <c r="Y110" s="1">
        <v>14</v>
      </c>
      <c r="Z110" s="1">
        <v>5</v>
      </c>
      <c r="AA110" s="1">
        <v>650000</v>
      </c>
      <c r="AB110" s="1">
        <v>1</v>
      </c>
    </row>
    <row r="111" spans="1:28" ht="12.75" customHeight="1" x14ac:dyDescent="0.15">
      <c r="A111" s="5">
        <v>320</v>
      </c>
      <c r="B111" s="5" t="s">
        <v>238</v>
      </c>
      <c r="C111" s="1">
        <v>15</v>
      </c>
      <c r="D111" s="5" t="s">
        <v>983</v>
      </c>
      <c r="E111" s="1">
        <v>0</v>
      </c>
      <c r="F111" s="5" t="s">
        <v>983</v>
      </c>
      <c r="G111" s="1">
        <v>1</v>
      </c>
      <c r="H111" s="5" t="s">
        <v>983</v>
      </c>
      <c r="I111" s="1">
        <v>0</v>
      </c>
      <c r="J111" s="5" t="s">
        <v>983</v>
      </c>
      <c r="K111" s="1">
        <v>3</v>
      </c>
      <c r="L111" s="5" t="s">
        <v>982</v>
      </c>
      <c r="M111" s="1">
        <v>0</v>
      </c>
      <c r="N111" s="5" t="s">
        <v>983</v>
      </c>
      <c r="O111" s="1">
        <v>0</v>
      </c>
      <c r="P111" s="5" t="s">
        <v>983</v>
      </c>
      <c r="Q111" s="1">
        <v>1</v>
      </c>
      <c r="R111" s="1">
        <v>1</v>
      </c>
      <c r="S111" s="1" t="s">
        <v>194</v>
      </c>
      <c r="T111" s="1">
        <v>1</v>
      </c>
      <c r="U111" s="1" t="s">
        <v>194</v>
      </c>
      <c r="V111" s="1">
        <v>1</v>
      </c>
      <c r="W111" s="1">
        <v>29</v>
      </c>
      <c r="X111" s="1">
        <v>0</v>
      </c>
      <c r="Y111" s="1">
        <v>2</v>
      </c>
      <c r="Z111" s="1">
        <v>2</v>
      </c>
      <c r="AA111" s="1">
        <v>650000</v>
      </c>
      <c r="AB111" s="1">
        <v>1</v>
      </c>
    </row>
    <row r="112" spans="1:28" ht="12.75" customHeight="1" x14ac:dyDescent="0.15">
      <c r="A112" s="5">
        <v>1</v>
      </c>
      <c r="B112" s="5" t="s">
        <v>238</v>
      </c>
      <c r="C112" s="1">
        <v>31</v>
      </c>
      <c r="D112" s="5" t="s">
        <v>981</v>
      </c>
      <c r="E112" s="1">
        <v>3</v>
      </c>
      <c r="F112" s="5" t="s">
        <v>982</v>
      </c>
      <c r="G112" s="1">
        <v>8</v>
      </c>
      <c r="H112" s="5" t="s">
        <v>981</v>
      </c>
      <c r="I112" s="1">
        <v>16</v>
      </c>
      <c r="J112" s="5" t="s">
        <v>981</v>
      </c>
      <c r="K112" s="1">
        <v>4</v>
      </c>
      <c r="L112" s="5" t="s">
        <v>982</v>
      </c>
      <c r="M112" s="1">
        <v>12</v>
      </c>
      <c r="N112" s="5" t="s">
        <v>981</v>
      </c>
      <c r="O112" s="1">
        <v>0</v>
      </c>
      <c r="P112" s="5" t="s">
        <v>983</v>
      </c>
      <c r="Q112" s="1">
        <v>0</v>
      </c>
      <c r="R112" s="1">
        <v>0</v>
      </c>
      <c r="S112" s="1" t="s">
        <v>194</v>
      </c>
      <c r="T112" s="1">
        <v>1</v>
      </c>
      <c r="U112" s="1">
        <v>3</v>
      </c>
      <c r="V112" s="1">
        <v>3</v>
      </c>
      <c r="W112" s="1">
        <v>46</v>
      </c>
      <c r="X112" s="1">
        <v>0</v>
      </c>
      <c r="Y112" s="1">
        <v>16</v>
      </c>
      <c r="Z112" s="1">
        <v>1</v>
      </c>
      <c r="AA112" s="1">
        <v>620000</v>
      </c>
      <c r="AB112" s="1">
        <v>4</v>
      </c>
    </row>
    <row r="113" spans="1:28" ht="12.75" customHeight="1" x14ac:dyDescent="0.15">
      <c r="A113" s="5">
        <v>494</v>
      </c>
      <c r="B113" s="5" t="s">
        <v>238</v>
      </c>
      <c r="C113" s="1">
        <v>28</v>
      </c>
      <c r="D113" s="5" t="s">
        <v>981</v>
      </c>
      <c r="E113" s="1">
        <v>0</v>
      </c>
      <c r="F113" s="5" t="s">
        <v>983</v>
      </c>
      <c r="G113" s="1">
        <v>0</v>
      </c>
      <c r="H113" s="5" t="s">
        <v>983</v>
      </c>
      <c r="I113" s="1">
        <v>16</v>
      </c>
      <c r="J113" s="5" t="s">
        <v>981</v>
      </c>
      <c r="K113" s="1">
        <v>0</v>
      </c>
      <c r="L113" s="5" t="s">
        <v>983</v>
      </c>
      <c r="M113" s="1">
        <v>0</v>
      </c>
      <c r="N113" s="5" t="s">
        <v>983</v>
      </c>
      <c r="O113" s="1">
        <v>0</v>
      </c>
      <c r="P113" s="5" t="s">
        <v>983</v>
      </c>
      <c r="Q113" s="1">
        <v>0</v>
      </c>
      <c r="R113" s="1">
        <v>0</v>
      </c>
      <c r="S113" s="1" t="s">
        <v>194</v>
      </c>
      <c r="T113" s="1">
        <v>1</v>
      </c>
      <c r="U113" s="1">
        <v>5</v>
      </c>
      <c r="V113" s="1">
        <v>5</v>
      </c>
      <c r="W113" s="1">
        <v>64</v>
      </c>
      <c r="X113" s="1">
        <v>0</v>
      </c>
      <c r="Y113" s="1">
        <v>16</v>
      </c>
      <c r="Z113" s="1">
        <v>14</v>
      </c>
      <c r="AA113" s="1">
        <v>616000</v>
      </c>
      <c r="AB113" s="1">
        <v>2</v>
      </c>
    </row>
    <row r="114" spans="1:28" ht="12.75" customHeight="1" x14ac:dyDescent="0.15">
      <c r="A114" s="5">
        <v>495</v>
      </c>
      <c r="B114" s="5" t="s">
        <v>238</v>
      </c>
      <c r="C114" s="1">
        <v>24</v>
      </c>
      <c r="D114" s="5" t="s">
        <v>981</v>
      </c>
      <c r="E114" s="1">
        <v>9</v>
      </c>
      <c r="F114" s="5" t="s">
        <v>981</v>
      </c>
      <c r="G114" s="1">
        <v>9</v>
      </c>
      <c r="H114" s="5" t="s">
        <v>981</v>
      </c>
      <c r="I114" s="1">
        <v>4</v>
      </c>
      <c r="J114" s="5" t="s">
        <v>982</v>
      </c>
      <c r="K114" s="1">
        <v>9</v>
      </c>
      <c r="L114" s="5" t="s">
        <v>981</v>
      </c>
      <c r="M114" s="1">
        <v>9</v>
      </c>
      <c r="N114" s="5" t="s">
        <v>981</v>
      </c>
      <c r="O114" s="1">
        <v>0</v>
      </c>
      <c r="P114" s="5" t="s">
        <v>983</v>
      </c>
      <c r="Q114" s="1">
        <v>0</v>
      </c>
      <c r="R114" s="1">
        <v>0</v>
      </c>
      <c r="S114" s="1" t="s">
        <v>194</v>
      </c>
      <c r="T114" s="1">
        <v>1</v>
      </c>
      <c r="U114" s="1">
        <v>2</v>
      </c>
      <c r="V114" s="1">
        <v>3</v>
      </c>
      <c r="W114" s="1">
        <v>64</v>
      </c>
      <c r="X114" s="1">
        <v>0</v>
      </c>
      <c r="Y114" s="1">
        <v>16</v>
      </c>
      <c r="Z114" s="1">
        <v>14</v>
      </c>
      <c r="AA114" s="1">
        <v>616000</v>
      </c>
      <c r="AB114" s="1">
        <v>2</v>
      </c>
    </row>
    <row r="115" spans="1:28" ht="12.75" customHeight="1" x14ac:dyDescent="0.15">
      <c r="A115" s="5">
        <v>152</v>
      </c>
      <c r="B115" s="5" t="s">
        <v>238</v>
      </c>
      <c r="C115" s="1">
        <v>30</v>
      </c>
      <c r="D115" s="5" t="s">
        <v>981</v>
      </c>
      <c r="E115" s="1">
        <v>9</v>
      </c>
      <c r="F115" s="5" t="s">
        <v>981</v>
      </c>
      <c r="G115" s="1">
        <v>9</v>
      </c>
      <c r="H115" s="5" t="s">
        <v>981</v>
      </c>
      <c r="I115" s="1">
        <v>4</v>
      </c>
      <c r="J115" s="5" t="s">
        <v>982</v>
      </c>
      <c r="K115" s="1">
        <v>9</v>
      </c>
      <c r="L115" s="5" t="s">
        <v>981</v>
      </c>
      <c r="M115" s="1">
        <v>9</v>
      </c>
      <c r="N115" s="5" t="s">
        <v>981</v>
      </c>
      <c r="O115" s="1">
        <v>0</v>
      </c>
      <c r="P115" s="5" t="s">
        <v>983</v>
      </c>
      <c r="Q115" s="1">
        <v>0</v>
      </c>
      <c r="R115" s="1">
        <v>0</v>
      </c>
      <c r="S115" s="1" t="s">
        <v>194</v>
      </c>
      <c r="T115" s="1">
        <v>1</v>
      </c>
      <c r="U115" s="1">
        <v>2</v>
      </c>
      <c r="V115" s="1">
        <v>2</v>
      </c>
      <c r="W115" s="1">
        <v>44</v>
      </c>
      <c r="X115" s="1">
        <v>0</v>
      </c>
      <c r="Y115" s="1">
        <v>14</v>
      </c>
      <c r="Z115" s="1">
        <v>34</v>
      </c>
      <c r="AA115" s="1">
        <v>600000</v>
      </c>
      <c r="AB115" s="1">
        <v>3</v>
      </c>
    </row>
    <row r="116" spans="1:28" ht="12.75" customHeight="1" x14ac:dyDescent="0.15">
      <c r="A116" s="5">
        <v>342</v>
      </c>
      <c r="B116" s="5" t="s">
        <v>984</v>
      </c>
      <c r="C116" s="1">
        <v>34</v>
      </c>
      <c r="D116" s="5" t="s">
        <v>981</v>
      </c>
      <c r="E116" s="1">
        <v>3</v>
      </c>
      <c r="F116" s="5" t="s">
        <v>982</v>
      </c>
      <c r="G116" s="1">
        <v>6</v>
      </c>
      <c r="H116" s="5" t="s">
        <v>981</v>
      </c>
      <c r="I116" s="1">
        <v>11</v>
      </c>
      <c r="J116" s="5" t="s">
        <v>981</v>
      </c>
      <c r="K116" s="1">
        <v>8</v>
      </c>
      <c r="L116" s="5" t="s">
        <v>981</v>
      </c>
      <c r="M116" s="1">
        <v>1</v>
      </c>
      <c r="N116" s="5" t="s">
        <v>983</v>
      </c>
      <c r="O116" s="1">
        <v>3</v>
      </c>
      <c r="P116" s="5" t="s">
        <v>982</v>
      </c>
      <c r="Q116" s="1">
        <v>0</v>
      </c>
      <c r="R116" s="1">
        <v>0</v>
      </c>
      <c r="S116" s="1" t="s">
        <v>194</v>
      </c>
      <c r="T116" s="1">
        <v>1</v>
      </c>
      <c r="U116" s="1" t="s">
        <v>194</v>
      </c>
      <c r="V116" s="1">
        <v>3</v>
      </c>
      <c r="W116" s="1">
        <v>52</v>
      </c>
      <c r="X116" s="1">
        <v>1</v>
      </c>
      <c r="Y116" s="1">
        <v>11</v>
      </c>
      <c r="Z116" s="1">
        <v>34</v>
      </c>
      <c r="AA116" s="1">
        <v>600000</v>
      </c>
      <c r="AB116" s="1">
        <v>1</v>
      </c>
    </row>
    <row r="117" spans="1:28" ht="12.75" customHeight="1" x14ac:dyDescent="0.15">
      <c r="A117" s="5">
        <v>341</v>
      </c>
      <c r="B117" s="5" t="s">
        <v>238</v>
      </c>
      <c r="C117" s="1">
        <v>19</v>
      </c>
      <c r="D117" s="5" t="s">
        <v>982</v>
      </c>
      <c r="E117" s="1">
        <v>3</v>
      </c>
      <c r="F117" s="5" t="s">
        <v>982</v>
      </c>
      <c r="G117" s="1">
        <v>0</v>
      </c>
      <c r="H117" s="5" t="s">
        <v>983</v>
      </c>
      <c r="I117" s="1">
        <v>14</v>
      </c>
      <c r="J117" s="5" t="s">
        <v>981</v>
      </c>
      <c r="K117" s="1">
        <v>3</v>
      </c>
      <c r="L117" s="5" t="s">
        <v>982</v>
      </c>
      <c r="M117" s="1">
        <v>3</v>
      </c>
      <c r="N117" s="5" t="s">
        <v>982</v>
      </c>
      <c r="O117" s="1">
        <v>0</v>
      </c>
      <c r="P117" s="5" t="s">
        <v>983</v>
      </c>
      <c r="Q117" s="1">
        <v>1</v>
      </c>
      <c r="R117" s="1">
        <v>0</v>
      </c>
      <c r="S117" s="1">
        <v>1</v>
      </c>
      <c r="T117" s="1">
        <v>1</v>
      </c>
      <c r="U117" s="1">
        <v>5</v>
      </c>
      <c r="V117" s="1">
        <v>3</v>
      </c>
      <c r="W117" s="1">
        <v>52</v>
      </c>
      <c r="X117" s="1">
        <v>1</v>
      </c>
      <c r="Y117" s="1">
        <v>11</v>
      </c>
      <c r="Z117" s="1">
        <v>34</v>
      </c>
      <c r="AA117" s="1">
        <v>600000</v>
      </c>
      <c r="AB117" s="1">
        <v>1</v>
      </c>
    </row>
    <row r="118" spans="1:28" ht="12.75" customHeight="1" x14ac:dyDescent="0.15">
      <c r="A118" s="5">
        <v>80</v>
      </c>
      <c r="B118" s="5" t="s">
        <v>238</v>
      </c>
      <c r="C118" s="1">
        <v>22</v>
      </c>
      <c r="D118" s="5" t="s">
        <v>982</v>
      </c>
      <c r="E118" s="1">
        <v>9</v>
      </c>
      <c r="F118" s="5" t="s">
        <v>981</v>
      </c>
      <c r="G118" s="1">
        <v>9</v>
      </c>
      <c r="H118" s="5" t="s">
        <v>981</v>
      </c>
      <c r="I118" s="1">
        <v>6</v>
      </c>
      <c r="J118" s="5" t="s">
        <v>981</v>
      </c>
      <c r="K118" s="1">
        <v>6</v>
      </c>
      <c r="L118" s="5" t="s">
        <v>981</v>
      </c>
      <c r="M118" s="1">
        <v>7</v>
      </c>
      <c r="N118" s="5" t="s">
        <v>981</v>
      </c>
      <c r="O118" s="1">
        <v>0</v>
      </c>
      <c r="P118" s="5" t="s">
        <v>983</v>
      </c>
      <c r="Q118" s="1">
        <v>1</v>
      </c>
      <c r="R118" s="1">
        <v>0</v>
      </c>
      <c r="S118" s="1">
        <v>1</v>
      </c>
      <c r="T118" s="1">
        <v>1</v>
      </c>
      <c r="U118" s="1">
        <v>3</v>
      </c>
      <c r="V118" s="1">
        <v>3</v>
      </c>
      <c r="W118" s="1">
        <v>43</v>
      </c>
      <c r="X118" s="1">
        <v>0</v>
      </c>
      <c r="Y118" s="1">
        <v>16</v>
      </c>
      <c r="Z118" s="1">
        <v>28</v>
      </c>
      <c r="AA118" s="1">
        <v>600000</v>
      </c>
      <c r="AB118" s="1">
        <v>4</v>
      </c>
    </row>
    <row r="119" spans="1:28" ht="12.75" customHeight="1" x14ac:dyDescent="0.15">
      <c r="A119" s="5">
        <v>279</v>
      </c>
      <c r="B119" s="5" t="s">
        <v>238</v>
      </c>
      <c r="C119" s="1">
        <v>20</v>
      </c>
      <c r="D119" s="5" t="s">
        <v>982</v>
      </c>
      <c r="E119" s="1">
        <v>5</v>
      </c>
      <c r="F119" s="5" t="s">
        <v>981</v>
      </c>
      <c r="G119" s="1">
        <v>3</v>
      </c>
      <c r="H119" s="5" t="s">
        <v>982</v>
      </c>
      <c r="I119" s="1">
        <v>0</v>
      </c>
      <c r="J119" s="5" t="s">
        <v>983</v>
      </c>
      <c r="K119" s="1">
        <v>2</v>
      </c>
      <c r="L119" s="5" t="s">
        <v>983</v>
      </c>
      <c r="M119" s="1">
        <v>1</v>
      </c>
      <c r="N119" s="5" t="s">
        <v>983</v>
      </c>
      <c r="O119" s="1">
        <v>1</v>
      </c>
      <c r="P119" s="5" t="s">
        <v>982</v>
      </c>
      <c r="Q119" s="1">
        <v>0</v>
      </c>
      <c r="R119" s="1">
        <v>0</v>
      </c>
      <c r="S119" s="1">
        <v>1</v>
      </c>
      <c r="T119" s="1">
        <v>1</v>
      </c>
      <c r="U119" s="1" t="s">
        <v>194</v>
      </c>
      <c r="V119" s="1">
        <v>3</v>
      </c>
      <c r="W119" s="1">
        <v>61</v>
      </c>
      <c r="X119" s="1">
        <v>1</v>
      </c>
      <c r="Y119" s="1">
        <v>14</v>
      </c>
      <c r="Z119" s="1">
        <v>27</v>
      </c>
      <c r="AA119" s="1">
        <v>600000</v>
      </c>
      <c r="AB119" s="1">
        <v>3</v>
      </c>
    </row>
    <row r="120" spans="1:28" ht="12.75" customHeight="1" x14ac:dyDescent="0.15">
      <c r="A120" s="5">
        <v>280</v>
      </c>
      <c r="B120" s="5" t="s">
        <v>238</v>
      </c>
      <c r="C120" s="1">
        <v>14</v>
      </c>
      <c r="D120" s="5" t="s">
        <v>983</v>
      </c>
      <c r="E120" s="1">
        <v>2</v>
      </c>
      <c r="F120" s="5" t="s">
        <v>982</v>
      </c>
      <c r="G120" s="1">
        <v>1</v>
      </c>
      <c r="H120" s="5" t="s">
        <v>983</v>
      </c>
      <c r="I120" s="1">
        <v>16</v>
      </c>
      <c r="J120" s="5" t="s">
        <v>981</v>
      </c>
      <c r="K120" s="1">
        <v>0</v>
      </c>
      <c r="L120" s="5" t="s">
        <v>983</v>
      </c>
      <c r="M120" s="1">
        <v>0</v>
      </c>
      <c r="N120" s="5" t="s">
        <v>983</v>
      </c>
      <c r="O120" s="1">
        <v>0</v>
      </c>
      <c r="P120" s="5" t="s">
        <v>983</v>
      </c>
      <c r="Q120" s="1">
        <v>0</v>
      </c>
      <c r="R120" s="1">
        <v>0</v>
      </c>
      <c r="S120" s="1" t="s">
        <v>194</v>
      </c>
      <c r="T120" s="1">
        <v>1</v>
      </c>
      <c r="U120" s="1" t="s">
        <v>194</v>
      </c>
      <c r="V120" s="1">
        <v>2</v>
      </c>
      <c r="W120" s="1">
        <v>61</v>
      </c>
      <c r="X120" s="1">
        <v>1</v>
      </c>
      <c r="Y120" s="1">
        <v>14</v>
      </c>
      <c r="Z120" s="1">
        <v>27</v>
      </c>
      <c r="AA120" s="1">
        <v>600000</v>
      </c>
      <c r="AB120" s="1">
        <v>3</v>
      </c>
    </row>
    <row r="121" spans="1:28" ht="12.75" customHeight="1" x14ac:dyDescent="0.15">
      <c r="A121" s="5">
        <v>29</v>
      </c>
      <c r="B121" s="5" t="s">
        <v>238</v>
      </c>
      <c r="C121" s="1">
        <v>22</v>
      </c>
      <c r="D121" s="5" t="s">
        <v>982</v>
      </c>
      <c r="E121" s="1">
        <v>6</v>
      </c>
      <c r="F121" s="5" t="s">
        <v>981</v>
      </c>
      <c r="G121" s="1">
        <v>2</v>
      </c>
      <c r="H121" s="5" t="s">
        <v>982</v>
      </c>
      <c r="I121" s="1">
        <v>16</v>
      </c>
      <c r="J121" s="5" t="s">
        <v>981</v>
      </c>
      <c r="K121" s="1">
        <v>0</v>
      </c>
      <c r="L121" s="5" t="s">
        <v>983</v>
      </c>
      <c r="M121" s="1">
        <v>0</v>
      </c>
      <c r="N121" s="5" t="s">
        <v>983</v>
      </c>
      <c r="O121" s="1">
        <v>1</v>
      </c>
      <c r="P121" s="5" t="s">
        <v>982</v>
      </c>
      <c r="Q121" s="1">
        <v>0</v>
      </c>
      <c r="R121" s="1">
        <v>0</v>
      </c>
      <c r="S121" s="1" t="s">
        <v>194</v>
      </c>
      <c r="T121" s="1">
        <v>1</v>
      </c>
      <c r="U121" s="1">
        <v>5</v>
      </c>
      <c r="V121" s="1">
        <v>5</v>
      </c>
      <c r="W121" s="1">
        <v>71</v>
      </c>
      <c r="X121" s="1">
        <v>0</v>
      </c>
      <c r="Y121" s="1">
        <v>18</v>
      </c>
      <c r="Z121" s="1">
        <v>24</v>
      </c>
      <c r="AA121" s="1">
        <v>600000</v>
      </c>
      <c r="AB121" s="1">
        <v>1</v>
      </c>
    </row>
    <row r="122" spans="1:28" ht="12.75" customHeight="1" x14ac:dyDescent="0.15">
      <c r="A122" s="5">
        <v>499</v>
      </c>
      <c r="B122" s="5" t="s">
        <v>984</v>
      </c>
      <c r="C122" s="1">
        <v>20</v>
      </c>
      <c r="D122" s="5" t="s">
        <v>982</v>
      </c>
      <c r="E122" s="1">
        <v>2</v>
      </c>
      <c r="F122" s="5" t="s">
        <v>982</v>
      </c>
      <c r="G122" s="1">
        <v>1</v>
      </c>
      <c r="H122" s="5" t="s">
        <v>983</v>
      </c>
      <c r="I122" s="1">
        <v>10</v>
      </c>
      <c r="J122" s="5" t="s">
        <v>981</v>
      </c>
      <c r="K122" s="1">
        <v>0</v>
      </c>
      <c r="L122" s="5" t="s">
        <v>983</v>
      </c>
      <c r="M122" s="1">
        <v>3</v>
      </c>
      <c r="N122" s="5" t="s">
        <v>982</v>
      </c>
      <c r="O122" s="1">
        <v>1</v>
      </c>
      <c r="P122" s="5" t="s">
        <v>982</v>
      </c>
      <c r="Q122" s="1">
        <v>0</v>
      </c>
      <c r="R122" s="1">
        <v>1</v>
      </c>
      <c r="S122" s="1" t="s">
        <v>194</v>
      </c>
      <c r="T122" s="1">
        <v>1</v>
      </c>
      <c r="U122" s="1">
        <v>1</v>
      </c>
      <c r="V122" s="1" t="s">
        <v>194</v>
      </c>
      <c r="W122" s="1">
        <v>55</v>
      </c>
      <c r="X122" s="1">
        <v>1</v>
      </c>
      <c r="Y122" s="1">
        <v>14</v>
      </c>
      <c r="Z122" s="1">
        <v>24</v>
      </c>
      <c r="AA122" s="1">
        <v>600000</v>
      </c>
      <c r="AB122" s="1">
        <v>2</v>
      </c>
    </row>
    <row r="123" spans="1:28" ht="12.75" customHeight="1" x14ac:dyDescent="0.15">
      <c r="A123" s="5">
        <v>455</v>
      </c>
      <c r="B123" s="5" t="s">
        <v>984</v>
      </c>
      <c r="C123" s="1">
        <v>17</v>
      </c>
      <c r="D123" s="5" t="s">
        <v>983</v>
      </c>
      <c r="E123" s="1">
        <v>6</v>
      </c>
      <c r="F123" s="5" t="s">
        <v>981</v>
      </c>
      <c r="G123" s="1">
        <v>6</v>
      </c>
      <c r="H123" s="5" t="s">
        <v>981</v>
      </c>
      <c r="I123" s="1">
        <v>8</v>
      </c>
      <c r="J123" s="5" t="s">
        <v>981</v>
      </c>
      <c r="K123" s="1">
        <v>6</v>
      </c>
      <c r="L123" s="5" t="s">
        <v>981</v>
      </c>
      <c r="M123" s="1">
        <v>6</v>
      </c>
      <c r="N123" s="5" t="s">
        <v>981</v>
      </c>
      <c r="O123" s="1">
        <v>2</v>
      </c>
      <c r="P123" s="5" t="s">
        <v>982</v>
      </c>
      <c r="Q123" s="1">
        <v>1</v>
      </c>
      <c r="R123" s="1">
        <v>0</v>
      </c>
      <c r="S123" s="1">
        <v>1</v>
      </c>
      <c r="T123" s="1">
        <v>1</v>
      </c>
      <c r="U123" s="1">
        <v>2</v>
      </c>
      <c r="V123" s="1">
        <v>2</v>
      </c>
      <c r="W123" s="1">
        <v>47</v>
      </c>
      <c r="X123" s="1">
        <v>0</v>
      </c>
      <c r="Y123" s="1">
        <v>14</v>
      </c>
      <c r="Z123" s="1">
        <v>24</v>
      </c>
      <c r="AA123" s="1">
        <v>600000</v>
      </c>
      <c r="AB123" s="1">
        <v>2</v>
      </c>
    </row>
    <row r="124" spans="1:28" ht="12.75" customHeight="1" x14ac:dyDescent="0.15">
      <c r="A124" s="5">
        <v>41</v>
      </c>
      <c r="B124" s="5" t="s">
        <v>984</v>
      </c>
      <c r="C124" s="1">
        <v>34</v>
      </c>
      <c r="D124" s="5" t="s">
        <v>981</v>
      </c>
      <c r="E124" s="1">
        <v>7</v>
      </c>
      <c r="F124" s="5" t="s">
        <v>981</v>
      </c>
      <c r="G124" s="1">
        <v>12</v>
      </c>
      <c r="H124" s="5" t="s">
        <v>981</v>
      </c>
      <c r="I124" s="1">
        <v>6</v>
      </c>
      <c r="J124" s="5" t="s">
        <v>981</v>
      </c>
      <c r="K124" s="1">
        <v>9</v>
      </c>
      <c r="L124" s="5" t="s">
        <v>981</v>
      </c>
      <c r="M124" s="1">
        <v>7</v>
      </c>
      <c r="N124" s="5" t="s">
        <v>981</v>
      </c>
      <c r="O124" s="1">
        <v>9</v>
      </c>
      <c r="P124" s="5" t="s">
        <v>982</v>
      </c>
      <c r="Q124" s="1">
        <v>1</v>
      </c>
      <c r="R124" s="1">
        <v>0</v>
      </c>
      <c r="S124" s="1">
        <v>1</v>
      </c>
      <c r="T124" s="1">
        <v>1</v>
      </c>
      <c r="U124" s="1">
        <v>2</v>
      </c>
      <c r="V124" s="1">
        <v>2</v>
      </c>
      <c r="W124" s="1">
        <v>64</v>
      </c>
      <c r="X124" s="1">
        <v>1</v>
      </c>
      <c r="Y124" s="1">
        <v>13</v>
      </c>
      <c r="Z124" s="1">
        <v>24</v>
      </c>
      <c r="AA124" s="1">
        <v>600000</v>
      </c>
      <c r="AB124" s="1">
        <v>2</v>
      </c>
    </row>
    <row r="125" spans="1:28" ht="12.75" customHeight="1" x14ac:dyDescent="0.15">
      <c r="A125" s="5">
        <v>115</v>
      </c>
      <c r="B125" s="5" t="s">
        <v>984</v>
      </c>
      <c r="C125" s="1">
        <v>45</v>
      </c>
      <c r="D125" s="5" t="s">
        <v>981</v>
      </c>
      <c r="E125" s="1">
        <v>7</v>
      </c>
      <c r="F125" s="5" t="s">
        <v>981</v>
      </c>
      <c r="G125" s="1">
        <v>11</v>
      </c>
      <c r="H125" s="5" t="s">
        <v>981</v>
      </c>
      <c r="I125" s="1">
        <v>5</v>
      </c>
      <c r="J125" s="5" t="s">
        <v>981</v>
      </c>
      <c r="K125" s="1">
        <v>12</v>
      </c>
      <c r="L125" s="5" t="s">
        <v>981</v>
      </c>
      <c r="M125" s="1">
        <v>12</v>
      </c>
      <c r="N125" s="5" t="s">
        <v>981</v>
      </c>
      <c r="O125" s="1">
        <v>17</v>
      </c>
      <c r="P125" s="5" t="s">
        <v>981</v>
      </c>
      <c r="Q125" s="1">
        <v>0</v>
      </c>
      <c r="R125" s="1">
        <v>0</v>
      </c>
      <c r="S125" s="1" t="s">
        <v>194</v>
      </c>
      <c r="T125" s="1">
        <v>1</v>
      </c>
      <c r="U125" s="1">
        <v>5</v>
      </c>
      <c r="V125" s="1">
        <v>4</v>
      </c>
      <c r="W125" s="1">
        <v>47</v>
      </c>
      <c r="X125" s="1">
        <v>1</v>
      </c>
      <c r="Y125" s="1">
        <v>11</v>
      </c>
      <c r="Z125" s="1">
        <v>24</v>
      </c>
      <c r="AA125" s="1">
        <v>600000</v>
      </c>
      <c r="AB125" s="1">
        <v>1</v>
      </c>
    </row>
    <row r="126" spans="1:28" ht="12.75" customHeight="1" x14ac:dyDescent="0.15">
      <c r="A126" s="5">
        <v>116</v>
      </c>
      <c r="B126" s="5" t="s">
        <v>984</v>
      </c>
      <c r="C126" s="1">
        <v>23</v>
      </c>
      <c r="D126" s="5" t="s">
        <v>982</v>
      </c>
      <c r="E126" s="1">
        <v>0</v>
      </c>
      <c r="F126" s="5" t="s">
        <v>983</v>
      </c>
      <c r="G126" s="1">
        <v>6</v>
      </c>
      <c r="H126" s="5" t="s">
        <v>981</v>
      </c>
      <c r="I126" s="1">
        <v>0</v>
      </c>
      <c r="J126" s="5" t="s">
        <v>983</v>
      </c>
      <c r="K126" s="1">
        <v>0</v>
      </c>
      <c r="L126" s="5" t="s">
        <v>983</v>
      </c>
      <c r="M126" s="1">
        <v>2</v>
      </c>
      <c r="N126" s="5" t="s">
        <v>983</v>
      </c>
      <c r="O126" s="1">
        <v>0</v>
      </c>
      <c r="P126" s="5" t="s">
        <v>983</v>
      </c>
      <c r="Q126" s="1">
        <v>0</v>
      </c>
      <c r="R126" s="1">
        <v>0</v>
      </c>
      <c r="S126" s="1" t="s">
        <v>194</v>
      </c>
      <c r="T126" s="1">
        <v>1</v>
      </c>
      <c r="U126" s="1" t="s">
        <v>194</v>
      </c>
      <c r="V126" s="1">
        <v>2</v>
      </c>
      <c r="W126" s="1">
        <v>47</v>
      </c>
      <c r="X126" s="1">
        <v>1</v>
      </c>
      <c r="Y126" s="1">
        <v>11</v>
      </c>
      <c r="Z126" s="1">
        <v>24</v>
      </c>
      <c r="AA126" s="1">
        <v>600000</v>
      </c>
      <c r="AB126" s="1">
        <v>1</v>
      </c>
    </row>
    <row r="127" spans="1:28" ht="12.75" customHeight="1" x14ac:dyDescent="0.15">
      <c r="A127" s="5">
        <v>373</v>
      </c>
      <c r="B127" s="5" t="s">
        <v>984</v>
      </c>
      <c r="C127" s="1">
        <v>24</v>
      </c>
      <c r="D127" s="5" t="s">
        <v>981</v>
      </c>
      <c r="E127" s="1">
        <v>3</v>
      </c>
      <c r="F127" s="5" t="s">
        <v>982</v>
      </c>
      <c r="G127" s="1">
        <v>3</v>
      </c>
      <c r="H127" s="5" t="s">
        <v>982</v>
      </c>
      <c r="I127" s="1">
        <v>12</v>
      </c>
      <c r="J127" s="5" t="s">
        <v>981</v>
      </c>
      <c r="K127" s="1">
        <v>3</v>
      </c>
      <c r="L127" s="5" t="s">
        <v>982</v>
      </c>
      <c r="M127" s="1">
        <v>3</v>
      </c>
      <c r="N127" s="5" t="s">
        <v>982</v>
      </c>
      <c r="O127" s="1">
        <v>0</v>
      </c>
      <c r="P127" s="5" t="s">
        <v>983</v>
      </c>
      <c r="Q127" s="1">
        <v>1</v>
      </c>
      <c r="R127" s="1">
        <v>0</v>
      </c>
      <c r="S127" s="1">
        <v>1</v>
      </c>
      <c r="T127" s="1">
        <v>1</v>
      </c>
      <c r="U127" s="1">
        <v>4</v>
      </c>
      <c r="V127" s="1">
        <v>2</v>
      </c>
      <c r="W127" s="1">
        <v>40</v>
      </c>
      <c r="X127" s="1">
        <v>1</v>
      </c>
      <c r="Y127" s="1">
        <v>2</v>
      </c>
      <c r="Z127" s="1">
        <v>24</v>
      </c>
      <c r="AA127" s="1">
        <v>600000</v>
      </c>
      <c r="AB127" s="1">
        <v>3</v>
      </c>
    </row>
    <row r="128" spans="1:28" ht="12.75" customHeight="1" x14ac:dyDescent="0.15">
      <c r="A128" s="5">
        <v>126</v>
      </c>
      <c r="B128" s="5" t="s">
        <v>238</v>
      </c>
      <c r="C128" s="1">
        <v>20</v>
      </c>
      <c r="D128" s="5" t="s">
        <v>982</v>
      </c>
      <c r="E128" s="1">
        <v>4</v>
      </c>
      <c r="F128" s="5" t="s">
        <v>982</v>
      </c>
      <c r="G128" s="1">
        <v>1</v>
      </c>
      <c r="H128" s="5" t="s">
        <v>983</v>
      </c>
      <c r="I128" s="1">
        <v>10</v>
      </c>
      <c r="J128" s="5" t="s">
        <v>981</v>
      </c>
      <c r="K128" s="1">
        <v>0</v>
      </c>
      <c r="L128" s="5" t="s">
        <v>983</v>
      </c>
      <c r="M128" s="1">
        <v>2</v>
      </c>
      <c r="N128" s="5" t="s">
        <v>983</v>
      </c>
      <c r="O128" s="1">
        <v>0</v>
      </c>
      <c r="P128" s="5" t="s">
        <v>983</v>
      </c>
      <c r="Q128" s="1">
        <v>1</v>
      </c>
      <c r="R128" s="1">
        <v>0</v>
      </c>
      <c r="S128" s="1">
        <v>1</v>
      </c>
      <c r="T128" s="1">
        <v>1</v>
      </c>
      <c r="U128" s="1">
        <v>2</v>
      </c>
      <c r="V128" s="1">
        <v>4</v>
      </c>
      <c r="W128" s="1">
        <v>49</v>
      </c>
      <c r="X128" s="1">
        <v>0</v>
      </c>
      <c r="Y128" s="1">
        <v>16</v>
      </c>
      <c r="Z128" s="1">
        <v>21</v>
      </c>
      <c r="AA128" s="1">
        <v>600000</v>
      </c>
      <c r="AB128" s="1">
        <v>2</v>
      </c>
    </row>
    <row r="129" spans="1:28" ht="12.75" customHeight="1" x14ac:dyDescent="0.15">
      <c r="A129" s="5">
        <v>395</v>
      </c>
      <c r="B129" s="5" t="s">
        <v>238</v>
      </c>
      <c r="C129" s="1">
        <v>33</v>
      </c>
      <c r="D129" s="5" t="s">
        <v>981</v>
      </c>
      <c r="E129" s="1">
        <v>7</v>
      </c>
      <c r="F129" s="5" t="s">
        <v>981</v>
      </c>
      <c r="G129" s="1">
        <v>3</v>
      </c>
      <c r="H129" s="5" t="s">
        <v>982</v>
      </c>
      <c r="I129" s="1">
        <v>10</v>
      </c>
      <c r="J129" s="5" t="s">
        <v>981</v>
      </c>
      <c r="K129" s="1">
        <v>5</v>
      </c>
      <c r="L129" s="5" t="s">
        <v>982</v>
      </c>
      <c r="M129" s="1">
        <v>7</v>
      </c>
      <c r="N129" s="5" t="s">
        <v>981</v>
      </c>
      <c r="O129" s="1">
        <v>0</v>
      </c>
      <c r="P129" s="5" t="s">
        <v>983</v>
      </c>
      <c r="Q129" s="1">
        <v>1</v>
      </c>
      <c r="R129" s="1">
        <v>0</v>
      </c>
      <c r="S129" s="1">
        <v>1</v>
      </c>
      <c r="T129" s="1">
        <v>1</v>
      </c>
      <c r="U129" s="1">
        <v>5</v>
      </c>
      <c r="V129" s="1">
        <v>5</v>
      </c>
      <c r="W129" s="1">
        <v>54</v>
      </c>
      <c r="X129" s="1">
        <v>0</v>
      </c>
      <c r="Y129" s="1">
        <v>2</v>
      </c>
      <c r="Z129" s="1">
        <v>9</v>
      </c>
      <c r="AA129" s="1">
        <v>600000</v>
      </c>
      <c r="AB129" s="1">
        <v>1</v>
      </c>
    </row>
    <row r="130" spans="1:28" ht="12.75" customHeight="1" x14ac:dyDescent="0.15">
      <c r="A130" s="5">
        <v>218</v>
      </c>
      <c r="B130" s="5" t="s">
        <v>984</v>
      </c>
      <c r="C130" s="1">
        <v>23</v>
      </c>
      <c r="D130" s="5" t="s">
        <v>982</v>
      </c>
      <c r="E130" s="1">
        <v>6</v>
      </c>
      <c r="F130" s="5" t="s">
        <v>981</v>
      </c>
      <c r="G130" s="1">
        <v>8</v>
      </c>
      <c r="H130" s="5" t="s">
        <v>981</v>
      </c>
      <c r="I130" s="1">
        <v>10</v>
      </c>
      <c r="J130" s="5" t="s">
        <v>981</v>
      </c>
      <c r="K130" s="1">
        <v>4</v>
      </c>
      <c r="L130" s="5" t="s">
        <v>982</v>
      </c>
      <c r="M130" s="1">
        <v>5</v>
      </c>
      <c r="N130" s="5" t="s">
        <v>982</v>
      </c>
      <c r="O130" s="1">
        <v>2</v>
      </c>
      <c r="P130" s="5" t="s">
        <v>982</v>
      </c>
      <c r="Q130" s="1">
        <v>0</v>
      </c>
      <c r="R130" s="1">
        <v>1</v>
      </c>
      <c r="S130" s="1" t="s">
        <v>194</v>
      </c>
      <c r="T130" s="1">
        <v>1</v>
      </c>
      <c r="U130" s="1">
        <v>3</v>
      </c>
      <c r="V130" s="1">
        <v>2</v>
      </c>
      <c r="W130" s="1">
        <v>62</v>
      </c>
      <c r="X130" s="1">
        <v>0</v>
      </c>
      <c r="Y130" s="1">
        <v>16</v>
      </c>
      <c r="Z130" s="1">
        <v>8</v>
      </c>
      <c r="AA130" s="1">
        <v>600000</v>
      </c>
      <c r="AB130" s="1">
        <v>2</v>
      </c>
    </row>
    <row r="131" spans="1:28" ht="12.75" customHeight="1" x14ac:dyDescent="0.15">
      <c r="A131" s="5">
        <v>97</v>
      </c>
      <c r="B131" s="5" t="s">
        <v>984</v>
      </c>
      <c r="C131" s="1">
        <v>27</v>
      </c>
      <c r="D131" s="5" t="s">
        <v>981</v>
      </c>
      <c r="E131" s="1">
        <v>4</v>
      </c>
      <c r="F131" s="5" t="s">
        <v>982</v>
      </c>
      <c r="G131" s="1">
        <v>5</v>
      </c>
      <c r="H131" s="5" t="s">
        <v>982</v>
      </c>
      <c r="I131" s="1">
        <v>4</v>
      </c>
      <c r="J131" s="5" t="s">
        <v>982</v>
      </c>
      <c r="K131" s="1">
        <v>1</v>
      </c>
      <c r="L131" s="5" t="s">
        <v>983</v>
      </c>
      <c r="M131" s="1">
        <v>2</v>
      </c>
      <c r="N131" s="5" t="s">
        <v>983</v>
      </c>
      <c r="O131" s="1">
        <v>0</v>
      </c>
      <c r="P131" s="5" t="s">
        <v>983</v>
      </c>
      <c r="Q131" s="1">
        <v>1</v>
      </c>
      <c r="R131" s="1">
        <v>0</v>
      </c>
      <c r="S131" s="1">
        <v>1</v>
      </c>
      <c r="T131" s="1">
        <v>1</v>
      </c>
      <c r="U131" s="1" t="s">
        <v>194</v>
      </c>
      <c r="V131" s="1">
        <v>2</v>
      </c>
      <c r="W131" s="1">
        <v>48</v>
      </c>
      <c r="X131" s="1">
        <v>0</v>
      </c>
      <c r="Y131" s="1">
        <v>15</v>
      </c>
      <c r="Z131" s="1">
        <v>5</v>
      </c>
      <c r="AA131" s="1">
        <v>600000</v>
      </c>
      <c r="AB131" s="1">
        <v>1</v>
      </c>
    </row>
    <row r="132" spans="1:28" ht="12.75" customHeight="1" x14ac:dyDescent="0.15">
      <c r="A132" s="5">
        <v>423</v>
      </c>
      <c r="B132" s="5" t="s">
        <v>238</v>
      </c>
      <c r="C132" s="1">
        <v>39</v>
      </c>
      <c r="D132" s="5" t="s">
        <v>981</v>
      </c>
      <c r="E132" s="1">
        <v>3</v>
      </c>
      <c r="F132" s="5" t="s">
        <v>982</v>
      </c>
      <c r="G132" s="1">
        <v>6</v>
      </c>
      <c r="H132" s="5" t="s">
        <v>981</v>
      </c>
      <c r="I132" s="1">
        <v>10</v>
      </c>
      <c r="J132" s="5" t="s">
        <v>981</v>
      </c>
      <c r="K132" s="1">
        <v>9</v>
      </c>
      <c r="L132" s="5" t="s">
        <v>981</v>
      </c>
      <c r="M132" s="1">
        <v>5</v>
      </c>
      <c r="N132" s="5" t="s">
        <v>982</v>
      </c>
      <c r="O132" s="1">
        <v>0</v>
      </c>
      <c r="P132" s="5" t="s">
        <v>983</v>
      </c>
      <c r="Q132" s="1">
        <v>0</v>
      </c>
      <c r="R132" s="1">
        <v>0</v>
      </c>
      <c r="S132" s="1" t="s">
        <v>194</v>
      </c>
      <c r="T132" s="1">
        <v>1</v>
      </c>
      <c r="U132" s="1">
        <v>2</v>
      </c>
      <c r="V132" s="1">
        <v>3</v>
      </c>
      <c r="W132" s="1">
        <v>39</v>
      </c>
      <c r="X132" s="1">
        <v>1</v>
      </c>
      <c r="Y132" s="1">
        <v>14</v>
      </c>
      <c r="Z132" s="1">
        <v>2</v>
      </c>
      <c r="AA132" s="1">
        <v>600000</v>
      </c>
      <c r="AB132" s="1">
        <v>4</v>
      </c>
    </row>
    <row r="133" spans="1:28" ht="12.75" customHeight="1" x14ac:dyDescent="0.15">
      <c r="A133" s="5">
        <v>226</v>
      </c>
      <c r="B133" s="5" t="s">
        <v>238</v>
      </c>
      <c r="C133" s="1">
        <v>20</v>
      </c>
      <c r="D133" s="5" t="s">
        <v>982</v>
      </c>
      <c r="E133" s="1">
        <v>6</v>
      </c>
      <c r="F133" s="5" t="s">
        <v>981</v>
      </c>
      <c r="G133" s="1">
        <v>6</v>
      </c>
      <c r="H133" s="5" t="s">
        <v>981</v>
      </c>
      <c r="I133" s="1">
        <v>6</v>
      </c>
      <c r="J133" s="5" t="s">
        <v>981</v>
      </c>
      <c r="K133" s="1">
        <v>9</v>
      </c>
      <c r="L133" s="5" t="s">
        <v>981</v>
      </c>
      <c r="M133" s="1">
        <v>8</v>
      </c>
      <c r="N133" s="5" t="s">
        <v>981</v>
      </c>
      <c r="O133" s="1">
        <v>0</v>
      </c>
      <c r="P133" s="5" t="s">
        <v>983</v>
      </c>
      <c r="Q133" s="1">
        <v>1</v>
      </c>
      <c r="R133" s="1">
        <v>0</v>
      </c>
      <c r="S133" s="1">
        <v>1</v>
      </c>
      <c r="T133" s="1">
        <v>1</v>
      </c>
      <c r="U133" s="1" t="s">
        <v>194</v>
      </c>
      <c r="V133" s="1">
        <v>2</v>
      </c>
      <c r="W133" s="1">
        <v>26</v>
      </c>
      <c r="X133" s="1">
        <v>0</v>
      </c>
      <c r="Y133" s="1">
        <v>14</v>
      </c>
      <c r="Z133" s="1">
        <v>2</v>
      </c>
      <c r="AA133" s="1">
        <v>600000</v>
      </c>
      <c r="AB133" s="1">
        <v>2</v>
      </c>
    </row>
    <row r="134" spans="1:28" ht="12.75" customHeight="1" x14ac:dyDescent="0.15">
      <c r="A134" s="5">
        <v>257</v>
      </c>
      <c r="B134" s="5" t="s">
        <v>238</v>
      </c>
      <c r="C134" s="1">
        <v>14</v>
      </c>
      <c r="D134" s="5" t="s">
        <v>983</v>
      </c>
      <c r="E134" s="1">
        <v>3</v>
      </c>
      <c r="F134" s="5" t="s">
        <v>982</v>
      </c>
      <c r="G134" s="1">
        <v>1</v>
      </c>
      <c r="H134" s="5" t="s">
        <v>983</v>
      </c>
      <c r="I134" s="1">
        <v>16</v>
      </c>
      <c r="J134" s="5" t="s">
        <v>981</v>
      </c>
      <c r="K134" s="1">
        <v>0</v>
      </c>
      <c r="L134" s="5" t="s">
        <v>983</v>
      </c>
      <c r="M134" s="1">
        <v>0</v>
      </c>
      <c r="N134" s="5" t="s">
        <v>983</v>
      </c>
      <c r="O134" s="1">
        <v>0</v>
      </c>
      <c r="P134" s="5" t="s">
        <v>983</v>
      </c>
      <c r="Q134" s="1">
        <v>1</v>
      </c>
      <c r="R134" s="1">
        <v>1</v>
      </c>
      <c r="S134" s="1">
        <v>1</v>
      </c>
      <c r="T134" s="1">
        <v>1</v>
      </c>
      <c r="U134" s="1">
        <v>5</v>
      </c>
      <c r="V134" s="1">
        <v>2</v>
      </c>
      <c r="W134" s="1">
        <v>53</v>
      </c>
      <c r="X134" s="1">
        <v>0</v>
      </c>
      <c r="Y134" s="1">
        <v>14</v>
      </c>
      <c r="Z134" s="1">
        <v>2</v>
      </c>
      <c r="AA134" s="1">
        <v>600000</v>
      </c>
      <c r="AB134" s="1">
        <v>2</v>
      </c>
    </row>
    <row r="135" spans="1:28" ht="12.75" customHeight="1" x14ac:dyDescent="0.15">
      <c r="A135" s="5">
        <v>209</v>
      </c>
      <c r="B135" s="5" t="s">
        <v>238</v>
      </c>
      <c r="C135" s="1">
        <v>24</v>
      </c>
      <c r="D135" s="5" t="s">
        <v>981</v>
      </c>
      <c r="E135" s="1">
        <v>5</v>
      </c>
      <c r="F135" s="5" t="s">
        <v>981</v>
      </c>
      <c r="G135" s="1">
        <v>2</v>
      </c>
      <c r="H135" s="5" t="s">
        <v>982</v>
      </c>
      <c r="I135" s="1">
        <v>16</v>
      </c>
      <c r="J135" s="5" t="s">
        <v>981</v>
      </c>
      <c r="K135" s="1">
        <v>0</v>
      </c>
      <c r="L135" s="5" t="s">
        <v>983</v>
      </c>
      <c r="M135" s="1">
        <v>3</v>
      </c>
      <c r="N135" s="5" t="s">
        <v>982</v>
      </c>
      <c r="O135" s="1">
        <v>0</v>
      </c>
      <c r="P135" s="5" t="s">
        <v>983</v>
      </c>
      <c r="Q135" s="1">
        <v>0</v>
      </c>
      <c r="R135" s="1">
        <v>0</v>
      </c>
      <c r="S135" s="1" t="s">
        <v>194</v>
      </c>
      <c r="T135" s="1">
        <v>1</v>
      </c>
      <c r="U135" s="1">
        <v>3</v>
      </c>
      <c r="V135" s="1">
        <v>3</v>
      </c>
      <c r="W135" s="1">
        <v>30</v>
      </c>
      <c r="X135" s="1">
        <v>0</v>
      </c>
      <c r="Y135" s="1">
        <v>16</v>
      </c>
      <c r="Z135" s="1">
        <v>1</v>
      </c>
      <c r="AA135" s="1">
        <v>600000</v>
      </c>
      <c r="AB135" s="1">
        <v>1</v>
      </c>
    </row>
    <row r="136" spans="1:28" ht="12.75" customHeight="1" x14ac:dyDescent="0.15">
      <c r="A136" s="5">
        <v>417</v>
      </c>
      <c r="B136" s="5" t="s">
        <v>238</v>
      </c>
      <c r="C136" s="1">
        <v>12</v>
      </c>
      <c r="D136" s="5" t="s">
        <v>983</v>
      </c>
      <c r="E136" s="1">
        <v>0</v>
      </c>
      <c r="F136" s="5" t="s">
        <v>983</v>
      </c>
      <c r="G136" s="1">
        <v>0</v>
      </c>
      <c r="H136" s="5" t="s">
        <v>983</v>
      </c>
      <c r="I136" s="1">
        <v>16</v>
      </c>
      <c r="J136" s="5" t="s">
        <v>981</v>
      </c>
      <c r="K136" s="1">
        <v>0</v>
      </c>
      <c r="L136" s="5" t="s">
        <v>983</v>
      </c>
      <c r="M136" s="1">
        <v>0</v>
      </c>
      <c r="N136" s="5" t="s">
        <v>983</v>
      </c>
      <c r="O136" s="1">
        <v>0</v>
      </c>
      <c r="P136" s="5" t="s">
        <v>983</v>
      </c>
      <c r="Q136" s="1">
        <v>1</v>
      </c>
      <c r="R136" s="1">
        <v>0</v>
      </c>
      <c r="S136" s="1" t="s">
        <v>194</v>
      </c>
      <c r="T136" s="1">
        <v>0</v>
      </c>
      <c r="U136" s="1" t="s">
        <v>194</v>
      </c>
      <c r="V136" s="1" t="s">
        <v>194</v>
      </c>
      <c r="W136" s="1">
        <v>41</v>
      </c>
      <c r="X136" s="1">
        <v>0</v>
      </c>
      <c r="Y136" s="1">
        <v>14</v>
      </c>
      <c r="Z136" s="1">
        <v>1</v>
      </c>
      <c r="AA136" s="1">
        <v>600000</v>
      </c>
      <c r="AB136" s="1">
        <v>2</v>
      </c>
    </row>
    <row r="137" spans="1:28" ht="12.75" customHeight="1" x14ac:dyDescent="0.15">
      <c r="A137" s="5">
        <v>262</v>
      </c>
      <c r="B137" s="5" t="s">
        <v>238</v>
      </c>
      <c r="C137" s="1">
        <v>15</v>
      </c>
      <c r="D137" s="5" t="s">
        <v>983</v>
      </c>
      <c r="E137" s="1">
        <v>0</v>
      </c>
      <c r="F137" s="5" t="s">
        <v>983</v>
      </c>
      <c r="G137" s="1">
        <v>3</v>
      </c>
      <c r="H137" s="5" t="s">
        <v>982</v>
      </c>
      <c r="I137" s="1">
        <v>4</v>
      </c>
      <c r="J137" s="5" t="s">
        <v>982</v>
      </c>
      <c r="K137" s="1">
        <v>7</v>
      </c>
      <c r="L137" s="5" t="s">
        <v>981</v>
      </c>
      <c r="M137" s="1">
        <v>3</v>
      </c>
      <c r="N137" s="5" t="s">
        <v>982</v>
      </c>
      <c r="O137" s="1">
        <v>0</v>
      </c>
      <c r="P137" s="5" t="s">
        <v>983</v>
      </c>
      <c r="Q137" s="1">
        <v>1</v>
      </c>
      <c r="R137" s="1">
        <v>0</v>
      </c>
      <c r="S137" s="1" t="s">
        <v>194</v>
      </c>
      <c r="T137" s="1">
        <v>1</v>
      </c>
      <c r="U137" s="1">
        <v>4</v>
      </c>
      <c r="V137" s="1">
        <v>5</v>
      </c>
      <c r="W137" s="1">
        <v>58</v>
      </c>
      <c r="X137" s="1">
        <v>0</v>
      </c>
      <c r="Y137" s="1">
        <v>2</v>
      </c>
      <c r="Z137" s="1">
        <v>1</v>
      </c>
      <c r="AA137" s="1">
        <v>600000</v>
      </c>
      <c r="AB137" s="1">
        <v>1</v>
      </c>
    </row>
    <row r="138" spans="1:28" ht="12.75" customHeight="1" x14ac:dyDescent="0.15">
      <c r="A138" s="5">
        <v>94</v>
      </c>
      <c r="B138" s="5" t="s">
        <v>238</v>
      </c>
      <c r="C138" s="1">
        <v>30</v>
      </c>
      <c r="D138" s="5" t="s">
        <v>981</v>
      </c>
      <c r="E138" s="1">
        <v>7</v>
      </c>
      <c r="F138" s="5" t="s">
        <v>981</v>
      </c>
      <c r="G138" s="1">
        <v>6</v>
      </c>
      <c r="H138" s="5" t="s">
        <v>981</v>
      </c>
      <c r="I138" s="1">
        <v>9</v>
      </c>
      <c r="J138" s="5" t="s">
        <v>981</v>
      </c>
      <c r="K138" s="1">
        <v>2</v>
      </c>
      <c r="L138" s="5" t="s">
        <v>983</v>
      </c>
      <c r="M138" s="1">
        <v>8</v>
      </c>
      <c r="N138" s="5" t="s">
        <v>981</v>
      </c>
      <c r="O138" s="1">
        <v>0</v>
      </c>
      <c r="P138" s="5" t="s">
        <v>983</v>
      </c>
      <c r="Q138" s="1">
        <v>0</v>
      </c>
      <c r="R138" s="1">
        <v>0</v>
      </c>
      <c r="S138" s="1" t="s">
        <v>194</v>
      </c>
      <c r="T138" s="1">
        <v>1</v>
      </c>
      <c r="U138" s="1">
        <v>5</v>
      </c>
      <c r="V138" s="1">
        <v>5</v>
      </c>
      <c r="W138" s="1">
        <v>41</v>
      </c>
      <c r="X138" s="1">
        <v>1</v>
      </c>
      <c r="Y138" s="1">
        <v>15</v>
      </c>
      <c r="Z138" s="1">
        <v>7</v>
      </c>
      <c r="AA138" s="1">
        <v>564000</v>
      </c>
      <c r="AB138" s="1">
        <v>5</v>
      </c>
    </row>
    <row r="139" spans="1:28" ht="12.75" customHeight="1" x14ac:dyDescent="0.15">
      <c r="A139" s="5">
        <v>93</v>
      </c>
      <c r="B139" s="5" t="s">
        <v>238</v>
      </c>
      <c r="C139" s="1">
        <v>16</v>
      </c>
      <c r="D139" s="5" t="s">
        <v>983</v>
      </c>
      <c r="E139" s="1">
        <v>3</v>
      </c>
      <c r="F139" s="5" t="s">
        <v>982</v>
      </c>
      <c r="G139" s="1">
        <v>3</v>
      </c>
      <c r="H139" s="5" t="s">
        <v>982</v>
      </c>
      <c r="I139" s="1">
        <v>12</v>
      </c>
      <c r="J139" s="5" t="s">
        <v>981</v>
      </c>
      <c r="K139" s="1">
        <v>3</v>
      </c>
      <c r="L139" s="5" t="s">
        <v>982</v>
      </c>
      <c r="M139" s="1">
        <v>3</v>
      </c>
      <c r="N139" s="5" t="s">
        <v>982</v>
      </c>
      <c r="O139" s="1">
        <v>0</v>
      </c>
      <c r="P139" s="5" t="s">
        <v>983</v>
      </c>
      <c r="Q139" s="1">
        <v>0</v>
      </c>
      <c r="R139" s="1">
        <v>0</v>
      </c>
      <c r="S139" s="1" t="s">
        <v>194</v>
      </c>
      <c r="T139" s="1">
        <v>1</v>
      </c>
      <c r="U139" s="1">
        <v>5</v>
      </c>
      <c r="V139" s="1">
        <v>1</v>
      </c>
      <c r="W139" s="1">
        <v>41</v>
      </c>
      <c r="X139" s="1">
        <v>1</v>
      </c>
      <c r="Y139" s="1">
        <v>15</v>
      </c>
      <c r="Z139" s="1">
        <v>7</v>
      </c>
      <c r="AA139" s="1">
        <v>564000</v>
      </c>
      <c r="AB139" s="1">
        <v>5</v>
      </c>
    </row>
    <row r="140" spans="1:28" ht="12.75" customHeight="1" x14ac:dyDescent="0.15">
      <c r="A140" s="5">
        <v>345</v>
      </c>
      <c r="B140" s="5" t="s">
        <v>238</v>
      </c>
      <c r="C140" s="1">
        <v>17</v>
      </c>
      <c r="D140" s="5" t="s">
        <v>983</v>
      </c>
      <c r="E140" s="1">
        <v>2</v>
      </c>
      <c r="F140" s="5" t="s">
        <v>982</v>
      </c>
      <c r="G140" s="1">
        <v>1</v>
      </c>
      <c r="H140" s="5" t="s">
        <v>983</v>
      </c>
      <c r="I140" s="1">
        <v>16</v>
      </c>
      <c r="J140" s="5" t="s">
        <v>981</v>
      </c>
      <c r="K140" s="1">
        <v>0</v>
      </c>
      <c r="L140" s="5" t="s">
        <v>983</v>
      </c>
      <c r="M140" s="1">
        <v>0</v>
      </c>
      <c r="N140" s="5" t="s">
        <v>983</v>
      </c>
      <c r="O140" s="1">
        <v>0</v>
      </c>
      <c r="P140" s="5" t="s">
        <v>983</v>
      </c>
      <c r="Q140" s="1">
        <v>0</v>
      </c>
      <c r="R140" s="1">
        <v>0</v>
      </c>
      <c r="S140" s="1" t="s">
        <v>194</v>
      </c>
      <c r="T140" s="1">
        <v>1</v>
      </c>
      <c r="U140" s="1" t="s">
        <v>194</v>
      </c>
      <c r="V140" s="1">
        <v>2</v>
      </c>
      <c r="W140" s="1">
        <v>32</v>
      </c>
      <c r="X140" s="1">
        <v>0</v>
      </c>
      <c r="Y140" s="1">
        <v>14</v>
      </c>
      <c r="Z140" s="1">
        <v>34</v>
      </c>
      <c r="AA140" s="1">
        <v>560000</v>
      </c>
      <c r="AB140" s="1">
        <v>3</v>
      </c>
    </row>
    <row r="141" spans="1:28" ht="12.75" customHeight="1" x14ac:dyDescent="0.15">
      <c r="A141" s="5">
        <v>441</v>
      </c>
      <c r="B141" s="5" t="s">
        <v>238</v>
      </c>
      <c r="C141" s="1">
        <v>14</v>
      </c>
      <c r="D141" s="5" t="s">
        <v>983</v>
      </c>
      <c r="E141" s="1">
        <v>6</v>
      </c>
      <c r="F141" s="5" t="s">
        <v>981</v>
      </c>
      <c r="G141" s="1">
        <v>3</v>
      </c>
      <c r="H141" s="5" t="s">
        <v>982</v>
      </c>
      <c r="I141" s="1">
        <v>11</v>
      </c>
      <c r="J141" s="5" t="s">
        <v>981</v>
      </c>
      <c r="K141" s="1">
        <v>6</v>
      </c>
      <c r="L141" s="5" t="s">
        <v>981</v>
      </c>
      <c r="M141" s="1">
        <v>3</v>
      </c>
      <c r="N141" s="5" t="s">
        <v>982</v>
      </c>
      <c r="O141" s="1">
        <v>0</v>
      </c>
      <c r="P141" s="5" t="s">
        <v>983</v>
      </c>
      <c r="Q141" s="1">
        <v>0</v>
      </c>
      <c r="R141" s="1">
        <v>0</v>
      </c>
      <c r="S141" s="1" t="s">
        <v>194</v>
      </c>
      <c r="T141" s="1">
        <v>1</v>
      </c>
      <c r="U141" s="1">
        <v>5</v>
      </c>
      <c r="V141" s="1">
        <v>5</v>
      </c>
      <c r="W141" s="1">
        <v>53</v>
      </c>
      <c r="X141" s="1">
        <v>0</v>
      </c>
      <c r="Y141" s="1">
        <v>14</v>
      </c>
      <c r="Z141" s="1">
        <v>24</v>
      </c>
      <c r="AA141" s="1">
        <v>550000</v>
      </c>
      <c r="AB141" s="1">
        <v>2</v>
      </c>
    </row>
    <row r="142" spans="1:28" ht="12.75" customHeight="1" x14ac:dyDescent="0.15">
      <c r="A142" s="5">
        <v>442</v>
      </c>
      <c r="B142" s="5" t="s">
        <v>984</v>
      </c>
      <c r="C142" s="1">
        <v>21</v>
      </c>
      <c r="D142" s="5" t="s">
        <v>982</v>
      </c>
      <c r="E142" s="1">
        <v>1</v>
      </c>
      <c r="F142" s="5" t="s">
        <v>983</v>
      </c>
      <c r="G142" s="1">
        <v>12</v>
      </c>
      <c r="H142" s="5" t="s">
        <v>981</v>
      </c>
      <c r="I142" s="1">
        <v>2</v>
      </c>
      <c r="J142" s="5" t="s">
        <v>982</v>
      </c>
      <c r="K142" s="1">
        <v>10</v>
      </c>
      <c r="L142" s="5" t="s">
        <v>981</v>
      </c>
      <c r="M142" s="1">
        <v>4</v>
      </c>
      <c r="N142" s="5" t="s">
        <v>982</v>
      </c>
      <c r="O142" s="1">
        <v>5</v>
      </c>
      <c r="P142" s="5" t="s">
        <v>982</v>
      </c>
      <c r="Q142" s="1">
        <v>0</v>
      </c>
      <c r="R142" s="1">
        <v>0</v>
      </c>
      <c r="S142" s="1" t="s">
        <v>194</v>
      </c>
      <c r="T142" s="1">
        <v>1</v>
      </c>
      <c r="U142" s="1" t="s">
        <v>194</v>
      </c>
      <c r="V142" s="1">
        <v>3</v>
      </c>
      <c r="W142" s="1">
        <v>53</v>
      </c>
      <c r="X142" s="1">
        <v>0</v>
      </c>
      <c r="Y142" s="1">
        <v>14</v>
      </c>
      <c r="Z142" s="1">
        <v>24</v>
      </c>
      <c r="AA142" s="1">
        <v>550000</v>
      </c>
      <c r="AB142" s="1">
        <v>2</v>
      </c>
    </row>
    <row r="143" spans="1:28" ht="12.75" customHeight="1" x14ac:dyDescent="0.15">
      <c r="A143" s="5">
        <v>135</v>
      </c>
      <c r="B143" s="5" t="s">
        <v>984</v>
      </c>
      <c r="C143" s="1">
        <v>22</v>
      </c>
      <c r="D143" s="5" t="s">
        <v>982</v>
      </c>
      <c r="E143" s="1">
        <v>1</v>
      </c>
      <c r="F143" s="5" t="s">
        <v>983</v>
      </c>
      <c r="G143" s="1">
        <v>4</v>
      </c>
      <c r="H143" s="5" t="s">
        <v>982</v>
      </c>
      <c r="I143" s="1">
        <v>10</v>
      </c>
      <c r="J143" s="5" t="s">
        <v>981</v>
      </c>
      <c r="K143" s="1">
        <v>4</v>
      </c>
      <c r="L143" s="5" t="s">
        <v>982</v>
      </c>
      <c r="M143" s="1">
        <v>6</v>
      </c>
      <c r="N143" s="5" t="s">
        <v>981</v>
      </c>
      <c r="O143" s="1">
        <v>1</v>
      </c>
      <c r="P143" s="5" t="s">
        <v>982</v>
      </c>
      <c r="Q143" s="1">
        <v>1</v>
      </c>
      <c r="R143" s="1">
        <v>0</v>
      </c>
      <c r="S143" s="1" t="s">
        <v>194</v>
      </c>
      <c r="T143" s="1">
        <v>0</v>
      </c>
      <c r="U143" s="1" t="s">
        <v>194</v>
      </c>
      <c r="V143" s="1" t="s">
        <v>194</v>
      </c>
      <c r="W143" s="1">
        <v>40</v>
      </c>
      <c r="X143" s="1">
        <v>0</v>
      </c>
      <c r="Y143" s="1">
        <v>14</v>
      </c>
      <c r="Z143" s="1">
        <v>5</v>
      </c>
      <c r="AA143" s="1">
        <v>550000</v>
      </c>
      <c r="AB143" s="1">
        <v>1</v>
      </c>
    </row>
    <row r="144" spans="1:28" ht="12.75" customHeight="1" x14ac:dyDescent="0.15">
      <c r="A144" s="5">
        <v>451</v>
      </c>
      <c r="B144" s="5" t="s">
        <v>238</v>
      </c>
      <c r="C144" s="1">
        <v>22</v>
      </c>
      <c r="D144" s="5" t="s">
        <v>982</v>
      </c>
      <c r="E144" s="1">
        <v>12</v>
      </c>
      <c r="F144" s="5" t="s">
        <v>981</v>
      </c>
      <c r="G144" s="1">
        <v>12</v>
      </c>
      <c r="H144" s="5" t="s">
        <v>981</v>
      </c>
      <c r="I144" s="1">
        <v>0</v>
      </c>
      <c r="J144" s="5" t="s">
        <v>983</v>
      </c>
      <c r="K144" s="1">
        <v>12</v>
      </c>
      <c r="L144" s="5" t="s">
        <v>981</v>
      </c>
      <c r="M144" s="1">
        <v>12</v>
      </c>
      <c r="N144" s="5" t="s">
        <v>981</v>
      </c>
      <c r="O144" s="1">
        <v>0</v>
      </c>
      <c r="P144" s="5" t="s">
        <v>983</v>
      </c>
      <c r="Q144" s="1">
        <v>0</v>
      </c>
      <c r="R144" s="1">
        <v>0</v>
      </c>
      <c r="S144" s="1" t="s">
        <v>194</v>
      </c>
      <c r="T144" s="1">
        <v>1</v>
      </c>
      <c r="U144" s="1">
        <v>2</v>
      </c>
      <c r="V144" s="1">
        <v>2</v>
      </c>
      <c r="W144" s="1">
        <v>42</v>
      </c>
      <c r="X144" s="1">
        <v>1</v>
      </c>
      <c r="Y144" s="1">
        <v>14</v>
      </c>
      <c r="Z144" s="1">
        <v>3</v>
      </c>
      <c r="AA144" s="1">
        <v>550000</v>
      </c>
      <c r="AB144" s="1">
        <v>3</v>
      </c>
    </row>
    <row r="145" spans="1:28" ht="12.75" customHeight="1" x14ac:dyDescent="0.15">
      <c r="A145" s="5">
        <v>344</v>
      </c>
      <c r="B145" s="5" t="s">
        <v>238</v>
      </c>
      <c r="C145" s="1">
        <v>12</v>
      </c>
      <c r="D145" s="5" t="s">
        <v>983</v>
      </c>
      <c r="E145" s="1">
        <v>2</v>
      </c>
      <c r="F145" s="5" t="s">
        <v>982</v>
      </c>
      <c r="G145" s="1">
        <v>0</v>
      </c>
      <c r="H145" s="5" t="s">
        <v>983</v>
      </c>
      <c r="I145" s="1">
        <v>8</v>
      </c>
      <c r="J145" s="5" t="s">
        <v>981</v>
      </c>
      <c r="K145" s="1">
        <v>0</v>
      </c>
      <c r="L145" s="5" t="s">
        <v>983</v>
      </c>
      <c r="M145" s="1">
        <v>0</v>
      </c>
      <c r="N145" s="5" t="s">
        <v>983</v>
      </c>
      <c r="O145" s="1">
        <v>0</v>
      </c>
      <c r="P145" s="5" t="s">
        <v>983</v>
      </c>
      <c r="Q145" s="1">
        <v>1</v>
      </c>
      <c r="R145" s="1">
        <v>1</v>
      </c>
      <c r="S145" s="1" t="s">
        <v>194</v>
      </c>
      <c r="T145" s="1">
        <v>1</v>
      </c>
      <c r="U145" s="1">
        <v>2</v>
      </c>
      <c r="V145" s="1">
        <v>1</v>
      </c>
      <c r="W145" s="1">
        <v>26</v>
      </c>
      <c r="X145" s="1">
        <v>0</v>
      </c>
      <c r="Y145" s="1">
        <v>18</v>
      </c>
      <c r="Z145" s="1">
        <v>2</v>
      </c>
      <c r="AA145" s="1">
        <v>550000</v>
      </c>
      <c r="AB145" s="1">
        <v>2</v>
      </c>
    </row>
    <row r="146" spans="1:28" ht="12.75" customHeight="1" x14ac:dyDescent="0.15">
      <c r="A146" s="5">
        <v>432</v>
      </c>
      <c r="B146" s="5" t="s">
        <v>238</v>
      </c>
      <c r="C146" s="1">
        <v>29</v>
      </c>
      <c r="D146" s="5" t="s">
        <v>981</v>
      </c>
      <c r="E146" s="1">
        <v>6</v>
      </c>
      <c r="F146" s="5" t="s">
        <v>981</v>
      </c>
      <c r="G146" s="1">
        <v>9</v>
      </c>
      <c r="H146" s="5" t="s">
        <v>981</v>
      </c>
      <c r="I146" s="1">
        <v>4</v>
      </c>
      <c r="J146" s="5" t="s">
        <v>982</v>
      </c>
      <c r="K146" s="1">
        <v>9</v>
      </c>
      <c r="L146" s="5" t="s">
        <v>981</v>
      </c>
      <c r="M146" s="1">
        <v>9</v>
      </c>
      <c r="N146" s="5" t="s">
        <v>981</v>
      </c>
      <c r="O146" s="1">
        <v>12</v>
      </c>
      <c r="P146" s="5" t="s">
        <v>982</v>
      </c>
      <c r="Q146" s="1">
        <v>1</v>
      </c>
      <c r="R146" s="1">
        <v>0</v>
      </c>
      <c r="S146" s="1">
        <v>1</v>
      </c>
      <c r="T146" s="1">
        <v>1</v>
      </c>
      <c r="U146" s="1" t="s">
        <v>194</v>
      </c>
      <c r="V146" s="1">
        <v>3</v>
      </c>
      <c r="W146" s="1">
        <v>41</v>
      </c>
      <c r="X146" s="1">
        <v>1</v>
      </c>
      <c r="Y146" s="1">
        <v>6</v>
      </c>
      <c r="Z146" s="1">
        <v>34</v>
      </c>
      <c r="AA146" s="1">
        <v>540000</v>
      </c>
      <c r="AB146" s="1">
        <v>4</v>
      </c>
    </row>
    <row r="147" spans="1:28" ht="12.75" customHeight="1" x14ac:dyDescent="0.15">
      <c r="A147" s="5">
        <v>319</v>
      </c>
      <c r="B147" s="5" t="s">
        <v>238</v>
      </c>
      <c r="C147" s="1">
        <v>22</v>
      </c>
      <c r="D147" s="5" t="s">
        <v>982</v>
      </c>
      <c r="E147" s="1">
        <v>6</v>
      </c>
      <c r="F147" s="5" t="s">
        <v>981</v>
      </c>
      <c r="G147" s="1">
        <v>6</v>
      </c>
      <c r="H147" s="5" t="s">
        <v>981</v>
      </c>
      <c r="I147" s="1">
        <v>6</v>
      </c>
      <c r="J147" s="5" t="s">
        <v>981</v>
      </c>
      <c r="K147" s="1">
        <v>3</v>
      </c>
      <c r="L147" s="5" t="s">
        <v>982</v>
      </c>
      <c r="M147" s="1">
        <v>3</v>
      </c>
      <c r="N147" s="5" t="s">
        <v>982</v>
      </c>
      <c r="O147" s="1">
        <v>0</v>
      </c>
      <c r="P147" s="5" t="s">
        <v>983</v>
      </c>
      <c r="Q147" s="1">
        <v>1</v>
      </c>
      <c r="R147" s="1">
        <v>1</v>
      </c>
      <c r="S147" s="1">
        <v>1</v>
      </c>
      <c r="T147" s="1">
        <v>1</v>
      </c>
      <c r="U147" s="1" t="s">
        <v>194</v>
      </c>
      <c r="V147" s="1">
        <v>2</v>
      </c>
      <c r="W147" s="1">
        <v>32</v>
      </c>
      <c r="X147" s="1">
        <v>0</v>
      </c>
      <c r="Y147" s="1">
        <v>14</v>
      </c>
      <c r="Z147" s="1">
        <v>8</v>
      </c>
      <c r="AA147" s="1">
        <v>520000</v>
      </c>
      <c r="AB147" s="1">
        <v>2</v>
      </c>
    </row>
    <row r="148" spans="1:28" ht="12.75" customHeight="1" x14ac:dyDescent="0.15">
      <c r="A148" s="5">
        <v>421</v>
      </c>
      <c r="B148" s="5" t="s">
        <v>238</v>
      </c>
      <c r="C148" s="1">
        <v>18</v>
      </c>
      <c r="D148" s="5" t="s">
        <v>983</v>
      </c>
      <c r="E148" s="1">
        <v>1</v>
      </c>
      <c r="F148" s="5" t="s">
        <v>983</v>
      </c>
      <c r="G148" s="1">
        <v>1</v>
      </c>
      <c r="H148" s="5" t="s">
        <v>983</v>
      </c>
      <c r="I148" s="1">
        <v>5</v>
      </c>
      <c r="J148" s="5" t="s">
        <v>981</v>
      </c>
      <c r="K148" s="1">
        <v>0</v>
      </c>
      <c r="L148" s="5" t="s">
        <v>983</v>
      </c>
      <c r="M148" s="1">
        <v>0</v>
      </c>
      <c r="N148" s="5" t="s">
        <v>983</v>
      </c>
      <c r="O148" s="1">
        <v>0</v>
      </c>
      <c r="P148" s="5" t="s">
        <v>983</v>
      </c>
      <c r="Q148" s="1">
        <v>1</v>
      </c>
      <c r="R148" s="1">
        <v>0</v>
      </c>
      <c r="S148" s="1">
        <v>1</v>
      </c>
      <c r="T148" s="1">
        <v>1</v>
      </c>
      <c r="U148" s="1" t="s">
        <v>194</v>
      </c>
      <c r="V148" s="1">
        <v>1</v>
      </c>
      <c r="W148" s="1">
        <v>45</v>
      </c>
      <c r="X148" s="1">
        <v>1</v>
      </c>
      <c r="Y148" s="1">
        <v>14</v>
      </c>
      <c r="Z148" s="1">
        <v>34</v>
      </c>
      <c r="AA148" s="1">
        <v>500000</v>
      </c>
      <c r="AB148" s="1">
        <v>2</v>
      </c>
    </row>
    <row r="149" spans="1:28" ht="12.75" customHeight="1" x14ac:dyDescent="0.15">
      <c r="A149" s="5">
        <v>392</v>
      </c>
      <c r="B149" s="5" t="s">
        <v>238</v>
      </c>
      <c r="C149" s="1">
        <v>40</v>
      </c>
      <c r="D149" s="5" t="s">
        <v>981</v>
      </c>
      <c r="E149" s="1">
        <v>2</v>
      </c>
      <c r="F149" s="5" t="s">
        <v>982</v>
      </c>
      <c r="G149" s="1">
        <v>5</v>
      </c>
      <c r="H149" s="5" t="s">
        <v>982</v>
      </c>
      <c r="I149" s="1">
        <v>4</v>
      </c>
      <c r="J149" s="5" t="s">
        <v>982</v>
      </c>
      <c r="K149" s="1">
        <v>0</v>
      </c>
      <c r="L149" s="5" t="s">
        <v>983</v>
      </c>
      <c r="M149" s="1">
        <v>3</v>
      </c>
      <c r="N149" s="5" t="s">
        <v>982</v>
      </c>
      <c r="O149" s="1">
        <v>0</v>
      </c>
      <c r="P149" s="5" t="s">
        <v>983</v>
      </c>
      <c r="Q149" s="1">
        <v>1</v>
      </c>
      <c r="R149" s="1">
        <v>0</v>
      </c>
      <c r="S149" s="1">
        <v>1</v>
      </c>
      <c r="T149" s="1">
        <v>1</v>
      </c>
      <c r="U149" s="1" t="s">
        <v>194</v>
      </c>
      <c r="V149" s="1">
        <v>2</v>
      </c>
      <c r="W149" s="1">
        <v>64</v>
      </c>
      <c r="X149" s="1">
        <v>1</v>
      </c>
      <c r="Y149" s="1">
        <v>14</v>
      </c>
      <c r="Z149" s="1">
        <v>34</v>
      </c>
      <c r="AA149" s="1">
        <v>500000</v>
      </c>
      <c r="AB149" s="1">
        <v>1</v>
      </c>
    </row>
    <row r="150" spans="1:28" ht="12.75" customHeight="1" x14ac:dyDescent="0.15">
      <c r="A150" s="5">
        <v>428</v>
      </c>
      <c r="B150" s="5" t="s">
        <v>238</v>
      </c>
      <c r="C150" s="1">
        <v>16</v>
      </c>
      <c r="D150" s="5" t="s">
        <v>983</v>
      </c>
      <c r="E150" s="1">
        <v>7</v>
      </c>
      <c r="F150" s="5" t="s">
        <v>981</v>
      </c>
      <c r="G150" s="1">
        <v>4</v>
      </c>
      <c r="H150" s="5" t="s">
        <v>982</v>
      </c>
      <c r="I150" s="1">
        <v>8</v>
      </c>
      <c r="J150" s="5" t="s">
        <v>981</v>
      </c>
      <c r="K150" s="1">
        <v>0</v>
      </c>
      <c r="L150" s="5" t="s">
        <v>983</v>
      </c>
      <c r="M150" s="1">
        <v>1</v>
      </c>
      <c r="N150" s="5" t="s">
        <v>983</v>
      </c>
      <c r="O150" s="1">
        <v>0</v>
      </c>
      <c r="P150" s="5" t="s">
        <v>983</v>
      </c>
      <c r="Q150" s="1">
        <v>1</v>
      </c>
      <c r="R150" s="1">
        <v>0</v>
      </c>
      <c r="S150" s="1" t="s">
        <v>194</v>
      </c>
      <c r="T150" s="1">
        <v>0</v>
      </c>
      <c r="U150" s="1" t="s">
        <v>194</v>
      </c>
      <c r="V150" s="1" t="s">
        <v>194</v>
      </c>
      <c r="W150" s="1">
        <v>32</v>
      </c>
      <c r="X150" s="1">
        <v>0</v>
      </c>
      <c r="Y150" s="1">
        <v>14</v>
      </c>
      <c r="Z150" s="1">
        <v>34</v>
      </c>
      <c r="AA150" s="1">
        <v>500000</v>
      </c>
      <c r="AB150" s="1">
        <v>4</v>
      </c>
    </row>
    <row r="151" spans="1:28" ht="12.75" customHeight="1" x14ac:dyDescent="0.15">
      <c r="A151" s="5">
        <v>64</v>
      </c>
      <c r="B151" s="5" t="s">
        <v>238</v>
      </c>
      <c r="C151" s="1">
        <v>21</v>
      </c>
      <c r="D151" s="5" t="s">
        <v>982</v>
      </c>
      <c r="E151" s="1">
        <v>9</v>
      </c>
      <c r="F151" s="5" t="s">
        <v>981</v>
      </c>
      <c r="G151" s="1">
        <v>9</v>
      </c>
      <c r="H151" s="5" t="s">
        <v>981</v>
      </c>
      <c r="I151" s="1">
        <v>7</v>
      </c>
      <c r="J151" s="5" t="s">
        <v>981</v>
      </c>
      <c r="K151" s="1">
        <v>9</v>
      </c>
      <c r="L151" s="5" t="s">
        <v>981</v>
      </c>
      <c r="M151" s="1">
        <v>8</v>
      </c>
      <c r="N151" s="5" t="s">
        <v>981</v>
      </c>
      <c r="O151" s="1">
        <v>0</v>
      </c>
      <c r="P151" s="5" t="s">
        <v>983</v>
      </c>
      <c r="Q151" s="1">
        <v>0</v>
      </c>
      <c r="R151" s="1">
        <v>0</v>
      </c>
      <c r="S151" s="1" t="s">
        <v>194</v>
      </c>
      <c r="T151" s="1">
        <v>1</v>
      </c>
      <c r="U151" s="1">
        <v>3</v>
      </c>
      <c r="V151" s="1">
        <v>3</v>
      </c>
      <c r="W151" s="1">
        <v>34</v>
      </c>
      <c r="X151" s="1">
        <v>0</v>
      </c>
      <c r="Y151" s="1">
        <v>14</v>
      </c>
      <c r="Z151" s="1">
        <v>34</v>
      </c>
      <c r="AA151" s="1">
        <v>500000</v>
      </c>
      <c r="AB151" s="1">
        <v>2</v>
      </c>
    </row>
    <row r="152" spans="1:28" ht="12.75" customHeight="1" x14ac:dyDescent="0.15">
      <c r="A152" s="5">
        <v>180</v>
      </c>
      <c r="B152" s="5" t="s">
        <v>238</v>
      </c>
      <c r="C152" s="1">
        <v>13</v>
      </c>
      <c r="D152" s="5" t="s">
        <v>983</v>
      </c>
      <c r="E152" s="1">
        <v>0</v>
      </c>
      <c r="F152" s="5" t="s">
        <v>983</v>
      </c>
      <c r="G152" s="1">
        <v>3</v>
      </c>
      <c r="H152" s="5" t="s">
        <v>982</v>
      </c>
      <c r="I152" s="1">
        <v>5</v>
      </c>
      <c r="J152" s="5" t="s">
        <v>981</v>
      </c>
      <c r="K152" s="1">
        <v>0</v>
      </c>
      <c r="L152" s="5" t="s">
        <v>983</v>
      </c>
      <c r="M152" s="1">
        <v>0</v>
      </c>
      <c r="N152" s="5" t="s">
        <v>983</v>
      </c>
      <c r="O152" s="1">
        <v>0</v>
      </c>
      <c r="P152" s="5" t="s">
        <v>983</v>
      </c>
      <c r="Q152" s="1">
        <v>1</v>
      </c>
      <c r="R152" s="1">
        <v>0</v>
      </c>
      <c r="S152" s="1">
        <v>1</v>
      </c>
      <c r="T152" s="1">
        <v>1</v>
      </c>
      <c r="U152" s="1">
        <v>4</v>
      </c>
      <c r="V152" s="1">
        <v>4</v>
      </c>
      <c r="W152" s="1">
        <v>36</v>
      </c>
      <c r="X152" s="1">
        <v>0</v>
      </c>
      <c r="Y152" s="1">
        <v>14</v>
      </c>
      <c r="Z152" s="1">
        <v>34</v>
      </c>
      <c r="AA152" s="1">
        <v>500000</v>
      </c>
      <c r="AB152" s="1">
        <v>4</v>
      </c>
    </row>
    <row r="153" spans="1:28" ht="12.75" customHeight="1" x14ac:dyDescent="0.15">
      <c r="A153" s="5">
        <v>181</v>
      </c>
      <c r="B153" s="5" t="s">
        <v>238</v>
      </c>
      <c r="C153" s="1">
        <v>19</v>
      </c>
      <c r="D153" s="5" t="s">
        <v>982</v>
      </c>
      <c r="E153" s="1">
        <v>0</v>
      </c>
      <c r="F153" s="5" t="s">
        <v>983</v>
      </c>
      <c r="G153" s="1">
        <v>1</v>
      </c>
      <c r="H153" s="5" t="s">
        <v>983</v>
      </c>
      <c r="I153" s="1">
        <v>14</v>
      </c>
      <c r="J153" s="5" t="s">
        <v>981</v>
      </c>
      <c r="K153" s="1">
        <v>4</v>
      </c>
      <c r="L153" s="5" t="s">
        <v>982</v>
      </c>
      <c r="M153" s="1">
        <v>0</v>
      </c>
      <c r="N153" s="5" t="s">
        <v>983</v>
      </c>
      <c r="O153" s="1">
        <v>4</v>
      </c>
      <c r="P153" s="5" t="s">
        <v>982</v>
      </c>
      <c r="Q153" s="1">
        <v>1</v>
      </c>
      <c r="R153" s="1">
        <v>0</v>
      </c>
      <c r="S153" s="1" t="s">
        <v>194</v>
      </c>
      <c r="T153" s="1">
        <v>1</v>
      </c>
      <c r="U153" s="1">
        <v>2</v>
      </c>
      <c r="V153" s="1">
        <v>1</v>
      </c>
      <c r="W153" s="1">
        <v>36</v>
      </c>
      <c r="X153" s="1">
        <v>0</v>
      </c>
      <c r="Y153" s="1">
        <v>14</v>
      </c>
      <c r="Z153" s="1">
        <v>34</v>
      </c>
      <c r="AA153" s="1">
        <v>500000</v>
      </c>
      <c r="AB153" s="1">
        <v>4</v>
      </c>
    </row>
    <row r="154" spans="1:28" ht="12.75" customHeight="1" x14ac:dyDescent="0.15">
      <c r="A154" s="5">
        <v>411</v>
      </c>
      <c r="B154" s="5" t="s">
        <v>238</v>
      </c>
      <c r="C154" s="1">
        <v>12</v>
      </c>
      <c r="D154" s="5" t="s">
        <v>983</v>
      </c>
      <c r="E154" s="1">
        <v>0</v>
      </c>
      <c r="F154" s="5" t="s">
        <v>983</v>
      </c>
      <c r="G154" s="1">
        <v>0</v>
      </c>
      <c r="H154" s="5" t="s">
        <v>983</v>
      </c>
      <c r="I154" s="1">
        <v>16</v>
      </c>
      <c r="J154" s="5" t="s">
        <v>981</v>
      </c>
      <c r="K154" s="1">
        <v>0</v>
      </c>
      <c r="L154" s="5" t="s">
        <v>983</v>
      </c>
      <c r="M154" s="1">
        <v>0</v>
      </c>
      <c r="N154" s="5" t="s">
        <v>983</v>
      </c>
      <c r="O154" s="1">
        <v>0</v>
      </c>
      <c r="P154" s="5" t="s">
        <v>983</v>
      </c>
      <c r="Q154" s="1">
        <v>1</v>
      </c>
      <c r="R154" s="1">
        <v>0</v>
      </c>
      <c r="S154" s="1">
        <v>1</v>
      </c>
      <c r="T154" s="1">
        <v>1</v>
      </c>
      <c r="U154" s="1">
        <v>2</v>
      </c>
      <c r="V154" s="1">
        <v>2</v>
      </c>
      <c r="W154" s="1">
        <v>34</v>
      </c>
      <c r="X154" s="1">
        <v>0</v>
      </c>
      <c r="Y154" s="1">
        <v>4</v>
      </c>
      <c r="Z154" s="1">
        <v>34</v>
      </c>
      <c r="AA154" s="1">
        <v>500000</v>
      </c>
      <c r="AB154" s="1">
        <v>1</v>
      </c>
    </row>
    <row r="155" spans="1:28" ht="12.75" customHeight="1" x14ac:dyDescent="0.15">
      <c r="A155" s="5">
        <v>485</v>
      </c>
      <c r="B155" s="5" t="s">
        <v>238</v>
      </c>
      <c r="C155" s="1">
        <v>17</v>
      </c>
      <c r="D155" s="5" t="s">
        <v>983</v>
      </c>
      <c r="E155" s="1">
        <v>1</v>
      </c>
      <c r="F155" s="5" t="s">
        <v>983</v>
      </c>
      <c r="G155" s="1">
        <v>6</v>
      </c>
      <c r="H155" s="5" t="s">
        <v>981</v>
      </c>
      <c r="I155" s="1">
        <v>3</v>
      </c>
      <c r="J155" s="5" t="s">
        <v>982</v>
      </c>
      <c r="K155" s="1">
        <v>1</v>
      </c>
      <c r="L155" s="5" t="s">
        <v>983</v>
      </c>
      <c r="M155" s="1">
        <v>0</v>
      </c>
      <c r="N155" s="5" t="s">
        <v>983</v>
      </c>
      <c r="O155" s="1">
        <v>0</v>
      </c>
      <c r="P155" s="5" t="s">
        <v>983</v>
      </c>
      <c r="Q155" s="1">
        <v>1</v>
      </c>
      <c r="R155" s="1">
        <v>0</v>
      </c>
      <c r="S155" s="1">
        <v>1</v>
      </c>
      <c r="T155" s="1">
        <v>1</v>
      </c>
      <c r="U155" s="1">
        <v>3</v>
      </c>
      <c r="V155" s="1">
        <v>3</v>
      </c>
      <c r="W155" s="1">
        <v>73</v>
      </c>
      <c r="X155" s="1">
        <v>0</v>
      </c>
      <c r="Y155" s="1">
        <v>1</v>
      </c>
      <c r="Z155" s="1">
        <v>34</v>
      </c>
      <c r="AA155" s="1">
        <v>500000</v>
      </c>
      <c r="AB155" s="1">
        <v>1</v>
      </c>
    </row>
    <row r="156" spans="1:28" ht="12.75" customHeight="1" x14ac:dyDescent="0.15">
      <c r="A156" s="5">
        <v>48</v>
      </c>
      <c r="B156" s="5" t="s">
        <v>984</v>
      </c>
      <c r="C156" s="1">
        <v>17</v>
      </c>
      <c r="D156" s="5" t="s">
        <v>983</v>
      </c>
      <c r="E156" s="1">
        <v>0</v>
      </c>
      <c r="F156" s="5" t="s">
        <v>983</v>
      </c>
      <c r="G156" s="1">
        <v>0</v>
      </c>
      <c r="H156" s="5" t="s">
        <v>983</v>
      </c>
      <c r="I156" s="1">
        <v>6</v>
      </c>
      <c r="J156" s="5" t="s">
        <v>981</v>
      </c>
      <c r="K156" s="1">
        <v>5</v>
      </c>
      <c r="L156" s="5" t="s">
        <v>982</v>
      </c>
      <c r="M156" s="1">
        <v>1</v>
      </c>
      <c r="N156" s="5" t="s">
        <v>983</v>
      </c>
      <c r="O156" s="1">
        <v>0</v>
      </c>
      <c r="P156" s="5" t="s">
        <v>983</v>
      </c>
      <c r="Q156" s="1">
        <v>0</v>
      </c>
      <c r="R156" s="1">
        <v>0</v>
      </c>
      <c r="S156" s="1">
        <v>0</v>
      </c>
      <c r="T156" s="1">
        <v>1</v>
      </c>
      <c r="U156" s="1">
        <v>5</v>
      </c>
      <c r="V156" s="1">
        <v>3</v>
      </c>
      <c r="W156" s="1">
        <v>47</v>
      </c>
      <c r="X156" s="1">
        <v>0</v>
      </c>
      <c r="Y156" s="1">
        <v>14</v>
      </c>
      <c r="Z156" s="1">
        <v>33</v>
      </c>
      <c r="AA156" s="1">
        <v>500000</v>
      </c>
      <c r="AB156" s="1">
        <v>3</v>
      </c>
    </row>
    <row r="157" spans="1:28" ht="12.75" customHeight="1" x14ac:dyDescent="0.15">
      <c r="A157" s="5">
        <v>75</v>
      </c>
      <c r="B157" s="5" t="s">
        <v>238</v>
      </c>
      <c r="C157" s="1">
        <v>12</v>
      </c>
      <c r="D157" s="5" t="s">
        <v>983</v>
      </c>
      <c r="E157" s="1">
        <v>6</v>
      </c>
      <c r="F157" s="5" t="s">
        <v>981</v>
      </c>
      <c r="G157" s="1">
        <v>6</v>
      </c>
      <c r="H157" s="5" t="s">
        <v>981</v>
      </c>
      <c r="I157" s="1">
        <v>2</v>
      </c>
      <c r="J157" s="5" t="s">
        <v>982</v>
      </c>
      <c r="K157" s="1">
        <v>6</v>
      </c>
      <c r="L157" s="5" t="s">
        <v>981</v>
      </c>
      <c r="M157" s="1">
        <v>6</v>
      </c>
      <c r="N157" s="5" t="s">
        <v>981</v>
      </c>
      <c r="O157" s="1">
        <v>0</v>
      </c>
      <c r="P157" s="5" t="s">
        <v>983</v>
      </c>
      <c r="Q157" s="1">
        <v>1</v>
      </c>
      <c r="R157" s="1">
        <v>0</v>
      </c>
      <c r="S157" s="1">
        <v>1</v>
      </c>
      <c r="T157" s="1">
        <v>1</v>
      </c>
      <c r="U157" s="1">
        <v>1</v>
      </c>
      <c r="V157" s="1">
        <v>1</v>
      </c>
      <c r="W157" s="1">
        <v>56</v>
      </c>
      <c r="X157" s="1">
        <v>0</v>
      </c>
      <c r="Y157" s="1">
        <v>14</v>
      </c>
      <c r="Z157" s="1">
        <v>33</v>
      </c>
      <c r="AA157" s="1">
        <v>500000</v>
      </c>
      <c r="AB157" s="1">
        <v>3</v>
      </c>
    </row>
    <row r="158" spans="1:28" ht="12.75" customHeight="1" x14ac:dyDescent="0.15">
      <c r="A158" s="5">
        <v>318</v>
      </c>
      <c r="B158" s="5" t="s">
        <v>984</v>
      </c>
      <c r="C158" s="1">
        <v>25</v>
      </c>
      <c r="D158" s="5" t="s">
        <v>981</v>
      </c>
      <c r="E158" s="1">
        <v>3</v>
      </c>
      <c r="F158" s="5" t="s">
        <v>982</v>
      </c>
      <c r="G158" s="1">
        <v>3</v>
      </c>
      <c r="H158" s="5" t="s">
        <v>982</v>
      </c>
      <c r="I158" s="1">
        <v>3</v>
      </c>
      <c r="J158" s="5" t="s">
        <v>982</v>
      </c>
      <c r="K158" s="1">
        <v>4</v>
      </c>
      <c r="L158" s="5" t="s">
        <v>982</v>
      </c>
      <c r="M158" s="1">
        <v>3</v>
      </c>
      <c r="N158" s="5" t="s">
        <v>982</v>
      </c>
      <c r="O158" s="1">
        <v>1</v>
      </c>
      <c r="P158" s="5" t="s">
        <v>982</v>
      </c>
      <c r="Q158" s="1">
        <v>1</v>
      </c>
      <c r="R158" s="1">
        <v>0</v>
      </c>
      <c r="S158" s="1">
        <v>1</v>
      </c>
      <c r="T158" s="1">
        <v>1</v>
      </c>
      <c r="U158" s="1">
        <v>2</v>
      </c>
      <c r="V158" s="1">
        <v>2</v>
      </c>
      <c r="W158" s="1">
        <v>33</v>
      </c>
      <c r="X158" s="1">
        <v>0</v>
      </c>
      <c r="Y158" s="1">
        <v>18</v>
      </c>
      <c r="Z158" s="1">
        <v>31</v>
      </c>
      <c r="AA158" s="1">
        <v>500000</v>
      </c>
      <c r="AB158" s="1">
        <v>4</v>
      </c>
    </row>
    <row r="159" spans="1:28" ht="12.75" customHeight="1" x14ac:dyDescent="0.15">
      <c r="A159" s="5">
        <v>333</v>
      </c>
      <c r="B159" s="5" t="s">
        <v>984</v>
      </c>
      <c r="C159" s="1">
        <v>38</v>
      </c>
      <c r="D159" s="5" t="s">
        <v>981</v>
      </c>
      <c r="E159" s="1">
        <v>4</v>
      </c>
      <c r="F159" s="5" t="s">
        <v>982</v>
      </c>
      <c r="G159" s="1">
        <v>5</v>
      </c>
      <c r="H159" s="5" t="s">
        <v>982</v>
      </c>
      <c r="I159" s="1">
        <v>0</v>
      </c>
      <c r="J159" s="5" t="s">
        <v>983</v>
      </c>
      <c r="K159" s="1">
        <v>0</v>
      </c>
      <c r="L159" s="5" t="s">
        <v>983</v>
      </c>
      <c r="M159" s="1">
        <v>3</v>
      </c>
      <c r="N159" s="5" t="s">
        <v>982</v>
      </c>
      <c r="O159" s="1">
        <v>1</v>
      </c>
      <c r="P159" s="5" t="s">
        <v>982</v>
      </c>
      <c r="Q159" s="1">
        <v>0</v>
      </c>
      <c r="R159" s="1">
        <v>0</v>
      </c>
      <c r="S159" s="1" t="s">
        <v>194</v>
      </c>
      <c r="T159" s="1">
        <v>1</v>
      </c>
      <c r="U159" s="1">
        <v>3</v>
      </c>
      <c r="V159" s="1">
        <v>5</v>
      </c>
      <c r="W159" s="1">
        <v>48</v>
      </c>
      <c r="X159" s="1">
        <v>0</v>
      </c>
      <c r="Y159" s="1">
        <v>6</v>
      </c>
      <c r="Z159" s="1">
        <v>28</v>
      </c>
      <c r="AA159" s="1">
        <v>500000</v>
      </c>
      <c r="AB159" s="1">
        <v>2</v>
      </c>
    </row>
    <row r="160" spans="1:28" ht="12.75" customHeight="1" x14ac:dyDescent="0.15">
      <c r="A160" s="5">
        <v>334</v>
      </c>
      <c r="B160" s="5" t="s">
        <v>984</v>
      </c>
      <c r="C160" s="1">
        <v>25</v>
      </c>
      <c r="D160" s="5" t="s">
        <v>981</v>
      </c>
      <c r="E160" s="1">
        <v>4</v>
      </c>
      <c r="F160" s="5" t="s">
        <v>982</v>
      </c>
      <c r="G160" s="1">
        <v>0</v>
      </c>
      <c r="H160" s="5" t="s">
        <v>983</v>
      </c>
      <c r="I160" s="1">
        <v>15</v>
      </c>
      <c r="J160" s="5" t="s">
        <v>981</v>
      </c>
      <c r="K160" s="1">
        <v>0</v>
      </c>
      <c r="L160" s="5" t="s">
        <v>983</v>
      </c>
      <c r="M160" s="1">
        <v>1</v>
      </c>
      <c r="N160" s="5" t="s">
        <v>983</v>
      </c>
      <c r="O160" s="1">
        <v>0</v>
      </c>
      <c r="P160" s="5" t="s">
        <v>983</v>
      </c>
      <c r="Q160" s="1">
        <v>1</v>
      </c>
      <c r="R160" s="1">
        <v>0</v>
      </c>
      <c r="S160" s="1">
        <v>1</v>
      </c>
      <c r="T160" s="1">
        <v>1</v>
      </c>
      <c r="U160" s="1">
        <v>4</v>
      </c>
      <c r="V160" s="1">
        <v>4</v>
      </c>
      <c r="W160" s="1">
        <v>48</v>
      </c>
      <c r="X160" s="1">
        <v>0</v>
      </c>
      <c r="Y160" s="1">
        <v>6</v>
      </c>
      <c r="Z160" s="1">
        <v>28</v>
      </c>
      <c r="AA160" s="1">
        <v>500000</v>
      </c>
      <c r="AB160" s="1">
        <v>2</v>
      </c>
    </row>
    <row r="161" spans="1:28" ht="12.75" customHeight="1" x14ac:dyDescent="0.15">
      <c r="A161" s="5">
        <v>446</v>
      </c>
      <c r="B161" s="5" t="s">
        <v>238</v>
      </c>
      <c r="C161" s="1">
        <v>44</v>
      </c>
      <c r="D161" s="5" t="s">
        <v>981</v>
      </c>
      <c r="E161" s="1">
        <v>6</v>
      </c>
      <c r="F161" s="5" t="s">
        <v>981</v>
      </c>
      <c r="G161" s="1">
        <v>7</v>
      </c>
      <c r="H161" s="5" t="s">
        <v>981</v>
      </c>
      <c r="I161" s="1">
        <v>11</v>
      </c>
      <c r="J161" s="5" t="s">
        <v>981</v>
      </c>
      <c r="K161" s="1">
        <v>0</v>
      </c>
      <c r="L161" s="5" t="s">
        <v>983</v>
      </c>
      <c r="M161" s="1">
        <v>0</v>
      </c>
      <c r="N161" s="5" t="s">
        <v>983</v>
      </c>
      <c r="O161" s="1">
        <v>0</v>
      </c>
      <c r="P161" s="5" t="s">
        <v>983</v>
      </c>
      <c r="Q161" s="1">
        <v>1</v>
      </c>
      <c r="R161" s="1">
        <v>0</v>
      </c>
      <c r="S161" s="1" t="s">
        <v>194</v>
      </c>
      <c r="T161" s="1">
        <v>1</v>
      </c>
      <c r="U161" s="1" t="s">
        <v>194</v>
      </c>
      <c r="V161" s="1">
        <v>3</v>
      </c>
      <c r="W161" s="1">
        <v>49</v>
      </c>
      <c r="X161" s="1">
        <v>0</v>
      </c>
      <c r="Y161" s="1">
        <v>5</v>
      </c>
      <c r="Z161" s="1">
        <v>28</v>
      </c>
      <c r="AA161" s="1">
        <v>500000</v>
      </c>
      <c r="AB161" s="1">
        <v>4</v>
      </c>
    </row>
    <row r="162" spans="1:28" ht="12.75" customHeight="1" x14ac:dyDescent="0.15">
      <c r="A162" s="5">
        <v>388</v>
      </c>
      <c r="B162" s="5" t="s">
        <v>238</v>
      </c>
      <c r="C162" s="1">
        <v>20</v>
      </c>
      <c r="D162" s="5" t="s">
        <v>982</v>
      </c>
      <c r="E162" s="1">
        <v>4</v>
      </c>
      <c r="F162" s="5" t="s">
        <v>982</v>
      </c>
      <c r="G162" s="1">
        <v>2</v>
      </c>
      <c r="H162" s="5" t="s">
        <v>982</v>
      </c>
      <c r="I162" s="1">
        <v>4</v>
      </c>
      <c r="J162" s="5" t="s">
        <v>982</v>
      </c>
      <c r="K162" s="1">
        <v>5</v>
      </c>
      <c r="L162" s="5" t="s">
        <v>982</v>
      </c>
      <c r="M162" s="1">
        <v>6</v>
      </c>
      <c r="N162" s="5" t="s">
        <v>981</v>
      </c>
      <c r="O162" s="1">
        <v>0</v>
      </c>
      <c r="P162" s="5" t="s">
        <v>983</v>
      </c>
      <c r="Q162" s="1">
        <v>1</v>
      </c>
      <c r="R162" s="1">
        <v>0</v>
      </c>
      <c r="S162" s="1">
        <v>1</v>
      </c>
      <c r="T162" s="1">
        <v>1</v>
      </c>
      <c r="U162" s="1">
        <v>5</v>
      </c>
      <c r="V162" s="1">
        <v>2</v>
      </c>
      <c r="W162" s="1">
        <v>31</v>
      </c>
      <c r="X162" s="1">
        <v>0</v>
      </c>
      <c r="Y162" s="1">
        <v>17</v>
      </c>
      <c r="Z162" s="1">
        <v>24</v>
      </c>
      <c r="AA162" s="1">
        <v>500000</v>
      </c>
      <c r="AB162" s="1">
        <v>3</v>
      </c>
    </row>
    <row r="163" spans="1:28" ht="12.75" customHeight="1" x14ac:dyDescent="0.15">
      <c r="A163" s="5">
        <v>429</v>
      </c>
      <c r="B163" s="5" t="s">
        <v>984</v>
      </c>
      <c r="C163" s="1">
        <v>46</v>
      </c>
      <c r="D163" s="5" t="s">
        <v>981</v>
      </c>
      <c r="E163" s="1">
        <v>6</v>
      </c>
      <c r="F163" s="5" t="s">
        <v>981</v>
      </c>
      <c r="G163" s="1">
        <v>7</v>
      </c>
      <c r="H163" s="5" t="s">
        <v>981</v>
      </c>
      <c r="I163" s="1">
        <v>10</v>
      </c>
      <c r="J163" s="5" t="s">
        <v>981</v>
      </c>
      <c r="K163" s="1">
        <v>1</v>
      </c>
      <c r="L163" s="5" t="s">
        <v>983</v>
      </c>
      <c r="M163" s="1">
        <v>12</v>
      </c>
      <c r="N163" s="5" t="s">
        <v>981</v>
      </c>
      <c r="O163" s="1">
        <v>1</v>
      </c>
      <c r="P163" s="5" t="s">
        <v>982</v>
      </c>
      <c r="Q163" s="1">
        <v>0</v>
      </c>
      <c r="R163" s="1">
        <v>0</v>
      </c>
      <c r="S163" s="1" t="s">
        <v>194</v>
      </c>
      <c r="T163" s="1">
        <v>1</v>
      </c>
      <c r="U163" s="1">
        <v>5</v>
      </c>
      <c r="V163" s="1">
        <v>5</v>
      </c>
      <c r="W163" s="1">
        <v>44</v>
      </c>
      <c r="X163" s="1">
        <v>0</v>
      </c>
      <c r="Y163" s="1">
        <v>17</v>
      </c>
      <c r="Z163" s="1">
        <v>24</v>
      </c>
      <c r="AA163" s="1">
        <v>500000</v>
      </c>
      <c r="AB163" s="1">
        <v>3</v>
      </c>
    </row>
    <row r="164" spans="1:28" ht="12.75" customHeight="1" x14ac:dyDescent="0.15">
      <c r="A164" s="5">
        <v>430</v>
      </c>
      <c r="B164" s="5" t="s">
        <v>238</v>
      </c>
      <c r="C164" s="1">
        <v>13</v>
      </c>
      <c r="D164" s="5" t="s">
        <v>983</v>
      </c>
      <c r="E164" s="1">
        <v>3</v>
      </c>
      <c r="F164" s="5" t="s">
        <v>982</v>
      </c>
      <c r="G164" s="1">
        <v>0</v>
      </c>
      <c r="H164" s="5" t="s">
        <v>983</v>
      </c>
      <c r="I164" s="1">
        <v>7</v>
      </c>
      <c r="J164" s="5" t="s">
        <v>981</v>
      </c>
      <c r="K164" s="1">
        <v>2</v>
      </c>
      <c r="L164" s="5" t="s">
        <v>983</v>
      </c>
      <c r="M164" s="1">
        <v>4</v>
      </c>
      <c r="N164" s="5" t="s">
        <v>982</v>
      </c>
      <c r="O164" s="1">
        <v>0</v>
      </c>
      <c r="P164" s="5" t="s">
        <v>983</v>
      </c>
      <c r="Q164" s="1">
        <v>1</v>
      </c>
      <c r="R164" s="1">
        <v>0</v>
      </c>
      <c r="S164" s="1" t="s">
        <v>194</v>
      </c>
      <c r="T164" s="1">
        <v>1</v>
      </c>
      <c r="U164" s="1" t="s">
        <v>194</v>
      </c>
      <c r="V164" s="1">
        <v>2</v>
      </c>
      <c r="W164" s="1">
        <v>44</v>
      </c>
      <c r="X164" s="1">
        <v>0</v>
      </c>
      <c r="Y164" s="1">
        <v>17</v>
      </c>
      <c r="Z164" s="1">
        <v>24</v>
      </c>
      <c r="AA164" s="1">
        <v>500000</v>
      </c>
      <c r="AB164" s="1">
        <v>3</v>
      </c>
    </row>
    <row r="165" spans="1:28" ht="12.75" customHeight="1" x14ac:dyDescent="0.15">
      <c r="A165" s="5">
        <v>31</v>
      </c>
      <c r="B165" s="5" t="s">
        <v>238</v>
      </c>
      <c r="C165" s="1">
        <v>12</v>
      </c>
      <c r="D165" s="5" t="s">
        <v>983</v>
      </c>
      <c r="E165" s="1">
        <v>0</v>
      </c>
      <c r="F165" s="5" t="s">
        <v>983</v>
      </c>
      <c r="G165" s="1">
        <v>8</v>
      </c>
      <c r="H165" s="5" t="s">
        <v>981</v>
      </c>
      <c r="I165" s="1">
        <v>0</v>
      </c>
      <c r="J165" s="5" t="s">
        <v>983</v>
      </c>
      <c r="K165" s="1">
        <v>1</v>
      </c>
      <c r="L165" s="5" t="s">
        <v>983</v>
      </c>
      <c r="M165" s="1">
        <v>2</v>
      </c>
      <c r="N165" s="5" t="s">
        <v>983</v>
      </c>
      <c r="O165" s="1">
        <v>0</v>
      </c>
      <c r="P165" s="5" t="s">
        <v>983</v>
      </c>
      <c r="Q165" s="1">
        <v>0</v>
      </c>
      <c r="R165" s="1">
        <v>0</v>
      </c>
      <c r="S165" s="1" t="s">
        <v>194</v>
      </c>
      <c r="T165" s="1">
        <v>1</v>
      </c>
      <c r="U165" s="1">
        <v>2</v>
      </c>
      <c r="V165" s="1">
        <v>2</v>
      </c>
      <c r="W165" s="1">
        <v>30</v>
      </c>
      <c r="X165" s="1">
        <v>0</v>
      </c>
      <c r="Y165" s="1">
        <v>14</v>
      </c>
      <c r="Z165" s="1">
        <v>24</v>
      </c>
      <c r="AA165" s="1">
        <v>500000</v>
      </c>
      <c r="AB165" s="1">
        <v>5</v>
      </c>
    </row>
    <row r="166" spans="1:28" ht="12.75" customHeight="1" x14ac:dyDescent="0.15">
      <c r="A166" s="5">
        <v>33</v>
      </c>
      <c r="B166" s="5" t="s">
        <v>238</v>
      </c>
      <c r="C166" s="1">
        <v>30</v>
      </c>
      <c r="D166" s="5" t="s">
        <v>981</v>
      </c>
      <c r="E166" s="1">
        <v>3</v>
      </c>
      <c r="F166" s="5" t="s">
        <v>982</v>
      </c>
      <c r="G166" s="1">
        <v>3</v>
      </c>
      <c r="H166" s="5" t="s">
        <v>982</v>
      </c>
      <c r="I166" s="1">
        <v>4</v>
      </c>
      <c r="J166" s="5" t="s">
        <v>982</v>
      </c>
      <c r="K166" s="1">
        <v>8</v>
      </c>
      <c r="L166" s="5" t="s">
        <v>981</v>
      </c>
      <c r="M166" s="1">
        <v>6</v>
      </c>
      <c r="N166" s="5" t="s">
        <v>981</v>
      </c>
      <c r="O166" s="1">
        <v>0</v>
      </c>
      <c r="P166" s="5" t="s">
        <v>983</v>
      </c>
      <c r="Q166" s="1">
        <v>1</v>
      </c>
      <c r="R166" s="1">
        <v>0</v>
      </c>
      <c r="S166" s="1" t="s">
        <v>194</v>
      </c>
      <c r="T166" s="1">
        <v>1</v>
      </c>
      <c r="U166" s="1">
        <v>2</v>
      </c>
      <c r="V166" s="1">
        <v>3</v>
      </c>
      <c r="W166" s="1">
        <v>42</v>
      </c>
      <c r="X166" s="1">
        <v>0</v>
      </c>
      <c r="Y166" s="1">
        <v>12</v>
      </c>
      <c r="Z166" s="1">
        <v>24</v>
      </c>
      <c r="AA166" s="1">
        <v>500000</v>
      </c>
      <c r="AB166" s="1">
        <v>5</v>
      </c>
    </row>
    <row r="167" spans="1:28" ht="12.75" customHeight="1" x14ac:dyDescent="0.15">
      <c r="A167" s="5">
        <v>284</v>
      </c>
      <c r="B167" s="5" t="s">
        <v>238</v>
      </c>
      <c r="C167" s="1">
        <v>20</v>
      </c>
      <c r="D167" s="5" t="s">
        <v>982</v>
      </c>
      <c r="E167" s="1">
        <v>2</v>
      </c>
      <c r="F167" s="5" t="s">
        <v>982</v>
      </c>
      <c r="G167" s="1">
        <v>4</v>
      </c>
      <c r="H167" s="5" t="s">
        <v>982</v>
      </c>
      <c r="I167" s="1">
        <v>16</v>
      </c>
      <c r="J167" s="5" t="s">
        <v>981</v>
      </c>
      <c r="K167" s="1">
        <v>0</v>
      </c>
      <c r="L167" s="5" t="s">
        <v>983</v>
      </c>
      <c r="M167" s="1">
        <v>0</v>
      </c>
      <c r="N167" s="5" t="s">
        <v>983</v>
      </c>
      <c r="O167" s="1">
        <v>0</v>
      </c>
      <c r="P167" s="5" t="s">
        <v>983</v>
      </c>
      <c r="Q167" s="1">
        <v>0</v>
      </c>
      <c r="R167" s="1">
        <v>0</v>
      </c>
      <c r="S167" s="1" t="s">
        <v>194</v>
      </c>
      <c r="T167" s="1">
        <v>1</v>
      </c>
      <c r="U167" s="1">
        <v>4</v>
      </c>
      <c r="V167" s="1">
        <v>4</v>
      </c>
      <c r="W167" s="1">
        <v>30</v>
      </c>
      <c r="X167" s="1">
        <v>1</v>
      </c>
      <c r="Y167" s="1">
        <v>4</v>
      </c>
      <c r="Z167" s="1">
        <v>24</v>
      </c>
      <c r="AA167" s="1">
        <v>500000</v>
      </c>
      <c r="AB167" s="1">
        <v>1</v>
      </c>
    </row>
    <row r="168" spans="1:28" ht="12.75" customHeight="1" x14ac:dyDescent="0.15">
      <c r="A168" s="5">
        <v>202</v>
      </c>
      <c r="B168" s="5" t="s">
        <v>984</v>
      </c>
      <c r="C168" s="1">
        <v>23</v>
      </c>
      <c r="D168" s="5" t="s">
        <v>982</v>
      </c>
      <c r="E168" s="1">
        <v>5</v>
      </c>
      <c r="F168" s="5" t="s">
        <v>981</v>
      </c>
      <c r="G168" s="1">
        <v>9</v>
      </c>
      <c r="H168" s="5" t="s">
        <v>981</v>
      </c>
      <c r="I168" s="1">
        <v>10</v>
      </c>
      <c r="J168" s="5" t="s">
        <v>981</v>
      </c>
      <c r="K168" s="1">
        <v>2</v>
      </c>
      <c r="L168" s="5" t="s">
        <v>983</v>
      </c>
      <c r="M168" s="1">
        <v>3</v>
      </c>
      <c r="N168" s="5" t="s">
        <v>982</v>
      </c>
      <c r="O168" s="1">
        <v>2</v>
      </c>
      <c r="P168" s="5" t="s">
        <v>982</v>
      </c>
      <c r="Q168" s="1">
        <v>0</v>
      </c>
      <c r="R168" s="1">
        <v>0</v>
      </c>
      <c r="S168" s="1" t="s">
        <v>194</v>
      </c>
      <c r="T168" s="1">
        <v>1</v>
      </c>
      <c r="U168" s="1">
        <v>5</v>
      </c>
      <c r="V168" s="1">
        <v>3</v>
      </c>
      <c r="W168" s="1">
        <v>37</v>
      </c>
      <c r="X168" s="1">
        <v>0</v>
      </c>
      <c r="Y168" s="1">
        <v>4</v>
      </c>
      <c r="Z168" s="1">
        <v>17</v>
      </c>
      <c r="AA168" s="1">
        <v>500000</v>
      </c>
      <c r="AB168" s="1">
        <v>5</v>
      </c>
    </row>
    <row r="169" spans="1:28" ht="12.75" customHeight="1" x14ac:dyDescent="0.15">
      <c r="A169" s="5">
        <v>60</v>
      </c>
      <c r="B169" s="5" t="s">
        <v>238</v>
      </c>
      <c r="C169" s="1">
        <v>20</v>
      </c>
      <c r="D169" s="5" t="s">
        <v>982</v>
      </c>
      <c r="E169" s="1">
        <v>4</v>
      </c>
      <c r="F169" s="5" t="s">
        <v>982</v>
      </c>
      <c r="G169" s="1">
        <v>5</v>
      </c>
      <c r="H169" s="5" t="s">
        <v>982</v>
      </c>
      <c r="I169" s="1">
        <v>3</v>
      </c>
      <c r="J169" s="5" t="s">
        <v>982</v>
      </c>
      <c r="K169" s="1">
        <v>0</v>
      </c>
      <c r="L169" s="5" t="s">
        <v>983</v>
      </c>
      <c r="M169" s="1">
        <v>2</v>
      </c>
      <c r="N169" s="5" t="s">
        <v>983</v>
      </c>
      <c r="O169" s="1">
        <v>0</v>
      </c>
      <c r="P169" s="5" t="s">
        <v>983</v>
      </c>
      <c r="Q169" s="1">
        <v>1</v>
      </c>
      <c r="R169" s="1">
        <v>0</v>
      </c>
      <c r="S169" s="1" t="s">
        <v>194</v>
      </c>
      <c r="T169" s="1">
        <v>1</v>
      </c>
      <c r="U169" s="1">
        <v>3</v>
      </c>
      <c r="V169" s="1">
        <v>2</v>
      </c>
      <c r="W169" s="1">
        <v>44</v>
      </c>
      <c r="X169" s="1">
        <v>0</v>
      </c>
      <c r="Y169" s="1">
        <v>16</v>
      </c>
      <c r="Z169" s="1">
        <v>13</v>
      </c>
      <c r="AA169" s="1">
        <v>500000</v>
      </c>
      <c r="AB169" s="1">
        <v>1</v>
      </c>
    </row>
    <row r="170" spans="1:28" ht="12.75" customHeight="1" x14ac:dyDescent="0.15">
      <c r="A170" s="5">
        <v>158</v>
      </c>
      <c r="B170" s="5" t="s">
        <v>238</v>
      </c>
      <c r="C170" s="1">
        <v>28</v>
      </c>
      <c r="D170" s="5" t="s">
        <v>981</v>
      </c>
      <c r="E170" s="1">
        <v>9</v>
      </c>
      <c r="F170" s="5" t="s">
        <v>981</v>
      </c>
      <c r="G170" s="1">
        <v>9</v>
      </c>
      <c r="H170" s="5" t="s">
        <v>981</v>
      </c>
      <c r="I170" s="1">
        <v>4</v>
      </c>
      <c r="J170" s="5" t="s">
        <v>982</v>
      </c>
      <c r="K170" s="1">
        <v>9</v>
      </c>
      <c r="L170" s="5" t="s">
        <v>981</v>
      </c>
      <c r="M170" s="1">
        <v>9</v>
      </c>
      <c r="N170" s="5" t="s">
        <v>981</v>
      </c>
      <c r="O170" s="1">
        <v>2</v>
      </c>
      <c r="P170" s="5" t="s">
        <v>982</v>
      </c>
      <c r="Q170" s="1">
        <v>1</v>
      </c>
      <c r="R170" s="1">
        <v>0</v>
      </c>
      <c r="S170" s="1">
        <v>1</v>
      </c>
      <c r="T170" s="1">
        <v>1</v>
      </c>
      <c r="U170" s="1">
        <v>5</v>
      </c>
      <c r="V170" s="1">
        <v>5</v>
      </c>
      <c r="W170" s="1">
        <v>64</v>
      </c>
      <c r="X170" s="1">
        <v>1</v>
      </c>
      <c r="Y170" s="1">
        <v>15</v>
      </c>
      <c r="Z170" s="1">
        <v>13</v>
      </c>
      <c r="AA170" s="1">
        <v>500000</v>
      </c>
      <c r="AB170" s="1">
        <v>3</v>
      </c>
    </row>
    <row r="171" spans="1:28" ht="12.75" customHeight="1" x14ac:dyDescent="0.15">
      <c r="A171" s="5">
        <v>159</v>
      </c>
      <c r="B171" s="5" t="s">
        <v>238</v>
      </c>
      <c r="C171" s="1">
        <v>36</v>
      </c>
      <c r="D171" s="5" t="s">
        <v>981</v>
      </c>
      <c r="E171" s="1">
        <v>6</v>
      </c>
      <c r="F171" s="5" t="s">
        <v>981</v>
      </c>
      <c r="G171" s="1">
        <v>6</v>
      </c>
      <c r="H171" s="5" t="s">
        <v>981</v>
      </c>
      <c r="I171" s="1">
        <v>2</v>
      </c>
      <c r="J171" s="5" t="s">
        <v>982</v>
      </c>
      <c r="K171" s="1">
        <v>10</v>
      </c>
      <c r="L171" s="5" t="s">
        <v>981</v>
      </c>
      <c r="M171" s="1">
        <v>10</v>
      </c>
      <c r="N171" s="5" t="s">
        <v>981</v>
      </c>
      <c r="O171" s="1">
        <v>1</v>
      </c>
      <c r="P171" s="5" t="s">
        <v>982</v>
      </c>
      <c r="Q171" s="1">
        <v>1</v>
      </c>
      <c r="R171" s="1">
        <v>0</v>
      </c>
      <c r="S171" s="1">
        <v>1</v>
      </c>
      <c r="T171" s="1">
        <v>1</v>
      </c>
      <c r="U171" s="1">
        <v>3</v>
      </c>
      <c r="V171" s="1">
        <v>3</v>
      </c>
      <c r="W171" s="1">
        <v>64</v>
      </c>
      <c r="X171" s="1">
        <v>1</v>
      </c>
      <c r="Y171" s="1">
        <v>15</v>
      </c>
      <c r="Z171" s="1">
        <v>13</v>
      </c>
      <c r="AA171" s="1">
        <v>500000</v>
      </c>
      <c r="AB171" s="1">
        <v>3</v>
      </c>
    </row>
    <row r="172" spans="1:28" ht="12.75" customHeight="1" x14ac:dyDescent="0.15">
      <c r="A172" s="5">
        <v>192</v>
      </c>
      <c r="B172" s="5" t="s">
        <v>238</v>
      </c>
      <c r="C172" s="1">
        <v>18</v>
      </c>
      <c r="D172" s="5" t="s">
        <v>983</v>
      </c>
      <c r="E172" s="1">
        <v>0</v>
      </c>
      <c r="F172" s="5" t="s">
        <v>983</v>
      </c>
      <c r="G172" s="1">
        <v>0</v>
      </c>
      <c r="H172" s="5" t="s">
        <v>983</v>
      </c>
      <c r="I172" s="1">
        <v>16</v>
      </c>
      <c r="J172" s="5" t="s">
        <v>981</v>
      </c>
      <c r="K172" s="1">
        <v>0</v>
      </c>
      <c r="L172" s="5" t="s">
        <v>983</v>
      </c>
      <c r="M172" s="1">
        <v>0</v>
      </c>
      <c r="N172" s="5" t="s">
        <v>983</v>
      </c>
      <c r="O172" s="1">
        <v>0</v>
      </c>
      <c r="P172" s="5" t="s">
        <v>983</v>
      </c>
      <c r="Q172" s="1">
        <v>0</v>
      </c>
      <c r="R172" s="1">
        <v>0</v>
      </c>
      <c r="S172" s="1" t="s">
        <v>194</v>
      </c>
      <c r="T172" s="1">
        <v>1</v>
      </c>
      <c r="U172" s="1" t="s">
        <v>194</v>
      </c>
      <c r="V172" s="1">
        <v>3</v>
      </c>
      <c r="W172" s="1">
        <v>56</v>
      </c>
      <c r="X172" s="1">
        <v>0</v>
      </c>
      <c r="Y172" s="1">
        <v>14</v>
      </c>
      <c r="Z172" s="1">
        <v>13</v>
      </c>
      <c r="AA172" s="1">
        <v>500000</v>
      </c>
      <c r="AB172" s="1">
        <v>3</v>
      </c>
    </row>
    <row r="173" spans="1:28" ht="12.75" customHeight="1" x14ac:dyDescent="0.15">
      <c r="A173" s="5">
        <v>389</v>
      </c>
      <c r="B173" s="5" t="s">
        <v>238</v>
      </c>
      <c r="C173" s="1">
        <v>20</v>
      </c>
      <c r="D173" s="5" t="s">
        <v>982</v>
      </c>
      <c r="E173" s="1">
        <v>4</v>
      </c>
      <c r="F173" s="5" t="s">
        <v>982</v>
      </c>
      <c r="G173" s="1">
        <v>3</v>
      </c>
      <c r="H173" s="5" t="s">
        <v>982</v>
      </c>
      <c r="I173" s="1">
        <v>7</v>
      </c>
      <c r="J173" s="5" t="s">
        <v>981</v>
      </c>
      <c r="K173" s="1">
        <v>8</v>
      </c>
      <c r="L173" s="5" t="s">
        <v>981</v>
      </c>
      <c r="M173" s="1">
        <v>7</v>
      </c>
      <c r="N173" s="5" t="s">
        <v>981</v>
      </c>
      <c r="O173" s="1">
        <v>0</v>
      </c>
      <c r="P173" s="5" t="s">
        <v>983</v>
      </c>
      <c r="Q173" s="1">
        <v>1</v>
      </c>
      <c r="R173" s="1">
        <v>0</v>
      </c>
      <c r="S173" s="1" t="s">
        <v>194</v>
      </c>
      <c r="T173" s="1">
        <v>1</v>
      </c>
      <c r="U173" s="1">
        <v>3</v>
      </c>
      <c r="V173" s="1">
        <v>3</v>
      </c>
      <c r="W173" s="1">
        <v>55</v>
      </c>
      <c r="X173" s="1">
        <v>0</v>
      </c>
      <c r="Y173" s="1">
        <v>14</v>
      </c>
      <c r="Z173" s="1">
        <v>7</v>
      </c>
      <c r="AA173" s="1">
        <v>500000</v>
      </c>
      <c r="AB173" s="1">
        <v>3</v>
      </c>
    </row>
    <row r="174" spans="1:28" ht="12.75" customHeight="1" x14ac:dyDescent="0.15">
      <c r="A174" s="5">
        <v>378</v>
      </c>
      <c r="B174" s="5" t="s">
        <v>238</v>
      </c>
      <c r="C174" s="1">
        <v>12</v>
      </c>
      <c r="D174" s="5" t="s">
        <v>983</v>
      </c>
      <c r="E174" s="1">
        <v>4</v>
      </c>
      <c r="F174" s="5" t="s">
        <v>982</v>
      </c>
      <c r="G174" s="1">
        <v>3</v>
      </c>
      <c r="H174" s="5" t="s">
        <v>982</v>
      </c>
      <c r="I174" s="1">
        <v>15</v>
      </c>
      <c r="J174" s="5" t="s">
        <v>981</v>
      </c>
      <c r="K174" s="1">
        <v>4</v>
      </c>
      <c r="L174" s="5" t="s">
        <v>982</v>
      </c>
      <c r="M174" s="1">
        <v>3</v>
      </c>
      <c r="N174" s="5" t="s">
        <v>982</v>
      </c>
      <c r="O174" s="1">
        <v>0</v>
      </c>
      <c r="P174" s="5" t="s">
        <v>983</v>
      </c>
      <c r="Q174" s="1">
        <v>1</v>
      </c>
      <c r="R174" s="1">
        <v>0</v>
      </c>
      <c r="S174" s="1">
        <v>1</v>
      </c>
      <c r="T174" s="1">
        <v>1</v>
      </c>
      <c r="U174" s="1">
        <v>5</v>
      </c>
      <c r="V174" s="1">
        <v>5</v>
      </c>
      <c r="W174" s="1">
        <v>49</v>
      </c>
      <c r="X174" s="1">
        <v>0</v>
      </c>
      <c r="Y174" s="1">
        <v>18</v>
      </c>
      <c r="Z174" s="1">
        <v>6</v>
      </c>
      <c r="AA174" s="1">
        <v>500000</v>
      </c>
      <c r="AB174" s="1">
        <v>4</v>
      </c>
    </row>
    <row r="175" spans="1:28" ht="12.75" customHeight="1" x14ac:dyDescent="0.15">
      <c r="A175" s="5">
        <v>376</v>
      </c>
      <c r="B175" s="5" t="s">
        <v>984</v>
      </c>
      <c r="C175" s="1">
        <v>12</v>
      </c>
      <c r="D175" s="5" t="s">
        <v>983</v>
      </c>
      <c r="E175" s="1">
        <v>12</v>
      </c>
      <c r="F175" s="5" t="s">
        <v>981</v>
      </c>
      <c r="G175" s="1">
        <v>12</v>
      </c>
      <c r="H175" s="5" t="s">
        <v>981</v>
      </c>
      <c r="I175" s="1">
        <v>0</v>
      </c>
      <c r="J175" s="5" t="s">
        <v>983</v>
      </c>
      <c r="K175" s="1">
        <v>12</v>
      </c>
      <c r="L175" s="5" t="s">
        <v>981</v>
      </c>
      <c r="M175" s="1">
        <v>12</v>
      </c>
      <c r="N175" s="5" t="s">
        <v>981</v>
      </c>
      <c r="O175" s="1">
        <v>0</v>
      </c>
      <c r="P175" s="5" t="s">
        <v>983</v>
      </c>
      <c r="Q175" s="1">
        <v>1</v>
      </c>
      <c r="R175" s="1">
        <v>0</v>
      </c>
      <c r="S175" s="1" t="s">
        <v>194</v>
      </c>
      <c r="T175" s="1">
        <v>0</v>
      </c>
      <c r="U175" s="1" t="s">
        <v>194</v>
      </c>
      <c r="V175" s="1" t="s">
        <v>194</v>
      </c>
      <c r="W175" s="1">
        <v>37</v>
      </c>
      <c r="X175" s="1">
        <v>1</v>
      </c>
      <c r="Y175" s="1">
        <v>14</v>
      </c>
      <c r="Z175" s="1">
        <v>6</v>
      </c>
      <c r="AA175" s="1">
        <v>500000</v>
      </c>
      <c r="AB175" s="1">
        <v>1</v>
      </c>
    </row>
    <row r="176" spans="1:28" ht="12.75" customHeight="1" x14ac:dyDescent="0.15">
      <c r="A176" s="5">
        <v>397</v>
      </c>
      <c r="B176" s="5" t="s">
        <v>238</v>
      </c>
      <c r="C176" s="1">
        <v>31</v>
      </c>
      <c r="D176" s="5" t="s">
        <v>981</v>
      </c>
      <c r="E176" s="1">
        <v>3</v>
      </c>
      <c r="F176" s="5" t="s">
        <v>982</v>
      </c>
      <c r="G176" s="1">
        <v>0</v>
      </c>
      <c r="H176" s="5" t="s">
        <v>983</v>
      </c>
      <c r="I176" s="1">
        <v>10</v>
      </c>
      <c r="J176" s="5" t="s">
        <v>981</v>
      </c>
      <c r="K176" s="1">
        <v>0</v>
      </c>
      <c r="L176" s="5" t="s">
        <v>983</v>
      </c>
      <c r="M176" s="1">
        <v>0</v>
      </c>
      <c r="N176" s="5" t="s">
        <v>983</v>
      </c>
      <c r="O176" s="1">
        <v>0</v>
      </c>
      <c r="P176" s="5" t="s">
        <v>983</v>
      </c>
      <c r="Q176" s="1">
        <v>1</v>
      </c>
      <c r="R176" s="1">
        <v>0</v>
      </c>
      <c r="S176" s="1">
        <v>1</v>
      </c>
      <c r="T176" s="1">
        <v>1</v>
      </c>
      <c r="U176" s="1" t="s">
        <v>194</v>
      </c>
      <c r="V176" s="1">
        <v>2</v>
      </c>
      <c r="W176" s="1">
        <v>31</v>
      </c>
      <c r="X176" s="1">
        <v>1</v>
      </c>
      <c r="Y176" s="1">
        <v>6</v>
      </c>
      <c r="Z176" s="1">
        <v>6</v>
      </c>
      <c r="AA176" s="1">
        <v>500000</v>
      </c>
      <c r="AB176" s="1">
        <v>2</v>
      </c>
    </row>
    <row r="177" spans="1:28" ht="12.75" customHeight="1" x14ac:dyDescent="0.15">
      <c r="A177" s="5">
        <v>401</v>
      </c>
      <c r="B177" s="5" t="s">
        <v>238</v>
      </c>
      <c r="C177" s="1">
        <v>14</v>
      </c>
      <c r="D177" s="5" t="s">
        <v>983</v>
      </c>
      <c r="E177" s="1">
        <v>1</v>
      </c>
      <c r="F177" s="5" t="s">
        <v>983</v>
      </c>
      <c r="G177" s="1">
        <v>2</v>
      </c>
      <c r="H177" s="5" t="s">
        <v>982</v>
      </c>
      <c r="I177" s="1">
        <v>0</v>
      </c>
      <c r="J177" s="5" t="s">
        <v>983</v>
      </c>
      <c r="K177" s="1">
        <v>0</v>
      </c>
      <c r="L177" s="5" t="s">
        <v>983</v>
      </c>
      <c r="M177" s="1">
        <v>0</v>
      </c>
      <c r="N177" s="5" t="s">
        <v>983</v>
      </c>
      <c r="O177" s="1">
        <v>0</v>
      </c>
      <c r="P177" s="5" t="s">
        <v>983</v>
      </c>
      <c r="Q177" s="1">
        <v>1</v>
      </c>
      <c r="R177" s="1">
        <v>0</v>
      </c>
      <c r="S177" s="1">
        <v>1</v>
      </c>
      <c r="T177" s="1">
        <v>1</v>
      </c>
      <c r="U177" s="1">
        <v>3</v>
      </c>
      <c r="V177" s="1">
        <v>2</v>
      </c>
      <c r="W177" s="1">
        <v>59</v>
      </c>
      <c r="X177" s="1">
        <v>0</v>
      </c>
      <c r="Y177" s="1">
        <v>1</v>
      </c>
      <c r="Z177" s="1">
        <v>5</v>
      </c>
      <c r="AA177" s="1">
        <v>500000</v>
      </c>
      <c r="AB177" s="1">
        <v>1</v>
      </c>
    </row>
    <row r="178" spans="1:28" ht="12.75" customHeight="1" x14ac:dyDescent="0.15">
      <c r="A178" s="5">
        <v>380</v>
      </c>
      <c r="B178" s="5" t="s">
        <v>984</v>
      </c>
      <c r="C178" s="1">
        <v>16</v>
      </c>
      <c r="D178" s="5" t="s">
        <v>983</v>
      </c>
      <c r="E178" s="1">
        <v>1</v>
      </c>
      <c r="F178" s="5" t="s">
        <v>983</v>
      </c>
      <c r="G178" s="1">
        <v>0</v>
      </c>
      <c r="H178" s="5" t="s">
        <v>983</v>
      </c>
      <c r="I178" s="1">
        <v>0</v>
      </c>
      <c r="J178" s="5" t="s">
        <v>983</v>
      </c>
      <c r="K178" s="1">
        <v>0</v>
      </c>
      <c r="L178" s="5" t="s">
        <v>983</v>
      </c>
      <c r="M178" s="1">
        <v>0</v>
      </c>
      <c r="N178" s="5" t="s">
        <v>983</v>
      </c>
      <c r="O178" s="1">
        <v>0</v>
      </c>
      <c r="P178" s="5" t="s">
        <v>983</v>
      </c>
      <c r="Q178" s="1">
        <v>1</v>
      </c>
      <c r="R178" s="1">
        <v>0</v>
      </c>
      <c r="S178" s="1">
        <v>1</v>
      </c>
      <c r="T178" s="1">
        <v>1</v>
      </c>
      <c r="U178" s="1">
        <v>3</v>
      </c>
      <c r="V178" s="1">
        <v>2</v>
      </c>
      <c r="W178" s="1">
        <v>44</v>
      </c>
      <c r="X178" s="1">
        <v>0</v>
      </c>
      <c r="Y178" s="1">
        <v>18</v>
      </c>
      <c r="Z178" s="1">
        <v>2</v>
      </c>
      <c r="AA178" s="1">
        <v>500000</v>
      </c>
      <c r="AB178" s="1">
        <v>2</v>
      </c>
    </row>
    <row r="179" spans="1:28" ht="12.75" customHeight="1" x14ac:dyDescent="0.15">
      <c r="A179" s="5">
        <v>221</v>
      </c>
      <c r="B179" s="5" t="s">
        <v>238</v>
      </c>
      <c r="C179" s="1">
        <v>29</v>
      </c>
      <c r="D179" s="5" t="s">
        <v>981</v>
      </c>
      <c r="E179" s="1">
        <v>6</v>
      </c>
      <c r="F179" s="5" t="s">
        <v>981</v>
      </c>
      <c r="G179" s="1">
        <v>7</v>
      </c>
      <c r="H179" s="5" t="s">
        <v>981</v>
      </c>
      <c r="I179" s="1">
        <v>9</v>
      </c>
      <c r="J179" s="5" t="s">
        <v>981</v>
      </c>
      <c r="K179" s="1">
        <v>5</v>
      </c>
      <c r="L179" s="5" t="s">
        <v>982</v>
      </c>
      <c r="M179" s="1">
        <v>6</v>
      </c>
      <c r="N179" s="5" t="s">
        <v>981</v>
      </c>
      <c r="O179" s="1">
        <v>1</v>
      </c>
      <c r="P179" s="5" t="s">
        <v>982</v>
      </c>
      <c r="Q179" s="1">
        <v>0</v>
      </c>
      <c r="R179" s="1">
        <v>0</v>
      </c>
      <c r="S179" s="1">
        <v>1</v>
      </c>
      <c r="T179" s="1">
        <v>1</v>
      </c>
      <c r="U179" s="1" t="s">
        <v>194</v>
      </c>
      <c r="V179" s="1">
        <v>2</v>
      </c>
      <c r="W179" s="1">
        <v>68</v>
      </c>
      <c r="X179" s="1">
        <v>0</v>
      </c>
      <c r="Y179" s="1">
        <v>3</v>
      </c>
      <c r="Z179" s="1">
        <v>2</v>
      </c>
      <c r="AA179" s="1">
        <v>500000</v>
      </c>
      <c r="AB179" s="1">
        <v>1</v>
      </c>
    </row>
    <row r="180" spans="1:28" ht="12.75" customHeight="1" x14ac:dyDescent="0.15">
      <c r="A180" s="5">
        <v>480</v>
      </c>
      <c r="B180" s="5" t="s">
        <v>238</v>
      </c>
      <c r="C180" s="1">
        <v>18</v>
      </c>
      <c r="D180" s="5" t="s">
        <v>983</v>
      </c>
      <c r="E180" s="1">
        <v>6</v>
      </c>
      <c r="F180" s="5" t="s">
        <v>981</v>
      </c>
      <c r="G180" s="1">
        <v>6</v>
      </c>
      <c r="H180" s="5" t="s">
        <v>981</v>
      </c>
      <c r="I180" s="1">
        <v>8</v>
      </c>
      <c r="J180" s="5" t="s">
        <v>981</v>
      </c>
      <c r="K180" s="1">
        <v>6</v>
      </c>
      <c r="L180" s="5" t="s">
        <v>981</v>
      </c>
      <c r="M180" s="1">
        <v>6</v>
      </c>
      <c r="N180" s="5" t="s">
        <v>981</v>
      </c>
      <c r="O180" s="1">
        <v>0</v>
      </c>
      <c r="P180" s="5" t="s">
        <v>983</v>
      </c>
      <c r="Q180" s="1">
        <v>0</v>
      </c>
      <c r="R180" s="1">
        <v>0</v>
      </c>
      <c r="S180" s="1">
        <v>1</v>
      </c>
      <c r="T180" s="1">
        <v>1</v>
      </c>
      <c r="U180" s="1">
        <v>2</v>
      </c>
      <c r="V180" s="1" t="s">
        <v>194</v>
      </c>
      <c r="W180" s="1">
        <v>38</v>
      </c>
      <c r="X180" s="1">
        <v>1</v>
      </c>
      <c r="Y180" s="1">
        <v>16</v>
      </c>
      <c r="Z180" s="1">
        <v>1</v>
      </c>
      <c r="AA180" s="1">
        <v>500000</v>
      </c>
      <c r="AB180" s="1">
        <v>4</v>
      </c>
    </row>
    <row r="181" spans="1:28" ht="12.75" customHeight="1" x14ac:dyDescent="0.15">
      <c r="A181" s="5">
        <v>491</v>
      </c>
      <c r="B181" s="5" t="s">
        <v>238</v>
      </c>
      <c r="C181" s="1">
        <v>18</v>
      </c>
      <c r="D181" s="5" t="s">
        <v>983</v>
      </c>
      <c r="E181" s="1">
        <v>12</v>
      </c>
      <c r="F181" s="5" t="s">
        <v>981</v>
      </c>
      <c r="G181" s="1">
        <v>11</v>
      </c>
      <c r="H181" s="5" t="s">
        <v>981</v>
      </c>
      <c r="I181" s="1">
        <v>1</v>
      </c>
      <c r="J181" s="5" t="s">
        <v>982</v>
      </c>
      <c r="K181" s="1">
        <v>11</v>
      </c>
      <c r="L181" s="5" t="s">
        <v>981</v>
      </c>
      <c r="M181" s="1">
        <v>11</v>
      </c>
      <c r="N181" s="5" t="s">
        <v>981</v>
      </c>
      <c r="O181" s="1">
        <v>7</v>
      </c>
      <c r="P181" s="5" t="s">
        <v>982</v>
      </c>
      <c r="Q181" s="1">
        <v>1</v>
      </c>
      <c r="R181" s="1">
        <v>0</v>
      </c>
      <c r="S181" s="1">
        <v>1</v>
      </c>
      <c r="T181" s="1">
        <v>1</v>
      </c>
      <c r="U181" s="1" t="s">
        <v>194</v>
      </c>
      <c r="V181" s="1" t="s">
        <v>194</v>
      </c>
      <c r="W181" s="1">
        <v>49</v>
      </c>
      <c r="X181" s="1">
        <v>0</v>
      </c>
      <c r="Y181" s="1">
        <v>14</v>
      </c>
      <c r="Z181" s="1">
        <v>1</v>
      </c>
      <c r="AA181" s="1">
        <v>500000</v>
      </c>
      <c r="AB181" s="1">
        <v>3</v>
      </c>
    </row>
    <row r="182" spans="1:28" ht="12.75" customHeight="1" x14ac:dyDescent="0.15">
      <c r="A182" s="5">
        <v>92</v>
      </c>
      <c r="B182" s="5" t="s">
        <v>238</v>
      </c>
      <c r="C182" s="1">
        <v>12</v>
      </c>
      <c r="D182" s="5" t="s">
        <v>983</v>
      </c>
      <c r="E182" s="1">
        <v>1</v>
      </c>
      <c r="F182" s="5" t="s">
        <v>983</v>
      </c>
      <c r="G182" s="1">
        <v>2</v>
      </c>
      <c r="H182" s="5" t="s">
        <v>982</v>
      </c>
      <c r="I182" s="1">
        <v>3</v>
      </c>
      <c r="J182" s="5" t="s">
        <v>982</v>
      </c>
      <c r="K182" s="1">
        <v>1</v>
      </c>
      <c r="L182" s="5" t="s">
        <v>983</v>
      </c>
      <c r="M182" s="1">
        <v>0</v>
      </c>
      <c r="N182" s="5" t="s">
        <v>983</v>
      </c>
      <c r="O182" s="1">
        <v>0</v>
      </c>
      <c r="P182" s="5" t="s">
        <v>983</v>
      </c>
      <c r="Q182" s="1">
        <v>1</v>
      </c>
      <c r="R182" s="1">
        <v>0</v>
      </c>
      <c r="S182" s="1">
        <v>1</v>
      </c>
      <c r="T182" s="1">
        <v>1</v>
      </c>
      <c r="U182" s="1">
        <v>5</v>
      </c>
      <c r="V182" s="1">
        <v>5</v>
      </c>
      <c r="W182" s="1">
        <v>62</v>
      </c>
      <c r="X182" s="1">
        <v>1</v>
      </c>
      <c r="Y182" s="1">
        <v>10</v>
      </c>
      <c r="Z182" s="1">
        <v>1</v>
      </c>
      <c r="AA182" s="1">
        <v>500000</v>
      </c>
      <c r="AB182" s="1">
        <v>3</v>
      </c>
    </row>
    <row r="183" spans="1:28" ht="12.75" customHeight="1" x14ac:dyDescent="0.15">
      <c r="A183" s="5">
        <v>87</v>
      </c>
      <c r="B183" s="5" t="s">
        <v>238</v>
      </c>
      <c r="C183" s="1">
        <v>23</v>
      </c>
      <c r="D183" s="5" t="s">
        <v>982</v>
      </c>
      <c r="E183" s="1">
        <v>3</v>
      </c>
      <c r="F183" s="5" t="s">
        <v>982</v>
      </c>
      <c r="G183" s="1">
        <v>5</v>
      </c>
      <c r="H183" s="5" t="s">
        <v>982</v>
      </c>
      <c r="I183" s="1">
        <v>12</v>
      </c>
      <c r="J183" s="5" t="s">
        <v>981</v>
      </c>
      <c r="K183" s="1">
        <v>3</v>
      </c>
      <c r="L183" s="5" t="s">
        <v>982</v>
      </c>
      <c r="M183" s="1">
        <v>2</v>
      </c>
      <c r="N183" s="5" t="s">
        <v>983</v>
      </c>
      <c r="O183" s="1">
        <v>12</v>
      </c>
      <c r="P183" s="5" t="s">
        <v>982</v>
      </c>
      <c r="Q183" s="1">
        <v>0</v>
      </c>
      <c r="R183" s="1">
        <v>0</v>
      </c>
      <c r="S183" s="1" t="s">
        <v>194</v>
      </c>
      <c r="T183" s="1">
        <v>1</v>
      </c>
      <c r="U183" s="1">
        <v>1</v>
      </c>
      <c r="V183" s="1" t="s">
        <v>194</v>
      </c>
      <c r="W183" s="1">
        <v>59</v>
      </c>
      <c r="X183" s="1">
        <v>0</v>
      </c>
      <c r="Y183" s="1">
        <v>18</v>
      </c>
      <c r="Z183" s="1">
        <v>13</v>
      </c>
      <c r="AA183" s="1">
        <v>485000</v>
      </c>
      <c r="AB183" s="1">
        <v>1</v>
      </c>
    </row>
    <row r="184" spans="1:28" ht="12.75" customHeight="1" x14ac:dyDescent="0.15">
      <c r="A184" s="5">
        <v>212</v>
      </c>
      <c r="B184" s="5" t="s">
        <v>238</v>
      </c>
      <c r="C184" s="1">
        <v>16</v>
      </c>
      <c r="D184" s="5" t="s">
        <v>983</v>
      </c>
      <c r="E184" s="1">
        <v>2</v>
      </c>
      <c r="F184" s="5" t="s">
        <v>982</v>
      </c>
      <c r="G184" s="1">
        <v>3</v>
      </c>
      <c r="H184" s="5" t="s">
        <v>982</v>
      </c>
      <c r="I184" s="1">
        <v>12</v>
      </c>
      <c r="J184" s="5" t="s">
        <v>981</v>
      </c>
      <c r="K184" s="1">
        <v>4</v>
      </c>
      <c r="L184" s="5" t="s">
        <v>982</v>
      </c>
      <c r="M184" s="1">
        <v>0</v>
      </c>
      <c r="N184" s="5" t="s">
        <v>983</v>
      </c>
      <c r="O184" s="1">
        <v>28</v>
      </c>
      <c r="P184" s="5" t="s">
        <v>981</v>
      </c>
      <c r="Q184" s="1">
        <v>1</v>
      </c>
      <c r="R184" s="1">
        <v>0</v>
      </c>
      <c r="S184" s="1" t="s">
        <v>194</v>
      </c>
      <c r="T184" s="1">
        <v>1</v>
      </c>
      <c r="U184" s="1">
        <v>5</v>
      </c>
      <c r="V184" s="1">
        <v>5</v>
      </c>
      <c r="W184" s="1">
        <v>38</v>
      </c>
      <c r="X184" s="1">
        <v>0</v>
      </c>
      <c r="Y184" s="1">
        <v>14</v>
      </c>
      <c r="Z184" s="1">
        <v>24</v>
      </c>
      <c r="AA184" s="1">
        <v>480000</v>
      </c>
      <c r="AB184" s="1">
        <v>4</v>
      </c>
    </row>
    <row r="185" spans="1:28" ht="12.75" customHeight="1" x14ac:dyDescent="0.15">
      <c r="A185" s="5">
        <v>211</v>
      </c>
      <c r="B185" s="5" t="s">
        <v>238</v>
      </c>
      <c r="C185" s="1">
        <v>21</v>
      </c>
      <c r="D185" s="5" t="s">
        <v>982</v>
      </c>
      <c r="E185" s="1">
        <v>7</v>
      </c>
      <c r="F185" s="5" t="s">
        <v>981</v>
      </c>
      <c r="G185" s="1">
        <v>7</v>
      </c>
      <c r="H185" s="5" t="s">
        <v>981</v>
      </c>
      <c r="I185" s="1">
        <v>3</v>
      </c>
      <c r="J185" s="5" t="s">
        <v>982</v>
      </c>
      <c r="K185" s="1">
        <v>10</v>
      </c>
      <c r="L185" s="5" t="s">
        <v>981</v>
      </c>
      <c r="M185" s="1">
        <v>6</v>
      </c>
      <c r="N185" s="5" t="s">
        <v>981</v>
      </c>
      <c r="O185" s="1">
        <v>0</v>
      </c>
      <c r="P185" s="5" t="s">
        <v>983</v>
      </c>
      <c r="Q185" s="1">
        <v>0</v>
      </c>
      <c r="R185" s="1">
        <v>0</v>
      </c>
      <c r="S185" s="1">
        <v>1</v>
      </c>
      <c r="T185" s="1">
        <v>1</v>
      </c>
      <c r="U185" s="1">
        <v>3</v>
      </c>
      <c r="V185" s="1">
        <v>3</v>
      </c>
      <c r="W185" s="1">
        <v>38</v>
      </c>
      <c r="X185" s="1">
        <v>0</v>
      </c>
      <c r="Y185" s="1">
        <v>14</v>
      </c>
      <c r="Z185" s="1">
        <v>24</v>
      </c>
      <c r="AA185" s="1">
        <v>480000</v>
      </c>
      <c r="AB185" s="1">
        <v>4</v>
      </c>
    </row>
    <row r="186" spans="1:28" ht="12.75" customHeight="1" x14ac:dyDescent="0.15">
      <c r="A186" s="5">
        <v>183</v>
      </c>
      <c r="B186" s="5" t="s">
        <v>238</v>
      </c>
      <c r="C186" s="1">
        <v>16</v>
      </c>
      <c r="D186" s="5" t="s">
        <v>983</v>
      </c>
      <c r="E186" s="1">
        <v>3</v>
      </c>
      <c r="F186" s="5" t="s">
        <v>982</v>
      </c>
      <c r="G186" s="1">
        <v>3</v>
      </c>
      <c r="H186" s="5" t="s">
        <v>982</v>
      </c>
      <c r="I186" s="1">
        <v>0</v>
      </c>
      <c r="J186" s="5" t="s">
        <v>983</v>
      </c>
      <c r="K186" s="1">
        <v>0</v>
      </c>
      <c r="L186" s="5" t="s">
        <v>983</v>
      </c>
      <c r="M186" s="1">
        <v>0</v>
      </c>
      <c r="N186" s="5" t="s">
        <v>983</v>
      </c>
      <c r="O186" s="1">
        <v>0</v>
      </c>
      <c r="P186" s="5" t="s">
        <v>983</v>
      </c>
      <c r="Q186" s="1">
        <v>1</v>
      </c>
      <c r="R186" s="1">
        <v>0</v>
      </c>
      <c r="S186" s="1">
        <v>1</v>
      </c>
      <c r="T186" s="1">
        <v>1</v>
      </c>
      <c r="U186" s="1" t="s">
        <v>194</v>
      </c>
      <c r="V186" s="1">
        <v>1</v>
      </c>
      <c r="W186" s="1">
        <v>68</v>
      </c>
      <c r="X186" s="1">
        <v>0</v>
      </c>
      <c r="Y186" s="1">
        <v>9</v>
      </c>
      <c r="Z186" s="1">
        <v>5</v>
      </c>
      <c r="AA186" s="1">
        <v>460000</v>
      </c>
      <c r="AB186" s="1">
        <v>1</v>
      </c>
    </row>
    <row r="187" spans="1:28" ht="12.75" customHeight="1" x14ac:dyDescent="0.15">
      <c r="A187" s="5">
        <v>195</v>
      </c>
      <c r="B187" s="5" t="s">
        <v>238</v>
      </c>
      <c r="C187" s="1">
        <v>16</v>
      </c>
      <c r="D187" s="5" t="s">
        <v>983</v>
      </c>
      <c r="E187" s="1">
        <v>0</v>
      </c>
      <c r="F187" s="5" t="s">
        <v>983</v>
      </c>
      <c r="G187" s="1">
        <v>0</v>
      </c>
      <c r="H187" s="5" t="s">
        <v>983</v>
      </c>
      <c r="I187" s="1">
        <v>16</v>
      </c>
      <c r="J187" s="5" t="s">
        <v>981</v>
      </c>
      <c r="K187" s="1">
        <v>0</v>
      </c>
      <c r="L187" s="5" t="s">
        <v>983</v>
      </c>
      <c r="M187" s="1">
        <v>0</v>
      </c>
      <c r="N187" s="5" t="s">
        <v>983</v>
      </c>
      <c r="O187" s="1">
        <v>0</v>
      </c>
      <c r="P187" s="5" t="s">
        <v>983</v>
      </c>
      <c r="Q187" s="1">
        <v>1</v>
      </c>
      <c r="R187" s="1">
        <v>0</v>
      </c>
      <c r="S187" s="1">
        <v>1</v>
      </c>
      <c r="T187" s="1">
        <v>1</v>
      </c>
      <c r="U187" s="1">
        <v>5</v>
      </c>
      <c r="V187" s="1">
        <v>5</v>
      </c>
      <c r="W187" s="1">
        <v>35</v>
      </c>
      <c r="X187" s="1">
        <v>0</v>
      </c>
      <c r="Y187" s="1">
        <v>15</v>
      </c>
      <c r="Z187" s="1">
        <v>1</v>
      </c>
      <c r="AA187" s="1">
        <v>460000</v>
      </c>
      <c r="AB187" s="1">
        <v>4</v>
      </c>
    </row>
    <row r="188" spans="1:28" ht="12.75" customHeight="1" x14ac:dyDescent="0.15">
      <c r="A188" s="5">
        <v>285</v>
      </c>
      <c r="B188" s="5" t="s">
        <v>984</v>
      </c>
      <c r="C188" s="1">
        <v>13</v>
      </c>
      <c r="D188" s="5" t="s">
        <v>983</v>
      </c>
      <c r="E188" s="1">
        <v>4</v>
      </c>
      <c r="F188" s="5" t="s">
        <v>982</v>
      </c>
      <c r="G188" s="1">
        <v>0</v>
      </c>
      <c r="H188" s="5" t="s">
        <v>983</v>
      </c>
      <c r="I188" s="1">
        <v>4</v>
      </c>
      <c r="J188" s="5" t="s">
        <v>982</v>
      </c>
      <c r="K188" s="1">
        <v>2</v>
      </c>
      <c r="L188" s="5" t="s">
        <v>983</v>
      </c>
      <c r="M188" s="1">
        <v>2</v>
      </c>
      <c r="N188" s="5" t="s">
        <v>983</v>
      </c>
      <c r="O188" s="1">
        <v>0</v>
      </c>
      <c r="P188" s="5" t="s">
        <v>983</v>
      </c>
      <c r="Q188" s="1">
        <v>0</v>
      </c>
      <c r="R188" s="1">
        <v>0</v>
      </c>
      <c r="S188" s="1">
        <v>1</v>
      </c>
      <c r="T188" s="1">
        <v>1</v>
      </c>
      <c r="U188" s="1">
        <v>4</v>
      </c>
      <c r="V188" s="1">
        <v>4</v>
      </c>
      <c r="W188" s="1">
        <v>24</v>
      </c>
      <c r="X188" s="1">
        <v>0</v>
      </c>
      <c r="Y188" s="1">
        <v>16</v>
      </c>
      <c r="Z188" s="1">
        <v>34</v>
      </c>
      <c r="AA188" s="1">
        <v>450000</v>
      </c>
      <c r="AB188" s="1">
        <v>6</v>
      </c>
    </row>
    <row r="189" spans="1:28" ht="12.75" customHeight="1" x14ac:dyDescent="0.15">
      <c r="A189" s="5">
        <v>61</v>
      </c>
      <c r="B189" s="5" t="s">
        <v>238</v>
      </c>
      <c r="C189" s="1">
        <v>12</v>
      </c>
      <c r="D189" s="5" t="s">
        <v>983</v>
      </c>
      <c r="E189" s="1">
        <v>4</v>
      </c>
      <c r="F189" s="5" t="s">
        <v>982</v>
      </c>
      <c r="G189" s="1">
        <v>5</v>
      </c>
      <c r="H189" s="5" t="s">
        <v>982</v>
      </c>
      <c r="I189" s="1">
        <v>4</v>
      </c>
      <c r="J189" s="5" t="s">
        <v>982</v>
      </c>
      <c r="K189" s="1">
        <v>0</v>
      </c>
      <c r="L189" s="5" t="s">
        <v>983</v>
      </c>
      <c r="M189" s="1">
        <v>0</v>
      </c>
      <c r="N189" s="5" t="s">
        <v>983</v>
      </c>
      <c r="O189" s="1">
        <v>0</v>
      </c>
      <c r="P189" s="5" t="s">
        <v>983</v>
      </c>
      <c r="Q189" s="1">
        <v>1</v>
      </c>
      <c r="R189" s="1">
        <v>0</v>
      </c>
      <c r="S189" s="1">
        <v>1</v>
      </c>
      <c r="T189" s="1">
        <v>1</v>
      </c>
      <c r="U189" s="1">
        <v>5</v>
      </c>
      <c r="V189" s="1">
        <v>5</v>
      </c>
      <c r="W189" s="1">
        <v>44</v>
      </c>
      <c r="X189" s="1">
        <v>0</v>
      </c>
      <c r="Y189" s="1">
        <v>16</v>
      </c>
      <c r="Z189" s="1">
        <v>34</v>
      </c>
      <c r="AA189" s="1">
        <v>450000</v>
      </c>
      <c r="AB189" s="1">
        <v>3</v>
      </c>
    </row>
    <row r="190" spans="1:28" ht="12.75" customHeight="1" x14ac:dyDescent="0.15">
      <c r="A190" s="5">
        <v>253</v>
      </c>
      <c r="B190" s="5" t="s">
        <v>238</v>
      </c>
      <c r="C190" s="1">
        <v>25</v>
      </c>
      <c r="D190" s="5" t="s">
        <v>981</v>
      </c>
      <c r="E190" s="1">
        <v>6</v>
      </c>
      <c r="F190" s="5" t="s">
        <v>981</v>
      </c>
      <c r="G190" s="1">
        <v>7</v>
      </c>
      <c r="H190" s="5" t="s">
        <v>981</v>
      </c>
      <c r="I190" s="1">
        <v>8</v>
      </c>
      <c r="J190" s="5" t="s">
        <v>981</v>
      </c>
      <c r="K190" s="1">
        <v>6</v>
      </c>
      <c r="L190" s="5" t="s">
        <v>981</v>
      </c>
      <c r="M190" s="1">
        <v>6</v>
      </c>
      <c r="N190" s="5" t="s">
        <v>981</v>
      </c>
      <c r="O190" s="1">
        <v>0</v>
      </c>
      <c r="P190" s="5" t="s">
        <v>983</v>
      </c>
      <c r="Q190" s="1">
        <v>1</v>
      </c>
      <c r="R190" s="1">
        <v>0</v>
      </c>
      <c r="S190" s="1" t="s">
        <v>194</v>
      </c>
      <c r="T190" s="1">
        <v>1</v>
      </c>
      <c r="U190" s="1">
        <v>2</v>
      </c>
      <c r="V190" s="1">
        <v>3</v>
      </c>
      <c r="W190" s="1">
        <v>36</v>
      </c>
      <c r="X190" s="1">
        <v>1</v>
      </c>
      <c r="Y190" s="1">
        <v>14</v>
      </c>
      <c r="Z190" s="1">
        <v>34</v>
      </c>
      <c r="AA190" s="1">
        <v>450000</v>
      </c>
      <c r="AB190" s="1">
        <v>3</v>
      </c>
    </row>
    <row r="191" spans="1:28" ht="12.75" customHeight="1" x14ac:dyDescent="0.15">
      <c r="A191" s="5">
        <v>194</v>
      </c>
      <c r="B191" s="5" t="s">
        <v>984</v>
      </c>
      <c r="C191" s="1">
        <v>23</v>
      </c>
      <c r="D191" s="5" t="s">
        <v>982</v>
      </c>
      <c r="E191" s="1">
        <v>0</v>
      </c>
      <c r="F191" s="5" t="s">
        <v>983</v>
      </c>
      <c r="G191" s="1">
        <v>2</v>
      </c>
      <c r="H191" s="5" t="s">
        <v>982</v>
      </c>
      <c r="I191" s="1">
        <v>0</v>
      </c>
      <c r="J191" s="5" t="s">
        <v>983</v>
      </c>
      <c r="K191" s="1">
        <v>0</v>
      </c>
      <c r="L191" s="5" t="s">
        <v>983</v>
      </c>
      <c r="M191" s="1">
        <v>0</v>
      </c>
      <c r="N191" s="5" t="s">
        <v>983</v>
      </c>
      <c r="O191" s="1">
        <v>0</v>
      </c>
      <c r="P191" s="5" t="s">
        <v>983</v>
      </c>
      <c r="Q191" s="1">
        <v>1</v>
      </c>
      <c r="R191" s="1">
        <v>0</v>
      </c>
      <c r="S191" s="1" t="s">
        <v>194</v>
      </c>
      <c r="T191" s="1">
        <v>1</v>
      </c>
      <c r="U191" s="1" t="s">
        <v>194</v>
      </c>
      <c r="V191" s="1">
        <v>2</v>
      </c>
      <c r="W191" s="1">
        <v>39</v>
      </c>
      <c r="X191" s="1">
        <v>1</v>
      </c>
      <c r="Y191" s="1">
        <v>14</v>
      </c>
      <c r="Z191" s="1">
        <v>34</v>
      </c>
      <c r="AA191" s="1">
        <v>450000</v>
      </c>
      <c r="AB191" s="1">
        <v>2</v>
      </c>
    </row>
    <row r="192" spans="1:28" ht="12.75" customHeight="1" x14ac:dyDescent="0.15">
      <c r="A192" s="5">
        <v>239</v>
      </c>
      <c r="B192" s="5" t="s">
        <v>238</v>
      </c>
      <c r="C192" s="1">
        <v>14</v>
      </c>
      <c r="D192" s="5" t="s">
        <v>983</v>
      </c>
      <c r="E192" s="1">
        <v>7</v>
      </c>
      <c r="F192" s="5" t="s">
        <v>981</v>
      </c>
      <c r="G192" s="1">
        <v>6</v>
      </c>
      <c r="H192" s="5" t="s">
        <v>981</v>
      </c>
      <c r="I192" s="1">
        <v>4</v>
      </c>
      <c r="J192" s="5" t="s">
        <v>982</v>
      </c>
      <c r="K192" s="1">
        <v>8</v>
      </c>
      <c r="L192" s="5" t="s">
        <v>981</v>
      </c>
      <c r="M192" s="1">
        <v>6</v>
      </c>
      <c r="N192" s="5" t="s">
        <v>981</v>
      </c>
      <c r="O192" s="1">
        <v>1</v>
      </c>
      <c r="P192" s="5" t="s">
        <v>982</v>
      </c>
      <c r="Q192" s="1">
        <v>1</v>
      </c>
      <c r="R192" s="1">
        <v>0</v>
      </c>
      <c r="S192" s="1">
        <v>1</v>
      </c>
      <c r="T192" s="1">
        <v>1</v>
      </c>
      <c r="U192" s="1">
        <v>3</v>
      </c>
      <c r="V192" s="1">
        <v>3</v>
      </c>
      <c r="W192" s="1">
        <v>37</v>
      </c>
      <c r="X192" s="1">
        <v>0</v>
      </c>
      <c r="Y192" s="1">
        <v>14</v>
      </c>
      <c r="Z192" s="1">
        <v>34</v>
      </c>
      <c r="AA192" s="1">
        <v>450000</v>
      </c>
      <c r="AB192" s="1">
        <v>4</v>
      </c>
    </row>
    <row r="193" spans="1:28" ht="12.75" customHeight="1" x14ac:dyDescent="0.15">
      <c r="A193" s="5">
        <v>308</v>
      </c>
      <c r="B193" s="5" t="s">
        <v>984</v>
      </c>
      <c r="C193" s="1">
        <v>25</v>
      </c>
      <c r="D193" s="5" t="s">
        <v>981</v>
      </c>
      <c r="E193" s="1">
        <v>9</v>
      </c>
      <c r="F193" s="5" t="s">
        <v>981</v>
      </c>
      <c r="G193" s="1">
        <v>9</v>
      </c>
      <c r="H193" s="5" t="s">
        <v>981</v>
      </c>
      <c r="I193" s="1">
        <v>4</v>
      </c>
      <c r="J193" s="5" t="s">
        <v>982</v>
      </c>
      <c r="K193" s="1">
        <v>9</v>
      </c>
      <c r="L193" s="5" t="s">
        <v>981</v>
      </c>
      <c r="M193" s="1">
        <v>9</v>
      </c>
      <c r="N193" s="5" t="s">
        <v>981</v>
      </c>
      <c r="O193" s="1">
        <v>0</v>
      </c>
      <c r="P193" s="5" t="s">
        <v>983</v>
      </c>
      <c r="Q193" s="1">
        <v>0</v>
      </c>
      <c r="R193" s="1">
        <v>0</v>
      </c>
      <c r="S193" s="1" t="s">
        <v>194</v>
      </c>
      <c r="T193" s="1">
        <v>1</v>
      </c>
      <c r="U193" s="1" t="s">
        <v>194</v>
      </c>
      <c r="V193" s="1">
        <v>2</v>
      </c>
      <c r="W193" s="1">
        <v>34</v>
      </c>
      <c r="X193" s="1">
        <v>0</v>
      </c>
      <c r="Y193" s="1">
        <v>15</v>
      </c>
      <c r="Z193" s="1">
        <v>30</v>
      </c>
      <c r="AA193" s="1">
        <v>450000</v>
      </c>
      <c r="AB193" s="1">
        <v>2</v>
      </c>
    </row>
    <row r="194" spans="1:28" ht="12.75" customHeight="1" x14ac:dyDescent="0.15">
      <c r="A194" s="5">
        <v>409</v>
      </c>
      <c r="B194" s="5" t="s">
        <v>238</v>
      </c>
      <c r="C194" s="1">
        <v>16</v>
      </c>
      <c r="D194" s="5" t="s">
        <v>983</v>
      </c>
      <c r="E194" s="1">
        <v>5</v>
      </c>
      <c r="F194" s="5" t="s">
        <v>981</v>
      </c>
      <c r="G194" s="1">
        <v>5</v>
      </c>
      <c r="H194" s="5" t="s">
        <v>982</v>
      </c>
      <c r="I194" s="1">
        <v>8</v>
      </c>
      <c r="J194" s="5" t="s">
        <v>981</v>
      </c>
      <c r="K194" s="1">
        <v>2</v>
      </c>
      <c r="L194" s="5" t="s">
        <v>983</v>
      </c>
      <c r="M194" s="1">
        <v>2</v>
      </c>
      <c r="N194" s="5" t="s">
        <v>983</v>
      </c>
      <c r="O194" s="1">
        <v>1</v>
      </c>
      <c r="P194" s="5" t="s">
        <v>982</v>
      </c>
      <c r="Q194" s="1">
        <v>0</v>
      </c>
      <c r="R194" s="1">
        <v>1</v>
      </c>
      <c r="S194" s="1" t="s">
        <v>194</v>
      </c>
      <c r="T194" s="1">
        <v>1</v>
      </c>
      <c r="U194" s="1">
        <v>3</v>
      </c>
      <c r="V194" s="1">
        <v>3</v>
      </c>
      <c r="W194" s="1">
        <v>25</v>
      </c>
      <c r="X194" s="1">
        <v>0</v>
      </c>
      <c r="Y194" s="1">
        <v>18</v>
      </c>
      <c r="Z194" s="1">
        <v>24</v>
      </c>
      <c r="AA194" s="1">
        <v>450000</v>
      </c>
      <c r="AB194" s="1">
        <v>2</v>
      </c>
    </row>
    <row r="195" spans="1:28" ht="12.75" customHeight="1" x14ac:dyDescent="0.15">
      <c r="A195" s="5">
        <v>463</v>
      </c>
      <c r="B195" s="5" t="s">
        <v>984</v>
      </c>
      <c r="C195" s="1">
        <v>20</v>
      </c>
      <c r="D195" s="5" t="s">
        <v>982</v>
      </c>
      <c r="E195" s="1">
        <v>4</v>
      </c>
      <c r="F195" s="5" t="s">
        <v>982</v>
      </c>
      <c r="G195" s="1">
        <v>0</v>
      </c>
      <c r="H195" s="5" t="s">
        <v>983</v>
      </c>
      <c r="I195" s="1">
        <v>8</v>
      </c>
      <c r="J195" s="5" t="s">
        <v>981</v>
      </c>
      <c r="K195" s="1">
        <v>0</v>
      </c>
      <c r="L195" s="5" t="s">
        <v>983</v>
      </c>
      <c r="M195" s="1">
        <v>0</v>
      </c>
      <c r="N195" s="5" t="s">
        <v>983</v>
      </c>
      <c r="O195" s="1">
        <v>0</v>
      </c>
      <c r="P195" s="5" t="s">
        <v>983</v>
      </c>
      <c r="Q195" s="1">
        <v>1</v>
      </c>
      <c r="R195" s="1">
        <v>0</v>
      </c>
      <c r="S195" s="1">
        <v>1</v>
      </c>
      <c r="T195" s="1">
        <v>1</v>
      </c>
      <c r="U195" s="1">
        <v>4</v>
      </c>
      <c r="V195" s="1">
        <v>4</v>
      </c>
      <c r="W195" s="1">
        <v>34</v>
      </c>
      <c r="X195" s="1">
        <v>0</v>
      </c>
      <c r="Y195" s="1">
        <v>14</v>
      </c>
      <c r="Z195" s="1">
        <v>24</v>
      </c>
      <c r="AA195" s="1">
        <v>450000</v>
      </c>
      <c r="AB195" s="1">
        <v>3</v>
      </c>
    </row>
    <row r="196" spans="1:28" ht="12.75" customHeight="1" x14ac:dyDescent="0.15">
      <c r="A196" s="5">
        <v>163</v>
      </c>
      <c r="B196" s="5" t="s">
        <v>238</v>
      </c>
      <c r="C196" s="1">
        <v>12</v>
      </c>
      <c r="D196" s="5" t="s">
        <v>983</v>
      </c>
      <c r="E196" s="1">
        <v>0</v>
      </c>
      <c r="F196" s="5" t="s">
        <v>983</v>
      </c>
      <c r="G196" s="1">
        <v>0</v>
      </c>
      <c r="H196" s="5" t="s">
        <v>983</v>
      </c>
      <c r="I196" s="1">
        <v>4</v>
      </c>
      <c r="J196" s="5" t="s">
        <v>982</v>
      </c>
      <c r="K196" s="1">
        <v>12</v>
      </c>
      <c r="L196" s="5" t="s">
        <v>981</v>
      </c>
      <c r="M196" s="1">
        <v>3</v>
      </c>
      <c r="N196" s="5" t="s">
        <v>982</v>
      </c>
      <c r="O196" s="1">
        <v>0</v>
      </c>
      <c r="P196" s="5" t="s">
        <v>983</v>
      </c>
      <c r="Q196" s="1">
        <v>1</v>
      </c>
      <c r="R196" s="1">
        <v>0</v>
      </c>
      <c r="S196" s="1">
        <v>1</v>
      </c>
      <c r="T196" s="1">
        <v>1</v>
      </c>
      <c r="U196" s="1" t="s">
        <v>194</v>
      </c>
      <c r="V196" s="1">
        <v>1</v>
      </c>
      <c r="W196" s="1">
        <v>48</v>
      </c>
      <c r="X196" s="1">
        <v>0</v>
      </c>
      <c r="Y196" s="1">
        <v>14</v>
      </c>
      <c r="Z196" s="1">
        <v>24</v>
      </c>
      <c r="AA196" s="1">
        <v>450000</v>
      </c>
      <c r="AB196" s="1">
        <v>4</v>
      </c>
    </row>
    <row r="197" spans="1:28" ht="12.75" customHeight="1" x14ac:dyDescent="0.15">
      <c r="A197" s="5">
        <v>72</v>
      </c>
      <c r="B197" s="5" t="s">
        <v>984</v>
      </c>
      <c r="C197" s="1">
        <v>32</v>
      </c>
      <c r="D197" s="5" t="s">
        <v>981</v>
      </c>
      <c r="E197" s="1">
        <v>7</v>
      </c>
      <c r="F197" s="5" t="s">
        <v>981</v>
      </c>
      <c r="G197" s="1">
        <v>9</v>
      </c>
      <c r="H197" s="5" t="s">
        <v>981</v>
      </c>
      <c r="I197" s="1">
        <v>5</v>
      </c>
      <c r="J197" s="5" t="s">
        <v>981</v>
      </c>
      <c r="K197" s="1">
        <v>8</v>
      </c>
      <c r="L197" s="5" t="s">
        <v>981</v>
      </c>
      <c r="M197" s="1">
        <v>9</v>
      </c>
      <c r="N197" s="5" t="s">
        <v>981</v>
      </c>
      <c r="O197" s="1">
        <v>0</v>
      </c>
      <c r="P197" s="5" t="s">
        <v>983</v>
      </c>
      <c r="Q197" s="1">
        <v>0</v>
      </c>
      <c r="R197" s="1">
        <v>0</v>
      </c>
      <c r="S197" s="1" t="s">
        <v>194</v>
      </c>
      <c r="T197" s="1">
        <v>1</v>
      </c>
      <c r="U197" s="1">
        <v>4</v>
      </c>
      <c r="V197" s="1">
        <v>2</v>
      </c>
      <c r="W197" s="1">
        <v>53</v>
      </c>
      <c r="X197" s="1">
        <v>0</v>
      </c>
      <c r="Y197" s="1">
        <v>14</v>
      </c>
      <c r="Z197" s="1">
        <v>24</v>
      </c>
      <c r="AA197" s="1">
        <v>450000</v>
      </c>
      <c r="AB197" s="1">
        <v>4</v>
      </c>
    </row>
    <row r="198" spans="1:28" ht="12.75" customHeight="1" x14ac:dyDescent="0.15">
      <c r="A198" s="5">
        <v>71</v>
      </c>
      <c r="B198" s="5" t="s">
        <v>238</v>
      </c>
      <c r="C198" s="1">
        <v>21</v>
      </c>
      <c r="D198" s="5" t="s">
        <v>982</v>
      </c>
      <c r="E198" s="1">
        <v>0</v>
      </c>
      <c r="F198" s="5" t="s">
        <v>983</v>
      </c>
      <c r="G198" s="1">
        <v>2</v>
      </c>
      <c r="H198" s="5" t="s">
        <v>982</v>
      </c>
      <c r="I198" s="1">
        <v>4</v>
      </c>
      <c r="J198" s="5" t="s">
        <v>982</v>
      </c>
      <c r="K198" s="1">
        <v>6</v>
      </c>
      <c r="L198" s="5" t="s">
        <v>981</v>
      </c>
      <c r="M198" s="1">
        <v>0</v>
      </c>
      <c r="N198" s="5" t="s">
        <v>983</v>
      </c>
      <c r="O198" s="1">
        <v>0</v>
      </c>
      <c r="P198" s="5" t="s">
        <v>983</v>
      </c>
      <c r="Q198" s="1">
        <v>0</v>
      </c>
      <c r="R198" s="1">
        <v>1</v>
      </c>
      <c r="S198" s="1">
        <v>0</v>
      </c>
      <c r="T198" s="1">
        <v>1</v>
      </c>
      <c r="U198" s="1">
        <v>2</v>
      </c>
      <c r="V198" s="1">
        <v>2</v>
      </c>
      <c r="W198" s="1">
        <v>53</v>
      </c>
      <c r="X198" s="1">
        <v>0</v>
      </c>
      <c r="Y198" s="1">
        <v>14</v>
      </c>
      <c r="Z198" s="1">
        <v>24</v>
      </c>
      <c r="AA198" s="1">
        <v>450000</v>
      </c>
      <c r="AB198" s="1">
        <v>4</v>
      </c>
    </row>
    <row r="199" spans="1:28" ht="12.75" customHeight="1" x14ac:dyDescent="0.15">
      <c r="A199" s="5">
        <v>356</v>
      </c>
      <c r="B199" s="5" t="s">
        <v>238</v>
      </c>
      <c r="C199" s="1">
        <v>24</v>
      </c>
      <c r="D199" s="5" t="s">
        <v>981</v>
      </c>
      <c r="E199" s="1">
        <v>3</v>
      </c>
      <c r="F199" s="5" t="s">
        <v>982</v>
      </c>
      <c r="G199" s="1">
        <v>3</v>
      </c>
      <c r="H199" s="5" t="s">
        <v>982</v>
      </c>
      <c r="I199" s="1">
        <v>12</v>
      </c>
      <c r="J199" s="5" t="s">
        <v>981</v>
      </c>
      <c r="K199" s="1">
        <v>3</v>
      </c>
      <c r="L199" s="5" t="s">
        <v>982</v>
      </c>
      <c r="M199" s="1">
        <v>3</v>
      </c>
      <c r="N199" s="5" t="s">
        <v>982</v>
      </c>
      <c r="O199" s="1">
        <v>0</v>
      </c>
      <c r="P199" s="5" t="s">
        <v>983</v>
      </c>
      <c r="Q199" s="1">
        <v>0</v>
      </c>
      <c r="R199" s="1">
        <v>0</v>
      </c>
      <c r="S199" s="1" t="s">
        <v>194</v>
      </c>
      <c r="T199" s="1">
        <v>1</v>
      </c>
      <c r="U199" s="1">
        <v>4</v>
      </c>
      <c r="V199" s="1" t="s">
        <v>194</v>
      </c>
      <c r="W199" s="1">
        <v>43</v>
      </c>
      <c r="X199" s="1">
        <v>1</v>
      </c>
      <c r="Y199" s="1">
        <v>13</v>
      </c>
      <c r="Z199" s="1">
        <v>9</v>
      </c>
      <c r="AA199" s="1">
        <v>450000</v>
      </c>
      <c r="AB199" s="1">
        <v>4</v>
      </c>
    </row>
    <row r="200" spans="1:28" ht="12.75" customHeight="1" x14ac:dyDescent="0.15">
      <c r="A200" s="5">
        <v>355</v>
      </c>
      <c r="B200" s="5" t="s">
        <v>238</v>
      </c>
      <c r="C200" s="1">
        <v>19</v>
      </c>
      <c r="D200" s="5" t="s">
        <v>982</v>
      </c>
      <c r="E200" s="1">
        <v>3</v>
      </c>
      <c r="F200" s="5" t="s">
        <v>982</v>
      </c>
      <c r="G200" s="1">
        <v>2</v>
      </c>
      <c r="H200" s="5" t="s">
        <v>982</v>
      </c>
      <c r="I200" s="1">
        <v>4</v>
      </c>
      <c r="J200" s="5" t="s">
        <v>982</v>
      </c>
      <c r="K200" s="1">
        <v>4</v>
      </c>
      <c r="L200" s="5" t="s">
        <v>982</v>
      </c>
      <c r="M200" s="1">
        <v>1</v>
      </c>
      <c r="N200" s="5" t="s">
        <v>983</v>
      </c>
      <c r="O200" s="1">
        <v>0</v>
      </c>
      <c r="P200" s="5" t="s">
        <v>983</v>
      </c>
      <c r="Q200" s="1">
        <v>1</v>
      </c>
      <c r="R200" s="1">
        <v>0</v>
      </c>
      <c r="S200" s="1">
        <v>1</v>
      </c>
      <c r="T200" s="1">
        <v>1</v>
      </c>
      <c r="U200" s="1" t="s">
        <v>194</v>
      </c>
      <c r="V200" s="1">
        <v>2</v>
      </c>
      <c r="W200" s="1">
        <v>43</v>
      </c>
      <c r="X200" s="1">
        <v>1</v>
      </c>
      <c r="Y200" s="1">
        <v>13</v>
      </c>
      <c r="Z200" s="1">
        <v>9</v>
      </c>
      <c r="AA200" s="1">
        <v>450000</v>
      </c>
      <c r="AB200" s="1">
        <v>4</v>
      </c>
    </row>
    <row r="201" spans="1:28" ht="12.75" customHeight="1" x14ac:dyDescent="0.15">
      <c r="A201" s="5">
        <v>412</v>
      </c>
      <c r="B201" s="5" t="s">
        <v>984</v>
      </c>
      <c r="C201" s="1">
        <v>18</v>
      </c>
      <c r="D201" s="5" t="s">
        <v>983</v>
      </c>
      <c r="E201" s="1">
        <v>0</v>
      </c>
      <c r="F201" s="5" t="s">
        <v>983</v>
      </c>
      <c r="G201" s="1">
        <v>0</v>
      </c>
      <c r="H201" s="5" t="s">
        <v>983</v>
      </c>
      <c r="I201" s="1">
        <v>10</v>
      </c>
      <c r="J201" s="5" t="s">
        <v>981</v>
      </c>
      <c r="K201" s="1">
        <v>0</v>
      </c>
      <c r="L201" s="5" t="s">
        <v>983</v>
      </c>
      <c r="M201" s="1">
        <v>0</v>
      </c>
      <c r="N201" s="5" t="s">
        <v>983</v>
      </c>
      <c r="O201" s="1">
        <v>0</v>
      </c>
      <c r="P201" s="5" t="s">
        <v>983</v>
      </c>
      <c r="Q201" s="1">
        <v>0</v>
      </c>
      <c r="R201" s="1">
        <v>1</v>
      </c>
      <c r="S201" s="1" t="s">
        <v>194</v>
      </c>
      <c r="T201" s="1">
        <v>1</v>
      </c>
      <c r="U201" s="1" t="s">
        <v>194</v>
      </c>
      <c r="V201" s="1">
        <v>3</v>
      </c>
      <c r="W201" s="1">
        <v>48</v>
      </c>
      <c r="X201" s="1">
        <v>0</v>
      </c>
      <c r="Y201" s="1">
        <v>14</v>
      </c>
      <c r="Z201" s="1">
        <v>5</v>
      </c>
      <c r="AA201" s="1">
        <v>450000</v>
      </c>
      <c r="AB201" s="1">
        <v>3</v>
      </c>
    </row>
    <row r="202" spans="1:28" ht="12.75" customHeight="1" x14ac:dyDescent="0.15">
      <c r="A202" s="5">
        <v>121</v>
      </c>
      <c r="B202" s="5" t="s">
        <v>238</v>
      </c>
      <c r="C202" s="1">
        <v>18</v>
      </c>
      <c r="D202" s="5" t="s">
        <v>983</v>
      </c>
      <c r="E202" s="1">
        <v>4</v>
      </c>
      <c r="F202" s="5" t="s">
        <v>982</v>
      </c>
      <c r="G202" s="1">
        <v>2</v>
      </c>
      <c r="H202" s="5" t="s">
        <v>982</v>
      </c>
      <c r="I202" s="1">
        <v>5</v>
      </c>
      <c r="J202" s="5" t="s">
        <v>981</v>
      </c>
      <c r="K202" s="1">
        <v>0</v>
      </c>
      <c r="L202" s="5" t="s">
        <v>983</v>
      </c>
      <c r="M202" s="1">
        <v>4</v>
      </c>
      <c r="N202" s="5" t="s">
        <v>982</v>
      </c>
      <c r="O202" s="1">
        <v>0</v>
      </c>
      <c r="P202" s="5" t="s">
        <v>983</v>
      </c>
      <c r="Q202" s="1">
        <v>0</v>
      </c>
      <c r="R202" s="1">
        <v>0</v>
      </c>
      <c r="S202" s="1" t="s">
        <v>194</v>
      </c>
      <c r="T202" s="1">
        <v>1</v>
      </c>
      <c r="U202" s="1">
        <v>5</v>
      </c>
      <c r="V202" s="1">
        <v>5</v>
      </c>
      <c r="W202" s="1">
        <v>26</v>
      </c>
      <c r="X202" s="1">
        <v>0</v>
      </c>
      <c r="Y202" s="1">
        <v>16</v>
      </c>
      <c r="Z202" s="1">
        <v>3</v>
      </c>
      <c r="AA202" s="1">
        <v>450000</v>
      </c>
      <c r="AB202" s="1">
        <v>2</v>
      </c>
    </row>
    <row r="203" spans="1:28" ht="12.75" customHeight="1" x14ac:dyDescent="0.15">
      <c r="A203" s="5">
        <v>167</v>
      </c>
      <c r="B203" s="5" t="s">
        <v>238</v>
      </c>
      <c r="C203" s="1">
        <v>33</v>
      </c>
      <c r="D203" s="5" t="s">
        <v>981</v>
      </c>
      <c r="E203" s="1">
        <v>8</v>
      </c>
      <c r="F203" s="5" t="s">
        <v>981</v>
      </c>
      <c r="G203" s="1">
        <v>5</v>
      </c>
      <c r="H203" s="5" t="s">
        <v>982</v>
      </c>
      <c r="I203" s="1">
        <v>8</v>
      </c>
      <c r="J203" s="5" t="s">
        <v>981</v>
      </c>
      <c r="K203" s="1">
        <v>4</v>
      </c>
      <c r="L203" s="5" t="s">
        <v>982</v>
      </c>
      <c r="M203" s="1">
        <v>0</v>
      </c>
      <c r="N203" s="5" t="s">
        <v>983</v>
      </c>
      <c r="O203" s="1">
        <v>0</v>
      </c>
      <c r="P203" s="5" t="s">
        <v>983</v>
      </c>
      <c r="Q203" s="1">
        <v>0</v>
      </c>
      <c r="R203" s="1">
        <v>0</v>
      </c>
      <c r="S203" s="1">
        <v>1</v>
      </c>
      <c r="T203" s="1">
        <v>0</v>
      </c>
      <c r="U203" s="1" t="s">
        <v>194</v>
      </c>
      <c r="V203" s="1" t="s">
        <v>194</v>
      </c>
      <c r="W203" s="1">
        <v>32</v>
      </c>
      <c r="X203" s="1">
        <v>0</v>
      </c>
      <c r="Y203" s="1">
        <v>14</v>
      </c>
      <c r="Z203" s="1">
        <v>2</v>
      </c>
      <c r="AA203" s="1">
        <v>450000</v>
      </c>
      <c r="AB203" s="1">
        <v>2</v>
      </c>
    </row>
    <row r="204" spans="1:28" ht="12.75" customHeight="1" x14ac:dyDescent="0.15">
      <c r="A204" s="5">
        <v>168</v>
      </c>
      <c r="B204" s="5" t="s">
        <v>984</v>
      </c>
      <c r="C204" s="1">
        <v>14</v>
      </c>
      <c r="D204" s="5" t="s">
        <v>983</v>
      </c>
      <c r="E204" s="1">
        <v>3</v>
      </c>
      <c r="F204" s="5" t="s">
        <v>982</v>
      </c>
      <c r="G204" s="1">
        <v>1</v>
      </c>
      <c r="H204" s="5" t="s">
        <v>983</v>
      </c>
      <c r="I204" s="1">
        <v>8</v>
      </c>
      <c r="J204" s="5" t="s">
        <v>981</v>
      </c>
      <c r="K204" s="1">
        <v>4</v>
      </c>
      <c r="L204" s="5" t="s">
        <v>982</v>
      </c>
      <c r="M204" s="1">
        <v>1</v>
      </c>
      <c r="N204" s="5" t="s">
        <v>983</v>
      </c>
      <c r="O204" s="1">
        <v>2</v>
      </c>
      <c r="P204" s="5" t="s">
        <v>982</v>
      </c>
      <c r="Q204" s="1">
        <v>0</v>
      </c>
      <c r="R204" s="1">
        <v>0</v>
      </c>
      <c r="S204" s="1">
        <v>1</v>
      </c>
      <c r="T204" s="1">
        <v>1</v>
      </c>
      <c r="U204" s="1">
        <v>3</v>
      </c>
      <c r="V204" s="1">
        <v>2</v>
      </c>
      <c r="W204" s="1">
        <v>32</v>
      </c>
      <c r="X204" s="1">
        <v>0</v>
      </c>
      <c r="Y204" s="1">
        <v>14</v>
      </c>
      <c r="Z204" s="1">
        <v>2</v>
      </c>
      <c r="AA204" s="1">
        <v>450000</v>
      </c>
      <c r="AB204" s="1">
        <v>2</v>
      </c>
    </row>
    <row r="205" spans="1:28" ht="12.75" customHeight="1" x14ac:dyDescent="0.15">
      <c r="A205" s="5">
        <v>348</v>
      </c>
      <c r="B205" s="5" t="s">
        <v>238</v>
      </c>
      <c r="C205" s="1">
        <v>21</v>
      </c>
      <c r="D205" s="5" t="s">
        <v>982</v>
      </c>
      <c r="E205" s="1">
        <v>2</v>
      </c>
      <c r="F205" s="5" t="s">
        <v>982</v>
      </c>
      <c r="G205" s="1">
        <v>1</v>
      </c>
      <c r="H205" s="5" t="s">
        <v>983</v>
      </c>
      <c r="I205" s="1">
        <v>13</v>
      </c>
      <c r="J205" s="5" t="s">
        <v>981</v>
      </c>
      <c r="K205" s="1">
        <v>1</v>
      </c>
      <c r="L205" s="5" t="s">
        <v>983</v>
      </c>
      <c r="M205" s="1">
        <v>3</v>
      </c>
      <c r="N205" s="5" t="s">
        <v>982</v>
      </c>
      <c r="O205" s="1">
        <v>0</v>
      </c>
      <c r="P205" s="5" t="s">
        <v>983</v>
      </c>
      <c r="Q205" s="1">
        <v>1</v>
      </c>
      <c r="R205" s="1">
        <v>0</v>
      </c>
      <c r="S205" s="1">
        <v>1</v>
      </c>
      <c r="T205" s="1">
        <v>1</v>
      </c>
      <c r="U205" s="1">
        <v>5</v>
      </c>
      <c r="V205" s="1">
        <v>4</v>
      </c>
      <c r="W205" s="1">
        <v>52</v>
      </c>
      <c r="X205" s="1">
        <v>1</v>
      </c>
      <c r="Y205" s="1">
        <v>14</v>
      </c>
      <c r="Z205" s="1">
        <v>1</v>
      </c>
      <c r="AA205" s="1">
        <v>450000</v>
      </c>
      <c r="AB205" s="1">
        <v>3</v>
      </c>
    </row>
    <row r="206" spans="1:28" ht="12.75" customHeight="1" x14ac:dyDescent="0.15">
      <c r="A206" s="5">
        <v>236</v>
      </c>
      <c r="B206" s="5" t="s">
        <v>984</v>
      </c>
      <c r="C206" s="1">
        <v>24</v>
      </c>
      <c r="D206" s="5" t="s">
        <v>981</v>
      </c>
      <c r="E206" s="1">
        <v>1</v>
      </c>
      <c r="F206" s="5" t="s">
        <v>983</v>
      </c>
      <c r="G206" s="1">
        <v>3</v>
      </c>
      <c r="H206" s="5" t="s">
        <v>982</v>
      </c>
      <c r="I206" s="1">
        <v>3</v>
      </c>
      <c r="J206" s="5" t="s">
        <v>982</v>
      </c>
      <c r="K206" s="1">
        <v>0</v>
      </c>
      <c r="L206" s="5" t="s">
        <v>983</v>
      </c>
      <c r="M206" s="1">
        <v>0</v>
      </c>
      <c r="N206" s="5" t="s">
        <v>983</v>
      </c>
      <c r="O206" s="1">
        <v>5</v>
      </c>
      <c r="P206" s="5" t="s">
        <v>982</v>
      </c>
      <c r="Q206" s="1">
        <v>0</v>
      </c>
      <c r="R206" s="1">
        <v>0</v>
      </c>
      <c r="S206" s="1" t="s">
        <v>194</v>
      </c>
      <c r="T206" s="1">
        <v>1</v>
      </c>
      <c r="U206" s="1">
        <v>3</v>
      </c>
      <c r="V206" s="1">
        <v>3</v>
      </c>
      <c r="W206" s="1">
        <v>36</v>
      </c>
      <c r="X206" s="1">
        <v>1</v>
      </c>
      <c r="Y206" s="1">
        <v>2</v>
      </c>
      <c r="Z206" s="1">
        <v>17</v>
      </c>
      <c r="AA206" s="1">
        <v>440000</v>
      </c>
      <c r="AB206" s="1">
        <v>2</v>
      </c>
    </row>
    <row r="207" spans="1:28" ht="12.75" customHeight="1" x14ac:dyDescent="0.15">
      <c r="A207" s="5">
        <v>237</v>
      </c>
      <c r="B207" s="5" t="s">
        <v>238</v>
      </c>
      <c r="C207" s="1">
        <v>30</v>
      </c>
      <c r="D207" s="5" t="s">
        <v>981</v>
      </c>
      <c r="E207" s="1">
        <v>12</v>
      </c>
      <c r="F207" s="5" t="s">
        <v>981</v>
      </c>
      <c r="G207" s="1">
        <v>12</v>
      </c>
      <c r="H207" s="5" t="s">
        <v>981</v>
      </c>
      <c r="I207" s="1">
        <v>0</v>
      </c>
      <c r="J207" s="5" t="s">
        <v>983</v>
      </c>
      <c r="K207" s="1">
        <v>12</v>
      </c>
      <c r="L207" s="5" t="s">
        <v>981</v>
      </c>
      <c r="M207" s="1">
        <v>12</v>
      </c>
      <c r="N207" s="5" t="s">
        <v>981</v>
      </c>
      <c r="O207" s="1">
        <v>0</v>
      </c>
      <c r="P207" s="5" t="s">
        <v>983</v>
      </c>
      <c r="Q207" s="1">
        <v>1</v>
      </c>
      <c r="R207" s="1">
        <v>0</v>
      </c>
      <c r="S207" s="1">
        <v>1</v>
      </c>
      <c r="T207" s="1">
        <v>1</v>
      </c>
      <c r="U207" s="1">
        <v>3</v>
      </c>
      <c r="V207" s="1">
        <v>2</v>
      </c>
      <c r="W207" s="1">
        <v>36</v>
      </c>
      <c r="X207" s="1">
        <v>1</v>
      </c>
      <c r="Y207" s="1">
        <v>2</v>
      </c>
      <c r="Z207" s="1">
        <v>17</v>
      </c>
      <c r="AA207" s="1">
        <v>440000</v>
      </c>
      <c r="AB207" s="1">
        <v>2</v>
      </c>
    </row>
    <row r="208" spans="1:28" ht="12.75" customHeight="1" x14ac:dyDescent="0.15">
      <c r="A208" s="5">
        <v>302</v>
      </c>
      <c r="B208" s="5" t="s">
        <v>238</v>
      </c>
      <c r="C208" s="1">
        <v>19</v>
      </c>
      <c r="D208" s="5" t="s">
        <v>982</v>
      </c>
      <c r="E208" s="1">
        <v>5</v>
      </c>
      <c r="F208" s="5" t="s">
        <v>981</v>
      </c>
      <c r="G208" s="1">
        <v>5</v>
      </c>
      <c r="H208" s="5" t="s">
        <v>982</v>
      </c>
      <c r="I208" s="1">
        <v>14</v>
      </c>
      <c r="J208" s="5" t="s">
        <v>981</v>
      </c>
      <c r="K208" s="1">
        <v>5</v>
      </c>
      <c r="L208" s="5" t="s">
        <v>982</v>
      </c>
      <c r="M208" s="1">
        <v>4</v>
      </c>
      <c r="N208" s="5" t="s">
        <v>982</v>
      </c>
      <c r="O208" s="1">
        <v>0</v>
      </c>
      <c r="P208" s="5" t="s">
        <v>983</v>
      </c>
      <c r="Q208" s="1">
        <v>1</v>
      </c>
      <c r="R208" s="1">
        <v>1</v>
      </c>
      <c r="S208" s="1" t="s">
        <v>194</v>
      </c>
      <c r="T208" s="1">
        <v>1</v>
      </c>
      <c r="U208" s="1">
        <v>2</v>
      </c>
      <c r="V208" s="1">
        <v>1</v>
      </c>
      <c r="W208" s="1">
        <v>45</v>
      </c>
      <c r="X208" s="1">
        <v>0</v>
      </c>
      <c r="Y208" s="1">
        <v>8</v>
      </c>
      <c r="Z208" s="1">
        <v>34</v>
      </c>
      <c r="AA208" s="1">
        <v>420000</v>
      </c>
      <c r="AB208" s="1">
        <v>1</v>
      </c>
    </row>
    <row r="209" spans="1:28" ht="12.75" customHeight="1" x14ac:dyDescent="0.15">
      <c r="A209" s="5">
        <v>482</v>
      </c>
      <c r="B209" s="5" t="s">
        <v>238</v>
      </c>
      <c r="C209" s="1">
        <v>18</v>
      </c>
      <c r="D209" s="5" t="s">
        <v>983</v>
      </c>
      <c r="E209" s="1">
        <v>5</v>
      </c>
      <c r="F209" s="5" t="s">
        <v>981</v>
      </c>
      <c r="G209" s="1">
        <v>0</v>
      </c>
      <c r="H209" s="5" t="s">
        <v>983</v>
      </c>
      <c r="I209" s="1">
        <v>9</v>
      </c>
      <c r="J209" s="5" t="s">
        <v>981</v>
      </c>
      <c r="K209" s="1">
        <v>3</v>
      </c>
      <c r="L209" s="5" t="s">
        <v>982</v>
      </c>
      <c r="M209" s="1">
        <v>3</v>
      </c>
      <c r="N209" s="5" t="s">
        <v>982</v>
      </c>
      <c r="O209" s="1">
        <v>0</v>
      </c>
      <c r="P209" s="5" t="s">
        <v>983</v>
      </c>
      <c r="Q209" s="1">
        <v>0</v>
      </c>
      <c r="R209" s="1">
        <v>0</v>
      </c>
      <c r="S209" s="1" t="s">
        <v>194</v>
      </c>
      <c r="T209" s="1">
        <v>1</v>
      </c>
      <c r="U209" s="1" t="s">
        <v>194</v>
      </c>
      <c r="V209" s="1">
        <v>3</v>
      </c>
      <c r="W209" s="1">
        <v>65</v>
      </c>
      <c r="X209" s="1">
        <v>1</v>
      </c>
      <c r="Y209" s="1">
        <v>16</v>
      </c>
      <c r="Z209" s="1">
        <v>1</v>
      </c>
      <c r="AA209" s="1">
        <v>420000</v>
      </c>
      <c r="AB209" s="1">
        <v>3</v>
      </c>
    </row>
    <row r="210" spans="1:28" ht="12.75" customHeight="1" x14ac:dyDescent="0.15">
      <c r="A210" s="5">
        <v>45</v>
      </c>
      <c r="B210" s="5" t="s">
        <v>238</v>
      </c>
      <c r="C210" s="1">
        <v>29</v>
      </c>
      <c r="D210" s="5" t="s">
        <v>981</v>
      </c>
      <c r="E210" s="1">
        <v>6</v>
      </c>
      <c r="F210" s="5" t="s">
        <v>981</v>
      </c>
      <c r="G210" s="1">
        <v>8</v>
      </c>
      <c r="H210" s="5" t="s">
        <v>981</v>
      </c>
      <c r="I210" s="1">
        <v>8</v>
      </c>
      <c r="J210" s="5" t="s">
        <v>981</v>
      </c>
      <c r="K210" s="1">
        <v>6</v>
      </c>
      <c r="L210" s="5" t="s">
        <v>981</v>
      </c>
      <c r="M210" s="1">
        <v>6</v>
      </c>
      <c r="N210" s="5" t="s">
        <v>981</v>
      </c>
      <c r="O210" s="1">
        <v>2</v>
      </c>
      <c r="P210" s="5" t="s">
        <v>982</v>
      </c>
      <c r="Q210" s="1">
        <v>0</v>
      </c>
      <c r="R210" s="1">
        <v>0</v>
      </c>
      <c r="S210" s="1" t="s">
        <v>194</v>
      </c>
      <c r="T210" s="1">
        <v>1</v>
      </c>
      <c r="U210" s="1" t="s">
        <v>194</v>
      </c>
      <c r="V210" s="1">
        <v>2</v>
      </c>
      <c r="W210" s="1">
        <v>29</v>
      </c>
      <c r="X210" s="1">
        <v>0</v>
      </c>
      <c r="Y210" s="1">
        <v>14</v>
      </c>
      <c r="Z210" s="1">
        <v>1</v>
      </c>
      <c r="AA210" s="1">
        <v>420000</v>
      </c>
      <c r="AB210" s="1">
        <v>2</v>
      </c>
    </row>
    <row r="211" spans="1:28" ht="12.75" customHeight="1" x14ac:dyDescent="0.15">
      <c r="A211" s="5">
        <v>274</v>
      </c>
      <c r="B211" s="5" t="s">
        <v>984</v>
      </c>
      <c r="C211" s="1">
        <v>36</v>
      </c>
      <c r="D211" s="5" t="s">
        <v>981</v>
      </c>
      <c r="E211" s="1">
        <v>4</v>
      </c>
      <c r="F211" s="5" t="s">
        <v>982</v>
      </c>
      <c r="G211" s="1">
        <v>2</v>
      </c>
      <c r="H211" s="5" t="s">
        <v>982</v>
      </c>
      <c r="I211" s="1">
        <v>4</v>
      </c>
      <c r="J211" s="5" t="s">
        <v>982</v>
      </c>
      <c r="K211" s="1">
        <v>1</v>
      </c>
      <c r="L211" s="5" t="s">
        <v>983</v>
      </c>
      <c r="M211" s="1">
        <v>4</v>
      </c>
      <c r="N211" s="5" t="s">
        <v>982</v>
      </c>
      <c r="O211" s="1">
        <v>0</v>
      </c>
      <c r="P211" s="5" t="s">
        <v>983</v>
      </c>
      <c r="Q211" s="1">
        <v>0</v>
      </c>
      <c r="R211" s="1">
        <v>0</v>
      </c>
      <c r="S211" s="1" t="s">
        <v>194</v>
      </c>
      <c r="T211" s="1">
        <v>1</v>
      </c>
      <c r="U211" s="1">
        <v>5</v>
      </c>
      <c r="V211" s="1">
        <v>5</v>
      </c>
      <c r="W211" s="1">
        <v>29</v>
      </c>
      <c r="X211" s="1">
        <v>1</v>
      </c>
      <c r="Y211" s="1">
        <v>17</v>
      </c>
      <c r="Z211" s="1">
        <v>6</v>
      </c>
      <c r="AA211" s="1">
        <v>410000</v>
      </c>
      <c r="AB211" s="1">
        <v>3</v>
      </c>
    </row>
    <row r="212" spans="1:28" ht="12.75" customHeight="1" x14ac:dyDescent="0.15">
      <c r="A212" s="5">
        <v>312</v>
      </c>
      <c r="B212" s="5" t="s">
        <v>984</v>
      </c>
      <c r="C212" s="1">
        <v>25</v>
      </c>
      <c r="D212" s="5" t="s">
        <v>981</v>
      </c>
      <c r="E212" s="1">
        <v>6</v>
      </c>
      <c r="F212" s="5" t="s">
        <v>981</v>
      </c>
      <c r="G212" s="1">
        <v>7</v>
      </c>
      <c r="H212" s="5" t="s">
        <v>981</v>
      </c>
      <c r="I212" s="1">
        <v>5</v>
      </c>
      <c r="J212" s="5" t="s">
        <v>981</v>
      </c>
      <c r="K212" s="1">
        <v>4</v>
      </c>
      <c r="L212" s="5" t="s">
        <v>982</v>
      </c>
      <c r="M212" s="1">
        <v>6</v>
      </c>
      <c r="N212" s="5" t="s">
        <v>981</v>
      </c>
      <c r="O212" s="1">
        <v>4</v>
      </c>
      <c r="P212" s="5" t="s">
        <v>982</v>
      </c>
      <c r="Q212" s="1">
        <v>0</v>
      </c>
      <c r="R212" s="1">
        <v>0</v>
      </c>
      <c r="S212" s="1" t="s">
        <v>194</v>
      </c>
      <c r="T212" s="1">
        <v>1</v>
      </c>
      <c r="U212" s="1" t="s">
        <v>194</v>
      </c>
      <c r="V212" s="1">
        <v>1</v>
      </c>
      <c r="W212" s="1">
        <v>25</v>
      </c>
      <c r="X212" s="1">
        <v>1</v>
      </c>
      <c r="Y212" s="1">
        <v>2</v>
      </c>
      <c r="Z212" s="1">
        <v>3</v>
      </c>
      <c r="AA212" s="1">
        <v>410000</v>
      </c>
      <c r="AB212" s="1">
        <v>3</v>
      </c>
    </row>
    <row r="213" spans="1:28" ht="12.75" customHeight="1" x14ac:dyDescent="0.15">
      <c r="A213" s="5">
        <v>79</v>
      </c>
      <c r="B213" s="5" t="s">
        <v>238</v>
      </c>
      <c r="C213" s="1">
        <v>24</v>
      </c>
      <c r="D213" s="5" t="s">
        <v>981</v>
      </c>
      <c r="E213" s="1">
        <v>3</v>
      </c>
      <c r="F213" s="5" t="s">
        <v>982</v>
      </c>
      <c r="G213" s="1">
        <v>4</v>
      </c>
      <c r="H213" s="5" t="s">
        <v>982</v>
      </c>
      <c r="I213" s="1">
        <v>0</v>
      </c>
      <c r="J213" s="5" t="s">
        <v>983</v>
      </c>
      <c r="K213" s="1">
        <v>2</v>
      </c>
      <c r="L213" s="5" t="s">
        <v>983</v>
      </c>
      <c r="M213" s="1">
        <v>0</v>
      </c>
      <c r="N213" s="5" t="s">
        <v>983</v>
      </c>
      <c r="O213" s="1">
        <v>0</v>
      </c>
      <c r="P213" s="5" t="s">
        <v>983</v>
      </c>
      <c r="Q213" s="1">
        <v>0</v>
      </c>
      <c r="R213" s="1">
        <v>0</v>
      </c>
      <c r="S213" s="1" t="s">
        <v>194</v>
      </c>
      <c r="T213" s="1">
        <v>1</v>
      </c>
      <c r="U213" s="1">
        <v>5</v>
      </c>
      <c r="V213" s="1">
        <v>3</v>
      </c>
      <c r="W213" s="1">
        <v>41</v>
      </c>
      <c r="X213" s="1">
        <v>0</v>
      </c>
      <c r="Y213" s="1">
        <v>15</v>
      </c>
      <c r="Z213" s="1">
        <v>34</v>
      </c>
      <c r="AA213" s="1">
        <v>400000</v>
      </c>
      <c r="AB213" s="1">
        <v>1</v>
      </c>
    </row>
    <row r="214" spans="1:28" ht="12.75" customHeight="1" x14ac:dyDescent="0.15">
      <c r="A214" s="5">
        <v>436</v>
      </c>
      <c r="B214" s="5" t="s">
        <v>238</v>
      </c>
      <c r="C214" s="1">
        <v>16</v>
      </c>
      <c r="D214" s="5" t="s">
        <v>983</v>
      </c>
      <c r="E214" s="1">
        <v>3</v>
      </c>
      <c r="F214" s="5" t="s">
        <v>982</v>
      </c>
      <c r="G214" s="1">
        <v>5</v>
      </c>
      <c r="H214" s="5" t="s">
        <v>982</v>
      </c>
      <c r="I214" s="1">
        <v>4</v>
      </c>
      <c r="J214" s="5" t="s">
        <v>982</v>
      </c>
      <c r="K214" s="1">
        <v>1</v>
      </c>
      <c r="L214" s="5" t="s">
        <v>983</v>
      </c>
      <c r="M214" s="1">
        <v>0</v>
      </c>
      <c r="N214" s="5" t="s">
        <v>983</v>
      </c>
      <c r="O214" s="1">
        <v>0</v>
      </c>
      <c r="P214" s="5" t="s">
        <v>983</v>
      </c>
      <c r="Q214" s="1">
        <v>1</v>
      </c>
      <c r="R214" s="1">
        <v>0</v>
      </c>
      <c r="S214" s="1" t="s">
        <v>194</v>
      </c>
      <c r="T214" s="1">
        <v>1</v>
      </c>
      <c r="U214" s="1" t="s">
        <v>194</v>
      </c>
      <c r="V214" s="1">
        <v>2</v>
      </c>
      <c r="W214" s="1">
        <v>33</v>
      </c>
      <c r="X214" s="1">
        <v>0</v>
      </c>
      <c r="Y214" s="1">
        <v>10</v>
      </c>
      <c r="Z214" s="1">
        <v>34</v>
      </c>
      <c r="AA214" s="1">
        <v>400000</v>
      </c>
      <c r="AB214" s="1">
        <v>7</v>
      </c>
    </row>
    <row r="215" spans="1:28" ht="12.75" customHeight="1" x14ac:dyDescent="0.15">
      <c r="A215" s="5">
        <v>343</v>
      </c>
      <c r="B215" s="5" t="s">
        <v>238</v>
      </c>
      <c r="C215" s="1">
        <v>15</v>
      </c>
      <c r="D215" s="5" t="s">
        <v>983</v>
      </c>
      <c r="E215" s="1">
        <v>0</v>
      </c>
      <c r="F215" s="5" t="s">
        <v>983</v>
      </c>
      <c r="G215" s="1">
        <v>1</v>
      </c>
      <c r="H215" s="5" t="s">
        <v>983</v>
      </c>
      <c r="I215" s="1">
        <v>16</v>
      </c>
      <c r="J215" s="5" t="s">
        <v>981</v>
      </c>
      <c r="K215" s="1">
        <v>0</v>
      </c>
      <c r="L215" s="5" t="s">
        <v>983</v>
      </c>
      <c r="M215" s="1">
        <v>0</v>
      </c>
      <c r="N215" s="5" t="s">
        <v>983</v>
      </c>
      <c r="O215" s="1">
        <v>0</v>
      </c>
      <c r="P215" s="5" t="s">
        <v>983</v>
      </c>
      <c r="Q215" s="1">
        <v>0</v>
      </c>
      <c r="R215" s="1">
        <v>0</v>
      </c>
      <c r="S215" s="1" t="s">
        <v>194</v>
      </c>
      <c r="T215" s="1">
        <v>1</v>
      </c>
      <c r="U215" s="1">
        <v>2</v>
      </c>
      <c r="V215" s="1">
        <v>3</v>
      </c>
      <c r="W215" s="1">
        <v>54</v>
      </c>
      <c r="X215" s="1">
        <v>1</v>
      </c>
      <c r="Y215" s="1">
        <v>2</v>
      </c>
      <c r="Z215" s="1">
        <v>34</v>
      </c>
      <c r="AA215" s="1">
        <v>400000</v>
      </c>
      <c r="AB215" s="1">
        <v>2</v>
      </c>
    </row>
    <row r="216" spans="1:28" ht="12.75" customHeight="1" x14ac:dyDescent="0.15">
      <c r="A216" s="5">
        <v>359</v>
      </c>
      <c r="B216" s="5" t="s">
        <v>238</v>
      </c>
      <c r="C216" s="1">
        <v>29</v>
      </c>
      <c r="D216" s="5" t="s">
        <v>981</v>
      </c>
      <c r="E216" s="1">
        <v>4</v>
      </c>
      <c r="F216" s="5" t="s">
        <v>982</v>
      </c>
      <c r="G216" s="1">
        <v>4</v>
      </c>
      <c r="H216" s="5" t="s">
        <v>982</v>
      </c>
      <c r="I216" s="1">
        <v>3</v>
      </c>
      <c r="J216" s="5" t="s">
        <v>982</v>
      </c>
      <c r="K216" s="1">
        <v>0</v>
      </c>
      <c r="L216" s="5" t="s">
        <v>983</v>
      </c>
      <c r="M216" s="1">
        <v>1</v>
      </c>
      <c r="N216" s="5" t="s">
        <v>983</v>
      </c>
      <c r="O216" s="1">
        <v>0</v>
      </c>
      <c r="P216" s="5" t="s">
        <v>983</v>
      </c>
      <c r="Q216" s="1">
        <v>1</v>
      </c>
      <c r="R216" s="1">
        <v>0</v>
      </c>
      <c r="S216" s="1">
        <v>1</v>
      </c>
      <c r="T216" s="1">
        <v>1</v>
      </c>
      <c r="U216" s="1">
        <v>5</v>
      </c>
      <c r="V216" s="1">
        <v>3</v>
      </c>
      <c r="W216" s="1">
        <v>55</v>
      </c>
      <c r="X216" s="1">
        <v>1</v>
      </c>
      <c r="Y216" s="1">
        <v>2</v>
      </c>
      <c r="Z216" s="1">
        <v>34</v>
      </c>
      <c r="AA216" s="1">
        <v>400000</v>
      </c>
      <c r="AB216" s="1">
        <v>1</v>
      </c>
    </row>
    <row r="217" spans="1:28" ht="12.75" customHeight="1" x14ac:dyDescent="0.15">
      <c r="A217" s="5">
        <v>278</v>
      </c>
      <c r="B217" s="5" t="s">
        <v>238</v>
      </c>
      <c r="C217" s="1">
        <v>12</v>
      </c>
      <c r="D217" s="5" t="s">
        <v>983</v>
      </c>
      <c r="E217" s="1">
        <v>0</v>
      </c>
      <c r="F217" s="5" t="s">
        <v>983</v>
      </c>
      <c r="G217" s="1">
        <v>0</v>
      </c>
      <c r="H217" s="5" t="s">
        <v>983</v>
      </c>
      <c r="I217" s="1">
        <v>16</v>
      </c>
      <c r="J217" s="5" t="s">
        <v>981</v>
      </c>
      <c r="K217" s="1">
        <v>0</v>
      </c>
      <c r="L217" s="5" t="s">
        <v>983</v>
      </c>
      <c r="M217" s="1">
        <v>0</v>
      </c>
      <c r="N217" s="5" t="s">
        <v>983</v>
      </c>
      <c r="O217" s="1">
        <v>0</v>
      </c>
      <c r="P217" s="5" t="s">
        <v>983</v>
      </c>
      <c r="Q217" s="1">
        <v>0</v>
      </c>
      <c r="R217" s="1">
        <v>0</v>
      </c>
      <c r="S217" s="1" t="s">
        <v>194</v>
      </c>
      <c r="T217" s="1">
        <v>1</v>
      </c>
      <c r="U217" s="1">
        <v>3</v>
      </c>
      <c r="V217" s="1">
        <v>3</v>
      </c>
      <c r="W217" s="1">
        <v>30</v>
      </c>
      <c r="X217" s="1">
        <v>1</v>
      </c>
      <c r="Y217" s="1">
        <v>17</v>
      </c>
      <c r="Z217" s="1">
        <v>24</v>
      </c>
      <c r="AA217" s="1">
        <v>400000</v>
      </c>
      <c r="AB217" s="1">
        <v>4</v>
      </c>
    </row>
    <row r="218" spans="1:28" ht="12.75" customHeight="1" x14ac:dyDescent="0.15">
      <c r="A218" s="5">
        <v>294</v>
      </c>
      <c r="B218" s="5" t="s">
        <v>238</v>
      </c>
      <c r="C218" s="1">
        <v>26</v>
      </c>
      <c r="D218" s="5" t="s">
        <v>981</v>
      </c>
      <c r="E218" s="1">
        <v>2</v>
      </c>
      <c r="F218" s="5" t="s">
        <v>982</v>
      </c>
      <c r="G218" s="1">
        <v>6</v>
      </c>
      <c r="H218" s="5" t="s">
        <v>981</v>
      </c>
      <c r="I218" s="1">
        <v>6</v>
      </c>
      <c r="J218" s="5" t="s">
        <v>981</v>
      </c>
      <c r="K218" s="1">
        <v>1</v>
      </c>
      <c r="L218" s="5" t="s">
        <v>983</v>
      </c>
      <c r="M218" s="1">
        <v>3</v>
      </c>
      <c r="N218" s="5" t="s">
        <v>982</v>
      </c>
      <c r="O218" s="1">
        <v>1</v>
      </c>
      <c r="P218" s="5" t="s">
        <v>982</v>
      </c>
      <c r="Q218" s="1">
        <v>0</v>
      </c>
      <c r="R218" s="1">
        <v>0</v>
      </c>
      <c r="S218" s="1" t="s">
        <v>194</v>
      </c>
      <c r="T218" s="1">
        <v>1</v>
      </c>
      <c r="U218" s="1">
        <v>3</v>
      </c>
      <c r="V218" s="1">
        <v>4</v>
      </c>
      <c r="W218" s="1">
        <v>59</v>
      </c>
      <c r="X218" s="1">
        <v>1</v>
      </c>
      <c r="Y218" s="1">
        <v>16</v>
      </c>
      <c r="Z218" s="1">
        <v>24</v>
      </c>
      <c r="AA218" s="1">
        <v>400000</v>
      </c>
      <c r="AB218" s="1">
        <v>1</v>
      </c>
    </row>
    <row r="219" spans="1:28" ht="12.75" customHeight="1" x14ac:dyDescent="0.15">
      <c r="A219" s="5">
        <v>295</v>
      </c>
      <c r="B219" s="5" t="s">
        <v>984</v>
      </c>
      <c r="C219" s="1">
        <v>27</v>
      </c>
      <c r="D219" s="5" t="s">
        <v>981</v>
      </c>
      <c r="E219" s="1">
        <v>9</v>
      </c>
      <c r="F219" s="5" t="s">
        <v>981</v>
      </c>
      <c r="G219" s="1">
        <v>9</v>
      </c>
      <c r="H219" s="5" t="s">
        <v>981</v>
      </c>
      <c r="I219" s="1">
        <v>4</v>
      </c>
      <c r="J219" s="5" t="s">
        <v>982</v>
      </c>
      <c r="K219" s="1">
        <v>7</v>
      </c>
      <c r="L219" s="5" t="s">
        <v>981</v>
      </c>
      <c r="M219" s="1">
        <v>12</v>
      </c>
      <c r="N219" s="5" t="s">
        <v>981</v>
      </c>
      <c r="O219" s="1">
        <v>0</v>
      </c>
      <c r="P219" s="5" t="s">
        <v>983</v>
      </c>
      <c r="Q219" s="1">
        <v>0</v>
      </c>
      <c r="R219" s="1">
        <v>0</v>
      </c>
      <c r="S219" s="1" t="s">
        <v>194</v>
      </c>
      <c r="T219" s="1">
        <v>1</v>
      </c>
      <c r="U219" s="1">
        <v>2</v>
      </c>
      <c r="V219" s="1">
        <v>3</v>
      </c>
      <c r="W219" s="1">
        <v>59</v>
      </c>
      <c r="X219" s="1">
        <v>1</v>
      </c>
      <c r="Y219" s="1">
        <v>16</v>
      </c>
      <c r="Z219" s="1">
        <v>24</v>
      </c>
      <c r="AA219" s="1">
        <v>400000</v>
      </c>
      <c r="AB219" s="1">
        <v>1</v>
      </c>
    </row>
    <row r="220" spans="1:28" ht="12.75" customHeight="1" x14ac:dyDescent="0.15">
      <c r="A220" s="5">
        <v>204</v>
      </c>
      <c r="B220" s="5" t="s">
        <v>984</v>
      </c>
      <c r="C220" s="1">
        <v>25</v>
      </c>
      <c r="D220" s="5" t="s">
        <v>981</v>
      </c>
      <c r="E220" s="1">
        <v>4</v>
      </c>
      <c r="F220" s="5" t="s">
        <v>982</v>
      </c>
      <c r="G220" s="1">
        <v>4</v>
      </c>
      <c r="H220" s="5" t="s">
        <v>982</v>
      </c>
      <c r="I220" s="1">
        <v>4</v>
      </c>
      <c r="J220" s="5" t="s">
        <v>982</v>
      </c>
      <c r="K220" s="1">
        <v>1</v>
      </c>
      <c r="L220" s="5" t="s">
        <v>983</v>
      </c>
      <c r="M220" s="1">
        <v>5</v>
      </c>
      <c r="N220" s="5" t="s">
        <v>982</v>
      </c>
      <c r="O220" s="1">
        <v>0</v>
      </c>
      <c r="P220" s="5" t="s">
        <v>983</v>
      </c>
      <c r="Q220" s="1">
        <v>0</v>
      </c>
      <c r="R220" s="1">
        <v>0</v>
      </c>
      <c r="S220" s="1" t="s">
        <v>194</v>
      </c>
      <c r="T220" s="1">
        <v>1</v>
      </c>
      <c r="U220" s="1" t="s">
        <v>194</v>
      </c>
      <c r="V220" s="1">
        <v>3</v>
      </c>
      <c r="W220" s="1">
        <v>32</v>
      </c>
      <c r="X220" s="1">
        <v>0</v>
      </c>
      <c r="Y220" s="1">
        <v>14</v>
      </c>
      <c r="Z220" s="1">
        <v>22</v>
      </c>
      <c r="AA220" s="1">
        <v>400000</v>
      </c>
      <c r="AB220" s="1">
        <v>3</v>
      </c>
    </row>
    <row r="221" spans="1:28" ht="12.75" customHeight="1" x14ac:dyDescent="0.15">
      <c r="A221" s="5">
        <v>447</v>
      </c>
      <c r="B221" s="5" t="s">
        <v>238</v>
      </c>
      <c r="C221" s="1">
        <v>27</v>
      </c>
      <c r="D221" s="5" t="s">
        <v>981</v>
      </c>
      <c r="E221" s="1">
        <v>5</v>
      </c>
      <c r="F221" s="5" t="s">
        <v>981</v>
      </c>
      <c r="G221" s="1">
        <v>7</v>
      </c>
      <c r="H221" s="5" t="s">
        <v>981</v>
      </c>
      <c r="I221" s="1">
        <v>0</v>
      </c>
      <c r="J221" s="5" t="s">
        <v>983</v>
      </c>
      <c r="K221" s="1">
        <v>3</v>
      </c>
      <c r="L221" s="5" t="s">
        <v>982</v>
      </c>
      <c r="M221" s="1">
        <v>3</v>
      </c>
      <c r="N221" s="5" t="s">
        <v>982</v>
      </c>
      <c r="O221" s="1">
        <v>0</v>
      </c>
      <c r="P221" s="5" t="s">
        <v>983</v>
      </c>
      <c r="Q221" s="1">
        <v>0</v>
      </c>
      <c r="R221" s="1">
        <v>0</v>
      </c>
      <c r="S221" s="1" t="s">
        <v>194</v>
      </c>
      <c r="T221" s="1">
        <v>1</v>
      </c>
      <c r="U221" s="1">
        <v>5</v>
      </c>
      <c r="V221" s="1">
        <v>5</v>
      </c>
      <c r="W221" s="1">
        <v>63</v>
      </c>
      <c r="X221" s="1">
        <v>1</v>
      </c>
      <c r="Y221" s="1">
        <v>3</v>
      </c>
      <c r="Z221" s="1">
        <v>13</v>
      </c>
      <c r="AA221" s="1">
        <v>400000</v>
      </c>
      <c r="AB221" s="1">
        <v>2</v>
      </c>
    </row>
    <row r="222" spans="1:28" ht="12.75" customHeight="1" x14ac:dyDescent="0.15">
      <c r="A222" s="5">
        <v>53</v>
      </c>
      <c r="B222" s="5" t="s">
        <v>238</v>
      </c>
      <c r="C222" s="1">
        <v>26</v>
      </c>
      <c r="D222" s="5" t="s">
        <v>981</v>
      </c>
      <c r="E222" s="1">
        <v>9</v>
      </c>
      <c r="F222" s="5" t="s">
        <v>981</v>
      </c>
      <c r="G222" s="1">
        <v>9</v>
      </c>
      <c r="H222" s="5" t="s">
        <v>981</v>
      </c>
      <c r="I222" s="1">
        <v>0</v>
      </c>
      <c r="J222" s="5" t="s">
        <v>983</v>
      </c>
      <c r="K222" s="1">
        <v>0</v>
      </c>
      <c r="L222" s="5" t="s">
        <v>983</v>
      </c>
      <c r="M222" s="1">
        <v>3</v>
      </c>
      <c r="N222" s="5" t="s">
        <v>982</v>
      </c>
      <c r="O222" s="1">
        <v>0</v>
      </c>
      <c r="P222" s="5" t="s">
        <v>983</v>
      </c>
      <c r="Q222" s="1">
        <v>1</v>
      </c>
      <c r="R222" s="1">
        <v>0</v>
      </c>
      <c r="S222" s="1">
        <v>1</v>
      </c>
      <c r="T222" s="1">
        <v>1</v>
      </c>
      <c r="U222" s="1" t="s">
        <v>194</v>
      </c>
      <c r="V222" s="1">
        <v>1</v>
      </c>
      <c r="W222" s="1">
        <v>35</v>
      </c>
      <c r="X222" s="1">
        <v>0</v>
      </c>
      <c r="Y222" s="1">
        <v>14</v>
      </c>
      <c r="Z222" s="1">
        <v>8</v>
      </c>
      <c r="AA222" s="1">
        <v>400000</v>
      </c>
      <c r="AB222" s="1">
        <v>3</v>
      </c>
    </row>
    <row r="223" spans="1:28" ht="12.75" customHeight="1" x14ac:dyDescent="0.15">
      <c r="A223" s="5">
        <v>314</v>
      </c>
      <c r="B223" s="5" t="s">
        <v>238</v>
      </c>
      <c r="C223" s="1">
        <v>27</v>
      </c>
      <c r="D223" s="5" t="s">
        <v>981</v>
      </c>
      <c r="E223" s="1">
        <v>6</v>
      </c>
      <c r="F223" s="5" t="s">
        <v>981</v>
      </c>
      <c r="G223" s="1">
        <v>6</v>
      </c>
      <c r="H223" s="5" t="s">
        <v>981</v>
      </c>
      <c r="I223" s="1">
        <v>4</v>
      </c>
      <c r="J223" s="5" t="s">
        <v>982</v>
      </c>
      <c r="K223" s="1">
        <v>9</v>
      </c>
      <c r="L223" s="5" t="s">
        <v>981</v>
      </c>
      <c r="M223" s="1">
        <v>9</v>
      </c>
      <c r="N223" s="5" t="s">
        <v>981</v>
      </c>
      <c r="O223" s="1">
        <v>0</v>
      </c>
      <c r="P223" s="5" t="s">
        <v>983</v>
      </c>
      <c r="Q223" s="1">
        <v>1</v>
      </c>
      <c r="R223" s="1">
        <v>0</v>
      </c>
      <c r="S223" s="1">
        <v>1</v>
      </c>
      <c r="T223" s="1">
        <v>1</v>
      </c>
      <c r="U223" s="1">
        <v>3</v>
      </c>
      <c r="V223" s="1">
        <v>3</v>
      </c>
      <c r="W223" s="1">
        <v>35</v>
      </c>
      <c r="X223" s="1">
        <v>0</v>
      </c>
      <c r="Y223" s="1">
        <v>12</v>
      </c>
      <c r="Z223" s="1">
        <v>6</v>
      </c>
      <c r="AA223" s="1">
        <v>400000</v>
      </c>
      <c r="AB223" s="1">
        <v>4</v>
      </c>
    </row>
    <row r="224" spans="1:28" ht="12.75" customHeight="1" x14ac:dyDescent="0.15">
      <c r="A224" s="5">
        <v>43</v>
      </c>
      <c r="B224" s="5" t="s">
        <v>238</v>
      </c>
      <c r="C224" s="1">
        <v>34</v>
      </c>
      <c r="D224" s="5" t="s">
        <v>981</v>
      </c>
      <c r="E224" s="1">
        <v>9</v>
      </c>
      <c r="F224" s="5" t="s">
        <v>981</v>
      </c>
      <c r="G224" s="1">
        <v>12</v>
      </c>
      <c r="H224" s="5" t="s">
        <v>981</v>
      </c>
      <c r="I224" s="1">
        <v>16</v>
      </c>
      <c r="J224" s="5" t="s">
        <v>981</v>
      </c>
      <c r="K224" s="1">
        <v>10</v>
      </c>
      <c r="L224" s="5" t="s">
        <v>981</v>
      </c>
      <c r="M224" s="1">
        <v>12</v>
      </c>
      <c r="N224" s="5" t="s">
        <v>981</v>
      </c>
      <c r="O224" s="1">
        <v>10</v>
      </c>
      <c r="P224" s="5" t="s">
        <v>982</v>
      </c>
      <c r="Q224" s="1">
        <v>0</v>
      </c>
      <c r="R224" s="1">
        <v>0</v>
      </c>
      <c r="S224" s="1" t="s">
        <v>194</v>
      </c>
      <c r="T224" s="1">
        <v>1</v>
      </c>
      <c r="U224" s="1">
        <v>4</v>
      </c>
      <c r="V224" s="1">
        <v>2</v>
      </c>
      <c r="W224" s="1">
        <v>68</v>
      </c>
      <c r="X224" s="1">
        <v>0</v>
      </c>
      <c r="Y224" s="1">
        <v>12</v>
      </c>
      <c r="Z224" s="1">
        <v>5</v>
      </c>
      <c r="AA224" s="1">
        <v>400000</v>
      </c>
      <c r="AB224" s="1">
        <v>1</v>
      </c>
    </row>
    <row r="225" spans="1:28" ht="12.75" customHeight="1" x14ac:dyDescent="0.15">
      <c r="A225" s="5">
        <v>232</v>
      </c>
      <c r="B225" s="5" t="s">
        <v>238</v>
      </c>
      <c r="C225" s="1">
        <v>14</v>
      </c>
      <c r="D225" s="5" t="s">
        <v>983</v>
      </c>
      <c r="E225" s="1">
        <v>6</v>
      </c>
      <c r="F225" s="5" t="s">
        <v>981</v>
      </c>
      <c r="G225" s="1">
        <v>6</v>
      </c>
      <c r="H225" s="5" t="s">
        <v>981</v>
      </c>
      <c r="I225" s="1">
        <v>5</v>
      </c>
      <c r="J225" s="5" t="s">
        <v>981</v>
      </c>
      <c r="K225" s="1">
        <v>6</v>
      </c>
      <c r="L225" s="5" t="s">
        <v>981</v>
      </c>
      <c r="M225" s="1">
        <v>4</v>
      </c>
      <c r="N225" s="5" t="s">
        <v>982</v>
      </c>
      <c r="O225" s="1">
        <v>0</v>
      </c>
      <c r="P225" s="5" t="s">
        <v>983</v>
      </c>
      <c r="Q225" s="1">
        <v>0</v>
      </c>
      <c r="R225" s="1">
        <v>0</v>
      </c>
      <c r="S225" s="1">
        <v>1</v>
      </c>
      <c r="T225" s="1">
        <v>1</v>
      </c>
      <c r="U225" s="1">
        <v>3</v>
      </c>
      <c r="V225" s="1">
        <v>5</v>
      </c>
      <c r="W225" s="1">
        <v>49</v>
      </c>
      <c r="X225" s="1">
        <v>0</v>
      </c>
      <c r="Y225" s="1">
        <v>3</v>
      </c>
      <c r="Z225" s="1">
        <v>3</v>
      </c>
      <c r="AA225" s="1">
        <v>400000</v>
      </c>
      <c r="AB225" s="1">
        <v>5</v>
      </c>
    </row>
    <row r="226" spans="1:28" ht="12.75" customHeight="1" x14ac:dyDescent="0.15">
      <c r="A226" s="5">
        <v>231</v>
      </c>
      <c r="B226" s="5" t="s">
        <v>984</v>
      </c>
      <c r="C226" s="1">
        <v>23</v>
      </c>
      <c r="D226" s="5" t="s">
        <v>982</v>
      </c>
      <c r="E226" s="1">
        <v>4</v>
      </c>
      <c r="F226" s="5" t="s">
        <v>982</v>
      </c>
      <c r="G226" s="1">
        <v>2</v>
      </c>
      <c r="H226" s="5" t="s">
        <v>982</v>
      </c>
      <c r="I226" s="1">
        <v>8</v>
      </c>
      <c r="J226" s="5" t="s">
        <v>981</v>
      </c>
      <c r="K226" s="1">
        <v>2</v>
      </c>
      <c r="L226" s="5" t="s">
        <v>983</v>
      </c>
      <c r="M226" s="1">
        <v>3</v>
      </c>
      <c r="N226" s="5" t="s">
        <v>982</v>
      </c>
      <c r="O226" s="1">
        <v>3</v>
      </c>
      <c r="P226" s="5" t="s">
        <v>982</v>
      </c>
      <c r="Q226" s="1">
        <v>0</v>
      </c>
      <c r="R226" s="1">
        <v>0</v>
      </c>
      <c r="S226" s="1">
        <v>0</v>
      </c>
      <c r="T226" s="1">
        <v>1</v>
      </c>
      <c r="U226" s="1" t="s">
        <v>194</v>
      </c>
      <c r="V226" s="1">
        <v>3</v>
      </c>
      <c r="W226" s="1">
        <v>49</v>
      </c>
      <c r="X226" s="1">
        <v>0</v>
      </c>
      <c r="Y226" s="1">
        <v>3</v>
      </c>
      <c r="Z226" s="1">
        <v>3</v>
      </c>
      <c r="AA226" s="1">
        <v>400000</v>
      </c>
      <c r="AB226" s="1">
        <v>5</v>
      </c>
    </row>
    <row r="227" spans="1:28" ht="12.75" customHeight="1" x14ac:dyDescent="0.15">
      <c r="A227" s="5">
        <v>242</v>
      </c>
      <c r="B227" s="5" t="s">
        <v>238</v>
      </c>
      <c r="C227" s="1">
        <v>30</v>
      </c>
      <c r="D227" s="5" t="s">
        <v>981</v>
      </c>
      <c r="E227" s="1">
        <v>2</v>
      </c>
      <c r="F227" s="5" t="s">
        <v>982</v>
      </c>
      <c r="G227" s="1">
        <v>5</v>
      </c>
      <c r="H227" s="5" t="s">
        <v>982</v>
      </c>
      <c r="I227" s="1">
        <v>4</v>
      </c>
      <c r="J227" s="5" t="s">
        <v>982</v>
      </c>
      <c r="K227" s="1">
        <v>0</v>
      </c>
      <c r="L227" s="5" t="s">
        <v>983</v>
      </c>
      <c r="M227" s="1">
        <v>4</v>
      </c>
      <c r="N227" s="5" t="s">
        <v>982</v>
      </c>
      <c r="O227" s="1">
        <v>1</v>
      </c>
      <c r="P227" s="5" t="s">
        <v>982</v>
      </c>
      <c r="Q227" s="1">
        <v>1</v>
      </c>
      <c r="R227" s="1">
        <v>0</v>
      </c>
      <c r="S227" s="1">
        <v>1</v>
      </c>
      <c r="T227" s="1">
        <v>1</v>
      </c>
      <c r="U227" s="1" t="s">
        <v>194</v>
      </c>
      <c r="V227" s="1">
        <v>2</v>
      </c>
      <c r="W227" s="1">
        <v>38</v>
      </c>
      <c r="X227" s="1">
        <v>0</v>
      </c>
      <c r="Y227" s="1">
        <v>18</v>
      </c>
      <c r="Z227" s="1">
        <v>2</v>
      </c>
      <c r="AA227" s="1">
        <v>400000</v>
      </c>
      <c r="AB227" s="1">
        <v>2</v>
      </c>
    </row>
    <row r="228" spans="1:28" ht="12.75" customHeight="1" x14ac:dyDescent="0.15">
      <c r="A228" s="5">
        <v>424</v>
      </c>
      <c r="B228" s="5" t="s">
        <v>984</v>
      </c>
      <c r="C228" s="1">
        <v>42</v>
      </c>
      <c r="D228" s="5" t="s">
        <v>981</v>
      </c>
      <c r="E228" s="1">
        <v>2</v>
      </c>
      <c r="F228" s="5" t="s">
        <v>982</v>
      </c>
      <c r="G228" s="1">
        <v>1</v>
      </c>
      <c r="H228" s="5" t="s">
        <v>983</v>
      </c>
      <c r="I228" s="1">
        <v>14</v>
      </c>
      <c r="J228" s="5" t="s">
        <v>981</v>
      </c>
      <c r="K228" s="1">
        <v>0</v>
      </c>
      <c r="L228" s="5" t="s">
        <v>983</v>
      </c>
      <c r="M228" s="1">
        <v>1</v>
      </c>
      <c r="N228" s="5" t="s">
        <v>983</v>
      </c>
      <c r="O228" s="1">
        <v>0</v>
      </c>
      <c r="P228" s="5" t="s">
        <v>983</v>
      </c>
      <c r="Q228" s="1">
        <v>1</v>
      </c>
      <c r="R228" s="1">
        <v>0</v>
      </c>
      <c r="S228" s="1">
        <v>1</v>
      </c>
      <c r="T228" s="1">
        <v>1</v>
      </c>
      <c r="U228" s="1">
        <v>5</v>
      </c>
      <c r="V228" s="1">
        <v>5</v>
      </c>
      <c r="W228" s="1">
        <v>38</v>
      </c>
      <c r="X228" s="1">
        <v>1</v>
      </c>
      <c r="Y228" s="1">
        <v>14</v>
      </c>
      <c r="Z228" s="1">
        <v>2</v>
      </c>
      <c r="AA228" s="1">
        <v>400000</v>
      </c>
      <c r="AB228" s="1">
        <v>4</v>
      </c>
    </row>
    <row r="229" spans="1:28" ht="12.75" customHeight="1" x14ac:dyDescent="0.15">
      <c r="A229" s="5">
        <v>347</v>
      </c>
      <c r="B229" s="5" t="s">
        <v>984</v>
      </c>
      <c r="C229" s="1">
        <v>26</v>
      </c>
      <c r="D229" s="5" t="s">
        <v>981</v>
      </c>
      <c r="E229" s="1">
        <v>0</v>
      </c>
      <c r="F229" s="5" t="s">
        <v>983</v>
      </c>
      <c r="G229" s="1">
        <v>0</v>
      </c>
      <c r="H229" s="5" t="s">
        <v>983</v>
      </c>
      <c r="I229" s="1">
        <v>2</v>
      </c>
      <c r="J229" s="5" t="s">
        <v>982</v>
      </c>
      <c r="K229" s="1">
        <v>3</v>
      </c>
      <c r="L229" s="5" t="s">
        <v>982</v>
      </c>
      <c r="M229" s="1">
        <v>0</v>
      </c>
      <c r="N229" s="5" t="s">
        <v>983</v>
      </c>
      <c r="O229" s="1">
        <v>0</v>
      </c>
      <c r="P229" s="5" t="s">
        <v>983</v>
      </c>
      <c r="Q229" s="1">
        <v>0</v>
      </c>
      <c r="R229" s="1">
        <v>0</v>
      </c>
      <c r="S229" s="1" t="s">
        <v>194</v>
      </c>
      <c r="T229" s="1">
        <v>1</v>
      </c>
      <c r="U229" s="1" t="s">
        <v>194</v>
      </c>
      <c r="V229" s="1" t="s">
        <v>194</v>
      </c>
      <c r="W229" s="1">
        <v>41</v>
      </c>
      <c r="X229" s="1">
        <v>0</v>
      </c>
      <c r="Y229" s="1">
        <v>14</v>
      </c>
      <c r="Z229" s="1">
        <v>1</v>
      </c>
      <c r="AA229" s="1">
        <v>400000</v>
      </c>
      <c r="AB229" s="1">
        <v>5</v>
      </c>
    </row>
    <row r="230" spans="1:28" ht="12.75" customHeight="1" x14ac:dyDescent="0.15">
      <c r="A230" s="5">
        <v>136</v>
      </c>
      <c r="B230" s="5" t="s">
        <v>238</v>
      </c>
      <c r="C230" s="1">
        <v>22</v>
      </c>
      <c r="D230" s="5" t="s">
        <v>982</v>
      </c>
      <c r="E230" s="1">
        <v>6</v>
      </c>
      <c r="F230" s="5" t="s">
        <v>981</v>
      </c>
      <c r="G230" s="1">
        <v>2</v>
      </c>
      <c r="H230" s="5" t="s">
        <v>982</v>
      </c>
      <c r="I230" s="1">
        <v>13</v>
      </c>
      <c r="J230" s="5" t="s">
        <v>981</v>
      </c>
      <c r="K230" s="1">
        <v>1</v>
      </c>
      <c r="L230" s="5" t="s">
        <v>983</v>
      </c>
      <c r="M230" s="1">
        <v>3</v>
      </c>
      <c r="N230" s="5" t="s">
        <v>982</v>
      </c>
      <c r="O230" s="1">
        <v>0</v>
      </c>
      <c r="P230" s="5" t="s">
        <v>983</v>
      </c>
      <c r="Q230" s="1">
        <v>1</v>
      </c>
      <c r="R230" s="1">
        <v>0</v>
      </c>
      <c r="S230" s="1">
        <v>1</v>
      </c>
      <c r="T230" s="1">
        <v>1</v>
      </c>
      <c r="U230" s="1">
        <v>5</v>
      </c>
      <c r="V230" s="1">
        <v>5</v>
      </c>
      <c r="W230" s="1">
        <v>46</v>
      </c>
      <c r="X230" s="1">
        <v>0</v>
      </c>
      <c r="Y230" s="1">
        <v>14</v>
      </c>
      <c r="Z230" s="1">
        <v>1</v>
      </c>
      <c r="AA230" s="1">
        <v>400000</v>
      </c>
      <c r="AB230" s="1">
        <v>4</v>
      </c>
    </row>
    <row r="231" spans="1:28" ht="12.75" customHeight="1" x14ac:dyDescent="0.15">
      <c r="A231" s="5">
        <v>487</v>
      </c>
      <c r="B231" s="5" t="s">
        <v>238</v>
      </c>
      <c r="C231" s="1">
        <v>20</v>
      </c>
      <c r="D231" s="5" t="s">
        <v>982</v>
      </c>
      <c r="E231" s="1">
        <v>2</v>
      </c>
      <c r="F231" s="5" t="s">
        <v>982</v>
      </c>
      <c r="G231" s="1">
        <v>0</v>
      </c>
      <c r="H231" s="5" t="s">
        <v>983</v>
      </c>
      <c r="I231" s="1">
        <v>16</v>
      </c>
      <c r="J231" s="5" t="s">
        <v>981</v>
      </c>
      <c r="K231" s="1">
        <v>0</v>
      </c>
      <c r="L231" s="5" t="s">
        <v>983</v>
      </c>
      <c r="M231" s="1">
        <v>3</v>
      </c>
      <c r="N231" s="5" t="s">
        <v>982</v>
      </c>
      <c r="O231" s="1">
        <v>0</v>
      </c>
      <c r="P231" s="5" t="s">
        <v>983</v>
      </c>
      <c r="Q231" s="1">
        <v>0</v>
      </c>
      <c r="R231" s="1">
        <v>0</v>
      </c>
      <c r="S231" s="1" t="s">
        <v>194</v>
      </c>
      <c r="T231" s="1">
        <v>1</v>
      </c>
      <c r="U231" s="1">
        <v>4</v>
      </c>
      <c r="V231" s="1">
        <v>2</v>
      </c>
      <c r="W231" s="1">
        <v>54</v>
      </c>
      <c r="X231" s="1">
        <v>1</v>
      </c>
      <c r="Y231" s="1">
        <v>12</v>
      </c>
      <c r="Z231" s="1">
        <v>1</v>
      </c>
      <c r="AA231" s="1">
        <v>400000</v>
      </c>
      <c r="AB231" s="1">
        <v>1</v>
      </c>
    </row>
    <row r="232" spans="1:28" ht="12.75" customHeight="1" x14ac:dyDescent="0.15">
      <c r="A232" s="5">
        <v>353</v>
      </c>
      <c r="B232" s="5" t="s">
        <v>238</v>
      </c>
      <c r="C232" s="1">
        <v>23</v>
      </c>
      <c r="D232" s="5" t="s">
        <v>982</v>
      </c>
      <c r="E232" s="1">
        <v>9</v>
      </c>
      <c r="F232" s="5" t="s">
        <v>981</v>
      </c>
      <c r="G232" s="1">
        <v>9</v>
      </c>
      <c r="H232" s="5" t="s">
        <v>981</v>
      </c>
      <c r="I232" s="1">
        <v>4</v>
      </c>
      <c r="J232" s="5" t="s">
        <v>982</v>
      </c>
      <c r="K232" s="1">
        <v>9</v>
      </c>
      <c r="L232" s="5" t="s">
        <v>981</v>
      </c>
      <c r="M232" s="1">
        <v>9</v>
      </c>
      <c r="N232" s="5" t="s">
        <v>981</v>
      </c>
      <c r="O232" s="1">
        <v>0</v>
      </c>
      <c r="P232" s="5" t="s">
        <v>983</v>
      </c>
      <c r="Q232" s="1">
        <v>0</v>
      </c>
      <c r="R232" s="1">
        <v>0</v>
      </c>
      <c r="S232" s="1" t="s">
        <v>194</v>
      </c>
      <c r="T232" s="1">
        <v>1</v>
      </c>
      <c r="U232" s="1">
        <v>5</v>
      </c>
      <c r="V232" s="1">
        <v>2</v>
      </c>
      <c r="W232" s="1">
        <v>53</v>
      </c>
      <c r="X232" s="1">
        <v>0</v>
      </c>
      <c r="Y232" s="1">
        <v>12</v>
      </c>
      <c r="Z232" s="1">
        <v>1</v>
      </c>
      <c r="AA232" s="1">
        <v>400000</v>
      </c>
      <c r="AB232" s="1">
        <v>2</v>
      </c>
    </row>
    <row r="233" spans="1:28" ht="12.75" customHeight="1" x14ac:dyDescent="0.15">
      <c r="A233" s="5">
        <v>260</v>
      </c>
      <c r="B233" s="5" t="s">
        <v>238</v>
      </c>
      <c r="C233" s="1">
        <v>38</v>
      </c>
      <c r="D233" s="5" t="s">
        <v>981</v>
      </c>
      <c r="E233" s="1">
        <v>4</v>
      </c>
      <c r="F233" s="5" t="s">
        <v>982</v>
      </c>
      <c r="G233" s="1">
        <v>6</v>
      </c>
      <c r="H233" s="5" t="s">
        <v>981</v>
      </c>
      <c r="I233" s="1">
        <v>7</v>
      </c>
      <c r="J233" s="5" t="s">
        <v>981</v>
      </c>
      <c r="K233" s="1">
        <v>3</v>
      </c>
      <c r="L233" s="5" t="s">
        <v>982</v>
      </c>
      <c r="M233" s="1">
        <v>8</v>
      </c>
      <c r="N233" s="5" t="s">
        <v>981</v>
      </c>
      <c r="O233" s="1">
        <v>0</v>
      </c>
      <c r="P233" s="5" t="s">
        <v>983</v>
      </c>
      <c r="Q233" s="1">
        <v>0</v>
      </c>
      <c r="R233" s="1">
        <v>0</v>
      </c>
      <c r="S233" s="1" t="s">
        <v>194</v>
      </c>
      <c r="T233" s="1">
        <v>1</v>
      </c>
      <c r="U233" s="1">
        <v>5</v>
      </c>
      <c r="V233" s="1">
        <v>5</v>
      </c>
      <c r="W233" s="1">
        <v>40</v>
      </c>
      <c r="X233" s="1">
        <v>1</v>
      </c>
      <c r="Y233" s="1">
        <v>2</v>
      </c>
      <c r="Z233" s="1">
        <v>1</v>
      </c>
      <c r="AA233" s="1">
        <v>400000</v>
      </c>
      <c r="AB233" s="1">
        <v>5</v>
      </c>
    </row>
    <row r="234" spans="1:28" ht="12.75" customHeight="1" x14ac:dyDescent="0.15">
      <c r="A234" s="5">
        <v>108</v>
      </c>
      <c r="B234" s="5" t="s">
        <v>238</v>
      </c>
      <c r="C234" s="1">
        <v>19</v>
      </c>
      <c r="D234" s="5" t="s">
        <v>982</v>
      </c>
      <c r="E234" s="1">
        <v>1</v>
      </c>
      <c r="F234" s="5" t="s">
        <v>983</v>
      </c>
      <c r="G234" s="1">
        <v>0</v>
      </c>
      <c r="H234" s="5" t="s">
        <v>983</v>
      </c>
      <c r="I234" s="1">
        <v>16</v>
      </c>
      <c r="J234" s="5" t="s">
        <v>981</v>
      </c>
      <c r="K234" s="1">
        <v>0</v>
      </c>
      <c r="L234" s="5" t="s">
        <v>983</v>
      </c>
      <c r="M234" s="1">
        <v>0</v>
      </c>
      <c r="N234" s="5" t="s">
        <v>983</v>
      </c>
      <c r="O234" s="1">
        <v>0</v>
      </c>
      <c r="P234" s="5" t="s">
        <v>983</v>
      </c>
      <c r="Q234" s="1">
        <v>1</v>
      </c>
      <c r="R234" s="1">
        <v>0</v>
      </c>
      <c r="S234" s="1" t="s">
        <v>194</v>
      </c>
      <c r="T234" s="1">
        <v>1</v>
      </c>
      <c r="U234" s="1">
        <v>4</v>
      </c>
      <c r="V234" s="1">
        <v>3</v>
      </c>
      <c r="W234" s="1">
        <v>35</v>
      </c>
      <c r="X234" s="1">
        <v>1</v>
      </c>
      <c r="Y234" s="1">
        <v>14</v>
      </c>
      <c r="Z234" s="1">
        <v>7</v>
      </c>
      <c r="AA234" s="1">
        <v>380000</v>
      </c>
      <c r="AB234" s="1">
        <v>4</v>
      </c>
    </row>
    <row r="235" spans="1:28" ht="12.75" customHeight="1" x14ac:dyDescent="0.15">
      <c r="A235" s="5">
        <v>107</v>
      </c>
      <c r="B235" s="5" t="s">
        <v>984</v>
      </c>
      <c r="C235" s="1">
        <v>21</v>
      </c>
      <c r="D235" s="5" t="s">
        <v>982</v>
      </c>
      <c r="E235" s="1">
        <v>7</v>
      </c>
      <c r="F235" s="5" t="s">
        <v>981</v>
      </c>
      <c r="G235" s="1">
        <v>2</v>
      </c>
      <c r="H235" s="5" t="s">
        <v>982</v>
      </c>
      <c r="I235" s="1">
        <v>3</v>
      </c>
      <c r="J235" s="5" t="s">
        <v>982</v>
      </c>
      <c r="K235" s="1">
        <v>2</v>
      </c>
      <c r="L235" s="5" t="s">
        <v>983</v>
      </c>
      <c r="M235" s="1">
        <v>3</v>
      </c>
      <c r="N235" s="5" t="s">
        <v>982</v>
      </c>
      <c r="O235" s="1">
        <v>0</v>
      </c>
      <c r="P235" s="5" t="s">
        <v>983</v>
      </c>
      <c r="Q235" s="1">
        <v>1</v>
      </c>
      <c r="R235" s="1">
        <v>0</v>
      </c>
      <c r="S235" s="1" t="s">
        <v>194</v>
      </c>
      <c r="T235" s="1">
        <v>1</v>
      </c>
      <c r="U235" s="1">
        <v>2</v>
      </c>
      <c r="V235" s="1">
        <v>2</v>
      </c>
      <c r="W235" s="1">
        <v>35</v>
      </c>
      <c r="X235" s="1">
        <v>1</v>
      </c>
      <c r="Y235" s="1">
        <v>14</v>
      </c>
      <c r="Z235" s="1">
        <v>7</v>
      </c>
      <c r="AA235" s="1">
        <v>380000</v>
      </c>
      <c r="AB235" s="1">
        <v>4</v>
      </c>
    </row>
    <row r="236" spans="1:28" ht="12.75" customHeight="1" x14ac:dyDescent="0.15">
      <c r="A236" s="5">
        <v>35</v>
      </c>
      <c r="B236" s="5" t="s">
        <v>984</v>
      </c>
      <c r="C236" s="1">
        <v>27</v>
      </c>
      <c r="D236" s="5" t="s">
        <v>981</v>
      </c>
      <c r="E236" s="1">
        <v>0</v>
      </c>
      <c r="F236" s="5" t="s">
        <v>983</v>
      </c>
      <c r="G236" s="1">
        <v>0</v>
      </c>
      <c r="H236" s="5" t="s">
        <v>983</v>
      </c>
      <c r="I236" s="1">
        <v>16</v>
      </c>
      <c r="J236" s="5" t="s">
        <v>981</v>
      </c>
      <c r="K236" s="1">
        <v>0</v>
      </c>
      <c r="L236" s="5" t="s">
        <v>983</v>
      </c>
      <c r="M236" s="1">
        <v>0</v>
      </c>
      <c r="N236" s="5" t="s">
        <v>983</v>
      </c>
      <c r="O236" s="1">
        <v>0</v>
      </c>
      <c r="P236" s="5" t="s">
        <v>983</v>
      </c>
      <c r="Q236" s="1">
        <v>1</v>
      </c>
      <c r="R236" s="1">
        <v>0</v>
      </c>
      <c r="S236" s="1">
        <v>1</v>
      </c>
      <c r="T236" s="1">
        <v>1</v>
      </c>
      <c r="U236" s="1" t="s">
        <v>194</v>
      </c>
      <c r="V236" s="1">
        <v>1</v>
      </c>
      <c r="W236" s="1">
        <v>37</v>
      </c>
      <c r="X236" s="1">
        <v>0</v>
      </c>
      <c r="Y236" s="1">
        <v>14</v>
      </c>
      <c r="Z236" s="1">
        <v>3</v>
      </c>
      <c r="AA236" s="1">
        <v>380000</v>
      </c>
      <c r="AB236" s="1">
        <v>3</v>
      </c>
    </row>
    <row r="237" spans="1:28" ht="12.75" customHeight="1" x14ac:dyDescent="0.15">
      <c r="A237" s="5">
        <v>96</v>
      </c>
      <c r="B237" s="5" t="s">
        <v>238</v>
      </c>
      <c r="C237" s="1">
        <v>18</v>
      </c>
      <c r="D237" s="5" t="s">
        <v>983</v>
      </c>
      <c r="E237" s="1">
        <v>0</v>
      </c>
      <c r="F237" s="5" t="s">
        <v>983</v>
      </c>
      <c r="G237" s="1">
        <v>0</v>
      </c>
      <c r="H237" s="5" t="s">
        <v>983</v>
      </c>
      <c r="I237" s="1">
        <v>16</v>
      </c>
      <c r="J237" s="5" t="s">
        <v>981</v>
      </c>
      <c r="K237" s="1">
        <v>0</v>
      </c>
      <c r="L237" s="5" t="s">
        <v>983</v>
      </c>
      <c r="M237" s="1">
        <v>0</v>
      </c>
      <c r="N237" s="5" t="s">
        <v>983</v>
      </c>
      <c r="O237" s="1">
        <v>0</v>
      </c>
      <c r="P237" s="5" t="s">
        <v>983</v>
      </c>
      <c r="Q237" s="1">
        <v>1</v>
      </c>
      <c r="R237" s="1">
        <v>0</v>
      </c>
      <c r="S237" s="1">
        <v>1</v>
      </c>
      <c r="T237" s="1">
        <v>1</v>
      </c>
      <c r="U237" s="1">
        <v>5</v>
      </c>
      <c r="V237" s="1">
        <v>5</v>
      </c>
      <c r="W237" s="1">
        <v>29</v>
      </c>
      <c r="X237" s="1">
        <v>0</v>
      </c>
      <c r="Y237" s="1">
        <v>8</v>
      </c>
      <c r="Z237" s="1">
        <v>1</v>
      </c>
      <c r="AA237" s="1">
        <v>380000</v>
      </c>
      <c r="AB237" s="1">
        <v>3</v>
      </c>
    </row>
    <row r="238" spans="1:28" ht="12.75" customHeight="1" x14ac:dyDescent="0.15">
      <c r="A238" s="5">
        <v>330</v>
      </c>
      <c r="B238" s="5" t="s">
        <v>238</v>
      </c>
      <c r="C238" s="1">
        <v>34</v>
      </c>
      <c r="D238" s="5" t="s">
        <v>981</v>
      </c>
      <c r="E238" s="1">
        <v>0</v>
      </c>
      <c r="F238" s="5" t="s">
        <v>983</v>
      </c>
      <c r="G238" s="1">
        <v>0</v>
      </c>
      <c r="H238" s="5" t="s">
        <v>983</v>
      </c>
      <c r="I238" s="1">
        <v>16</v>
      </c>
      <c r="J238" s="5" t="s">
        <v>981</v>
      </c>
      <c r="K238" s="1">
        <v>0</v>
      </c>
      <c r="L238" s="5" t="s">
        <v>983</v>
      </c>
      <c r="M238" s="1">
        <v>0</v>
      </c>
      <c r="N238" s="5" t="s">
        <v>983</v>
      </c>
      <c r="O238" s="1">
        <v>28</v>
      </c>
      <c r="P238" s="5" t="s">
        <v>981</v>
      </c>
      <c r="Q238" s="1">
        <v>1</v>
      </c>
      <c r="R238" s="1">
        <v>0</v>
      </c>
      <c r="S238" s="1" t="s">
        <v>194</v>
      </c>
      <c r="T238" s="1">
        <v>1</v>
      </c>
      <c r="U238" s="1">
        <v>1</v>
      </c>
      <c r="V238" s="1">
        <v>1</v>
      </c>
      <c r="W238" s="1">
        <v>38</v>
      </c>
      <c r="X238" s="1">
        <v>0</v>
      </c>
      <c r="Y238" s="1">
        <v>13</v>
      </c>
      <c r="Z238" s="1">
        <v>31</v>
      </c>
      <c r="AA238" s="1">
        <v>360000</v>
      </c>
      <c r="AB238" s="1">
        <v>3</v>
      </c>
    </row>
    <row r="239" spans="1:28" ht="12.75" customHeight="1" x14ac:dyDescent="0.15">
      <c r="A239" s="5">
        <v>306</v>
      </c>
      <c r="B239" s="5" t="s">
        <v>984</v>
      </c>
      <c r="C239" s="1">
        <v>32</v>
      </c>
      <c r="D239" s="5" t="s">
        <v>981</v>
      </c>
      <c r="E239" s="1">
        <v>3</v>
      </c>
      <c r="F239" s="5" t="s">
        <v>982</v>
      </c>
      <c r="G239" s="1">
        <v>3</v>
      </c>
      <c r="H239" s="5" t="s">
        <v>982</v>
      </c>
      <c r="I239" s="1">
        <v>12</v>
      </c>
      <c r="J239" s="5" t="s">
        <v>981</v>
      </c>
      <c r="K239" s="1">
        <v>3</v>
      </c>
      <c r="L239" s="5" t="s">
        <v>982</v>
      </c>
      <c r="M239" s="1">
        <v>3</v>
      </c>
      <c r="N239" s="5" t="s">
        <v>982</v>
      </c>
      <c r="O239" s="1">
        <v>7</v>
      </c>
      <c r="P239" s="5" t="s">
        <v>982</v>
      </c>
      <c r="Q239" s="1">
        <v>0</v>
      </c>
      <c r="R239" s="1">
        <v>0</v>
      </c>
      <c r="S239" s="1" t="s">
        <v>194</v>
      </c>
      <c r="T239" s="1">
        <v>1</v>
      </c>
      <c r="U239" s="1">
        <v>3</v>
      </c>
      <c r="V239" s="1" t="s">
        <v>194</v>
      </c>
      <c r="W239" s="1">
        <v>33</v>
      </c>
      <c r="X239" s="1">
        <v>0</v>
      </c>
      <c r="Y239" s="1">
        <v>16</v>
      </c>
      <c r="Z239" s="1">
        <v>7</v>
      </c>
      <c r="AA239" s="1">
        <v>360000</v>
      </c>
      <c r="AB239" s="1">
        <v>4</v>
      </c>
    </row>
    <row r="240" spans="1:28" ht="12.75" customHeight="1" x14ac:dyDescent="0.15">
      <c r="A240" s="5">
        <v>305</v>
      </c>
      <c r="B240" s="5" t="s">
        <v>238</v>
      </c>
      <c r="C240" s="1">
        <v>28</v>
      </c>
      <c r="D240" s="5" t="s">
        <v>981</v>
      </c>
      <c r="E240" s="1">
        <v>8</v>
      </c>
      <c r="F240" s="5" t="s">
        <v>981</v>
      </c>
      <c r="G240" s="1">
        <v>8</v>
      </c>
      <c r="H240" s="5" t="s">
        <v>981</v>
      </c>
      <c r="I240" s="1">
        <v>4</v>
      </c>
      <c r="J240" s="5" t="s">
        <v>982</v>
      </c>
      <c r="K240" s="1">
        <v>9</v>
      </c>
      <c r="L240" s="5" t="s">
        <v>981</v>
      </c>
      <c r="M240" s="1">
        <v>9</v>
      </c>
      <c r="N240" s="5" t="s">
        <v>981</v>
      </c>
      <c r="O240" s="1">
        <v>0</v>
      </c>
      <c r="P240" s="5" t="s">
        <v>983</v>
      </c>
      <c r="Q240" s="1">
        <v>1</v>
      </c>
      <c r="R240" s="1">
        <v>0</v>
      </c>
      <c r="S240" s="1" t="s">
        <v>194</v>
      </c>
      <c r="T240" s="1">
        <v>1</v>
      </c>
      <c r="U240" s="1">
        <v>2</v>
      </c>
      <c r="V240" s="1">
        <v>3</v>
      </c>
      <c r="W240" s="1">
        <v>33</v>
      </c>
      <c r="X240" s="1">
        <v>0</v>
      </c>
      <c r="Y240" s="1">
        <v>16</v>
      </c>
      <c r="Z240" s="1">
        <v>7</v>
      </c>
      <c r="AA240" s="1">
        <v>360000</v>
      </c>
      <c r="AB240" s="1">
        <v>4</v>
      </c>
    </row>
    <row r="241" spans="1:28" ht="12.75" customHeight="1" x14ac:dyDescent="0.15">
      <c r="A241" s="5">
        <v>132</v>
      </c>
      <c r="B241" s="5" t="s">
        <v>238</v>
      </c>
      <c r="C241" s="1">
        <v>37</v>
      </c>
      <c r="D241" s="5" t="s">
        <v>981</v>
      </c>
      <c r="E241" s="1">
        <v>5</v>
      </c>
      <c r="F241" s="5" t="s">
        <v>981</v>
      </c>
      <c r="G241" s="1">
        <v>0</v>
      </c>
      <c r="H241" s="5" t="s">
        <v>983</v>
      </c>
      <c r="I241" s="1">
        <v>16</v>
      </c>
      <c r="J241" s="5" t="s">
        <v>981</v>
      </c>
      <c r="K241" s="1">
        <v>1</v>
      </c>
      <c r="L241" s="5" t="s">
        <v>983</v>
      </c>
      <c r="M241" s="1">
        <v>0</v>
      </c>
      <c r="N241" s="5" t="s">
        <v>983</v>
      </c>
      <c r="O241" s="1">
        <v>1</v>
      </c>
      <c r="P241" s="5" t="s">
        <v>982</v>
      </c>
      <c r="Q241" s="1">
        <v>1</v>
      </c>
      <c r="R241" s="1">
        <v>0</v>
      </c>
      <c r="S241" s="1">
        <v>1</v>
      </c>
      <c r="T241" s="1">
        <v>1</v>
      </c>
      <c r="U241" s="1">
        <v>5</v>
      </c>
      <c r="V241" s="1">
        <v>5</v>
      </c>
      <c r="W241" s="1">
        <v>48</v>
      </c>
      <c r="X241" s="1">
        <v>0</v>
      </c>
      <c r="Y241" s="1">
        <v>17</v>
      </c>
      <c r="Z241" s="1">
        <v>30</v>
      </c>
      <c r="AA241" s="1">
        <v>350000</v>
      </c>
      <c r="AB241" s="1">
        <v>4</v>
      </c>
    </row>
    <row r="242" spans="1:28" ht="12.75" customHeight="1" x14ac:dyDescent="0.15">
      <c r="A242" s="5">
        <v>131</v>
      </c>
      <c r="B242" s="5" t="s">
        <v>984</v>
      </c>
      <c r="C242" s="1">
        <v>26</v>
      </c>
      <c r="D242" s="5" t="s">
        <v>981</v>
      </c>
      <c r="E242" s="1">
        <v>6</v>
      </c>
      <c r="F242" s="5" t="s">
        <v>981</v>
      </c>
      <c r="G242" s="1">
        <v>6</v>
      </c>
      <c r="H242" s="5" t="s">
        <v>981</v>
      </c>
      <c r="I242" s="1">
        <v>10</v>
      </c>
      <c r="J242" s="5" t="s">
        <v>981</v>
      </c>
      <c r="K242" s="1">
        <v>3</v>
      </c>
      <c r="L242" s="5" t="s">
        <v>982</v>
      </c>
      <c r="M242" s="1">
        <v>3</v>
      </c>
      <c r="N242" s="5" t="s">
        <v>982</v>
      </c>
      <c r="O242" s="1">
        <v>2</v>
      </c>
      <c r="P242" s="5" t="s">
        <v>982</v>
      </c>
      <c r="Q242" s="1">
        <v>1</v>
      </c>
      <c r="R242" s="1">
        <v>0</v>
      </c>
      <c r="S242" s="1">
        <v>1</v>
      </c>
      <c r="T242" s="1">
        <v>1</v>
      </c>
      <c r="U242" s="1">
        <v>5</v>
      </c>
      <c r="V242" s="1">
        <v>2</v>
      </c>
      <c r="W242" s="1">
        <v>48</v>
      </c>
      <c r="X242" s="1">
        <v>0</v>
      </c>
      <c r="Y242" s="1">
        <v>17</v>
      </c>
      <c r="Z242" s="1">
        <v>30</v>
      </c>
      <c r="AA242" s="1">
        <v>350000</v>
      </c>
      <c r="AB242" s="1">
        <v>4</v>
      </c>
    </row>
    <row r="243" spans="1:28" ht="12.75" customHeight="1" x14ac:dyDescent="0.15">
      <c r="A243" s="5">
        <v>24</v>
      </c>
      <c r="B243" s="5" t="s">
        <v>238</v>
      </c>
      <c r="C243" s="1">
        <v>31</v>
      </c>
      <c r="D243" s="5" t="s">
        <v>981</v>
      </c>
      <c r="E243" s="1">
        <v>0</v>
      </c>
      <c r="F243" s="5" t="s">
        <v>983</v>
      </c>
      <c r="G243" s="1">
        <v>7</v>
      </c>
      <c r="H243" s="5" t="s">
        <v>981</v>
      </c>
      <c r="I243" s="1">
        <v>7</v>
      </c>
      <c r="J243" s="5" t="s">
        <v>981</v>
      </c>
      <c r="K243" s="1">
        <v>5</v>
      </c>
      <c r="L243" s="5" t="s">
        <v>982</v>
      </c>
      <c r="M243" s="1">
        <v>5</v>
      </c>
      <c r="N243" s="5" t="s">
        <v>982</v>
      </c>
      <c r="O243" s="1">
        <v>3</v>
      </c>
      <c r="P243" s="5" t="s">
        <v>982</v>
      </c>
      <c r="Q243" s="1">
        <v>0</v>
      </c>
      <c r="R243" s="1">
        <v>0</v>
      </c>
      <c r="S243" s="1" t="s">
        <v>194</v>
      </c>
      <c r="T243" s="1">
        <v>1</v>
      </c>
      <c r="U243" s="1">
        <v>2</v>
      </c>
      <c r="V243" s="1" t="s">
        <v>194</v>
      </c>
      <c r="W243" s="1">
        <v>39</v>
      </c>
      <c r="X243" s="1">
        <v>0</v>
      </c>
      <c r="Y243" s="1">
        <v>15</v>
      </c>
      <c r="Z243" s="1">
        <v>29</v>
      </c>
      <c r="AA243" s="1">
        <v>350000</v>
      </c>
      <c r="AB243" s="1">
        <v>3</v>
      </c>
    </row>
    <row r="244" spans="1:28" ht="12.75" customHeight="1" x14ac:dyDescent="0.15">
      <c r="A244" s="5">
        <v>25</v>
      </c>
      <c r="B244" s="5" t="s">
        <v>984</v>
      </c>
      <c r="C244" s="1">
        <v>22</v>
      </c>
      <c r="D244" s="5" t="s">
        <v>982</v>
      </c>
      <c r="E244" s="1">
        <v>3</v>
      </c>
      <c r="F244" s="5" t="s">
        <v>982</v>
      </c>
      <c r="G244" s="1">
        <v>2</v>
      </c>
      <c r="H244" s="5" t="s">
        <v>982</v>
      </c>
      <c r="I244" s="1">
        <v>6</v>
      </c>
      <c r="J244" s="5" t="s">
        <v>981</v>
      </c>
      <c r="K244" s="1">
        <v>6</v>
      </c>
      <c r="L244" s="5" t="s">
        <v>981</v>
      </c>
      <c r="M244" s="1">
        <v>6</v>
      </c>
      <c r="N244" s="5" t="s">
        <v>981</v>
      </c>
      <c r="O244" s="1">
        <v>3</v>
      </c>
      <c r="P244" s="5" t="s">
        <v>982</v>
      </c>
      <c r="Q244" s="1">
        <v>0</v>
      </c>
      <c r="R244" s="1">
        <v>1</v>
      </c>
      <c r="S244" s="1" t="s">
        <v>194</v>
      </c>
      <c r="T244" s="1">
        <v>1</v>
      </c>
      <c r="U244" s="1">
        <v>3</v>
      </c>
      <c r="V244" s="1">
        <v>2</v>
      </c>
      <c r="W244" s="1">
        <v>39</v>
      </c>
      <c r="X244" s="1">
        <v>0</v>
      </c>
      <c r="Y244" s="1">
        <v>15</v>
      </c>
      <c r="Z244" s="1">
        <v>29</v>
      </c>
      <c r="AA244" s="1">
        <v>350000</v>
      </c>
      <c r="AB244" s="1">
        <v>3</v>
      </c>
    </row>
    <row r="245" spans="1:28" ht="12.75" customHeight="1" x14ac:dyDescent="0.15">
      <c r="A245" s="5">
        <v>325</v>
      </c>
      <c r="B245" s="5" t="s">
        <v>238</v>
      </c>
      <c r="C245" s="1">
        <v>13</v>
      </c>
      <c r="D245" s="5" t="s">
        <v>983</v>
      </c>
      <c r="E245" s="1">
        <v>4</v>
      </c>
      <c r="F245" s="5" t="s">
        <v>982</v>
      </c>
      <c r="G245" s="1">
        <v>4</v>
      </c>
      <c r="H245" s="5" t="s">
        <v>982</v>
      </c>
      <c r="I245" s="1">
        <v>6</v>
      </c>
      <c r="J245" s="5" t="s">
        <v>981</v>
      </c>
      <c r="K245" s="1">
        <v>1</v>
      </c>
      <c r="L245" s="5" t="s">
        <v>983</v>
      </c>
      <c r="M245" s="1">
        <v>0</v>
      </c>
      <c r="N245" s="5" t="s">
        <v>983</v>
      </c>
      <c r="O245" s="1">
        <v>0</v>
      </c>
      <c r="P245" s="5" t="s">
        <v>983</v>
      </c>
      <c r="Q245" s="1">
        <v>1</v>
      </c>
      <c r="R245" s="1">
        <v>1</v>
      </c>
      <c r="S245" s="1">
        <v>1</v>
      </c>
      <c r="T245" s="1">
        <v>1</v>
      </c>
      <c r="U245" s="1" t="s">
        <v>194</v>
      </c>
      <c r="V245" s="1">
        <v>1</v>
      </c>
      <c r="W245" s="1">
        <v>26</v>
      </c>
      <c r="X245" s="1">
        <v>0</v>
      </c>
      <c r="Y245" s="1">
        <v>15</v>
      </c>
      <c r="Z245" s="1">
        <v>24</v>
      </c>
      <c r="AA245" s="1">
        <v>350000</v>
      </c>
      <c r="AB245" s="1">
        <v>2</v>
      </c>
    </row>
    <row r="246" spans="1:28" ht="12.75" customHeight="1" x14ac:dyDescent="0.15">
      <c r="A246" s="5">
        <v>173</v>
      </c>
      <c r="B246" s="5" t="s">
        <v>984</v>
      </c>
      <c r="C246" s="1">
        <v>17</v>
      </c>
      <c r="D246" s="5" t="s">
        <v>983</v>
      </c>
      <c r="E246" s="1">
        <v>2</v>
      </c>
      <c r="F246" s="5" t="s">
        <v>982</v>
      </c>
      <c r="G246" s="1">
        <v>3</v>
      </c>
      <c r="H246" s="5" t="s">
        <v>982</v>
      </c>
      <c r="I246" s="1">
        <v>4</v>
      </c>
      <c r="J246" s="5" t="s">
        <v>982</v>
      </c>
      <c r="K246" s="1">
        <v>3</v>
      </c>
      <c r="L246" s="5" t="s">
        <v>982</v>
      </c>
      <c r="M246" s="1">
        <v>6</v>
      </c>
      <c r="N246" s="5" t="s">
        <v>981</v>
      </c>
      <c r="O246" s="1">
        <v>0</v>
      </c>
      <c r="P246" s="5" t="s">
        <v>983</v>
      </c>
      <c r="Q246" s="1">
        <v>1</v>
      </c>
      <c r="R246" s="1">
        <v>0</v>
      </c>
      <c r="S246" s="1">
        <v>1</v>
      </c>
      <c r="T246" s="1">
        <v>1</v>
      </c>
      <c r="U246" s="1">
        <v>3</v>
      </c>
      <c r="V246" s="1">
        <v>3</v>
      </c>
      <c r="W246" s="1">
        <v>59</v>
      </c>
      <c r="X246" s="1">
        <v>1</v>
      </c>
      <c r="Y246" s="1">
        <v>4</v>
      </c>
      <c r="Z246" s="1">
        <v>11</v>
      </c>
      <c r="AA246" s="1">
        <v>350000</v>
      </c>
      <c r="AB246" s="1">
        <v>3</v>
      </c>
    </row>
    <row r="247" spans="1:28" ht="12.75" customHeight="1" x14ac:dyDescent="0.15">
      <c r="A247" s="5">
        <v>287</v>
      </c>
      <c r="B247" s="5" t="s">
        <v>984</v>
      </c>
      <c r="C247" s="1">
        <v>24</v>
      </c>
      <c r="D247" s="5" t="s">
        <v>981</v>
      </c>
      <c r="E247" s="1">
        <v>7</v>
      </c>
      <c r="F247" s="5" t="s">
        <v>981</v>
      </c>
      <c r="G247" s="1">
        <v>8</v>
      </c>
      <c r="H247" s="5" t="s">
        <v>981</v>
      </c>
      <c r="I247" s="1">
        <v>5</v>
      </c>
      <c r="J247" s="5" t="s">
        <v>981</v>
      </c>
      <c r="K247" s="1">
        <v>0</v>
      </c>
      <c r="L247" s="5" t="s">
        <v>983</v>
      </c>
      <c r="M247" s="1">
        <v>10</v>
      </c>
      <c r="N247" s="5" t="s">
        <v>981</v>
      </c>
      <c r="O247" s="1">
        <v>0</v>
      </c>
      <c r="P247" s="5" t="s">
        <v>983</v>
      </c>
      <c r="Q247" s="1">
        <v>1</v>
      </c>
      <c r="R247" s="1">
        <v>0</v>
      </c>
      <c r="S247" s="1">
        <v>1</v>
      </c>
      <c r="T247" s="1">
        <v>1</v>
      </c>
      <c r="U247" s="1" t="s">
        <v>194</v>
      </c>
      <c r="V247" s="1">
        <v>2</v>
      </c>
      <c r="W247" s="1">
        <v>31</v>
      </c>
      <c r="X247" s="1">
        <v>0</v>
      </c>
      <c r="Y247" s="1">
        <v>18</v>
      </c>
      <c r="Z247" s="1">
        <v>6</v>
      </c>
      <c r="AA247" s="1">
        <v>350000</v>
      </c>
      <c r="AB247" s="1">
        <v>2</v>
      </c>
    </row>
    <row r="248" spans="1:28" ht="12.75" customHeight="1" x14ac:dyDescent="0.15">
      <c r="A248" s="5">
        <v>402</v>
      </c>
      <c r="B248" s="5" t="s">
        <v>238</v>
      </c>
      <c r="C248" s="1">
        <v>27</v>
      </c>
      <c r="D248" s="5" t="s">
        <v>981</v>
      </c>
      <c r="E248" s="1">
        <v>6</v>
      </c>
      <c r="F248" s="5" t="s">
        <v>981</v>
      </c>
      <c r="G248" s="1">
        <v>8</v>
      </c>
      <c r="H248" s="5" t="s">
        <v>981</v>
      </c>
      <c r="I248" s="1">
        <v>0</v>
      </c>
      <c r="J248" s="5" t="s">
        <v>983</v>
      </c>
      <c r="K248" s="1">
        <v>7</v>
      </c>
      <c r="L248" s="5" t="s">
        <v>981</v>
      </c>
      <c r="M248" s="1">
        <v>9</v>
      </c>
      <c r="N248" s="5" t="s">
        <v>981</v>
      </c>
      <c r="O248" s="1">
        <v>1</v>
      </c>
      <c r="P248" s="5" t="s">
        <v>982</v>
      </c>
      <c r="Q248" s="1">
        <v>1</v>
      </c>
      <c r="R248" s="1">
        <v>0</v>
      </c>
      <c r="S248" s="1">
        <v>1</v>
      </c>
      <c r="T248" s="1">
        <v>1</v>
      </c>
      <c r="U248" s="1">
        <v>2</v>
      </c>
      <c r="V248" s="1">
        <v>2</v>
      </c>
      <c r="W248" s="1">
        <v>41</v>
      </c>
      <c r="X248" s="1">
        <v>0</v>
      </c>
      <c r="Y248" s="1">
        <v>14</v>
      </c>
      <c r="Z248" s="1">
        <v>4</v>
      </c>
      <c r="AA248" s="1">
        <v>350000</v>
      </c>
      <c r="AB248" s="1">
        <v>5</v>
      </c>
    </row>
    <row r="249" spans="1:28" ht="12.75" customHeight="1" x14ac:dyDescent="0.15">
      <c r="A249" s="5">
        <v>58</v>
      </c>
      <c r="B249" s="5" t="s">
        <v>238</v>
      </c>
      <c r="C249" s="1">
        <v>13</v>
      </c>
      <c r="D249" s="5" t="s">
        <v>983</v>
      </c>
      <c r="E249" s="1">
        <v>0</v>
      </c>
      <c r="F249" s="5" t="s">
        <v>983</v>
      </c>
      <c r="G249" s="1">
        <v>0</v>
      </c>
      <c r="H249" s="5" t="s">
        <v>983</v>
      </c>
      <c r="I249" s="1">
        <v>4</v>
      </c>
      <c r="J249" s="5" t="s">
        <v>982</v>
      </c>
      <c r="K249" s="1">
        <v>0</v>
      </c>
      <c r="L249" s="5" t="s">
        <v>983</v>
      </c>
      <c r="M249" s="1">
        <v>0</v>
      </c>
      <c r="N249" s="5" t="s">
        <v>983</v>
      </c>
      <c r="O249" s="1">
        <v>0</v>
      </c>
      <c r="P249" s="5" t="s">
        <v>983</v>
      </c>
      <c r="Q249" s="1">
        <v>1</v>
      </c>
      <c r="R249" s="1">
        <v>0</v>
      </c>
      <c r="S249" s="1">
        <v>1</v>
      </c>
      <c r="T249" s="1">
        <v>1</v>
      </c>
      <c r="U249" s="1">
        <v>3</v>
      </c>
      <c r="V249" s="1">
        <v>3</v>
      </c>
      <c r="W249" s="1">
        <v>46</v>
      </c>
      <c r="X249" s="1">
        <v>0</v>
      </c>
      <c r="Y249" s="1">
        <v>14</v>
      </c>
      <c r="Z249" s="1">
        <v>2</v>
      </c>
      <c r="AA249" s="1">
        <v>350000</v>
      </c>
      <c r="AB249" s="1">
        <v>3</v>
      </c>
    </row>
    <row r="250" spans="1:28" ht="12.75" customHeight="1" x14ac:dyDescent="0.15">
      <c r="A250" s="5">
        <v>382</v>
      </c>
      <c r="B250" s="5" t="s">
        <v>984</v>
      </c>
      <c r="C250" s="1">
        <v>12</v>
      </c>
      <c r="D250" s="5" t="s">
        <v>983</v>
      </c>
      <c r="E250" s="1">
        <v>12</v>
      </c>
      <c r="F250" s="5" t="s">
        <v>981</v>
      </c>
      <c r="G250" s="1">
        <v>12</v>
      </c>
      <c r="H250" s="5" t="s">
        <v>981</v>
      </c>
      <c r="I250" s="1">
        <v>0</v>
      </c>
      <c r="J250" s="5" t="s">
        <v>983</v>
      </c>
      <c r="K250" s="1">
        <v>12</v>
      </c>
      <c r="L250" s="5" t="s">
        <v>981</v>
      </c>
      <c r="M250" s="1">
        <v>12</v>
      </c>
      <c r="N250" s="5" t="s">
        <v>981</v>
      </c>
      <c r="O250" s="1">
        <v>0</v>
      </c>
      <c r="P250" s="5" t="s">
        <v>983</v>
      </c>
      <c r="Q250" s="1">
        <v>0</v>
      </c>
      <c r="R250" s="1">
        <v>0</v>
      </c>
      <c r="S250" s="1" t="s">
        <v>194</v>
      </c>
      <c r="T250" s="1">
        <v>1</v>
      </c>
      <c r="U250" s="1" t="s">
        <v>194</v>
      </c>
      <c r="V250" s="1" t="s">
        <v>194</v>
      </c>
      <c r="W250" s="1">
        <v>30</v>
      </c>
      <c r="X250" s="1">
        <v>1</v>
      </c>
      <c r="Y250" s="1">
        <v>13</v>
      </c>
      <c r="Z250" s="1">
        <v>2</v>
      </c>
      <c r="AA250" s="1">
        <v>350000</v>
      </c>
      <c r="AB250" s="1">
        <v>3</v>
      </c>
    </row>
    <row r="251" spans="1:28" ht="12.75" customHeight="1" x14ac:dyDescent="0.15">
      <c r="A251" s="5">
        <v>138</v>
      </c>
      <c r="B251" s="5" t="s">
        <v>238</v>
      </c>
      <c r="C251" s="1">
        <v>13</v>
      </c>
      <c r="D251" s="5" t="s">
        <v>983</v>
      </c>
      <c r="E251" s="1">
        <v>3</v>
      </c>
      <c r="F251" s="5" t="s">
        <v>982</v>
      </c>
      <c r="G251" s="1">
        <v>5</v>
      </c>
      <c r="H251" s="5" t="s">
        <v>982</v>
      </c>
      <c r="I251" s="1">
        <v>0</v>
      </c>
      <c r="J251" s="5" t="s">
        <v>983</v>
      </c>
      <c r="K251" s="1">
        <v>1</v>
      </c>
      <c r="L251" s="5" t="s">
        <v>983</v>
      </c>
      <c r="M251" s="1">
        <v>1</v>
      </c>
      <c r="N251" s="5" t="s">
        <v>983</v>
      </c>
      <c r="O251" s="1">
        <v>0</v>
      </c>
      <c r="P251" s="5" t="s">
        <v>983</v>
      </c>
      <c r="Q251" s="1">
        <v>1</v>
      </c>
      <c r="R251" s="1">
        <v>0</v>
      </c>
      <c r="S251" s="1" t="s">
        <v>194</v>
      </c>
      <c r="T251" s="1">
        <v>1</v>
      </c>
      <c r="U251" s="1">
        <v>2</v>
      </c>
      <c r="V251" s="1">
        <v>4</v>
      </c>
      <c r="W251" s="1">
        <v>36</v>
      </c>
      <c r="X251" s="1">
        <v>0</v>
      </c>
      <c r="Y251" s="1">
        <v>14</v>
      </c>
      <c r="Z251" s="1">
        <v>1</v>
      </c>
      <c r="AA251" s="1">
        <v>350000</v>
      </c>
      <c r="AB251" s="1">
        <v>3</v>
      </c>
    </row>
    <row r="252" spans="1:28" ht="12.75" customHeight="1" x14ac:dyDescent="0.15">
      <c r="A252" s="5">
        <v>256</v>
      </c>
      <c r="B252" s="5" t="s">
        <v>238</v>
      </c>
      <c r="C252" s="1">
        <v>14</v>
      </c>
      <c r="D252" s="5" t="s">
        <v>983</v>
      </c>
      <c r="E252" s="1">
        <v>0</v>
      </c>
      <c r="F252" s="5" t="s">
        <v>983</v>
      </c>
      <c r="G252" s="1">
        <v>0</v>
      </c>
      <c r="H252" s="5" t="s">
        <v>983</v>
      </c>
      <c r="I252" s="1">
        <v>7</v>
      </c>
      <c r="J252" s="5" t="s">
        <v>981</v>
      </c>
      <c r="K252" s="1">
        <v>2</v>
      </c>
      <c r="L252" s="5" t="s">
        <v>983</v>
      </c>
      <c r="M252" s="1">
        <v>2</v>
      </c>
      <c r="N252" s="5" t="s">
        <v>983</v>
      </c>
      <c r="O252" s="1">
        <v>3</v>
      </c>
      <c r="P252" s="5" t="s">
        <v>982</v>
      </c>
      <c r="Q252" s="1">
        <v>0</v>
      </c>
      <c r="R252" s="1">
        <v>0</v>
      </c>
      <c r="S252" s="1" t="s">
        <v>194</v>
      </c>
      <c r="T252" s="1">
        <v>1</v>
      </c>
      <c r="U252" s="1">
        <v>4</v>
      </c>
      <c r="V252" s="1">
        <v>3</v>
      </c>
      <c r="W252" s="1">
        <v>55</v>
      </c>
      <c r="X252" s="1">
        <v>0</v>
      </c>
      <c r="Y252" s="1">
        <v>2</v>
      </c>
      <c r="Z252" s="1">
        <v>1</v>
      </c>
      <c r="AA252" s="1">
        <v>350000</v>
      </c>
      <c r="AB252" s="1">
        <v>5</v>
      </c>
    </row>
    <row r="253" spans="1:28" ht="12.75" customHeight="1" x14ac:dyDescent="0.15">
      <c r="A253" s="5">
        <v>255</v>
      </c>
      <c r="B253" s="5" t="s">
        <v>984</v>
      </c>
      <c r="C253" s="1">
        <v>28</v>
      </c>
      <c r="D253" s="5" t="s">
        <v>981</v>
      </c>
      <c r="E253" s="1">
        <v>6</v>
      </c>
      <c r="F253" s="5" t="s">
        <v>981</v>
      </c>
      <c r="G253" s="1">
        <v>4</v>
      </c>
      <c r="H253" s="5" t="s">
        <v>982</v>
      </c>
      <c r="I253" s="1">
        <v>11</v>
      </c>
      <c r="J253" s="5" t="s">
        <v>981</v>
      </c>
      <c r="K253" s="1">
        <v>4</v>
      </c>
      <c r="L253" s="5" t="s">
        <v>982</v>
      </c>
      <c r="M253" s="1">
        <v>5</v>
      </c>
      <c r="N253" s="5" t="s">
        <v>982</v>
      </c>
      <c r="O253" s="1">
        <v>13</v>
      </c>
      <c r="P253" s="5" t="s">
        <v>982</v>
      </c>
      <c r="Q253" s="1">
        <v>1</v>
      </c>
      <c r="R253" s="1">
        <v>0</v>
      </c>
      <c r="S253" s="1">
        <v>1</v>
      </c>
      <c r="T253" s="1">
        <v>1</v>
      </c>
      <c r="U253" s="1">
        <v>3</v>
      </c>
      <c r="V253" s="1">
        <v>2</v>
      </c>
      <c r="W253" s="1">
        <v>55</v>
      </c>
      <c r="X253" s="1">
        <v>0</v>
      </c>
      <c r="Y253" s="1">
        <v>2</v>
      </c>
      <c r="Z253" s="1">
        <v>1</v>
      </c>
      <c r="AA253" s="1">
        <v>350000</v>
      </c>
      <c r="AB253" s="1">
        <v>5</v>
      </c>
    </row>
    <row r="254" spans="1:28" ht="12.75" customHeight="1" x14ac:dyDescent="0.15">
      <c r="A254" s="5">
        <v>170</v>
      </c>
      <c r="B254" s="5" t="s">
        <v>238</v>
      </c>
      <c r="C254" s="1">
        <v>25</v>
      </c>
      <c r="D254" s="5" t="s">
        <v>981</v>
      </c>
      <c r="E254" s="1">
        <v>12</v>
      </c>
      <c r="F254" s="5" t="s">
        <v>981</v>
      </c>
      <c r="G254" s="1">
        <v>6</v>
      </c>
      <c r="H254" s="5" t="s">
        <v>981</v>
      </c>
      <c r="I254" s="1">
        <v>8</v>
      </c>
      <c r="J254" s="5" t="s">
        <v>981</v>
      </c>
      <c r="K254" s="1">
        <v>6</v>
      </c>
      <c r="L254" s="5" t="s">
        <v>981</v>
      </c>
      <c r="M254" s="1">
        <v>6</v>
      </c>
      <c r="N254" s="5" t="s">
        <v>981</v>
      </c>
      <c r="O254" s="1">
        <v>0</v>
      </c>
      <c r="P254" s="5" t="s">
        <v>983</v>
      </c>
      <c r="Q254" s="1">
        <v>0</v>
      </c>
      <c r="R254" s="1">
        <v>0</v>
      </c>
      <c r="S254" s="1" t="s">
        <v>194</v>
      </c>
      <c r="T254" s="1">
        <v>1</v>
      </c>
      <c r="U254" s="1">
        <v>4</v>
      </c>
      <c r="V254" s="1">
        <v>3</v>
      </c>
      <c r="W254" s="1">
        <v>51</v>
      </c>
      <c r="X254" s="1">
        <v>0</v>
      </c>
      <c r="Y254" s="1">
        <v>14</v>
      </c>
      <c r="Z254" s="1">
        <v>2</v>
      </c>
      <c r="AA254" s="1">
        <v>310000</v>
      </c>
      <c r="AB254" s="1">
        <v>3</v>
      </c>
    </row>
    <row r="255" spans="1:28" ht="12.75" customHeight="1" x14ac:dyDescent="0.15">
      <c r="A255" s="5">
        <v>286</v>
      </c>
      <c r="B255" s="5" t="s">
        <v>238</v>
      </c>
      <c r="C255" s="1">
        <v>16</v>
      </c>
      <c r="D255" s="5" t="s">
        <v>983</v>
      </c>
      <c r="E255" s="1">
        <v>0</v>
      </c>
      <c r="F255" s="5" t="s">
        <v>983</v>
      </c>
      <c r="G255" s="1">
        <v>0</v>
      </c>
      <c r="H255" s="5" t="s">
        <v>983</v>
      </c>
      <c r="I255" s="1">
        <v>16</v>
      </c>
      <c r="J255" s="5" t="s">
        <v>981</v>
      </c>
      <c r="K255" s="1">
        <v>0</v>
      </c>
      <c r="L255" s="5" t="s">
        <v>983</v>
      </c>
      <c r="M255" s="1">
        <v>0</v>
      </c>
      <c r="N255" s="5" t="s">
        <v>983</v>
      </c>
      <c r="O255" s="1">
        <v>0</v>
      </c>
      <c r="P255" s="5" t="s">
        <v>983</v>
      </c>
      <c r="Q255" s="1">
        <v>0</v>
      </c>
      <c r="R255" s="1">
        <v>0</v>
      </c>
      <c r="S255" s="1">
        <v>0</v>
      </c>
      <c r="T255" s="1">
        <v>1</v>
      </c>
      <c r="U255" s="1">
        <v>5</v>
      </c>
      <c r="V255" s="1">
        <v>3</v>
      </c>
      <c r="W255" s="1">
        <v>37</v>
      </c>
      <c r="X255" s="1">
        <v>0</v>
      </c>
      <c r="Y255" s="1">
        <v>17</v>
      </c>
      <c r="Z255" s="1">
        <v>34</v>
      </c>
      <c r="AA255" s="1">
        <v>300000</v>
      </c>
      <c r="AB255" s="1">
        <v>2</v>
      </c>
    </row>
    <row r="256" spans="1:28" ht="12.75" customHeight="1" x14ac:dyDescent="0.15">
      <c r="A256" s="5">
        <v>439</v>
      </c>
      <c r="B256" s="5" t="s">
        <v>238</v>
      </c>
      <c r="C256" s="1">
        <v>17</v>
      </c>
      <c r="D256" s="5" t="s">
        <v>983</v>
      </c>
      <c r="E256" s="1">
        <v>3</v>
      </c>
      <c r="F256" s="5" t="s">
        <v>982</v>
      </c>
      <c r="G256" s="1">
        <v>4</v>
      </c>
      <c r="H256" s="5" t="s">
        <v>982</v>
      </c>
      <c r="I256" s="1">
        <v>3</v>
      </c>
      <c r="J256" s="5" t="s">
        <v>982</v>
      </c>
      <c r="K256" s="1">
        <v>1</v>
      </c>
      <c r="L256" s="5" t="s">
        <v>983</v>
      </c>
      <c r="M256" s="1">
        <v>0</v>
      </c>
      <c r="N256" s="5" t="s">
        <v>983</v>
      </c>
      <c r="O256" s="1">
        <v>0</v>
      </c>
      <c r="P256" s="5" t="s">
        <v>983</v>
      </c>
      <c r="Q256" s="1">
        <v>0</v>
      </c>
      <c r="R256" s="1">
        <v>0</v>
      </c>
      <c r="S256" s="1">
        <v>1</v>
      </c>
      <c r="T256" s="1">
        <v>1</v>
      </c>
      <c r="U256" s="1" t="s">
        <v>194</v>
      </c>
      <c r="V256" s="1">
        <v>3</v>
      </c>
      <c r="W256" s="1">
        <v>38</v>
      </c>
      <c r="X256" s="1">
        <v>1</v>
      </c>
      <c r="Y256" s="1">
        <v>14</v>
      </c>
      <c r="Z256" s="1">
        <v>34</v>
      </c>
      <c r="AA256" s="1">
        <v>300000</v>
      </c>
      <c r="AB256" s="1">
        <v>5</v>
      </c>
    </row>
    <row r="257" spans="1:28" ht="12.75" customHeight="1" x14ac:dyDescent="0.15">
      <c r="A257" s="5">
        <v>427</v>
      </c>
      <c r="B257" s="5" t="s">
        <v>984</v>
      </c>
      <c r="C257" s="1">
        <v>17</v>
      </c>
      <c r="D257" s="5" t="s">
        <v>983</v>
      </c>
      <c r="E257" s="1">
        <v>9</v>
      </c>
      <c r="F257" s="5" t="s">
        <v>981</v>
      </c>
      <c r="G257" s="1">
        <v>8</v>
      </c>
      <c r="H257" s="5" t="s">
        <v>981</v>
      </c>
      <c r="I257" s="1">
        <v>0</v>
      </c>
      <c r="J257" s="5" t="s">
        <v>983</v>
      </c>
      <c r="K257" s="1">
        <v>9</v>
      </c>
      <c r="L257" s="5" t="s">
        <v>981</v>
      </c>
      <c r="M257" s="1">
        <v>12</v>
      </c>
      <c r="N257" s="5" t="s">
        <v>981</v>
      </c>
      <c r="O257" s="1">
        <v>1</v>
      </c>
      <c r="P257" s="5" t="s">
        <v>982</v>
      </c>
      <c r="Q257" s="1">
        <v>1</v>
      </c>
      <c r="R257" s="1">
        <v>0</v>
      </c>
      <c r="S257" s="1">
        <v>1</v>
      </c>
      <c r="T257" s="1">
        <v>1</v>
      </c>
      <c r="U257" s="1">
        <v>3</v>
      </c>
      <c r="V257" s="1">
        <v>3</v>
      </c>
      <c r="W257" s="1">
        <v>53</v>
      </c>
      <c r="X257" s="1">
        <v>1</v>
      </c>
      <c r="Y257" s="1">
        <v>14</v>
      </c>
      <c r="Z257" s="1">
        <v>34</v>
      </c>
      <c r="AA257" s="1">
        <v>300000</v>
      </c>
      <c r="AB257" s="1">
        <v>5</v>
      </c>
    </row>
    <row r="258" spans="1:28" ht="12.75" customHeight="1" x14ac:dyDescent="0.15">
      <c r="A258" s="5">
        <v>426</v>
      </c>
      <c r="B258" s="5" t="s">
        <v>238</v>
      </c>
      <c r="C258" s="1">
        <v>17</v>
      </c>
      <c r="D258" s="5" t="s">
        <v>983</v>
      </c>
      <c r="E258" s="1">
        <v>2</v>
      </c>
      <c r="F258" s="5" t="s">
        <v>982</v>
      </c>
      <c r="G258" s="1">
        <v>1</v>
      </c>
      <c r="H258" s="5" t="s">
        <v>983</v>
      </c>
      <c r="I258" s="1">
        <v>1</v>
      </c>
      <c r="J258" s="5" t="s">
        <v>982</v>
      </c>
      <c r="K258" s="1">
        <v>0</v>
      </c>
      <c r="L258" s="5" t="s">
        <v>983</v>
      </c>
      <c r="M258" s="1">
        <v>2</v>
      </c>
      <c r="N258" s="5" t="s">
        <v>983</v>
      </c>
      <c r="O258" s="1">
        <v>0</v>
      </c>
      <c r="P258" s="5" t="s">
        <v>983</v>
      </c>
      <c r="Q258" s="1">
        <v>0</v>
      </c>
      <c r="R258" s="1">
        <v>0</v>
      </c>
      <c r="S258" s="1" t="s">
        <v>194</v>
      </c>
      <c r="T258" s="1">
        <v>1</v>
      </c>
      <c r="U258" s="1">
        <v>2</v>
      </c>
      <c r="V258" s="1">
        <v>2</v>
      </c>
      <c r="W258" s="1">
        <v>53</v>
      </c>
      <c r="X258" s="1">
        <v>1</v>
      </c>
      <c r="Y258" s="1">
        <v>14</v>
      </c>
      <c r="Z258" s="1">
        <v>34</v>
      </c>
      <c r="AA258" s="1">
        <v>300000</v>
      </c>
      <c r="AB258" s="1">
        <v>5</v>
      </c>
    </row>
    <row r="259" spans="1:28" ht="12.75" customHeight="1" x14ac:dyDescent="0.15">
      <c r="A259" s="5">
        <v>118</v>
      </c>
      <c r="B259" s="5" t="s">
        <v>238</v>
      </c>
      <c r="C259" s="1">
        <v>30</v>
      </c>
      <c r="D259" s="5" t="s">
        <v>981</v>
      </c>
      <c r="E259" s="1">
        <v>2</v>
      </c>
      <c r="F259" s="5" t="s">
        <v>982</v>
      </c>
      <c r="G259" s="1">
        <v>7</v>
      </c>
      <c r="H259" s="5" t="s">
        <v>981</v>
      </c>
      <c r="I259" s="1">
        <v>16</v>
      </c>
      <c r="J259" s="5" t="s">
        <v>981</v>
      </c>
      <c r="K259" s="1">
        <v>0</v>
      </c>
      <c r="L259" s="5" t="s">
        <v>983</v>
      </c>
      <c r="M259" s="1">
        <v>0</v>
      </c>
      <c r="N259" s="5" t="s">
        <v>983</v>
      </c>
      <c r="O259" s="1">
        <v>0</v>
      </c>
      <c r="P259" s="5" t="s">
        <v>983</v>
      </c>
      <c r="Q259" s="1">
        <v>1</v>
      </c>
      <c r="R259" s="1">
        <v>0</v>
      </c>
      <c r="S259" s="1" t="s">
        <v>194</v>
      </c>
      <c r="T259" s="1">
        <v>1</v>
      </c>
      <c r="U259" s="1">
        <v>1</v>
      </c>
      <c r="V259" s="1">
        <v>2</v>
      </c>
      <c r="W259" s="1">
        <v>35</v>
      </c>
      <c r="X259" s="1">
        <v>0</v>
      </c>
      <c r="Y259" s="1">
        <v>18</v>
      </c>
      <c r="Z259" s="1">
        <v>33</v>
      </c>
      <c r="AA259" s="1">
        <v>300000</v>
      </c>
      <c r="AB259" s="1">
        <v>3</v>
      </c>
    </row>
    <row r="260" spans="1:28" ht="12.75" customHeight="1" x14ac:dyDescent="0.15">
      <c r="A260" s="5">
        <v>117</v>
      </c>
      <c r="B260" s="5" t="s">
        <v>984</v>
      </c>
      <c r="C260" s="1">
        <v>12</v>
      </c>
      <c r="D260" s="5" t="s">
        <v>983</v>
      </c>
      <c r="E260" s="1">
        <v>0</v>
      </c>
      <c r="F260" s="5" t="s">
        <v>983</v>
      </c>
      <c r="G260" s="1">
        <v>0</v>
      </c>
      <c r="H260" s="5" t="s">
        <v>983</v>
      </c>
      <c r="I260" s="1">
        <v>4</v>
      </c>
      <c r="J260" s="5" t="s">
        <v>982</v>
      </c>
      <c r="K260" s="1">
        <v>0</v>
      </c>
      <c r="L260" s="5" t="s">
        <v>983</v>
      </c>
      <c r="M260" s="1">
        <v>0</v>
      </c>
      <c r="N260" s="5" t="s">
        <v>983</v>
      </c>
      <c r="O260" s="1">
        <v>0</v>
      </c>
      <c r="P260" s="5" t="s">
        <v>983</v>
      </c>
      <c r="Q260" s="1">
        <v>1</v>
      </c>
      <c r="R260" s="1">
        <v>0</v>
      </c>
      <c r="S260" s="1">
        <v>1</v>
      </c>
      <c r="T260" s="1">
        <v>1</v>
      </c>
      <c r="U260" s="1">
        <v>2</v>
      </c>
      <c r="V260" s="1">
        <v>1</v>
      </c>
      <c r="W260" s="1">
        <v>35</v>
      </c>
      <c r="X260" s="1">
        <v>0</v>
      </c>
      <c r="Y260" s="1">
        <v>18</v>
      </c>
      <c r="Z260" s="1">
        <v>33</v>
      </c>
      <c r="AA260" s="1">
        <v>300000</v>
      </c>
      <c r="AB260" s="1">
        <v>3</v>
      </c>
    </row>
    <row r="261" spans="1:28" ht="12.75" customHeight="1" x14ac:dyDescent="0.15">
      <c r="A261" s="5">
        <v>311</v>
      </c>
      <c r="B261" s="5" t="s">
        <v>984</v>
      </c>
      <c r="C261" s="1">
        <v>12</v>
      </c>
      <c r="D261" s="5" t="s">
        <v>983</v>
      </c>
      <c r="E261" s="1">
        <v>0</v>
      </c>
      <c r="F261" s="5" t="s">
        <v>983</v>
      </c>
      <c r="G261" s="1">
        <v>1</v>
      </c>
      <c r="H261" s="5" t="s">
        <v>983</v>
      </c>
      <c r="I261" s="1">
        <v>15</v>
      </c>
      <c r="J261" s="5" t="s">
        <v>981</v>
      </c>
      <c r="K261" s="1">
        <v>0</v>
      </c>
      <c r="L261" s="5" t="s">
        <v>983</v>
      </c>
      <c r="M261" s="1">
        <v>0</v>
      </c>
      <c r="N261" s="5" t="s">
        <v>983</v>
      </c>
      <c r="O261" s="1">
        <v>0</v>
      </c>
      <c r="P261" s="5" t="s">
        <v>983</v>
      </c>
      <c r="Q261" s="1">
        <v>1</v>
      </c>
      <c r="R261" s="1">
        <v>0</v>
      </c>
      <c r="S261" s="1">
        <v>1</v>
      </c>
      <c r="T261" s="1">
        <v>0</v>
      </c>
      <c r="U261" s="1" t="s">
        <v>194</v>
      </c>
      <c r="V261" s="1" t="s">
        <v>194</v>
      </c>
      <c r="W261" s="1">
        <v>45</v>
      </c>
      <c r="X261" s="1">
        <v>1</v>
      </c>
      <c r="Y261" s="1">
        <v>1</v>
      </c>
      <c r="Z261" s="1">
        <v>31</v>
      </c>
      <c r="AA261" s="1">
        <v>300000</v>
      </c>
      <c r="AB261" s="1">
        <v>1</v>
      </c>
    </row>
    <row r="262" spans="1:28" ht="12.75" customHeight="1" x14ac:dyDescent="0.15">
      <c r="A262" s="5">
        <v>502</v>
      </c>
      <c r="B262" s="5" t="s">
        <v>238</v>
      </c>
      <c r="C262" s="1">
        <v>16</v>
      </c>
      <c r="D262" s="5" t="s">
        <v>983</v>
      </c>
      <c r="E262" s="1">
        <v>3</v>
      </c>
      <c r="F262" s="5" t="s">
        <v>982</v>
      </c>
      <c r="G262" s="1">
        <v>7</v>
      </c>
      <c r="H262" s="5" t="s">
        <v>981</v>
      </c>
      <c r="I262" s="1">
        <v>10</v>
      </c>
      <c r="J262" s="5" t="s">
        <v>981</v>
      </c>
      <c r="K262" s="1">
        <v>0</v>
      </c>
      <c r="L262" s="5" t="s">
        <v>983</v>
      </c>
      <c r="M262" s="1">
        <v>1</v>
      </c>
      <c r="N262" s="5" t="s">
        <v>983</v>
      </c>
      <c r="O262" s="1">
        <v>0</v>
      </c>
      <c r="P262" s="5" t="s">
        <v>983</v>
      </c>
      <c r="Q262" s="1">
        <v>1</v>
      </c>
      <c r="R262" s="1">
        <v>1</v>
      </c>
      <c r="S262" s="1" t="s">
        <v>194</v>
      </c>
      <c r="T262" s="1">
        <v>1</v>
      </c>
      <c r="U262" s="1" t="s">
        <v>194</v>
      </c>
      <c r="V262" s="1">
        <v>2</v>
      </c>
      <c r="W262" s="1">
        <v>32</v>
      </c>
      <c r="X262" s="1">
        <v>0</v>
      </c>
      <c r="Y262" s="1">
        <v>14</v>
      </c>
      <c r="Z262" s="1">
        <v>30</v>
      </c>
      <c r="AA262" s="1">
        <v>300000</v>
      </c>
      <c r="AB262" s="1">
        <v>2</v>
      </c>
    </row>
    <row r="263" spans="1:28" ht="12.75" customHeight="1" x14ac:dyDescent="0.15">
      <c r="A263" s="5">
        <v>207</v>
      </c>
      <c r="B263" s="5" t="s">
        <v>238</v>
      </c>
      <c r="C263" s="1">
        <v>15</v>
      </c>
      <c r="D263" s="5" t="s">
        <v>983</v>
      </c>
      <c r="E263" s="1">
        <v>6</v>
      </c>
      <c r="F263" s="5" t="s">
        <v>981</v>
      </c>
      <c r="G263" s="1">
        <v>2</v>
      </c>
      <c r="H263" s="5" t="s">
        <v>982</v>
      </c>
      <c r="I263" s="1">
        <v>11</v>
      </c>
      <c r="J263" s="5" t="s">
        <v>981</v>
      </c>
      <c r="K263" s="1">
        <v>3</v>
      </c>
      <c r="L263" s="5" t="s">
        <v>982</v>
      </c>
      <c r="M263" s="1">
        <v>4</v>
      </c>
      <c r="N263" s="5" t="s">
        <v>982</v>
      </c>
      <c r="O263" s="1">
        <v>21</v>
      </c>
      <c r="P263" s="5" t="s">
        <v>981</v>
      </c>
      <c r="Q263" s="1">
        <v>1</v>
      </c>
      <c r="R263" s="1">
        <v>0</v>
      </c>
      <c r="S263" s="1" t="s">
        <v>194</v>
      </c>
      <c r="T263" s="1">
        <v>1</v>
      </c>
      <c r="U263" s="1" t="s">
        <v>194</v>
      </c>
      <c r="V263" s="1" t="s">
        <v>194</v>
      </c>
      <c r="W263" s="1">
        <v>53</v>
      </c>
      <c r="X263" s="1">
        <v>0</v>
      </c>
      <c r="Y263" s="1">
        <v>0</v>
      </c>
      <c r="Z263" s="1">
        <v>24</v>
      </c>
      <c r="AA263" s="1">
        <v>300000</v>
      </c>
      <c r="AB263" s="1">
        <v>2</v>
      </c>
    </row>
    <row r="264" spans="1:28" ht="12.75" customHeight="1" x14ac:dyDescent="0.15">
      <c r="A264" s="5">
        <v>477</v>
      </c>
      <c r="B264" s="5" t="s">
        <v>238</v>
      </c>
      <c r="C264" s="1">
        <v>21</v>
      </c>
      <c r="D264" s="5" t="s">
        <v>982</v>
      </c>
      <c r="E264" s="1">
        <v>0</v>
      </c>
      <c r="F264" s="5" t="s">
        <v>983</v>
      </c>
      <c r="G264" s="1">
        <v>0</v>
      </c>
      <c r="H264" s="5" t="s">
        <v>983</v>
      </c>
      <c r="I264" s="1">
        <v>16</v>
      </c>
      <c r="J264" s="5" t="s">
        <v>981</v>
      </c>
      <c r="K264" s="1">
        <v>0</v>
      </c>
      <c r="L264" s="5" t="s">
        <v>983</v>
      </c>
      <c r="M264" s="1">
        <v>0</v>
      </c>
      <c r="N264" s="5" t="s">
        <v>983</v>
      </c>
      <c r="O264" s="1">
        <v>0</v>
      </c>
      <c r="P264" s="5" t="s">
        <v>983</v>
      </c>
      <c r="Q264" s="1">
        <v>0</v>
      </c>
      <c r="R264" s="1">
        <v>0</v>
      </c>
      <c r="S264" s="1" t="s">
        <v>194</v>
      </c>
      <c r="T264" s="1">
        <v>1</v>
      </c>
      <c r="U264" s="1">
        <v>2</v>
      </c>
      <c r="V264" s="1">
        <v>2</v>
      </c>
      <c r="W264" s="1">
        <v>30</v>
      </c>
      <c r="X264" s="1">
        <v>0</v>
      </c>
      <c r="Y264" s="1">
        <v>2</v>
      </c>
      <c r="Z264" s="1">
        <v>15</v>
      </c>
      <c r="AA264" s="1">
        <v>300000</v>
      </c>
      <c r="AB264" s="1">
        <v>4</v>
      </c>
    </row>
    <row r="265" spans="1:28" ht="12.75" customHeight="1" x14ac:dyDescent="0.15">
      <c r="A265" s="5">
        <v>191</v>
      </c>
      <c r="B265" s="5" t="s">
        <v>238</v>
      </c>
      <c r="C265" s="1">
        <v>18</v>
      </c>
      <c r="D265" s="5" t="s">
        <v>983</v>
      </c>
      <c r="E265" s="1">
        <v>6</v>
      </c>
      <c r="F265" s="5" t="s">
        <v>981</v>
      </c>
      <c r="G265" s="1">
        <v>7</v>
      </c>
      <c r="H265" s="5" t="s">
        <v>981</v>
      </c>
      <c r="I265" s="1">
        <v>6</v>
      </c>
      <c r="J265" s="5" t="s">
        <v>981</v>
      </c>
      <c r="K265" s="1">
        <v>9</v>
      </c>
      <c r="L265" s="5" t="s">
        <v>981</v>
      </c>
      <c r="M265" s="1">
        <v>9</v>
      </c>
      <c r="N265" s="5" t="s">
        <v>981</v>
      </c>
      <c r="O265" s="1">
        <v>1</v>
      </c>
      <c r="P265" s="5" t="s">
        <v>982</v>
      </c>
      <c r="Q265" s="1">
        <v>1</v>
      </c>
      <c r="R265" s="1">
        <v>0</v>
      </c>
      <c r="S265" s="1" t="s">
        <v>194</v>
      </c>
      <c r="T265" s="1">
        <v>1</v>
      </c>
      <c r="U265" s="1" t="s">
        <v>194</v>
      </c>
      <c r="V265" s="1">
        <v>2</v>
      </c>
      <c r="W265" s="1">
        <v>26</v>
      </c>
      <c r="X265" s="1">
        <v>0</v>
      </c>
      <c r="Y265" s="1">
        <v>14</v>
      </c>
      <c r="Z265" s="1">
        <v>14</v>
      </c>
      <c r="AA265" s="1">
        <v>300000</v>
      </c>
      <c r="AB265" s="1">
        <v>6</v>
      </c>
    </row>
    <row r="266" spans="1:28" ht="12.75" customHeight="1" x14ac:dyDescent="0.15">
      <c r="A266" s="5">
        <v>169</v>
      </c>
      <c r="B266" s="5" t="s">
        <v>238</v>
      </c>
      <c r="C266" s="1">
        <v>15</v>
      </c>
      <c r="D266" s="5" t="s">
        <v>983</v>
      </c>
      <c r="E266" s="1">
        <v>2</v>
      </c>
      <c r="F266" s="5" t="s">
        <v>982</v>
      </c>
      <c r="G266" s="1">
        <v>2</v>
      </c>
      <c r="H266" s="5" t="s">
        <v>982</v>
      </c>
      <c r="I266" s="1">
        <v>6</v>
      </c>
      <c r="J266" s="5" t="s">
        <v>981</v>
      </c>
      <c r="K266" s="1">
        <v>2</v>
      </c>
      <c r="L266" s="5" t="s">
        <v>983</v>
      </c>
      <c r="M266" s="1">
        <v>0</v>
      </c>
      <c r="N266" s="5" t="s">
        <v>983</v>
      </c>
      <c r="O266" s="1">
        <v>0</v>
      </c>
      <c r="P266" s="5" t="s">
        <v>983</v>
      </c>
      <c r="Q266" s="1">
        <v>1</v>
      </c>
      <c r="R266" s="1">
        <v>0</v>
      </c>
      <c r="S266" s="1">
        <v>1</v>
      </c>
      <c r="T266" s="1">
        <v>1</v>
      </c>
      <c r="U266" s="1">
        <v>2</v>
      </c>
      <c r="V266" s="1">
        <v>3</v>
      </c>
      <c r="W266" s="1">
        <v>0</v>
      </c>
      <c r="X266" s="1">
        <v>0</v>
      </c>
      <c r="Y266" s="1">
        <v>16</v>
      </c>
      <c r="Z266" s="1">
        <v>11</v>
      </c>
      <c r="AA266" s="1">
        <v>300000</v>
      </c>
      <c r="AB266" s="1">
        <v>5</v>
      </c>
    </row>
    <row r="267" spans="1:28" ht="12.75" customHeight="1" x14ac:dyDescent="0.15">
      <c r="A267" s="5">
        <v>317</v>
      </c>
      <c r="B267" s="5" t="s">
        <v>238</v>
      </c>
      <c r="C267" s="1">
        <v>18</v>
      </c>
      <c r="D267" s="5" t="s">
        <v>983</v>
      </c>
      <c r="E267" s="1">
        <v>1</v>
      </c>
      <c r="F267" s="5" t="s">
        <v>983</v>
      </c>
      <c r="G267" s="1">
        <v>0</v>
      </c>
      <c r="H267" s="5" t="s">
        <v>983</v>
      </c>
      <c r="I267" s="1">
        <v>4</v>
      </c>
      <c r="J267" s="5" t="s">
        <v>982</v>
      </c>
      <c r="K267" s="1">
        <v>0</v>
      </c>
      <c r="L267" s="5" t="s">
        <v>983</v>
      </c>
      <c r="M267" s="1">
        <v>1</v>
      </c>
      <c r="N267" s="5" t="s">
        <v>983</v>
      </c>
      <c r="O267" s="1">
        <v>0</v>
      </c>
      <c r="P267" s="5" t="s">
        <v>983</v>
      </c>
      <c r="Q267" s="1">
        <v>0</v>
      </c>
      <c r="R267" s="1">
        <v>0</v>
      </c>
      <c r="S267" s="1" t="s">
        <v>194</v>
      </c>
      <c r="T267" s="1">
        <v>1</v>
      </c>
      <c r="U267" s="1" t="s">
        <v>194</v>
      </c>
      <c r="V267" s="1">
        <v>2</v>
      </c>
      <c r="W267" s="1">
        <v>38</v>
      </c>
      <c r="X267" s="1">
        <v>1</v>
      </c>
      <c r="Y267" s="1">
        <v>14</v>
      </c>
      <c r="Z267" s="1">
        <v>6</v>
      </c>
      <c r="AA267" s="1">
        <v>300000</v>
      </c>
      <c r="AB267" s="1">
        <v>5</v>
      </c>
    </row>
    <row r="268" spans="1:28" ht="12.75" customHeight="1" x14ac:dyDescent="0.15">
      <c r="A268" s="5">
        <v>230</v>
      </c>
      <c r="B268" s="5" t="s">
        <v>238</v>
      </c>
      <c r="C268" s="1">
        <v>16</v>
      </c>
      <c r="D268" s="5" t="s">
        <v>983</v>
      </c>
      <c r="E268" s="1">
        <v>9</v>
      </c>
      <c r="F268" s="5" t="s">
        <v>981</v>
      </c>
      <c r="G268" s="1">
        <v>9</v>
      </c>
      <c r="H268" s="5" t="s">
        <v>981</v>
      </c>
      <c r="I268" s="1">
        <v>4</v>
      </c>
      <c r="J268" s="5" t="s">
        <v>982</v>
      </c>
      <c r="K268" s="1">
        <v>9</v>
      </c>
      <c r="L268" s="5" t="s">
        <v>981</v>
      </c>
      <c r="M268" s="1">
        <v>9</v>
      </c>
      <c r="N268" s="5" t="s">
        <v>981</v>
      </c>
      <c r="O268" s="1">
        <v>0</v>
      </c>
      <c r="P268" s="5" t="s">
        <v>983</v>
      </c>
      <c r="Q268" s="1">
        <v>1</v>
      </c>
      <c r="R268" s="1">
        <v>0</v>
      </c>
      <c r="S268" s="1">
        <v>1</v>
      </c>
      <c r="T268" s="1">
        <v>1</v>
      </c>
      <c r="U268" s="1">
        <v>3</v>
      </c>
      <c r="V268" s="1">
        <v>3</v>
      </c>
      <c r="W268" s="1">
        <v>45</v>
      </c>
      <c r="X268" s="1">
        <v>0</v>
      </c>
      <c r="Y268" s="1">
        <v>14</v>
      </c>
      <c r="Z268" s="1">
        <v>6</v>
      </c>
      <c r="AA268" s="1">
        <v>300000</v>
      </c>
      <c r="AB268" s="1">
        <v>5</v>
      </c>
    </row>
    <row r="269" spans="1:28" ht="12.75" customHeight="1" x14ac:dyDescent="0.15">
      <c r="A269" s="5">
        <v>151</v>
      </c>
      <c r="B269" s="5" t="s">
        <v>238</v>
      </c>
      <c r="C269" s="1">
        <v>37</v>
      </c>
      <c r="D269" s="5" t="s">
        <v>981</v>
      </c>
      <c r="E269" s="1">
        <v>8</v>
      </c>
      <c r="F269" s="5" t="s">
        <v>981</v>
      </c>
      <c r="G269" s="1">
        <v>7</v>
      </c>
      <c r="H269" s="5" t="s">
        <v>981</v>
      </c>
      <c r="I269" s="1">
        <v>5</v>
      </c>
      <c r="J269" s="5" t="s">
        <v>981</v>
      </c>
      <c r="K269" s="1">
        <v>9</v>
      </c>
      <c r="L269" s="5" t="s">
        <v>981</v>
      </c>
      <c r="M269" s="1">
        <v>9</v>
      </c>
      <c r="N269" s="5" t="s">
        <v>981</v>
      </c>
      <c r="O269" s="1">
        <v>2</v>
      </c>
      <c r="P269" s="5" t="s">
        <v>982</v>
      </c>
      <c r="Q269" s="1">
        <v>1</v>
      </c>
      <c r="R269" s="1">
        <v>0</v>
      </c>
      <c r="S269" s="1">
        <v>1</v>
      </c>
      <c r="T269" s="1">
        <v>1</v>
      </c>
      <c r="U269" s="1">
        <v>5</v>
      </c>
      <c r="V269" s="1">
        <v>5</v>
      </c>
      <c r="W269" s="1">
        <v>47</v>
      </c>
      <c r="X269" s="1">
        <v>1</v>
      </c>
      <c r="Y269" s="1">
        <v>14</v>
      </c>
      <c r="Z269" s="1">
        <v>5</v>
      </c>
      <c r="AA269" s="1">
        <v>300000</v>
      </c>
      <c r="AB269" s="1">
        <v>2</v>
      </c>
    </row>
    <row r="270" spans="1:28" ht="12.75" customHeight="1" x14ac:dyDescent="0.15">
      <c r="A270" s="5">
        <v>307</v>
      </c>
      <c r="B270" s="5" t="s">
        <v>238</v>
      </c>
      <c r="C270" s="1">
        <v>23</v>
      </c>
      <c r="D270" s="5" t="s">
        <v>982</v>
      </c>
      <c r="E270" s="1">
        <v>4</v>
      </c>
      <c r="F270" s="5" t="s">
        <v>982</v>
      </c>
      <c r="G270" s="1">
        <v>1</v>
      </c>
      <c r="H270" s="5" t="s">
        <v>983</v>
      </c>
      <c r="I270" s="1">
        <v>7</v>
      </c>
      <c r="J270" s="5" t="s">
        <v>981</v>
      </c>
      <c r="K270" s="1">
        <v>3</v>
      </c>
      <c r="L270" s="5" t="s">
        <v>982</v>
      </c>
      <c r="M270" s="1">
        <v>3</v>
      </c>
      <c r="N270" s="5" t="s">
        <v>982</v>
      </c>
      <c r="O270" s="1">
        <v>0</v>
      </c>
      <c r="P270" s="5" t="s">
        <v>983</v>
      </c>
      <c r="Q270" s="1">
        <v>1</v>
      </c>
      <c r="R270" s="1">
        <v>0</v>
      </c>
      <c r="S270" s="1" t="s">
        <v>194</v>
      </c>
      <c r="T270" s="1">
        <v>1</v>
      </c>
      <c r="U270" s="1" t="s">
        <v>194</v>
      </c>
      <c r="V270" s="1">
        <v>2</v>
      </c>
      <c r="W270" s="1">
        <v>58</v>
      </c>
      <c r="X270" s="1">
        <v>1</v>
      </c>
      <c r="Y270" s="1">
        <v>2</v>
      </c>
      <c r="Z270" s="1">
        <v>5</v>
      </c>
      <c r="AA270" s="1">
        <v>300000</v>
      </c>
      <c r="AB270" s="1">
        <v>2</v>
      </c>
    </row>
    <row r="271" spans="1:28" ht="12.75" customHeight="1" x14ac:dyDescent="0.15">
      <c r="A271" s="5">
        <v>11</v>
      </c>
      <c r="B271" s="5" t="s">
        <v>238</v>
      </c>
      <c r="C271" s="1">
        <v>39</v>
      </c>
      <c r="D271" s="5" t="s">
        <v>981</v>
      </c>
      <c r="E271" s="1">
        <v>9</v>
      </c>
      <c r="F271" s="5" t="s">
        <v>981</v>
      </c>
      <c r="G271" s="1">
        <v>4</v>
      </c>
      <c r="H271" s="5" t="s">
        <v>982</v>
      </c>
      <c r="I271" s="1">
        <v>11</v>
      </c>
      <c r="J271" s="5" t="s">
        <v>981</v>
      </c>
      <c r="K271" s="1">
        <v>7</v>
      </c>
      <c r="L271" s="5" t="s">
        <v>981</v>
      </c>
      <c r="M271" s="1">
        <v>6</v>
      </c>
      <c r="N271" s="5" t="s">
        <v>981</v>
      </c>
      <c r="O271" s="1">
        <v>4</v>
      </c>
      <c r="P271" s="5" t="s">
        <v>982</v>
      </c>
      <c r="Q271" s="1">
        <v>0</v>
      </c>
      <c r="R271" s="1">
        <v>0</v>
      </c>
      <c r="S271" s="1">
        <v>1</v>
      </c>
      <c r="T271" s="1">
        <v>1</v>
      </c>
      <c r="U271" s="1">
        <v>5</v>
      </c>
      <c r="V271" s="1">
        <v>4</v>
      </c>
      <c r="W271" s="1">
        <v>53</v>
      </c>
      <c r="X271" s="1">
        <v>1</v>
      </c>
      <c r="Y271" s="1">
        <v>14</v>
      </c>
      <c r="Z271" s="1">
        <v>4</v>
      </c>
      <c r="AA271" s="1">
        <v>300000</v>
      </c>
      <c r="AB271" s="1">
        <v>2</v>
      </c>
    </row>
    <row r="272" spans="1:28" ht="12.75" customHeight="1" x14ac:dyDescent="0.15">
      <c r="A272" s="5">
        <v>113</v>
      </c>
      <c r="B272" s="5" t="s">
        <v>238</v>
      </c>
      <c r="C272" s="1">
        <v>17</v>
      </c>
      <c r="D272" s="5" t="s">
        <v>983</v>
      </c>
      <c r="E272" s="1">
        <v>3</v>
      </c>
      <c r="F272" s="5" t="s">
        <v>982</v>
      </c>
      <c r="G272" s="1">
        <v>2</v>
      </c>
      <c r="H272" s="5" t="s">
        <v>982</v>
      </c>
      <c r="I272" s="1">
        <v>8</v>
      </c>
      <c r="J272" s="5" t="s">
        <v>981</v>
      </c>
      <c r="K272" s="1">
        <v>3</v>
      </c>
      <c r="L272" s="5" t="s">
        <v>982</v>
      </c>
      <c r="M272" s="1">
        <v>3</v>
      </c>
      <c r="N272" s="5" t="s">
        <v>982</v>
      </c>
      <c r="O272" s="1">
        <v>0</v>
      </c>
      <c r="P272" s="5" t="s">
        <v>983</v>
      </c>
      <c r="Q272" s="1">
        <v>0</v>
      </c>
      <c r="R272" s="1">
        <v>0</v>
      </c>
      <c r="S272" s="1" t="s">
        <v>194</v>
      </c>
      <c r="T272" s="1">
        <v>1</v>
      </c>
      <c r="U272" s="1">
        <v>5</v>
      </c>
      <c r="V272" s="1">
        <v>4</v>
      </c>
      <c r="W272" s="1">
        <v>53</v>
      </c>
      <c r="X272" s="1">
        <v>1</v>
      </c>
      <c r="Y272" s="1">
        <v>15</v>
      </c>
      <c r="Z272" s="1">
        <v>3</v>
      </c>
      <c r="AA272" s="1">
        <v>300000</v>
      </c>
      <c r="AB272" s="1">
        <v>3</v>
      </c>
    </row>
    <row r="273" spans="1:28" ht="12.75" customHeight="1" x14ac:dyDescent="0.15">
      <c r="A273" s="5">
        <v>114</v>
      </c>
      <c r="B273" s="5" t="s">
        <v>238</v>
      </c>
      <c r="C273" s="1">
        <v>14</v>
      </c>
      <c r="D273" s="5" t="s">
        <v>983</v>
      </c>
      <c r="E273" s="1">
        <v>3</v>
      </c>
      <c r="F273" s="5" t="s">
        <v>982</v>
      </c>
      <c r="G273" s="1">
        <v>3</v>
      </c>
      <c r="H273" s="5" t="s">
        <v>982</v>
      </c>
      <c r="I273" s="1">
        <v>16</v>
      </c>
      <c r="J273" s="5" t="s">
        <v>981</v>
      </c>
      <c r="K273" s="1">
        <v>0</v>
      </c>
      <c r="L273" s="5" t="s">
        <v>983</v>
      </c>
      <c r="M273" s="1">
        <v>2</v>
      </c>
      <c r="N273" s="5" t="s">
        <v>983</v>
      </c>
      <c r="O273" s="1">
        <v>0</v>
      </c>
      <c r="P273" s="5" t="s">
        <v>983</v>
      </c>
      <c r="Q273" s="1">
        <v>0</v>
      </c>
      <c r="R273" s="1">
        <v>0</v>
      </c>
      <c r="S273" s="1">
        <v>1</v>
      </c>
      <c r="T273" s="1">
        <v>1</v>
      </c>
      <c r="U273" s="1">
        <v>3</v>
      </c>
      <c r="V273" s="1">
        <v>3</v>
      </c>
      <c r="W273" s="1">
        <v>53</v>
      </c>
      <c r="X273" s="1">
        <v>1</v>
      </c>
      <c r="Y273" s="1">
        <v>15</v>
      </c>
      <c r="Z273" s="1">
        <v>3</v>
      </c>
      <c r="AA273" s="1">
        <v>300000</v>
      </c>
      <c r="AB273" s="1">
        <v>3</v>
      </c>
    </row>
    <row r="274" spans="1:28" ht="12.75" customHeight="1" x14ac:dyDescent="0.15">
      <c r="A274" s="5">
        <v>340</v>
      </c>
      <c r="B274" s="5" t="s">
        <v>238</v>
      </c>
      <c r="C274" s="1">
        <v>21</v>
      </c>
      <c r="D274" s="5" t="s">
        <v>982</v>
      </c>
      <c r="E274" s="1">
        <v>6</v>
      </c>
      <c r="F274" s="5" t="s">
        <v>981</v>
      </c>
      <c r="G274" s="1">
        <v>5</v>
      </c>
      <c r="H274" s="5" t="s">
        <v>982</v>
      </c>
      <c r="I274" s="1">
        <v>5</v>
      </c>
      <c r="J274" s="5" t="s">
        <v>981</v>
      </c>
      <c r="K274" s="1">
        <v>1</v>
      </c>
      <c r="L274" s="5" t="s">
        <v>983</v>
      </c>
      <c r="M274" s="1">
        <v>6</v>
      </c>
      <c r="N274" s="5" t="s">
        <v>981</v>
      </c>
      <c r="O274" s="1">
        <v>0</v>
      </c>
      <c r="P274" s="5" t="s">
        <v>983</v>
      </c>
      <c r="Q274" s="1">
        <v>0</v>
      </c>
      <c r="R274" s="1">
        <v>0</v>
      </c>
      <c r="S274" s="1" t="s">
        <v>194</v>
      </c>
      <c r="T274" s="1">
        <v>1</v>
      </c>
      <c r="U274" s="1">
        <v>2</v>
      </c>
      <c r="V274" s="1">
        <v>2</v>
      </c>
      <c r="W274" s="1">
        <v>34</v>
      </c>
      <c r="X274" s="1">
        <v>1</v>
      </c>
      <c r="Y274" s="1">
        <v>2</v>
      </c>
      <c r="Z274" s="1">
        <v>3</v>
      </c>
      <c r="AA274" s="1">
        <v>300000</v>
      </c>
      <c r="AB274" s="1">
        <v>2</v>
      </c>
    </row>
    <row r="275" spans="1:28" ht="12.75" customHeight="1" x14ac:dyDescent="0.15">
      <c r="A275" s="5">
        <v>492</v>
      </c>
      <c r="B275" s="5" t="s">
        <v>238</v>
      </c>
      <c r="C275" s="1">
        <v>16</v>
      </c>
      <c r="D275" s="5" t="s">
        <v>983</v>
      </c>
      <c r="E275" s="1">
        <v>0</v>
      </c>
      <c r="F275" s="5" t="s">
        <v>983</v>
      </c>
      <c r="G275" s="1">
        <v>0</v>
      </c>
      <c r="H275" s="5" t="s">
        <v>983</v>
      </c>
      <c r="I275" s="1">
        <v>4</v>
      </c>
      <c r="J275" s="5" t="s">
        <v>982</v>
      </c>
      <c r="K275" s="1">
        <v>0</v>
      </c>
      <c r="L275" s="5" t="s">
        <v>983</v>
      </c>
      <c r="M275" s="1">
        <v>0</v>
      </c>
      <c r="N275" s="5" t="s">
        <v>983</v>
      </c>
      <c r="O275" s="1">
        <v>0</v>
      </c>
      <c r="P275" s="5" t="s">
        <v>983</v>
      </c>
      <c r="Q275" s="1">
        <v>1</v>
      </c>
      <c r="R275" s="1">
        <v>0</v>
      </c>
      <c r="S275" s="1">
        <v>1</v>
      </c>
      <c r="T275" s="1">
        <v>1</v>
      </c>
      <c r="U275" s="1">
        <v>3</v>
      </c>
      <c r="V275" s="1">
        <v>3</v>
      </c>
      <c r="W275" s="1">
        <v>33</v>
      </c>
      <c r="X275" s="1">
        <v>0</v>
      </c>
      <c r="Y275" s="1">
        <v>14</v>
      </c>
      <c r="Z275" s="1">
        <v>2</v>
      </c>
      <c r="AA275" s="1">
        <v>300000</v>
      </c>
      <c r="AB275" s="1">
        <v>4</v>
      </c>
    </row>
    <row r="276" spans="1:28" ht="12.75" customHeight="1" x14ac:dyDescent="0.15">
      <c r="A276" s="5">
        <v>493</v>
      </c>
      <c r="B276" s="5" t="s">
        <v>984</v>
      </c>
      <c r="C276" s="1">
        <v>26</v>
      </c>
      <c r="D276" s="5" t="s">
        <v>981</v>
      </c>
      <c r="E276" s="1">
        <v>5</v>
      </c>
      <c r="F276" s="5" t="s">
        <v>981</v>
      </c>
      <c r="G276" s="1">
        <v>3</v>
      </c>
      <c r="H276" s="5" t="s">
        <v>982</v>
      </c>
      <c r="I276" s="1">
        <v>5</v>
      </c>
      <c r="J276" s="5" t="s">
        <v>981</v>
      </c>
      <c r="K276" s="1">
        <v>9</v>
      </c>
      <c r="L276" s="5" t="s">
        <v>981</v>
      </c>
      <c r="M276" s="1">
        <v>10</v>
      </c>
      <c r="N276" s="5" t="s">
        <v>981</v>
      </c>
      <c r="O276" s="1">
        <v>0</v>
      </c>
      <c r="P276" s="5" t="s">
        <v>983</v>
      </c>
      <c r="Q276" s="1">
        <v>1</v>
      </c>
      <c r="R276" s="1">
        <v>0</v>
      </c>
      <c r="S276" s="1">
        <v>1</v>
      </c>
      <c r="T276" s="1">
        <v>1</v>
      </c>
      <c r="U276" s="1">
        <v>3</v>
      </c>
      <c r="V276" s="1">
        <v>3</v>
      </c>
      <c r="W276" s="1">
        <v>33</v>
      </c>
      <c r="X276" s="1">
        <v>0</v>
      </c>
      <c r="Y276" s="1">
        <v>14</v>
      </c>
      <c r="Z276" s="1">
        <v>2</v>
      </c>
      <c r="AA276" s="1">
        <v>300000</v>
      </c>
      <c r="AB276" s="1">
        <v>4</v>
      </c>
    </row>
    <row r="277" spans="1:28" ht="12.75" customHeight="1" x14ac:dyDescent="0.15">
      <c r="A277" s="5">
        <v>478</v>
      </c>
      <c r="B277" s="5" t="s">
        <v>238</v>
      </c>
      <c r="C277" s="1">
        <v>17</v>
      </c>
      <c r="D277" s="5" t="s">
        <v>983</v>
      </c>
      <c r="E277" s="1">
        <v>4</v>
      </c>
      <c r="F277" s="5" t="s">
        <v>982</v>
      </c>
      <c r="G277" s="1">
        <v>3</v>
      </c>
      <c r="H277" s="5" t="s">
        <v>982</v>
      </c>
      <c r="I277" s="1">
        <v>7</v>
      </c>
      <c r="J277" s="5" t="s">
        <v>981</v>
      </c>
      <c r="K277" s="1">
        <v>0</v>
      </c>
      <c r="L277" s="5" t="s">
        <v>983</v>
      </c>
      <c r="M277" s="1">
        <v>1</v>
      </c>
      <c r="N277" s="5" t="s">
        <v>983</v>
      </c>
      <c r="O277" s="1">
        <v>0</v>
      </c>
      <c r="P277" s="5" t="s">
        <v>983</v>
      </c>
      <c r="Q277" s="1">
        <v>1</v>
      </c>
      <c r="R277" s="1">
        <v>0</v>
      </c>
      <c r="S277" s="1">
        <v>1</v>
      </c>
      <c r="T277" s="1">
        <v>1</v>
      </c>
      <c r="U277" s="1" t="s">
        <v>194</v>
      </c>
      <c r="V277" s="1">
        <v>5</v>
      </c>
      <c r="W277" s="1">
        <v>28</v>
      </c>
      <c r="X277" s="1">
        <v>0</v>
      </c>
      <c r="Y277" s="1">
        <v>3</v>
      </c>
      <c r="Z277" s="1">
        <v>2</v>
      </c>
      <c r="AA277" s="1">
        <v>300000</v>
      </c>
      <c r="AB277" s="1">
        <v>3</v>
      </c>
    </row>
    <row r="278" spans="1:28" ht="12.75" customHeight="1" x14ac:dyDescent="0.15">
      <c r="A278" s="5">
        <v>39</v>
      </c>
      <c r="B278" s="5" t="s">
        <v>238</v>
      </c>
      <c r="C278" s="1">
        <v>16</v>
      </c>
      <c r="D278" s="5" t="s">
        <v>983</v>
      </c>
      <c r="E278" s="1">
        <v>5</v>
      </c>
      <c r="F278" s="5" t="s">
        <v>981</v>
      </c>
      <c r="G278" s="1">
        <v>4</v>
      </c>
      <c r="H278" s="5" t="s">
        <v>982</v>
      </c>
      <c r="I278" s="1">
        <v>12</v>
      </c>
      <c r="J278" s="5" t="s">
        <v>981</v>
      </c>
      <c r="K278" s="1">
        <v>8</v>
      </c>
      <c r="L278" s="5" t="s">
        <v>981</v>
      </c>
      <c r="M278" s="1">
        <v>4</v>
      </c>
      <c r="N278" s="5" t="s">
        <v>982</v>
      </c>
      <c r="O278" s="1">
        <v>0</v>
      </c>
      <c r="P278" s="5" t="s">
        <v>983</v>
      </c>
      <c r="Q278" s="1">
        <v>0</v>
      </c>
      <c r="R278" s="1">
        <v>0</v>
      </c>
      <c r="S278" s="1" t="s">
        <v>194</v>
      </c>
      <c r="T278" s="1">
        <v>1</v>
      </c>
      <c r="U278" s="1">
        <v>4</v>
      </c>
      <c r="V278" s="1">
        <v>1</v>
      </c>
      <c r="W278" s="1">
        <v>53</v>
      </c>
      <c r="X278" s="1">
        <v>0</v>
      </c>
      <c r="Y278" s="1">
        <v>2</v>
      </c>
      <c r="Z278" s="1">
        <v>2</v>
      </c>
      <c r="AA278" s="1">
        <v>300000</v>
      </c>
      <c r="AB278" s="1">
        <v>4</v>
      </c>
    </row>
    <row r="279" spans="1:28" ht="12.75" customHeight="1" x14ac:dyDescent="0.15">
      <c r="A279" s="5">
        <v>67</v>
      </c>
      <c r="B279" s="5" t="s">
        <v>238</v>
      </c>
      <c r="C279" s="1">
        <v>37</v>
      </c>
      <c r="D279" s="5" t="s">
        <v>981</v>
      </c>
      <c r="E279" s="1">
        <v>6</v>
      </c>
      <c r="F279" s="5" t="s">
        <v>981</v>
      </c>
      <c r="G279" s="1">
        <v>3</v>
      </c>
      <c r="H279" s="5" t="s">
        <v>982</v>
      </c>
      <c r="I279" s="1">
        <v>12</v>
      </c>
      <c r="J279" s="5" t="s">
        <v>981</v>
      </c>
      <c r="K279" s="1">
        <v>3</v>
      </c>
      <c r="L279" s="5" t="s">
        <v>982</v>
      </c>
      <c r="M279" s="1">
        <v>3</v>
      </c>
      <c r="N279" s="5" t="s">
        <v>982</v>
      </c>
      <c r="O279" s="1">
        <v>0</v>
      </c>
      <c r="P279" s="5" t="s">
        <v>983</v>
      </c>
      <c r="Q279" s="1">
        <v>1</v>
      </c>
      <c r="R279" s="1">
        <v>0</v>
      </c>
      <c r="S279" s="1">
        <v>1</v>
      </c>
      <c r="T279" s="1">
        <v>1</v>
      </c>
      <c r="U279" s="1">
        <v>4</v>
      </c>
      <c r="V279" s="1">
        <v>4</v>
      </c>
      <c r="W279" s="1">
        <v>62</v>
      </c>
      <c r="X279" s="1">
        <v>0</v>
      </c>
      <c r="Y279" s="1">
        <v>14</v>
      </c>
      <c r="Z279" s="1">
        <v>6</v>
      </c>
      <c r="AA279" s="1">
        <v>290000</v>
      </c>
      <c r="AB279" s="1">
        <v>3</v>
      </c>
    </row>
    <row r="280" spans="1:28" ht="12.75" customHeight="1" x14ac:dyDescent="0.15">
      <c r="A280" s="5">
        <v>18</v>
      </c>
      <c r="B280" s="5" t="s">
        <v>238</v>
      </c>
      <c r="C280" s="1">
        <v>17</v>
      </c>
      <c r="D280" s="5" t="s">
        <v>983</v>
      </c>
      <c r="E280" s="1">
        <v>0</v>
      </c>
      <c r="F280" s="5" t="s">
        <v>983</v>
      </c>
      <c r="G280" s="1">
        <v>0</v>
      </c>
      <c r="H280" s="5" t="s">
        <v>983</v>
      </c>
      <c r="I280" s="1">
        <v>16</v>
      </c>
      <c r="J280" s="5" t="s">
        <v>981</v>
      </c>
      <c r="K280" s="1">
        <v>0</v>
      </c>
      <c r="L280" s="5" t="s">
        <v>983</v>
      </c>
      <c r="M280" s="1">
        <v>0</v>
      </c>
      <c r="N280" s="5" t="s">
        <v>983</v>
      </c>
      <c r="O280" s="1">
        <v>0</v>
      </c>
      <c r="P280" s="5" t="s">
        <v>983</v>
      </c>
      <c r="Q280" s="1">
        <v>1</v>
      </c>
      <c r="R280" s="1">
        <v>0</v>
      </c>
      <c r="S280" s="1">
        <v>1</v>
      </c>
      <c r="T280" s="1">
        <v>1</v>
      </c>
      <c r="U280" s="1" t="s">
        <v>194</v>
      </c>
      <c r="V280" s="1" t="s">
        <v>194</v>
      </c>
      <c r="W280" s="1">
        <v>55</v>
      </c>
      <c r="X280" s="1">
        <v>0</v>
      </c>
      <c r="Y280" s="1">
        <v>16</v>
      </c>
      <c r="Z280" s="1">
        <v>10</v>
      </c>
      <c r="AA280" s="1">
        <v>270000</v>
      </c>
      <c r="AB280" s="1">
        <v>3</v>
      </c>
    </row>
    <row r="281" spans="1:28" ht="12.75" customHeight="1" x14ac:dyDescent="0.15">
      <c r="A281" s="5">
        <v>82</v>
      </c>
      <c r="B281" s="5" t="s">
        <v>984</v>
      </c>
      <c r="C281" s="1">
        <v>18</v>
      </c>
      <c r="D281" s="5" t="s">
        <v>983</v>
      </c>
      <c r="E281" s="1">
        <v>0</v>
      </c>
      <c r="F281" s="5" t="s">
        <v>983</v>
      </c>
      <c r="G281" s="1">
        <v>1</v>
      </c>
      <c r="H281" s="5" t="s">
        <v>983</v>
      </c>
      <c r="I281" s="1">
        <v>8</v>
      </c>
      <c r="J281" s="5" t="s">
        <v>981</v>
      </c>
      <c r="K281" s="1">
        <v>0</v>
      </c>
      <c r="L281" s="5" t="s">
        <v>983</v>
      </c>
      <c r="M281" s="1">
        <v>0</v>
      </c>
      <c r="N281" s="5" t="s">
        <v>983</v>
      </c>
      <c r="O281" s="1">
        <v>0</v>
      </c>
      <c r="P281" s="5" t="s">
        <v>983</v>
      </c>
      <c r="Q281" s="1">
        <v>0</v>
      </c>
      <c r="R281" s="1">
        <v>0</v>
      </c>
      <c r="S281" s="1" t="s">
        <v>194</v>
      </c>
      <c r="T281" s="1">
        <v>1</v>
      </c>
      <c r="U281" s="1">
        <v>5</v>
      </c>
      <c r="V281" s="1">
        <v>2</v>
      </c>
      <c r="W281" s="1">
        <v>68</v>
      </c>
      <c r="X281" s="1">
        <v>0</v>
      </c>
      <c r="Y281" s="1">
        <v>12</v>
      </c>
      <c r="Z281" s="1">
        <v>1</v>
      </c>
      <c r="AA281" s="1">
        <v>260000</v>
      </c>
      <c r="AB281" s="1">
        <v>2</v>
      </c>
    </row>
    <row r="282" spans="1:28" ht="12.75" customHeight="1" x14ac:dyDescent="0.15">
      <c r="A282" s="5">
        <v>310</v>
      </c>
      <c r="B282" s="5" t="s">
        <v>238</v>
      </c>
      <c r="C282" s="1">
        <v>24</v>
      </c>
      <c r="D282" s="5" t="s">
        <v>981</v>
      </c>
      <c r="E282" s="1">
        <v>8</v>
      </c>
      <c r="F282" s="5" t="s">
        <v>981</v>
      </c>
      <c r="G282" s="1">
        <v>9</v>
      </c>
      <c r="H282" s="5" t="s">
        <v>981</v>
      </c>
      <c r="I282" s="1">
        <v>7</v>
      </c>
      <c r="J282" s="5" t="s">
        <v>981</v>
      </c>
      <c r="K282" s="1">
        <v>7</v>
      </c>
      <c r="L282" s="5" t="s">
        <v>981</v>
      </c>
      <c r="M282" s="1">
        <v>6</v>
      </c>
      <c r="N282" s="5" t="s">
        <v>981</v>
      </c>
      <c r="O282" s="1">
        <v>0</v>
      </c>
      <c r="P282" s="5" t="s">
        <v>983</v>
      </c>
      <c r="Q282" s="1">
        <v>0</v>
      </c>
      <c r="R282" s="1">
        <v>0</v>
      </c>
      <c r="S282" s="1" t="s">
        <v>194</v>
      </c>
      <c r="T282" s="1">
        <v>1</v>
      </c>
      <c r="U282" s="1">
        <v>5</v>
      </c>
      <c r="V282" s="1">
        <v>3</v>
      </c>
      <c r="W282" s="1">
        <v>29</v>
      </c>
      <c r="X282" s="1">
        <v>0</v>
      </c>
      <c r="Y282" s="1">
        <v>16</v>
      </c>
      <c r="Z282" s="1">
        <v>34</v>
      </c>
      <c r="AA282" s="1">
        <v>250000</v>
      </c>
      <c r="AB282" s="1">
        <v>3</v>
      </c>
    </row>
    <row r="283" spans="1:28" ht="12.75" customHeight="1" x14ac:dyDescent="0.15">
      <c r="A283" s="5">
        <v>327</v>
      </c>
      <c r="B283" s="5" t="s">
        <v>238</v>
      </c>
      <c r="C283" s="1">
        <v>20</v>
      </c>
      <c r="D283" s="5" t="s">
        <v>982</v>
      </c>
      <c r="E283" s="1">
        <v>4</v>
      </c>
      <c r="F283" s="5" t="s">
        <v>982</v>
      </c>
      <c r="G283" s="1">
        <v>3</v>
      </c>
      <c r="H283" s="5" t="s">
        <v>982</v>
      </c>
      <c r="I283" s="1">
        <v>16</v>
      </c>
      <c r="J283" s="5" t="s">
        <v>981</v>
      </c>
      <c r="K283" s="1">
        <v>0</v>
      </c>
      <c r="L283" s="5" t="s">
        <v>983</v>
      </c>
      <c r="M283" s="1">
        <v>0</v>
      </c>
      <c r="N283" s="5" t="s">
        <v>983</v>
      </c>
      <c r="O283" s="1">
        <v>0</v>
      </c>
      <c r="P283" s="5" t="s">
        <v>983</v>
      </c>
      <c r="Q283" s="1">
        <v>0</v>
      </c>
      <c r="R283" s="1">
        <v>0</v>
      </c>
      <c r="S283" s="1" t="s">
        <v>194</v>
      </c>
      <c r="T283" s="1">
        <v>0</v>
      </c>
      <c r="U283" s="1" t="s">
        <v>194</v>
      </c>
      <c r="V283" s="1" t="s">
        <v>194</v>
      </c>
      <c r="W283" s="1">
        <v>30</v>
      </c>
      <c r="X283" s="1">
        <v>0</v>
      </c>
      <c r="Y283" s="1">
        <v>4</v>
      </c>
      <c r="Z283" s="1">
        <v>34</v>
      </c>
      <c r="AA283" s="1">
        <v>250000</v>
      </c>
      <c r="AB283" s="1">
        <v>1</v>
      </c>
    </row>
    <row r="284" spans="1:28" ht="12.75" customHeight="1" x14ac:dyDescent="0.15">
      <c r="A284" s="5">
        <v>76</v>
      </c>
      <c r="B284" s="5" t="s">
        <v>238</v>
      </c>
      <c r="C284" s="1">
        <v>13</v>
      </c>
      <c r="D284" s="5" t="s">
        <v>983</v>
      </c>
      <c r="E284" s="1">
        <v>6</v>
      </c>
      <c r="F284" s="5" t="s">
        <v>981</v>
      </c>
      <c r="G284" s="1">
        <v>7</v>
      </c>
      <c r="H284" s="5" t="s">
        <v>981</v>
      </c>
      <c r="I284" s="1">
        <v>4</v>
      </c>
      <c r="J284" s="5" t="s">
        <v>982</v>
      </c>
      <c r="K284" s="1">
        <v>7</v>
      </c>
      <c r="L284" s="5" t="s">
        <v>981</v>
      </c>
      <c r="M284" s="1">
        <v>6</v>
      </c>
      <c r="N284" s="5" t="s">
        <v>981</v>
      </c>
      <c r="O284" s="1">
        <v>0</v>
      </c>
      <c r="P284" s="5" t="s">
        <v>983</v>
      </c>
      <c r="Q284" s="1">
        <v>1</v>
      </c>
      <c r="R284" s="1">
        <v>0</v>
      </c>
      <c r="S284" s="1">
        <v>1</v>
      </c>
      <c r="T284" s="1">
        <v>1</v>
      </c>
      <c r="U284" s="1">
        <v>3</v>
      </c>
      <c r="V284" s="1">
        <v>2</v>
      </c>
      <c r="W284" s="1">
        <v>41</v>
      </c>
      <c r="X284" s="1">
        <v>0</v>
      </c>
      <c r="Y284" s="1">
        <v>17</v>
      </c>
      <c r="Z284" s="1">
        <v>26</v>
      </c>
      <c r="AA284" s="1">
        <v>250000</v>
      </c>
      <c r="AB284" s="1">
        <v>2</v>
      </c>
    </row>
    <row r="285" spans="1:28" ht="12.75" customHeight="1" x14ac:dyDescent="0.15">
      <c r="A285" s="5">
        <v>367</v>
      </c>
      <c r="B285" s="5" t="s">
        <v>984</v>
      </c>
      <c r="C285" s="1">
        <v>20</v>
      </c>
      <c r="D285" s="5" t="s">
        <v>982</v>
      </c>
      <c r="E285" s="1">
        <v>6</v>
      </c>
      <c r="F285" s="5" t="s">
        <v>981</v>
      </c>
      <c r="G285" s="1">
        <v>3</v>
      </c>
      <c r="H285" s="5" t="s">
        <v>982</v>
      </c>
      <c r="I285" s="1">
        <v>4</v>
      </c>
      <c r="J285" s="5" t="s">
        <v>982</v>
      </c>
      <c r="K285" s="1">
        <v>3</v>
      </c>
      <c r="L285" s="5" t="s">
        <v>982</v>
      </c>
      <c r="M285" s="1">
        <v>3</v>
      </c>
      <c r="N285" s="5" t="s">
        <v>982</v>
      </c>
      <c r="O285" s="1">
        <v>0</v>
      </c>
      <c r="P285" s="5" t="s">
        <v>983</v>
      </c>
      <c r="Q285" s="1">
        <v>1</v>
      </c>
      <c r="R285" s="1">
        <v>0</v>
      </c>
      <c r="S285" s="1">
        <v>0</v>
      </c>
      <c r="T285" s="1">
        <v>1</v>
      </c>
      <c r="U285" s="1" t="s">
        <v>194</v>
      </c>
      <c r="V285" s="1">
        <v>1</v>
      </c>
      <c r="W285" s="1">
        <v>55</v>
      </c>
      <c r="X285" s="1">
        <v>1</v>
      </c>
      <c r="Y285" s="1">
        <v>14</v>
      </c>
      <c r="Z285" s="1">
        <v>24</v>
      </c>
      <c r="AA285" s="1">
        <v>250000</v>
      </c>
      <c r="AB285" s="1">
        <v>6</v>
      </c>
    </row>
    <row r="286" spans="1:28" ht="12.75" customHeight="1" x14ac:dyDescent="0.15">
      <c r="A286" s="5">
        <v>481</v>
      </c>
      <c r="B286" s="5" t="s">
        <v>984</v>
      </c>
      <c r="C286" s="1">
        <v>24</v>
      </c>
      <c r="D286" s="5" t="s">
        <v>981</v>
      </c>
      <c r="E286" s="1">
        <v>6</v>
      </c>
      <c r="F286" s="5" t="s">
        <v>981</v>
      </c>
      <c r="G286" s="1">
        <v>6</v>
      </c>
      <c r="H286" s="5" t="s">
        <v>981</v>
      </c>
      <c r="I286" s="1">
        <v>8</v>
      </c>
      <c r="J286" s="5" t="s">
        <v>981</v>
      </c>
      <c r="K286" s="1">
        <v>6</v>
      </c>
      <c r="L286" s="5" t="s">
        <v>981</v>
      </c>
      <c r="M286" s="1">
        <v>6</v>
      </c>
      <c r="N286" s="5" t="s">
        <v>981</v>
      </c>
      <c r="O286" s="1">
        <v>0</v>
      </c>
      <c r="P286" s="5" t="s">
        <v>983</v>
      </c>
      <c r="Q286" s="1">
        <v>1</v>
      </c>
      <c r="R286" s="1">
        <v>0</v>
      </c>
      <c r="S286" s="1">
        <v>1</v>
      </c>
      <c r="T286" s="1">
        <v>1</v>
      </c>
      <c r="U286" s="1">
        <v>5</v>
      </c>
      <c r="V286" s="1">
        <v>5</v>
      </c>
      <c r="W286" s="1">
        <v>53</v>
      </c>
      <c r="X286" s="1">
        <v>0</v>
      </c>
      <c r="Y286" s="1">
        <v>14</v>
      </c>
      <c r="Z286" s="1">
        <v>7</v>
      </c>
      <c r="AA286" s="1">
        <v>250000</v>
      </c>
      <c r="AB286" s="1">
        <v>1</v>
      </c>
    </row>
    <row r="287" spans="1:28" ht="12.75" customHeight="1" x14ac:dyDescent="0.15">
      <c r="A287" s="5">
        <v>362</v>
      </c>
      <c r="B287" s="5" t="s">
        <v>984</v>
      </c>
      <c r="C287" s="1">
        <v>41</v>
      </c>
      <c r="D287" s="5" t="s">
        <v>981</v>
      </c>
      <c r="E287" s="1">
        <v>2</v>
      </c>
      <c r="F287" s="5" t="s">
        <v>982</v>
      </c>
      <c r="G287" s="1">
        <v>5</v>
      </c>
      <c r="H287" s="5" t="s">
        <v>982</v>
      </c>
      <c r="I287" s="1">
        <v>6</v>
      </c>
      <c r="J287" s="5" t="s">
        <v>981</v>
      </c>
      <c r="K287" s="1">
        <v>0</v>
      </c>
      <c r="L287" s="5" t="s">
        <v>983</v>
      </c>
      <c r="M287" s="1">
        <v>3</v>
      </c>
      <c r="N287" s="5" t="s">
        <v>982</v>
      </c>
      <c r="O287" s="1">
        <v>1</v>
      </c>
      <c r="P287" s="5" t="s">
        <v>982</v>
      </c>
      <c r="Q287" s="1">
        <v>1</v>
      </c>
      <c r="R287" s="1">
        <v>0</v>
      </c>
      <c r="S287" s="1">
        <v>1</v>
      </c>
      <c r="T287" s="1">
        <v>1</v>
      </c>
      <c r="U287" s="1" t="s">
        <v>194</v>
      </c>
      <c r="V287" s="1">
        <v>3</v>
      </c>
      <c r="W287" s="1">
        <v>54</v>
      </c>
      <c r="X287" s="1">
        <v>0</v>
      </c>
      <c r="Y287" s="1">
        <v>2</v>
      </c>
      <c r="Z287" s="1">
        <v>3</v>
      </c>
      <c r="AA287" s="1">
        <v>250000</v>
      </c>
      <c r="AB287" s="1">
        <v>2</v>
      </c>
    </row>
    <row r="288" spans="1:28" ht="12.75" customHeight="1" x14ac:dyDescent="0.15">
      <c r="A288" s="5">
        <v>189</v>
      </c>
      <c r="B288" s="5" t="s">
        <v>984</v>
      </c>
      <c r="C288" s="1">
        <v>18</v>
      </c>
      <c r="D288" s="5" t="s">
        <v>983</v>
      </c>
      <c r="E288" s="1">
        <v>6</v>
      </c>
      <c r="F288" s="5" t="s">
        <v>981</v>
      </c>
      <c r="G288" s="1">
        <v>4</v>
      </c>
      <c r="H288" s="5" t="s">
        <v>982</v>
      </c>
      <c r="I288" s="1">
        <v>4</v>
      </c>
      <c r="J288" s="5" t="s">
        <v>982</v>
      </c>
      <c r="K288" s="1">
        <v>9</v>
      </c>
      <c r="L288" s="5" t="s">
        <v>981</v>
      </c>
      <c r="M288" s="1">
        <v>9</v>
      </c>
      <c r="N288" s="5" t="s">
        <v>981</v>
      </c>
      <c r="O288" s="1">
        <v>0</v>
      </c>
      <c r="P288" s="5" t="s">
        <v>983</v>
      </c>
      <c r="Q288" s="1">
        <v>1</v>
      </c>
      <c r="R288" s="1">
        <v>0</v>
      </c>
      <c r="S288" s="1">
        <v>1</v>
      </c>
      <c r="T288" s="1">
        <v>1</v>
      </c>
      <c r="U288" s="1">
        <v>3</v>
      </c>
      <c r="V288" s="1">
        <v>1</v>
      </c>
      <c r="W288" s="1">
        <v>29</v>
      </c>
      <c r="X288" s="1">
        <v>0</v>
      </c>
      <c r="Y288" s="1">
        <v>15</v>
      </c>
      <c r="Z288" s="1">
        <v>2</v>
      </c>
      <c r="AA288" s="1">
        <v>250000</v>
      </c>
      <c r="AB288" s="1">
        <v>2</v>
      </c>
    </row>
    <row r="289" spans="1:28" ht="12.75" customHeight="1" x14ac:dyDescent="0.15">
      <c r="A289" s="5">
        <v>329</v>
      </c>
      <c r="B289" s="5" t="s">
        <v>238</v>
      </c>
      <c r="C289" s="1">
        <v>22</v>
      </c>
      <c r="D289" s="5" t="s">
        <v>982</v>
      </c>
      <c r="E289" s="1">
        <v>7</v>
      </c>
      <c r="F289" s="5" t="s">
        <v>981</v>
      </c>
      <c r="G289" s="1">
        <v>3</v>
      </c>
      <c r="H289" s="5" t="s">
        <v>982</v>
      </c>
      <c r="I289" s="1">
        <v>11</v>
      </c>
      <c r="J289" s="5" t="s">
        <v>981</v>
      </c>
      <c r="K289" s="1">
        <v>6</v>
      </c>
      <c r="L289" s="5" t="s">
        <v>981</v>
      </c>
      <c r="M289" s="1">
        <v>6</v>
      </c>
      <c r="N289" s="5" t="s">
        <v>981</v>
      </c>
      <c r="O289" s="1">
        <v>0</v>
      </c>
      <c r="P289" s="5" t="s">
        <v>983</v>
      </c>
      <c r="Q289" s="1">
        <v>0</v>
      </c>
      <c r="R289" s="1">
        <v>0</v>
      </c>
      <c r="S289" s="1" t="s">
        <v>194</v>
      </c>
      <c r="T289" s="1">
        <v>1</v>
      </c>
      <c r="U289" s="1">
        <v>5</v>
      </c>
      <c r="V289" s="1">
        <v>2</v>
      </c>
      <c r="W289" s="1">
        <v>49</v>
      </c>
      <c r="X289" s="1">
        <v>1</v>
      </c>
      <c r="Y289" s="1">
        <v>13</v>
      </c>
      <c r="Z289" s="1">
        <v>2</v>
      </c>
      <c r="AA289" s="1">
        <v>250000</v>
      </c>
      <c r="AB289" s="1">
        <v>1</v>
      </c>
    </row>
    <row r="290" spans="1:28" ht="12.75" customHeight="1" x14ac:dyDescent="0.15">
      <c r="A290" s="5">
        <v>275</v>
      </c>
      <c r="B290" s="5" t="s">
        <v>238</v>
      </c>
      <c r="C290" s="1">
        <v>22</v>
      </c>
      <c r="D290" s="5" t="s">
        <v>982</v>
      </c>
      <c r="E290" s="1">
        <v>3</v>
      </c>
      <c r="F290" s="5" t="s">
        <v>982</v>
      </c>
      <c r="G290" s="1">
        <v>5</v>
      </c>
      <c r="H290" s="5" t="s">
        <v>982</v>
      </c>
      <c r="I290" s="1">
        <v>0</v>
      </c>
      <c r="J290" s="5" t="s">
        <v>983</v>
      </c>
      <c r="K290" s="1">
        <v>2</v>
      </c>
      <c r="L290" s="5" t="s">
        <v>983</v>
      </c>
      <c r="M290" s="1">
        <v>6</v>
      </c>
      <c r="N290" s="5" t="s">
        <v>981</v>
      </c>
      <c r="O290" s="1">
        <v>0</v>
      </c>
      <c r="P290" s="5" t="s">
        <v>983</v>
      </c>
      <c r="Q290" s="1">
        <v>0</v>
      </c>
      <c r="R290" s="1">
        <v>0</v>
      </c>
      <c r="S290" s="1" t="s">
        <v>194</v>
      </c>
      <c r="T290" s="1">
        <v>1</v>
      </c>
      <c r="U290" s="1" t="s">
        <v>194</v>
      </c>
      <c r="V290" s="1">
        <v>2</v>
      </c>
      <c r="W290" s="1">
        <v>35</v>
      </c>
      <c r="X290" s="1">
        <v>0</v>
      </c>
      <c r="Y290" s="1">
        <v>16</v>
      </c>
      <c r="Z290" s="1">
        <v>1</v>
      </c>
      <c r="AA290" s="1">
        <v>250000</v>
      </c>
      <c r="AB290" s="1">
        <v>1</v>
      </c>
    </row>
    <row r="291" spans="1:28" ht="12.75" customHeight="1" x14ac:dyDescent="0.15">
      <c r="A291" s="5">
        <v>70</v>
      </c>
      <c r="B291" s="5" t="s">
        <v>238</v>
      </c>
      <c r="C291" s="1">
        <v>22</v>
      </c>
      <c r="D291" s="5" t="s">
        <v>982</v>
      </c>
      <c r="E291" s="1">
        <v>6</v>
      </c>
      <c r="F291" s="5" t="s">
        <v>981</v>
      </c>
      <c r="G291" s="1">
        <v>4</v>
      </c>
      <c r="H291" s="5" t="s">
        <v>982</v>
      </c>
      <c r="I291" s="1">
        <v>3</v>
      </c>
      <c r="J291" s="5" t="s">
        <v>982</v>
      </c>
      <c r="K291" s="1">
        <v>0</v>
      </c>
      <c r="L291" s="5" t="s">
        <v>983</v>
      </c>
      <c r="M291" s="1">
        <v>6</v>
      </c>
      <c r="N291" s="5" t="s">
        <v>981</v>
      </c>
      <c r="O291" s="1">
        <v>0</v>
      </c>
      <c r="P291" s="5" t="s">
        <v>983</v>
      </c>
      <c r="Q291" s="1">
        <v>1</v>
      </c>
      <c r="R291" s="1">
        <v>0</v>
      </c>
      <c r="S291" s="1">
        <v>1</v>
      </c>
      <c r="T291" s="1">
        <v>1</v>
      </c>
      <c r="U291" s="1">
        <v>1</v>
      </c>
      <c r="V291" s="1">
        <v>2</v>
      </c>
      <c r="W291" s="1">
        <v>37</v>
      </c>
      <c r="X291" s="1">
        <v>1</v>
      </c>
      <c r="Y291" s="1">
        <v>14</v>
      </c>
      <c r="Z291" s="1">
        <v>1</v>
      </c>
      <c r="AA291" s="1">
        <v>250000</v>
      </c>
      <c r="AB291" s="1">
        <v>5</v>
      </c>
    </row>
    <row r="292" spans="1:28" ht="12.75" customHeight="1" x14ac:dyDescent="0.15">
      <c r="A292" s="5">
        <v>55</v>
      </c>
      <c r="B292" s="5" t="s">
        <v>238</v>
      </c>
      <c r="C292" s="1">
        <v>23</v>
      </c>
      <c r="D292" s="5" t="s">
        <v>982</v>
      </c>
      <c r="E292" s="1">
        <v>5</v>
      </c>
      <c r="F292" s="5" t="s">
        <v>981</v>
      </c>
      <c r="G292" s="1">
        <v>6</v>
      </c>
      <c r="H292" s="5" t="s">
        <v>981</v>
      </c>
      <c r="I292" s="1">
        <v>16</v>
      </c>
      <c r="J292" s="5" t="s">
        <v>981</v>
      </c>
      <c r="K292" s="1">
        <v>0</v>
      </c>
      <c r="L292" s="5" t="s">
        <v>983</v>
      </c>
      <c r="M292" s="1">
        <v>2</v>
      </c>
      <c r="N292" s="5" t="s">
        <v>983</v>
      </c>
      <c r="O292" s="1">
        <v>0</v>
      </c>
      <c r="P292" s="5" t="s">
        <v>983</v>
      </c>
      <c r="Q292" s="1">
        <v>0</v>
      </c>
      <c r="R292" s="1">
        <v>0</v>
      </c>
      <c r="S292" s="1" t="s">
        <v>194</v>
      </c>
      <c r="T292" s="1">
        <v>1</v>
      </c>
      <c r="U292" s="1">
        <v>4</v>
      </c>
      <c r="V292" s="1">
        <v>3</v>
      </c>
      <c r="W292" s="1">
        <v>28</v>
      </c>
      <c r="X292" s="1">
        <v>0</v>
      </c>
      <c r="Y292" s="1">
        <v>17</v>
      </c>
      <c r="Z292" s="1">
        <v>3</v>
      </c>
      <c r="AA292" s="1">
        <v>240000</v>
      </c>
      <c r="AB292" s="1">
        <v>3</v>
      </c>
    </row>
    <row r="293" spans="1:28" ht="12.75" customHeight="1" x14ac:dyDescent="0.15">
      <c r="A293" s="5">
        <v>54</v>
      </c>
      <c r="B293" s="5" t="s">
        <v>238</v>
      </c>
      <c r="C293" s="1">
        <v>21</v>
      </c>
      <c r="D293" s="5" t="s">
        <v>982</v>
      </c>
      <c r="E293" s="1">
        <v>7</v>
      </c>
      <c r="F293" s="5" t="s">
        <v>981</v>
      </c>
      <c r="G293" s="1">
        <v>4</v>
      </c>
      <c r="H293" s="5" t="s">
        <v>982</v>
      </c>
      <c r="I293" s="1">
        <v>8</v>
      </c>
      <c r="J293" s="5" t="s">
        <v>981</v>
      </c>
      <c r="K293" s="1">
        <v>6</v>
      </c>
      <c r="L293" s="5" t="s">
        <v>981</v>
      </c>
      <c r="M293" s="1">
        <v>6</v>
      </c>
      <c r="N293" s="5" t="s">
        <v>981</v>
      </c>
      <c r="O293" s="1">
        <v>6</v>
      </c>
      <c r="P293" s="5" t="s">
        <v>982</v>
      </c>
      <c r="Q293" s="1">
        <v>1</v>
      </c>
      <c r="R293" s="1">
        <v>0</v>
      </c>
      <c r="S293" s="1" t="s">
        <v>194</v>
      </c>
      <c r="T293" s="1">
        <v>1</v>
      </c>
      <c r="U293" s="1">
        <v>5</v>
      </c>
      <c r="V293" s="1">
        <v>2</v>
      </c>
      <c r="W293" s="1">
        <v>57</v>
      </c>
      <c r="X293" s="1">
        <v>0</v>
      </c>
      <c r="Y293" s="1">
        <v>14</v>
      </c>
      <c r="Z293" s="1">
        <v>3</v>
      </c>
      <c r="AA293" s="1">
        <v>240000</v>
      </c>
      <c r="AB293" s="1">
        <v>3</v>
      </c>
    </row>
    <row r="294" spans="1:28" ht="12.75" customHeight="1" x14ac:dyDescent="0.15">
      <c r="A294" s="5">
        <v>377</v>
      </c>
      <c r="B294" s="5" t="s">
        <v>238</v>
      </c>
      <c r="C294" s="1">
        <v>24</v>
      </c>
      <c r="D294" s="5" t="s">
        <v>981</v>
      </c>
      <c r="E294" s="1">
        <v>9</v>
      </c>
      <c r="F294" s="5" t="s">
        <v>981</v>
      </c>
      <c r="G294" s="1">
        <v>9</v>
      </c>
      <c r="H294" s="5" t="s">
        <v>981</v>
      </c>
      <c r="I294" s="1">
        <v>4</v>
      </c>
      <c r="J294" s="5" t="s">
        <v>982</v>
      </c>
      <c r="K294" s="1">
        <v>9</v>
      </c>
      <c r="L294" s="5" t="s">
        <v>981</v>
      </c>
      <c r="M294" s="1">
        <v>9</v>
      </c>
      <c r="N294" s="5" t="s">
        <v>981</v>
      </c>
      <c r="O294" s="1">
        <v>7</v>
      </c>
      <c r="P294" s="5" t="s">
        <v>982</v>
      </c>
      <c r="Q294" s="1">
        <v>1</v>
      </c>
      <c r="R294" s="1">
        <v>0</v>
      </c>
      <c r="S294" s="1">
        <v>1</v>
      </c>
      <c r="T294" s="1">
        <v>1</v>
      </c>
      <c r="U294" s="1">
        <v>1</v>
      </c>
      <c r="V294" s="1">
        <v>1</v>
      </c>
      <c r="W294" s="1">
        <v>47</v>
      </c>
      <c r="X294" s="1">
        <v>0</v>
      </c>
      <c r="Y294" s="1">
        <v>14</v>
      </c>
      <c r="Z294" s="1">
        <v>24</v>
      </c>
      <c r="AA294" s="1">
        <v>230000</v>
      </c>
      <c r="AB294" s="1">
        <v>3</v>
      </c>
    </row>
    <row r="295" spans="1:28" ht="12.75" customHeight="1" x14ac:dyDescent="0.15">
      <c r="A295" s="5">
        <v>331</v>
      </c>
      <c r="B295" s="5" t="s">
        <v>238</v>
      </c>
      <c r="C295" s="1">
        <v>29</v>
      </c>
      <c r="D295" s="5" t="s">
        <v>981</v>
      </c>
      <c r="E295" s="1">
        <v>3</v>
      </c>
      <c r="F295" s="5" t="s">
        <v>982</v>
      </c>
      <c r="G295" s="1">
        <v>0</v>
      </c>
      <c r="H295" s="5" t="s">
        <v>983</v>
      </c>
      <c r="I295" s="1">
        <v>6</v>
      </c>
      <c r="J295" s="5" t="s">
        <v>981</v>
      </c>
      <c r="K295" s="1">
        <v>5</v>
      </c>
      <c r="L295" s="5" t="s">
        <v>982</v>
      </c>
      <c r="M295" s="1">
        <v>5</v>
      </c>
      <c r="N295" s="5" t="s">
        <v>982</v>
      </c>
      <c r="O295" s="1">
        <v>0</v>
      </c>
      <c r="P295" s="5" t="s">
        <v>983</v>
      </c>
      <c r="Q295" s="1">
        <v>1</v>
      </c>
      <c r="R295" s="1">
        <v>0</v>
      </c>
      <c r="S295" s="1">
        <v>1</v>
      </c>
      <c r="T295" s="1">
        <v>1</v>
      </c>
      <c r="U295" s="1">
        <v>4</v>
      </c>
      <c r="V295" s="1">
        <v>3</v>
      </c>
      <c r="W295" s="1">
        <v>69</v>
      </c>
      <c r="X295" s="1">
        <v>0</v>
      </c>
      <c r="Y295" s="1">
        <v>12</v>
      </c>
      <c r="Z295" s="1">
        <v>5</v>
      </c>
      <c r="AA295" s="1">
        <v>230000</v>
      </c>
      <c r="AB295" s="1">
        <v>3</v>
      </c>
    </row>
    <row r="296" spans="1:28" ht="12.75" customHeight="1" x14ac:dyDescent="0.15">
      <c r="A296" s="5">
        <v>49</v>
      </c>
      <c r="B296" s="5" t="s">
        <v>984</v>
      </c>
      <c r="C296" s="1">
        <v>40</v>
      </c>
      <c r="D296" s="5" t="s">
        <v>981</v>
      </c>
      <c r="E296" s="1">
        <v>5</v>
      </c>
      <c r="F296" s="5" t="s">
        <v>981</v>
      </c>
      <c r="G296" s="1">
        <v>4</v>
      </c>
      <c r="H296" s="5" t="s">
        <v>982</v>
      </c>
      <c r="I296" s="1">
        <v>4</v>
      </c>
      <c r="J296" s="5" t="s">
        <v>982</v>
      </c>
      <c r="K296" s="1">
        <v>1</v>
      </c>
      <c r="L296" s="5" t="s">
        <v>983</v>
      </c>
      <c r="M296" s="1">
        <v>5</v>
      </c>
      <c r="N296" s="5" t="s">
        <v>982</v>
      </c>
      <c r="O296" s="1">
        <v>2</v>
      </c>
      <c r="P296" s="5" t="s">
        <v>982</v>
      </c>
      <c r="Q296" s="1">
        <v>1</v>
      </c>
      <c r="R296" s="1">
        <v>0</v>
      </c>
      <c r="S296" s="1">
        <v>1</v>
      </c>
      <c r="T296" s="1">
        <v>1</v>
      </c>
      <c r="U296" s="1" t="s">
        <v>194</v>
      </c>
      <c r="V296" s="1">
        <v>2</v>
      </c>
      <c r="W296" s="1">
        <v>38</v>
      </c>
      <c r="X296" s="1">
        <v>0</v>
      </c>
      <c r="Y296" s="1">
        <v>14</v>
      </c>
      <c r="Z296" s="1">
        <v>13</v>
      </c>
      <c r="AA296" s="1">
        <v>210000</v>
      </c>
      <c r="AB296" s="1">
        <v>4</v>
      </c>
    </row>
    <row r="297" spans="1:28" ht="12.75" customHeight="1" x14ac:dyDescent="0.15">
      <c r="A297" s="5">
        <v>109</v>
      </c>
      <c r="B297" s="5" t="s">
        <v>238</v>
      </c>
      <c r="C297" s="1">
        <v>32</v>
      </c>
      <c r="D297" s="5" t="s">
        <v>981</v>
      </c>
      <c r="E297" s="1">
        <v>6</v>
      </c>
      <c r="F297" s="5" t="s">
        <v>981</v>
      </c>
      <c r="G297" s="1">
        <v>6</v>
      </c>
      <c r="H297" s="5" t="s">
        <v>981</v>
      </c>
      <c r="I297" s="1">
        <v>16</v>
      </c>
      <c r="J297" s="5" t="s">
        <v>981</v>
      </c>
      <c r="K297" s="1">
        <v>3</v>
      </c>
      <c r="L297" s="5" t="s">
        <v>982</v>
      </c>
      <c r="M297" s="1">
        <v>3</v>
      </c>
      <c r="N297" s="5" t="s">
        <v>982</v>
      </c>
      <c r="O297" s="1">
        <v>0</v>
      </c>
      <c r="P297" s="5" t="s">
        <v>983</v>
      </c>
      <c r="Q297" s="1">
        <v>0</v>
      </c>
      <c r="R297" s="1">
        <v>0</v>
      </c>
      <c r="S297" s="1" t="s">
        <v>194</v>
      </c>
      <c r="T297" s="1">
        <v>1</v>
      </c>
      <c r="U297" s="1">
        <v>2</v>
      </c>
      <c r="V297" s="1">
        <v>3</v>
      </c>
      <c r="W297" s="1">
        <v>53</v>
      </c>
      <c r="X297" s="1">
        <v>0</v>
      </c>
      <c r="Y297" s="1">
        <v>14</v>
      </c>
      <c r="Z297" s="1">
        <v>34</v>
      </c>
      <c r="AA297" s="1">
        <v>202000</v>
      </c>
      <c r="AB297" s="1">
        <v>4</v>
      </c>
    </row>
    <row r="298" spans="1:28" ht="12.75" customHeight="1" x14ac:dyDescent="0.15">
      <c r="A298" s="5">
        <v>440</v>
      </c>
      <c r="B298" s="5" t="s">
        <v>984</v>
      </c>
      <c r="C298" s="1">
        <v>29</v>
      </c>
      <c r="D298" s="5" t="s">
        <v>981</v>
      </c>
      <c r="E298" s="1">
        <v>0</v>
      </c>
      <c r="F298" s="5" t="s">
        <v>983</v>
      </c>
      <c r="G298" s="1">
        <v>5</v>
      </c>
      <c r="H298" s="5" t="s">
        <v>982</v>
      </c>
      <c r="I298" s="1">
        <v>9</v>
      </c>
      <c r="J298" s="5" t="s">
        <v>981</v>
      </c>
      <c r="K298" s="1">
        <v>8</v>
      </c>
      <c r="L298" s="5" t="s">
        <v>981</v>
      </c>
      <c r="M298" s="1">
        <v>4</v>
      </c>
      <c r="N298" s="5" t="s">
        <v>982</v>
      </c>
      <c r="O298" s="1">
        <v>5</v>
      </c>
      <c r="P298" s="5" t="s">
        <v>982</v>
      </c>
      <c r="Q298" s="1">
        <v>0</v>
      </c>
      <c r="R298" s="1">
        <v>0</v>
      </c>
      <c r="S298" s="1">
        <v>0</v>
      </c>
      <c r="T298" s="1">
        <v>1</v>
      </c>
      <c r="U298" s="1" t="s">
        <v>194</v>
      </c>
      <c r="V298" s="1">
        <v>4</v>
      </c>
      <c r="W298" s="1">
        <v>59</v>
      </c>
      <c r="X298" s="1">
        <v>0</v>
      </c>
      <c r="Y298" s="1">
        <v>14</v>
      </c>
      <c r="Z298" s="1">
        <v>34</v>
      </c>
      <c r="AA298" s="1">
        <v>200000</v>
      </c>
      <c r="AB298" s="1">
        <v>5</v>
      </c>
    </row>
    <row r="299" spans="1:28" ht="12.75" customHeight="1" x14ac:dyDescent="0.15">
      <c r="A299" s="5">
        <v>431</v>
      </c>
      <c r="B299" s="5" t="s">
        <v>238</v>
      </c>
      <c r="C299" s="1">
        <v>28</v>
      </c>
      <c r="D299" s="5" t="s">
        <v>981</v>
      </c>
      <c r="E299" s="1">
        <v>6</v>
      </c>
      <c r="F299" s="5" t="s">
        <v>981</v>
      </c>
      <c r="G299" s="1">
        <v>6</v>
      </c>
      <c r="H299" s="5" t="s">
        <v>981</v>
      </c>
      <c r="I299" s="1">
        <v>8</v>
      </c>
      <c r="J299" s="5" t="s">
        <v>981</v>
      </c>
      <c r="K299" s="1">
        <v>6</v>
      </c>
      <c r="L299" s="5" t="s">
        <v>981</v>
      </c>
      <c r="M299" s="1">
        <v>6</v>
      </c>
      <c r="N299" s="5" t="s">
        <v>981</v>
      </c>
      <c r="O299" s="1">
        <v>0</v>
      </c>
      <c r="P299" s="5" t="s">
        <v>983</v>
      </c>
      <c r="Q299" s="1">
        <v>1</v>
      </c>
      <c r="R299" s="1">
        <v>0</v>
      </c>
      <c r="S299" s="1">
        <v>1</v>
      </c>
      <c r="T299" s="1">
        <v>1</v>
      </c>
      <c r="U299" s="1">
        <v>5</v>
      </c>
      <c r="V299" s="1">
        <v>5</v>
      </c>
      <c r="W299" s="1">
        <v>40</v>
      </c>
      <c r="X299" s="1">
        <v>0</v>
      </c>
      <c r="Y299" s="1">
        <v>4</v>
      </c>
      <c r="Z299" s="1">
        <v>34</v>
      </c>
      <c r="AA299" s="1">
        <v>200000</v>
      </c>
      <c r="AB299" s="1">
        <v>1</v>
      </c>
    </row>
    <row r="300" spans="1:28" ht="12.75" customHeight="1" x14ac:dyDescent="0.15">
      <c r="A300" s="5">
        <v>425</v>
      </c>
      <c r="B300" s="5" t="s">
        <v>238</v>
      </c>
      <c r="C300" s="1">
        <v>19</v>
      </c>
      <c r="D300" s="5" t="s">
        <v>982</v>
      </c>
      <c r="E300" s="1">
        <v>0</v>
      </c>
      <c r="F300" s="5" t="s">
        <v>983</v>
      </c>
      <c r="G300" s="1">
        <v>2</v>
      </c>
      <c r="H300" s="5" t="s">
        <v>982</v>
      </c>
      <c r="I300" s="1">
        <v>8</v>
      </c>
      <c r="J300" s="5" t="s">
        <v>981</v>
      </c>
      <c r="K300" s="1">
        <v>0</v>
      </c>
      <c r="L300" s="5" t="s">
        <v>983</v>
      </c>
      <c r="M300" s="1">
        <v>0</v>
      </c>
      <c r="N300" s="5" t="s">
        <v>983</v>
      </c>
      <c r="O300" s="1">
        <v>0</v>
      </c>
      <c r="P300" s="5" t="s">
        <v>983</v>
      </c>
      <c r="Q300" s="1">
        <v>1</v>
      </c>
      <c r="R300" s="1">
        <v>0</v>
      </c>
      <c r="S300" s="1">
        <v>1</v>
      </c>
      <c r="T300" s="1">
        <v>1</v>
      </c>
      <c r="U300" s="1">
        <v>1</v>
      </c>
      <c r="V300" s="1">
        <v>4</v>
      </c>
      <c r="W300" s="1">
        <v>38</v>
      </c>
      <c r="X300" s="1">
        <v>1</v>
      </c>
      <c r="Y300" s="1">
        <v>1</v>
      </c>
      <c r="Z300" s="1">
        <v>34</v>
      </c>
      <c r="AA300" s="1">
        <v>200000</v>
      </c>
      <c r="AB300" s="1">
        <v>4</v>
      </c>
    </row>
    <row r="301" spans="1:28" ht="12.75" customHeight="1" x14ac:dyDescent="0.15">
      <c r="A301" s="5">
        <v>220</v>
      </c>
      <c r="B301" s="5" t="s">
        <v>984</v>
      </c>
      <c r="C301" s="1">
        <v>22</v>
      </c>
      <c r="D301" s="5" t="s">
        <v>982</v>
      </c>
      <c r="E301" s="1">
        <v>5</v>
      </c>
      <c r="F301" s="5" t="s">
        <v>981</v>
      </c>
      <c r="G301" s="1">
        <v>2</v>
      </c>
      <c r="H301" s="5" t="s">
        <v>982</v>
      </c>
      <c r="I301" s="1">
        <v>8</v>
      </c>
      <c r="J301" s="5" t="s">
        <v>981</v>
      </c>
      <c r="K301" s="1">
        <v>0</v>
      </c>
      <c r="L301" s="5" t="s">
        <v>983</v>
      </c>
      <c r="M301" s="1">
        <v>4</v>
      </c>
      <c r="N301" s="5" t="s">
        <v>982</v>
      </c>
      <c r="O301" s="1">
        <v>0</v>
      </c>
      <c r="P301" s="5" t="s">
        <v>983</v>
      </c>
      <c r="Q301" s="1">
        <v>0</v>
      </c>
      <c r="R301" s="1">
        <v>0</v>
      </c>
      <c r="S301" s="1" t="s">
        <v>194</v>
      </c>
      <c r="T301" s="1">
        <v>1</v>
      </c>
      <c r="U301" s="1">
        <v>3</v>
      </c>
      <c r="V301" s="1">
        <v>2</v>
      </c>
      <c r="W301" s="1">
        <v>47</v>
      </c>
      <c r="X301" s="1">
        <v>1</v>
      </c>
      <c r="Y301" s="1">
        <v>6</v>
      </c>
      <c r="Z301" s="1">
        <v>29</v>
      </c>
      <c r="AA301" s="1">
        <v>200000</v>
      </c>
      <c r="AB301" s="1">
        <v>2</v>
      </c>
    </row>
    <row r="302" spans="1:28" ht="12.75" customHeight="1" x14ac:dyDescent="0.15">
      <c r="A302" s="5">
        <v>205</v>
      </c>
      <c r="B302" s="5" t="s">
        <v>238</v>
      </c>
      <c r="C302" s="1">
        <v>25</v>
      </c>
      <c r="D302" s="5" t="s">
        <v>981</v>
      </c>
      <c r="E302" s="1">
        <v>6</v>
      </c>
      <c r="F302" s="5" t="s">
        <v>981</v>
      </c>
      <c r="G302" s="1">
        <v>6</v>
      </c>
      <c r="H302" s="5" t="s">
        <v>981</v>
      </c>
      <c r="I302" s="1">
        <v>9</v>
      </c>
      <c r="J302" s="5" t="s">
        <v>981</v>
      </c>
      <c r="K302" s="1">
        <v>2</v>
      </c>
      <c r="L302" s="5" t="s">
        <v>983</v>
      </c>
      <c r="M302" s="1">
        <v>5</v>
      </c>
      <c r="N302" s="5" t="s">
        <v>982</v>
      </c>
      <c r="O302" s="1">
        <v>3</v>
      </c>
      <c r="P302" s="5" t="s">
        <v>982</v>
      </c>
      <c r="Q302" s="1">
        <v>1</v>
      </c>
      <c r="R302" s="1">
        <v>0</v>
      </c>
      <c r="S302" s="1">
        <v>1</v>
      </c>
      <c r="T302" s="1">
        <v>1</v>
      </c>
      <c r="U302" s="1" t="s">
        <v>194</v>
      </c>
      <c r="V302" s="1">
        <v>5</v>
      </c>
      <c r="W302" s="1">
        <v>45</v>
      </c>
      <c r="X302" s="1">
        <v>1</v>
      </c>
      <c r="Y302" s="1">
        <v>1</v>
      </c>
      <c r="Z302" s="1">
        <v>18</v>
      </c>
      <c r="AA302" s="1">
        <v>200000</v>
      </c>
      <c r="AB302" s="1">
        <v>2</v>
      </c>
    </row>
    <row r="303" spans="1:28" ht="12.75" customHeight="1" x14ac:dyDescent="0.15">
      <c r="A303" s="5">
        <v>69</v>
      </c>
      <c r="B303" s="5" t="s">
        <v>238</v>
      </c>
      <c r="C303" s="1">
        <v>38</v>
      </c>
      <c r="D303" s="5" t="s">
        <v>981</v>
      </c>
      <c r="E303" s="1">
        <v>6</v>
      </c>
      <c r="F303" s="5" t="s">
        <v>981</v>
      </c>
      <c r="G303" s="1">
        <v>6</v>
      </c>
      <c r="H303" s="5" t="s">
        <v>981</v>
      </c>
      <c r="I303" s="1">
        <v>9</v>
      </c>
      <c r="J303" s="5" t="s">
        <v>981</v>
      </c>
      <c r="K303" s="1">
        <v>6</v>
      </c>
      <c r="L303" s="5" t="s">
        <v>981</v>
      </c>
      <c r="M303" s="1">
        <v>6</v>
      </c>
      <c r="N303" s="5" t="s">
        <v>981</v>
      </c>
      <c r="O303" s="1">
        <v>16</v>
      </c>
      <c r="P303" s="5" t="s">
        <v>981</v>
      </c>
      <c r="Q303" s="1">
        <v>1</v>
      </c>
      <c r="R303" s="1">
        <v>0</v>
      </c>
      <c r="S303" s="1">
        <v>1</v>
      </c>
      <c r="T303" s="1">
        <v>1</v>
      </c>
      <c r="U303" s="1">
        <v>3</v>
      </c>
      <c r="V303" s="1">
        <v>3</v>
      </c>
      <c r="W303" s="1">
        <v>33</v>
      </c>
      <c r="X303" s="1">
        <v>1</v>
      </c>
      <c r="Y303" s="1">
        <v>14</v>
      </c>
      <c r="Z303" s="1">
        <v>9</v>
      </c>
      <c r="AA303" s="1">
        <v>200000</v>
      </c>
      <c r="AB303" s="1">
        <v>4</v>
      </c>
    </row>
    <row r="304" spans="1:28" ht="12.75" customHeight="1" x14ac:dyDescent="0.15">
      <c r="A304" s="5">
        <v>182</v>
      </c>
      <c r="B304" s="5" t="s">
        <v>238</v>
      </c>
      <c r="C304" s="1">
        <v>19</v>
      </c>
      <c r="D304" s="5" t="s">
        <v>982</v>
      </c>
      <c r="E304" s="1">
        <v>8</v>
      </c>
      <c r="F304" s="5" t="s">
        <v>981</v>
      </c>
      <c r="G304" s="1">
        <v>6</v>
      </c>
      <c r="H304" s="5" t="s">
        <v>981</v>
      </c>
      <c r="I304" s="1">
        <v>3</v>
      </c>
      <c r="J304" s="5" t="s">
        <v>982</v>
      </c>
      <c r="K304" s="1">
        <v>3</v>
      </c>
      <c r="L304" s="5" t="s">
        <v>982</v>
      </c>
      <c r="M304" s="1">
        <v>0</v>
      </c>
      <c r="N304" s="5" t="s">
        <v>983</v>
      </c>
      <c r="O304" s="1">
        <v>0</v>
      </c>
      <c r="P304" s="5" t="s">
        <v>983</v>
      </c>
      <c r="Q304" s="1">
        <v>1</v>
      </c>
      <c r="R304" s="1">
        <v>0</v>
      </c>
      <c r="S304" s="1">
        <v>1</v>
      </c>
      <c r="T304" s="1">
        <v>1</v>
      </c>
      <c r="U304" s="1">
        <v>1</v>
      </c>
      <c r="V304" s="1">
        <v>2</v>
      </c>
      <c r="W304" s="1">
        <v>22</v>
      </c>
      <c r="X304" s="1">
        <v>0</v>
      </c>
      <c r="Y304" s="1">
        <v>17</v>
      </c>
      <c r="Z304" s="1">
        <v>6</v>
      </c>
      <c r="AA304" s="1">
        <v>200000</v>
      </c>
      <c r="AB304" s="1">
        <v>2</v>
      </c>
    </row>
    <row r="305" spans="1:28" ht="12.75" customHeight="1" x14ac:dyDescent="0.15">
      <c r="A305" s="5">
        <v>200</v>
      </c>
      <c r="B305" s="5" t="s">
        <v>238</v>
      </c>
      <c r="C305" s="1">
        <v>17</v>
      </c>
      <c r="D305" s="5" t="s">
        <v>983</v>
      </c>
      <c r="E305" s="1">
        <v>2</v>
      </c>
      <c r="F305" s="5" t="s">
        <v>982</v>
      </c>
      <c r="G305" s="1">
        <v>2</v>
      </c>
      <c r="H305" s="5" t="s">
        <v>982</v>
      </c>
      <c r="I305" s="1">
        <v>3</v>
      </c>
      <c r="J305" s="5" t="s">
        <v>982</v>
      </c>
      <c r="K305" s="1">
        <v>0</v>
      </c>
      <c r="L305" s="5" t="s">
        <v>983</v>
      </c>
      <c r="M305" s="1">
        <v>2</v>
      </c>
      <c r="N305" s="5" t="s">
        <v>983</v>
      </c>
      <c r="O305" s="1">
        <v>0</v>
      </c>
      <c r="P305" s="5" t="s">
        <v>983</v>
      </c>
      <c r="Q305" s="1">
        <v>1</v>
      </c>
      <c r="R305" s="1">
        <v>0</v>
      </c>
      <c r="S305" s="1">
        <v>1</v>
      </c>
      <c r="T305" s="1">
        <v>1</v>
      </c>
      <c r="U305" s="1">
        <v>3</v>
      </c>
      <c r="V305" s="1">
        <v>2</v>
      </c>
      <c r="W305" s="1">
        <v>51</v>
      </c>
      <c r="X305" s="1">
        <v>1</v>
      </c>
      <c r="Y305" s="1">
        <v>16</v>
      </c>
      <c r="Z305" s="1">
        <v>6</v>
      </c>
      <c r="AA305" s="1">
        <v>200000</v>
      </c>
      <c r="AB305" s="1">
        <v>4</v>
      </c>
    </row>
    <row r="306" spans="1:28" ht="12.75" customHeight="1" x14ac:dyDescent="0.15">
      <c r="A306" s="5">
        <v>474</v>
      </c>
      <c r="B306" s="5" t="s">
        <v>238</v>
      </c>
      <c r="C306" s="1">
        <v>15</v>
      </c>
      <c r="D306" s="5" t="s">
        <v>983</v>
      </c>
      <c r="E306" s="1">
        <v>6</v>
      </c>
      <c r="F306" s="5" t="s">
        <v>981</v>
      </c>
      <c r="G306" s="1">
        <v>4</v>
      </c>
      <c r="H306" s="5" t="s">
        <v>982</v>
      </c>
      <c r="I306" s="1">
        <v>6</v>
      </c>
      <c r="J306" s="5" t="s">
        <v>981</v>
      </c>
      <c r="K306" s="1">
        <v>0</v>
      </c>
      <c r="L306" s="5" t="s">
        <v>983</v>
      </c>
      <c r="M306" s="1">
        <v>1</v>
      </c>
      <c r="N306" s="5" t="s">
        <v>983</v>
      </c>
      <c r="O306" s="1">
        <v>0</v>
      </c>
      <c r="P306" s="5" t="s">
        <v>983</v>
      </c>
      <c r="Q306" s="1">
        <v>1</v>
      </c>
      <c r="R306" s="1">
        <v>0</v>
      </c>
      <c r="S306" s="1">
        <v>1</v>
      </c>
      <c r="T306" s="1">
        <v>1</v>
      </c>
      <c r="U306" s="1">
        <v>2</v>
      </c>
      <c r="V306" s="1">
        <v>2</v>
      </c>
      <c r="W306" s="1">
        <v>36</v>
      </c>
      <c r="X306" s="1">
        <v>1</v>
      </c>
      <c r="Y306" s="1">
        <v>11</v>
      </c>
      <c r="Z306" s="1">
        <v>6</v>
      </c>
      <c r="AA306" s="1">
        <v>200000</v>
      </c>
      <c r="AB306" s="1">
        <v>1</v>
      </c>
    </row>
    <row r="307" spans="1:28" ht="12.75" customHeight="1" x14ac:dyDescent="0.15">
      <c r="A307" s="5">
        <v>8</v>
      </c>
      <c r="B307" s="5" t="s">
        <v>238</v>
      </c>
      <c r="C307" s="1">
        <v>12</v>
      </c>
      <c r="D307" s="5" t="s">
        <v>983</v>
      </c>
      <c r="E307" s="1">
        <v>0</v>
      </c>
      <c r="F307" s="5" t="s">
        <v>983</v>
      </c>
      <c r="G307" s="1">
        <v>0</v>
      </c>
      <c r="H307" s="5" t="s">
        <v>983</v>
      </c>
      <c r="I307" s="1">
        <v>16</v>
      </c>
      <c r="J307" s="5" t="s">
        <v>981</v>
      </c>
      <c r="K307" s="1">
        <v>0</v>
      </c>
      <c r="L307" s="5" t="s">
        <v>983</v>
      </c>
      <c r="M307" s="1">
        <v>0</v>
      </c>
      <c r="N307" s="5" t="s">
        <v>983</v>
      </c>
      <c r="O307" s="1">
        <v>0</v>
      </c>
      <c r="P307" s="5" t="s">
        <v>983</v>
      </c>
      <c r="Q307" s="1">
        <v>0</v>
      </c>
      <c r="R307" s="1">
        <v>0</v>
      </c>
      <c r="S307" s="1" t="s">
        <v>194</v>
      </c>
      <c r="T307" s="1">
        <v>1</v>
      </c>
      <c r="U307" s="1" t="s">
        <v>194</v>
      </c>
      <c r="V307" s="1" t="s">
        <v>194</v>
      </c>
      <c r="W307" s="1">
        <v>44</v>
      </c>
      <c r="X307" s="1">
        <v>0</v>
      </c>
      <c r="Y307" s="1">
        <v>12</v>
      </c>
      <c r="Z307" s="1">
        <v>4</v>
      </c>
      <c r="AA307" s="1">
        <v>200000</v>
      </c>
      <c r="AB307" s="1">
        <v>4</v>
      </c>
    </row>
    <row r="308" spans="1:28" ht="12.75" customHeight="1" x14ac:dyDescent="0.15">
      <c r="A308" s="5">
        <v>233</v>
      </c>
      <c r="B308" s="5" t="s">
        <v>984</v>
      </c>
      <c r="C308" s="1">
        <v>23</v>
      </c>
      <c r="D308" s="5" t="s">
        <v>982</v>
      </c>
      <c r="E308" s="1">
        <v>0</v>
      </c>
      <c r="F308" s="5" t="s">
        <v>983</v>
      </c>
      <c r="G308" s="1">
        <v>3</v>
      </c>
      <c r="H308" s="5" t="s">
        <v>982</v>
      </c>
      <c r="I308" s="1">
        <v>9</v>
      </c>
      <c r="J308" s="5" t="s">
        <v>981</v>
      </c>
      <c r="K308" s="1">
        <v>0</v>
      </c>
      <c r="L308" s="5" t="s">
        <v>983</v>
      </c>
      <c r="M308" s="1">
        <v>0</v>
      </c>
      <c r="N308" s="5" t="s">
        <v>983</v>
      </c>
      <c r="O308" s="1">
        <v>0</v>
      </c>
      <c r="P308" s="5" t="s">
        <v>983</v>
      </c>
      <c r="Q308" s="1">
        <v>0</v>
      </c>
      <c r="R308" s="1">
        <v>1</v>
      </c>
      <c r="S308" s="1" t="s">
        <v>194</v>
      </c>
      <c r="T308" s="1">
        <v>1</v>
      </c>
      <c r="U308" s="1" t="s">
        <v>194</v>
      </c>
      <c r="V308" s="1">
        <v>3</v>
      </c>
      <c r="W308" s="1">
        <v>43</v>
      </c>
      <c r="X308" s="1">
        <v>0</v>
      </c>
      <c r="Y308" s="1">
        <v>13</v>
      </c>
      <c r="Z308" s="1">
        <v>2</v>
      </c>
      <c r="AA308" s="1">
        <v>200000</v>
      </c>
      <c r="AB308" s="1">
        <v>3</v>
      </c>
    </row>
    <row r="309" spans="1:28" ht="12.75" customHeight="1" x14ac:dyDescent="0.15">
      <c r="A309" s="5">
        <v>384</v>
      </c>
      <c r="B309" s="5" t="s">
        <v>238</v>
      </c>
      <c r="C309" s="1">
        <v>30</v>
      </c>
      <c r="D309" s="5" t="s">
        <v>981</v>
      </c>
      <c r="E309" s="1">
        <v>7</v>
      </c>
      <c r="F309" s="5" t="s">
        <v>981</v>
      </c>
      <c r="G309" s="1">
        <v>6</v>
      </c>
      <c r="H309" s="5" t="s">
        <v>981</v>
      </c>
      <c r="I309" s="1">
        <v>10</v>
      </c>
      <c r="J309" s="5" t="s">
        <v>981</v>
      </c>
      <c r="K309" s="1">
        <v>7</v>
      </c>
      <c r="L309" s="5" t="s">
        <v>981</v>
      </c>
      <c r="M309" s="1">
        <v>5</v>
      </c>
      <c r="N309" s="5" t="s">
        <v>982</v>
      </c>
      <c r="O309" s="1">
        <v>0</v>
      </c>
      <c r="P309" s="5" t="s">
        <v>983</v>
      </c>
      <c r="Q309" s="1">
        <v>1</v>
      </c>
      <c r="R309" s="1">
        <v>0</v>
      </c>
      <c r="S309" s="1">
        <v>1</v>
      </c>
      <c r="T309" s="1">
        <v>1</v>
      </c>
      <c r="U309" s="1">
        <v>4</v>
      </c>
      <c r="V309" s="1">
        <v>4</v>
      </c>
      <c r="W309" s="1">
        <v>38</v>
      </c>
      <c r="X309" s="1">
        <v>1</v>
      </c>
      <c r="Y309" s="1">
        <v>14</v>
      </c>
      <c r="Z309" s="1">
        <v>1</v>
      </c>
      <c r="AA309" s="1">
        <v>200000</v>
      </c>
      <c r="AB309" s="1">
        <v>2</v>
      </c>
    </row>
    <row r="310" spans="1:28" ht="12.75" customHeight="1" x14ac:dyDescent="0.15">
      <c r="A310" s="5">
        <v>390</v>
      </c>
      <c r="B310" s="5" t="s">
        <v>984</v>
      </c>
      <c r="C310" s="1">
        <v>30</v>
      </c>
      <c r="D310" s="5" t="s">
        <v>981</v>
      </c>
      <c r="E310" s="1">
        <v>3</v>
      </c>
      <c r="F310" s="5" t="s">
        <v>982</v>
      </c>
      <c r="G310" s="1">
        <v>4</v>
      </c>
      <c r="H310" s="5" t="s">
        <v>982</v>
      </c>
      <c r="I310" s="1">
        <v>7</v>
      </c>
      <c r="J310" s="5" t="s">
        <v>981</v>
      </c>
      <c r="K310" s="1">
        <v>0</v>
      </c>
      <c r="L310" s="5" t="s">
        <v>983</v>
      </c>
      <c r="M310" s="1">
        <v>0</v>
      </c>
      <c r="N310" s="5" t="s">
        <v>983</v>
      </c>
      <c r="O310" s="1">
        <v>2</v>
      </c>
      <c r="P310" s="5" t="s">
        <v>982</v>
      </c>
      <c r="Q310" s="1">
        <v>0</v>
      </c>
      <c r="R310" s="1">
        <v>0</v>
      </c>
      <c r="S310" s="1" t="s">
        <v>194</v>
      </c>
      <c r="T310" s="1">
        <v>1</v>
      </c>
      <c r="U310" s="1">
        <v>4</v>
      </c>
      <c r="V310" s="1">
        <v>3</v>
      </c>
      <c r="W310" s="1">
        <v>47</v>
      </c>
      <c r="X310" s="1">
        <v>0</v>
      </c>
      <c r="Y310" s="1">
        <v>5</v>
      </c>
      <c r="Z310" s="1">
        <v>1</v>
      </c>
      <c r="AA310" s="1">
        <v>200000</v>
      </c>
      <c r="AB310" s="1">
        <v>4</v>
      </c>
    </row>
    <row r="311" spans="1:28" ht="12.75" customHeight="1" x14ac:dyDescent="0.15">
      <c r="A311" s="5">
        <v>122</v>
      </c>
      <c r="B311" s="5" t="s">
        <v>984</v>
      </c>
      <c r="C311" s="1">
        <v>22</v>
      </c>
      <c r="D311" s="5" t="s">
        <v>982</v>
      </c>
      <c r="E311" s="1">
        <v>3</v>
      </c>
      <c r="F311" s="5" t="s">
        <v>982</v>
      </c>
      <c r="G311" s="1">
        <v>7</v>
      </c>
      <c r="H311" s="5" t="s">
        <v>981</v>
      </c>
      <c r="I311" s="1">
        <v>3</v>
      </c>
      <c r="J311" s="5" t="s">
        <v>982</v>
      </c>
      <c r="K311" s="1">
        <v>9</v>
      </c>
      <c r="L311" s="5" t="s">
        <v>981</v>
      </c>
      <c r="M311" s="1">
        <v>4</v>
      </c>
      <c r="N311" s="5" t="s">
        <v>982</v>
      </c>
      <c r="O311" s="1">
        <v>0</v>
      </c>
      <c r="P311" s="5" t="s">
        <v>983</v>
      </c>
      <c r="Q311" s="1">
        <v>0</v>
      </c>
      <c r="R311" s="1">
        <v>0</v>
      </c>
      <c r="S311" s="1" t="s">
        <v>194</v>
      </c>
      <c r="T311" s="1">
        <v>1</v>
      </c>
      <c r="U311" s="1">
        <v>2</v>
      </c>
      <c r="V311" s="1">
        <v>2</v>
      </c>
      <c r="W311" s="1">
        <v>34</v>
      </c>
      <c r="X311" s="1">
        <v>0</v>
      </c>
      <c r="Y311" s="1">
        <v>14</v>
      </c>
      <c r="Z311" s="1">
        <v>34</v>
      </c>
      <c r="AA311" s="1">
        <v>190000</v>
      </c>
      <c r="AB311" s="1">
        <v>4</v>
      </c>
    </row>
    <row r="312" spans="1:28" ht="12.75" customHeight="1" x14ac:dyDescent="0.15">
      <c r="A312" s="5">
        <v>433</v>
      </c>
      <c r="B312" s="5" t="s">
        <v>238</v>
      </c>
      <c r="C312" s="1">
        <v>30</v>
      </c>
      <c r="D312" s="5" t="s">
        <v>981</v>
      </c>
      <c r="E312" s="1">
        <v>2</v>
      </c>
      <c r="F312" s="5" t="s">
        <v>982</v>
      </c>
      <c r="G312" s="1">
        <v>6</v>
      </c>
      <c r="H312" s="5" t="s">
        <v>981</v>
      </c>
      <c r="I312" s="1">
        <v>8</v>
      </c>
      <c r="J312" s="5" t="s">
        <v>981</v>
      </c>
      <c r="K312" s="1">
        <v>3</v>
      </c>
      <c r="L312" s="5" t="s">
        <v>982</v>
      </c>
      <c r="M312" s="1">
        <v>0</v>
      </c>
      <c r="N312" s="5" t="s">
        <v>983</v>
      </c>
      <c r="O312" s="1">
        <v>0</v>
      </c>
      <c r="P312" s="5" t="s">
        <v>983</v>
      </c>
      <c r="Q312" s="1">
        <v>0</v>
      </c>
      <c r="R312" s="1">
        <v>0</v>
      </c>
      <c r="S312" s="1" t="s">
        <v>194</v>
      </c>
      <c r="T312" s="1">
        <v>1</v>
      </c>
      <c r="U312" s="1" t="s">
        <v>194</v>
      </c>
      <c r="V312" s="1">
        <v>1</v>
      </c>
      <c r="W312" s="1">
        <v>59</v>
      </c>
      <c r="X312" s="1">
        <v>0</v>
      </c>
      <c r="Y312" s="1">
        <v>14</v>
      </c>
      <c r="Z312" s="1">
        <v>34</v>
      </c>
      <c r="AA312" s="1">
        <v>150000</v>
      </c>
      <c r="AB312" s="1">
        <v>3</v>
      </c>
    </row>
    <row r="313" spans="1:28" ht="12.75" customHeight="1" x14ac:dyDescent="0.15">
      <c r="A313" s="5">
        <v>281</v>
      </c>
      <c r="B313" s="5" t="s">
        <v>238</v>
      </c>
      <c r="C313" s="1">
        <v>12</v>
      </c>
      <c r="D313" s="5" t="s">
        <v>983</v>
      </c>
      <c r="E313" s="1">
        <v>3</v>
      </c>
      <c r="F313" s="5" t="s">
        <v>982</v>
      </c>
      <c r="G313" s="1">
        <v>0</v>
      </c>
      <c r="H313" s="5" t="s">
        <v>983</v>
      </c>
      <c r="I313" s="1">
        <v>6</v>
      </c>
      <c r="J313" s="5" t="s">
        <v>981</v>
      </c>
      <c r="K313" s="1">
        <v>0</v>
      </c>
      <c r="L313" s="5" t="s">
        <v>983</v>
      </c>
      <c r="M313" s="1">
        <v>3</v>
      </c>
      <c r="N313" s="5" t="s">
        <v>982</v>
      </c>
      <c r="O313" s="1">
        <v>0</v>
      </c>
      <c r="P313" s="5" t="s">
        <v>983</v>
      </c>
      <c r="Q313" s="1">
        <v>1</v>
      </c>
      <c r="R313" s="1">
        <v>0</v>
      </c>
      <c r="S313" s="1">
        <v>1</v>
      </c>
      <c r="T313" s="1">
        <v>1</v>
      </c>
      <c r="U313" s="1" t="s">
        <v>194</v>
      </c>
      <c r="V313" s="1">
        <v>4</v>
      </c>
      <c r="W313" s="1">
        <v>31</v>
      </c>
      <c r="X313" s="1">
        <v>0</v>
      </c>
      <c r="Y313" s="1">
        <v>16</v>
      </c>
      <c r="Z313" s="1">
        <v>33</v>
      </c>
      <c r="AA313" s="1">
        <v>150000</v>
      </c>
      <c r="AB313" s="1">
        <v>1</v>
      </c>
    </row>
    <row r="314" spans="1:28" ht="12.75" customHeight="1" x14ac:dyDescent="0.15">
      <c r="A314" s="5">
        <v>6</v>
      </c>
      <c r="B314" s="5" t="s">
        <v>238</v>
      </c>
      <c r="C314" s="1">
        <v>26</v>
      </c>
      <c r="D314" s="5" t="s">
        <v>981</v>
      </c>
      <c r="E314" s="1">
        <v>3</v>
      </c>
      <c r="F314" s="5" t="s">
        <v>982</v>
      </c>
      <c r="G314" s="1">
        <v>0</v>
      </c>
      <c r="H314" s="5" t="s">
        <v>983</v>
      </c>
      <c r="I314" s="1">
        <v>0</v>
      </c>
      <c r="J314" s="5" t="s">
        <v>983</v>
      </c>
      <c r="K314" s="1">
        <v>12</v>
      </c>
      <c r="L314" s="5" t="s">
        <v>981</v>
      </c>
      <c r="M314" s="1">
        <v>1</v>
      </c>
      <c r="N314" s="5" t="s">
        <v>983</v>
      </c>
      <c r="O314" s="1">
        <v>0</v>
      </c>
      <c r="P314" s="5" t="s">
        <v>983</v>
      </c>
      <c r="Q314" s="1">
        <v>1</v>
      </c>
      <c r="R314" s="1">
        <v>0</v>
      </c>
      <c r="S314" s="1">
        <v>1</v>
      </c>
      <c r="T314" s="1">
        <v>1</v>
      </c>
      <c r="U314" s="1" t="s">
        <v>194</v>
      </c>
      <c r="V314" s="1">
        <v>3</v>
      </c>
      <c r="W314" s="1">
        <v>56</v>
      </c>
      <c r="X314" s="1">
        <v>1</v>
      </c>
      <c r="Y314" s="1">
        <v>14</v>
      </c>
      <c r="Z314" s="1">
        <v>28</v>
      </c>
      <c r="AA314" s="1">
        <v>150000</v>
      </c>
      <c r="AB314" s="1">
        <v>2</v>
      </c>
    </row>
    <row r="315" spans="1:28" ht="12.75" customHeight="1" x14ac:dyDescent="0.15">
      <c r="A315" s="5">
        <v>450</v>
      </c>
      <c r="B315" s="5" t="s">
        <v>984</v>
      </c>
      <c r="C315" s="1">
        <v>13</v>
      </c>
      <c r="D315" s="5" t="s">
        <v>983</v>
      </c>
      <c r="E315" s="1">
        <v>9</v>
      </c>
      <c r="F315" s="5" t="s">
        <v>981</v>
      </c>
      <c r="G315" s="1">
        <v>9</v>
      </c>
      <c r="H315" s="5" t="s">
        <v>981</v>
      </c>
      <c r="I315" s="1">
        <v>4</v>
      </c>
      <c r="J315" s="5" t="s">
        <v>982</v>
      </c>
      <c r="K315" s="1">
        <v>9</v>
      </c>
      <c r="L315" s="5" t="s">
        <v>981</v>
      </c>
      <c r="M315" s="1">
        <v>9</v>
      </c>
      <c r="N315" s="5" t="s">
        <v>981</v>
      </c>
      <c r="O315" s="1">
        <v>3</v>
      </c>
      <c r="P315" s="5" t="s">
        <v>982</v>
      </c>
      <c r="Q315" s="1">
        <v>1</v>
      </c>
      <c r="R315" s="1">
        <v>1</v>
      </c>
      <c r="S315" s="1" t="s">
        <v>194</v>
      </c>
      <c r="T315" s="1">
        <v>1</v>
      </c>
      <c r="U315" s="1">
        <v>4</v>
      </c>
      <c r="V315" s="1">
        <v>3</v>
      </c>
      <c r="W315" s="1">
        <v>33</v>
      </c>
      <c r="X315" s="1">
        <v>0</v>
      </c>
      <c r="Y315" s="1">
        <v>2</v>
      </c>
      <c r="Z315" s="1">
        <v>10</v>
      </c>
      <c r="AA315" s="1">
        <v>150000</v>
      </c>
      <c r="AB315" s="1">
        <v>3</v>
      </c>
    </row>
    <row r="316" spans="1:28" ht="12.75" customHeight="1" x14ac:dyDescent="0.15">
      <c r="A316" s="5">
        <v>457</v>
      </c>
      <c r="B316" s="5" t="s">
        <v>238</v>
      </c>
      <c r="C316" s="1">
        <v>18</v>
      </c>
      <c r="D316" s="5" t="s">
        <v>983</v>
      </c>
      <c r="E316" s="1">
        <v>1</v>
      </c>
      <c r="F316" s="5" t="s">
        <v>983</v>
      </c>
      <c r="G316" s="1">
        <v>1</v>
      </c>
      <c r="H316" s="5" t="s">
        <v>983</v>
      </c>
      <c r="I316" s="1">
        <v>8</v>
      </c>
      <c r="J316" s="5" t="s">
        <v>981</v>
      </c>
      <c r="K316" s="1">
        <v>0</v>
      </c>
      <c r="L316" s="5" t="s">
        <v>983</v>
      </c>
      <c r="M316" s="1">
        <v>3</v>
      </c>
      <c r="N316" s="5" t="s">
        <v>982</v>
      </c>
      <c r="O316" s="1">
        <v>0</v>
      </c>
      <c r="P316" s="5" t="s">
        <v>983</v>
      </c>
      <c r="Q316" s="1">
        <v>1</v>
      </c>
      <c r="R316" s="1">
        <v>0</v>
      </c>
      <c r="S316" s="1">
        <v>1</v>
      </c>
      <c r="T316" s="1">
        <v>1</v>
      </c>
      <c r="U316" s="1">
        <v>2</v>
      </c>
      <c r="V316" s="1">
        <v>1</v>
      </c>
      <c r="W316" s="1">
        <v>31</v>
      </c>
      <c r="X316" s="1">
        <v>0</v>
      </c>
      <c r="Y316" s="1">
        <v>6</v>
      </c>
      <c r="Z316" s="1">
        <v>5</v>
      </c>
      <c r="AA316" s="1">
        <v>150000</v>
      </c>
      <c r="AB316" s="1">
        <v>1</v>
      </c>
    </row>
    <row r="317" spans="1:28" ht="12.75" customHeight="1" x14ac:dyDescent="0.15">
      <c r="A317" s="5">
        <v>270</v>
      </c>
      <c r="B317" s="5" t="s">
        <v>238</v>
      </c>
      <c r="C317" s="1">
        <v>25</v>
      </c>
      <c r="D317" s="5" t="s">
        <v>981</v>
      </c>
      <c r="E317" s="1">
        <v>1</v>
      </c>
      <c r="F317" s="5" t="s">
        <v>983</v>
      </c>
      <c r="G317" s="1">
        <v>4</v>
      </c>
      <c r="H317" s="5" t="s">
        <v>982</v>
      </c>
      <c r="I317" s="1">
        <v>7</v>
      </c>
      <c r="J317" s="5" t="s">
        <v>981</v>
      </c>
      <c r="K317" s="1">
        <v>0</v>
      </c>
      <c r="L317" s="5" t="s">
        <v>983</v>
      </c>
      <c r="M317" s="1">
        <v>4</v>
      </c>
      <c r="N317" s="5" t="s">
        <v>982</v>
      </c>
      <c r="O317" s="1">
        <v>0</v>
      </c>
      <c r="P317" s="5" t="s">
        <v>983</v>
      </c>
      <c r="Q317" s="1">
        <v>1</v>
      </c>
      <c r="R317" s="1">
        <v>0</v>
      </c>
      <c r="S317" s="1">
        <v>0</v>
      </c>
      <c r="T317" s="1">
        <v>1</v>
      </c>
      <c r="U317" s="1">
        <v>4</v>
      </c>
      <c r="V317" s="1">
        <v>5</v>
      </c>
      <c r="W317" s="1">
        <v>62</v>
      </c>
      <c r="X317" s="1">
        <v>0</v>
      </c>
      <c r="Y317" s="1">
        <v>14</v>
      </c>
      <c r="Z317" s="1">
        <v>1</v>
      </c>
      <c r="AA317" s="1">
        <v>150000</v>
      </c>
      <c r="AB317" s="1">
        <v>1</v>
      </c>
    </row>
    <row r="318" spans="1:28" ht="12.75" customHeight="1" x14ac:dyDescent="0.15">
      <c r="A318" s="5">
        <v>405</v>
      </c>
      <c r="B318" s="5" t="s">
        <v>984</v>
      </c>
      <c r="C318" s="1">
        <v>26</v>
      </c>
      <c r="D318" s="5" t="s">
        <v>981</v>
      </c>
      <c r="E318" s="1">
        <v>9</v>
      </c>
      <c r="F318" s="5" t="s">
        <v>981</v>
      </c>
      <c r="G318" s="1">
        <v>9</v>
      </c>
      <c r="H318" s="5" t="s">
        <v>981</v>
      </c>
      <c r="I318" s="1">
        <v>3</v>
      </c>
      <c r="J318" s="5" t="s">
        <v>982</v>
      </c>
      <c r="K318" s="1">
        <v>9</v>
      </c>
      <c r="L318" s="5" t="s">
        <v>981</v>
      </c>
      <c r="M318" s="1">
        <v>9</v>
      </c>
      <c r="N318" s="5" t="s">
        <v>981</v>
      </c>
      <c r="O318" s="1">
        <v>0</v>
      </c>
      <c r="P318" s="5" t="s">
        <v>983</v>
      </c>
      <c r="Q318" s="1">
        <v>0</v>
      </c>
      <c r="R318" s="1">
        <v>0</v>
      </c>
      <c r="S318" s="1" t="s">
        <v>194</v>
      </c>
      <c r="T318" s="1">
        <v>0</v>
      </c>
      <c r="U318" s="1" t="s">
        <v>194</v>
      </c>
      <c r="V318" s="1" t="s">
        <v>194</v>
      </c>
      <c r="W318" s="1">
        <v>33</v>
      </c>
      <c r="X318" s="1">
        <v>0</v>
      </c>
      <c r="Y318" s="1">
        <v>16</v>
      </c>
      <c r="Z318" s="1">
        <v>34</v>
      </c>
      <c r="AA318" s="1">
        <v>120000</v>
      </c>
      <c r="AB318" s="1">
        <v>2</v>
      </c>
    </row>
    <row r="319" spans="1:28" ht="12.75" customHeight="1" x14ac:dyDescent="0.15">
      <c r="A319" s="5">
        <v>406</v>
      </c>
      <c r="B319" s="5" t="s">
        <v>984</v>
      </c>
      <c r="C319" s="1">
        <v>33</v>
      </c>
      <c r="D319" s="5" t="s">
        <v>981</v>
      </c>
      <c r="E319" s="1">
        <v>4</v>
      </c>
      <c r="F319" s="5" t="s">
        <v>982</v>
      </c>
      <c r="G319" s="1">
        <v>3</v>
      </c>
      <c r="H319" s="5" t="s">
        <v>982</v>
      </c>
      <c r="I319" s="1">
        <v>12</v>
      </c>
      <c r="J319" s="5" t="s">
        <v>981</v>
      </c>
      <c r="K319" s="1">
        <v>5</v>
      </c>
      <c r="L319" s="5" t="s">
        <v>982</v>
      </c>
      <c r="M319" s="1">
        <v>4</v>
      </c>
      <c r="N319" s="5" t="s">
        <v>982</v>
      </c>
      <c r="O319" s="1">
        <v>4</v>
      </c>
      <c r="P319" s="5" t="s">
        <v>982</v>
      </c>
      <c r="Q319" s="1">
        <v>0</v>
      </c>
      <c r="R319" s="1">
        <v>0</v>
      </c>
      <c r="S319" s="1" t="s">
        <v>194</v>
      </c>
      <c r="T319" s="1">
        <v>1</v>
      </c>
      <c r="U319" s="1">
        <v>2</v>
      </c>
      <c r="V319" s="1">
        <v>1</v>
      </c>
      <c r="W319" s="1">
        <v>33</v>
      </c>
      <c r="X319" s="1">
        <v>0</v>
      </c>
      <c r="Y319" s="1">
        <v>16</v>
      </c>
      <c r="Z319" s="1">
        <v>34</v>
      </c>
      <c r="AA319" s="1">
        <v>120000</v>
      </c>
      <c r="AB319" s="1">
        <v>2</v>
      </c>
    </row>
    <row r="320" spans="1:28" ht="12.75" customHeight="1" x14ac:dyDescent="0.15">
      <c r="A320" s="5">
        <v>383</v>
      </c>
      <c r="B320" s="5" t="s">
        <v>238</v>
      </c>
      <c r="C320" s="1">
        <v>35</v>
      </c>
      <c r="D320" s="5" t="s">
        <v>981</v>
      </c>
      <c r="E320" s="1">
        <v>6</v>
      </c>
      <c r="F320" s="5" t="s">
        <v>981</v>
      </c>
      <c r="G320" s="1">
        <v>6</v>
      </c>
      <c r="H320" s="5" t="s">
        <v>981</v>
      </c>
      <c r="I320" s="1">
        <v>8</v>
      </c>
      <c r="J320" s="5" t="s">
        <v>981</v>
      </c>
      <c r="K320" s="1">
        <v>6</v>
      </c>
      <c r="L320" s="5" t="s">
        <v>981</v>
      </c>
      <c r="M320" s="1">
        <v>6</v>
      </c>
      <c r="N320" s="5" t="s">
        <v>981</v>
      </c>
      <c r="O320" s="1">
        <v>1</v>
      </c>
      <c r="P320" s="5" t="s">
        <v>982</v>
      </c>
      <c r="Q320" s="1">
        <v>0</v>
      </c>
      <c r="R320" s="1">
        <v>0</v>
      </c>
      <c r="S320" s="1" t="s">
        <v>194</v>
      </c>
      <c r="T320" s="1">
        <v>1</v>
      </c>
      <c r="U320" s="1">
        <v>5</v>
      </c>
      <c r="V320" s="1">
        <v>5</v>
      </c>
      <c r="W320" s="1">
        <v>32</v>
      </c>
      <c r="X320" s="1">
        <v>1</v>
      </c>
      <c r="Y320" s="1">
        <v>4</v>
      </c>
      <c r="Z320" s="1">
        <v>34</v>
      </c>
      <c r="AA320" s="1">
        <v>103000</v>
      </c>
      <c r="AB320" s="1">
        <v>2</v>
      </c>
    </row>
    <row r="321" spans="1:28" ht="12.75" customHeight="1" x14ac:dyDescent="0.15">
      <c r="A321" s="5">
        <v>473</v>
      </c>
      <c r="B321" s="5" t="s">
        <v>238</v>
      </c>
      <c r="C321" s="1">
        <v>21</v>
      </c>
      <c r="D321" s="5" t="s">
        <v>982</v>
      </c>
      <c r="E321" s="1">
        <v>5</v>
      </c>
      <c r="F321" s="5" t="s">
        <v>981</v>
      </c>
      <c r="G321" s="1">
        <v>5</v>
      </c>
      <c r="H321" s="5" t="s">
        <v>982</v>
      </c>
      <c r="I321" s="1">
        <v>5</v>
      </c>
      <c r="J321" s="5" t="s">
        <v>981</v>
      </c>
      <c r="K321" s="1">
        <v>4</v>
      </c>
      <c r="L321" s="5" t="s">
        <v>982</v>
      </c>
      <c r="M321" s="1">
        <v>6</v>
      </c>
      <c r="N321" s="5" t="s">
        <v>981</v>
      </c>
      <c r="O321" s="1">
        <v>13</v>
      </c>
      <c r="P321" s="5" t="s">
        <v>982</v>
      </c>
      <c r="Q321" s="1">
        <v>1</v>
      </c>
      <c r="R321" s="1">
        <v>0</v>
      </c>
      <c r="S321" s="1">
        <v>1</v>
      </c>
      <c r="T321" s="1">
        <v>1</v>
      </c>
      <c r="U321" s="1">
        <v>5</v>
      </c>
      <c r="V321" s="1">
        <v>5</v>
      </c>
      <c r="W321" s="1">
        <v>45</v>
      </c>
      <c r="X321" s="1">
        <v>0</v>
      </c>
      <c r="Y321" s="1">
        <v>2</v>
      </c>
      <c r="Z321" s="1">
        <v>34</v>
      </c>
      <c r="AA321" s="1">
        <v>100000</v>
      </c>
      <c r="AB321" s="1">
        <v>1</v>
      </c>
    </row>
    <row r="322" spans="1:28" ht="12.75" customHeight="1" x14ac:dyDescent="0.15">
      <c r="A322" s="5">
        <v>313</v>
      </c>
      <c r="B322" s="5" t="s">
        <v>238</v>
      </c>
      <c r="C322" s="1">
        <v>36</v>
      </c>
      <c r="D322" s="5" t="s">
        <v>981</v>
      </c>
      <c r="E322" s="1">
        <v>5</v>
      </c>
      <c r="F322" s="5" t="s">
        <v>981</v>
      </c>
      <c r="G322" s="1">
        <v>8</v>
      </c>
      <c r="H322" s="5" t="s">
        <v>981</v>
      </c>
      <c r="I322" s="1">
        <v>16</v>
      </c>
      <c r="J322" s="5" t="s">
        <v>981</v>
      </c>
      <c r="K322" s="1">
        <v>1</v>
      </c>
      <c r="L322" s="5" t="s">
        <v>983</v>
      </c>
      <c r="M322" s="1">
        <v>9</v>
      </c>
      <c r="N322" s="5" t="s">
        <v>981</v>
      </c>
      <c r="O322" s="1">
        <v>0</v>
      </c>
      <c r="P322" s="5" t="s">
        <v>983</v>
      </c>
      <c r="Q322" s="1">
        <v>0</v>
      </c>
      <c r="R322" s="1">
        <v>0</v>
      </c>
      <c r="S322" s="1" t="s">
        <v>194</v>
      </c>
      <c r="T322" s="1">
        <v>1</v>
      </c>
      <c r="U322" s="1">
        <v>5</v>
      </c>
      <c r="V322" s="1">
        <v>3</v>
      </c>
      <c r="W322" s="1">
        <v>30</v>
      </c>
      <c r="X322" s="1">
        <v>1</v>
      </c>
      <c r="Y322" s="1">
        <v>0</v>
      </c>
      <c r="Z322" s="1">
        <v>24</v>
      </c>
      <c r="AA322" s="1">
        <v>100000</v>
      </c>
      <c r="AB322" s="1">
        <v>4</v>
      </c>
    </row>
    <row r="323" spans="1:28" ht="12.75" customHeight="1" x14ac:dyDescent="0.15">
      <c r="A323" s="5">
        <v>214</v>
      </c>
      <c r="B323" s="5" t="s">
        <v>984</v>
      </c>
      <c r="C323" s="1">
        <v>15</v>
      </c>
      <c r="D323" s="5" t="s">
        <v>983</v>
      </c>
      <c r="E323" s="1">
        <v>9</v>
      </c>
      <c r="F323" s="5" t="s">
        <v>981</v>
      </c>
      <c r="G323" s="1">
        <v>3</v>
      </c>
      <c r="H323" s="5" t="s">
        <v>982</v>
      </c>
      <c r="I323" s="1">
        <v>3</v>
      </c>
      <c r="J323" s="5" t="s">
        <v>982</v>
      </c>
      <c r="K323" s="1">
        <v>12</v>
      </c>
      <c r="L323" s="5" t="s">
        <v>981</v>
      </c>
      <c r="M323" s="1">
        <v>12</v>
      </c>
      <c r="N323" s="5" t="s">
        <v>981</v>
      </c>
      <c r="O323" s="1">
        <v>0</v>
      </c>
      <c r="P323" s="5" t="s">
        <v>983</v>
      </c>
      <c r="Q323" s="1">
        <v>0</v>
      </c>
      <c r="R323" s="1">
        <v>1</v>
      </c>
      <c r="S323" s="1" t="s">
        <v>194</v>
      </c>
      <c r="T323" s="1">
        <v>1</v>
      </c>
      <c r="U323" s="1" t="s">
        <v>194</v>
      </c>
      <c r="V323" s="1">
        <v>1</v>
      </c>
      <c r="W323" s="1">
        <v>31</v>
      </c>
      <c r="X323" s="1">
        <v>1</v>
      </c>
      <c r="Y323" s="1">
        <v>14</v>
      </c>
      <c r="Z323" s="1">
        <v>15</v>
      </c>
      <c r="AA323" s="1">
        <v>100000</v>
      </c>
      <c r="AB323" s="1">
        <v>4</v>
      </c>
    </row>
    <row r="324" spans="1:28" ht="12.75" customHeight="1" x14ac:dyDescent="0.15">
      <c r="A324" s="5">
        <v>252</v>
      </c>
      <c r="B324" s="5" t="s">
        <v>238</v>
      </c>
      <c r="C324" s="1">
        <v>19</v>
      </c>
      <c r="D324" s="5" t="s">
        <v>982</v>
      </c>
      <c r="E324" s="1">
        <v>4</v>
      </c>
      <c r="F324" s="5" t="s">
        <v>982</v>
      </c>
      <c r="G324" s="1">
        <v>1</v>
      </c>
      <c r="H324" s="5" t="s">
        <v>983</v>
      </c>
      <c r="I324" s="1">
        <v>12</v>
      </c>
      <c r="J324" s="5" t="s">
        <v>981</v>
      </c>
      <c r="K324" s="1">
        <v>0</v>
      </c>
      <c r="L324" s="5" t="s">
        <v>983</v>
      </c>
      <c r="M324" s="1">
        <v>0</v>
      </c>
      <c r="N324" s="5" t="s">
        <v>983</v>
      </c>
      <c r="O324" s="1">
        <v>0</v>
      </c>
      <c r="P324" s="5" t="s">
        <v>983</v>
      </c>
      <c r="Q324" s="1">
        <v>0</v>
      </c>
      <c r="R324" s="1">
        <v>0</v>
      </c>
      <c r="S324" s="1" t="s">
        <v>194</v>
      </c>
      <c r="T324" s="1">
        <v>1</v>
      </c>
      <c r="U324" s="1">
        <v>5</v>
      </c>
      <c r="V324" s="1">
        <v>3</v>
      </c>
      <c r="W324" s="1">
        <v>28</v>
      </c>
      <c r="X324" s="1">
        <v>0</v>
      </c>
      <c r="Y324" s="1">
        <v>14</v>
      </c>
      <c r="Z324" s="1">
        <v>14</v>
      </c>
      <c r="AA324" s="1">
        <v>100000</v>
      </c>
      <c r="AB324" s="1">
        <v>2</v>
      </c>
    </row>
    <row r="325" spans="1:28" ht="12.75" customHeight="1" x14ac:dyDescent="0.15">
      <c r="A325" s="5">
        <v>488</v>
      </c>
      <c r="B325" s="5" t="s">
        <v>238</v>
      </c>
      <c r="C325" s="1">
        <v>19</v>
      </c>
      <c r="D325" s="5" t="s">
        <v>982</v>
      </c>
      <c r="E325" s="1">
        <v>2</v>
      </c>
      <c r="F325" s="5" t="s">
        <v>982</v>
      </c>
      <c r="G325" s="1">
        <v>2</v>
      </c>
      <c r="H325" s="5" t="s">
        <v>982</v>
      </c>
      <c r="I325" s="1">
        <v>16</v>
      </c>
      <c r="J325" s="5" t="s">
        <v>981</v>
      </c>
      <c r="K325" s="1">
        <v>0</v>
      </c>
      <c r="L325" s="5" t="s">
        <v>983</v>
      </c>
      <c r="M325" s="1">
        <v>0</v>
      </c>
      <c r="N325" s="5" t="s">
        <v>983</v>
      </c>
      <c r="O325" s="1">
        <v>0</v>
      </c>
      <c r="P325" s="5" t="s">
        <v>983</v>
      </c>
      <c r="Q325" s="1">
        <v>0</v>
      </c>
      <c r="R325" s="1">
        <v>0</v>
      </c>
      <c r="S325" s="1" t="s">
        <v>194</v>
      </c>
      <c r="T325" s="1">
        <v>1</v>
      </c>
      <c r="U325" s="1">
        <v>4</v>
      </c>
      <c r="V325" s="1">
        <v>4</v>
      </c>
      <c r="W325" s="1">
        <v>25</v>
      </c>
      <c r="X325" s="1">
        <v>0</v>
      </c>
      <c r="Y325" s="1">
        <v>6</v>
      </c>
      <c r="Z325" s="1">
        <v>9</v>
      </c>
      <c r="AA325" s="1">
        <v>100000</v>
      </c>
      <c r="AB325" s="1">
        <v>2</v>
      </c>
    </row>
    <row r="326" spans="1:28" ht="12.75" customHeight="1" x14ac:dyDescent="0.15">
      <c r="A326" s="5">
        <v>350</v>
      </c>
      <c r="B326" s="5" t="s">
        <v>238</v>
      </c>
      <c r="C326" s="1">
        <v>22</v>
      </c>
      <c r="D326" s="5" t="s">
        <v>982</v>
      </c>
      <c r="E326" s="1">
        <v>2</v>
      </c>
      <c r="F326" s="5" t="s">
        <v>982</v>
      </c>
      <c r="G326" s="1">
        <v>4</v>
      </c>
      <c r="H326" s="5" t="s">
        <v>982</v>
      </c>
      <c r="I326" s="1">
        <v>2</v>
      </c>
      <c r="J326" s="5" t="s">
        <v>982</v>
      </c>
      <c r="K326" s="1">
        <v>3</v>
      </c>
      <c r="L326" s="5" t="s">
        <v>982</v>
      </c>
      <c r="M326" s="1">
        <v>0</v>
      </c>
      <c r="N326" s="5" t="s">
        <v>983</v>
      </c>
      <c r="O326" s="1">
        <v>0</v>
      </c>
      <c r="P326" s="5" t="s">
        <v>983</v>
      </c>
      <c r="Q326" s="1">
        <v>1</v>
      </c>
      <c r="R326" s="1">
        <v>1</v>
      </c>
      <c r="S326" s="1">
        <v>1</v>
      </c>
      <c r="T326" s="1">
        <v>1</v>
      </c>
      <c r="U326" s="1">
        <v>5</v>
      </c>
      <c r="V326" s="1">
        <v>4</v>
      </c>
      <c r="W326" s="1">
        <v>30</v>
      </c>
      <c r="X326" s="1">
        <v>0</v>
      </c>
      <c r="Y326" s="1">
        <v>13</v>
      </c>
      <c r="Z326" s="1">
        <v>8</v>
      </c>
      <c r="AA326" s="1">
        <v>100000</v>
      </c>
      <c r="AB326" s="1">
        <v>1</v>
      </c>
    </row>
    <row r="327" spans="1:28" ht="12.75" customHeight="1" x14ac:dyDescent="0.15">
      <c r="A327" s="5">
        <v>142</v>
      </c>
      <c r="B327" s="5" t="s">
        <v>238</v>
      </c>
      <c r="C327" s="1">
        <v>34</v>
      </c>
      <c r="D327" s="5" t="s">
        <v>981</v>
      </c>
      <c r="E327" s="1">
        <v>4</v>
      </c>
      <c r="F327" s="5" t="s">
        <v>982</v>
      </c>
      <c r="G327" s="1">
        <v>0</v>
      </c>
      <c r="H327" s="5" t="s">
        <v>983</v>
      </c>
      <c r="I327" s="1">
        <v>6</v>
      </c>
      <c r="J327" s="5" t="s">
        <v>981</v>
      </c>
      <c r="K327" s="1">
        <v>4</v>
      </c>
      <c r="L327" s="5" t="s">
        <v>982</v>
      </c>
      <c r="M327" s="1">
        <v>6</v>
      </c>
      <c r="N327" s="5" t="s">
        <v>981</v>
      </c>
      <c r="O327" s="1">
        <v>0</v>
      </c>
      <c r="P327" s="5" t="s">
        <v>983</v>
      </c>
      <c r="Q327" s="1">
        <v>1</v>
      </c>
      <c r="R327" s="1">
        <v>0</v>
      </c>
      <c r="S327" s="1">
        <v>1</v>
      </c>
      <c r="T327" s="1">
        <v>1</v>
      </c>
      <c r="U327" s="1">
        <v>5</v>
      </c>
      <c r="V327" s="1">
        <v>5</v>
      </c>
      <c r="W327" s="1">
        <v>39</v>
      </c>
      <c r="X327" s="1">
        <v>0</v>
      </c>
      <c r="Y327" s="1">
        <v>14</v>
      </c>
      <c r="Z327" s="1">
        <v>6</v>
      </c>
      <c r="AA327" s="1">
        <v>100000</v>
      </c>
      <c r="AB327" s="1">
        <v>1</v>
      </c>
    </row>
    <row r="328" spans="1:28" ht="12.75" customHeight="1" x14ac:dyDescent="0.15">
      <c r="A328" s="5">
        <v>14</v>
      </c>
      <c r="B328" s="5" t="s">
        <v>984</v>
      </c>
      <c r="C328" s="1">
        <v>32</v>
      </c>
      <c r="D328" s="5" t="s">
        <v>981</v>
      </c>
      <c r="E328" s="1">
        <v>4</v>
      </c>
      <c r="F328" s="5" t="s">
        <v>982</v>
      </c>
      <c r="G328" s="1">
        <v>12</v>
      </c>
      <c r="H328" s="5" t="s">
        <v>981</v>
      </c>
      <c r="I328" s="1">
        <v>8</v>
      </c>
      <c r="J328" s="5" t="s">
        <v>981</v>
      </c>
      <c r="K328" s="1">
        <v>4</v>
      </c>
      <c r="L328" s="5" t="s">
        <v>982</v>
      </c>
      <c r="M328" s="1">
        <v>8</v>
      </c>
      <c r="N328" s="5" t="s">
        <v>981</v>
      </c>
      <c r="O328" s="1">
        <v>1</v>
      </c>
      <c r="P328" s="5" t="s">
        <v>982</v>
      </c>
      <c r="Q328" s="1">
        <v>0</v>
      </c>
      <c r="R328" s="1">
        <v>0</v>
      </c>
      <c r="S328" s="1" t="s">
        <v>194</v>
      </c>
      <c r="T328" s="1">
        <v>1</v>
      </c>
      <c r="U328" s="1">
        <v>3</v>
      </c>
      <c r="V328" s="1">
        <v>3</v>
      </c>
      <c r="W328" s="1">
        <v>44</v>
      </c>
      <c r="X328" s="1">
        <v>1</v>
      </c>
      <c r="Y328" s="1">
        <v>12</v>
      </c>
      <c r="Z328" s="1">
        <v>3</v>
      </c>
      <c r="AA328" s="1">
        <v>100000</v>
      </c>
      <c r="AB328" s="1">
        <v>3</v>
      </c>
    </row>
    <row r="329" spans="1:28" ht="12.75" customHeight="1" x14ac:dyDescent="0.15">
      <c r="A329" s="5">
        <v>399</v>
      </c>
      <c r="B329" s="5" t="s">
        <v>238</v>
      </c>
      <c r="C329" s="1">
        <v>15</v>
      </c>
      <c r="D329" s="5" t="s">
        <v>983</v>
      </c>
      <c r="E329" s="1">
        <v>6</v>
      </c>
      <c r="F329" s="5" t="s">
        <v>981</v>
      </c>
      <c r="G329" s="1">
        <v>6</v>
      </c>
      <c r="H329" s="5" t="s">
        <v>981</v>
      </c>
      <c r="I329" s="1">
        <v>8</v>
      </c>
      <c r="J329" s="5" t="s">
        <v>981</v>
      </c>
      <c r="K329" s="1">
        <v>6</v>
      </c>
      <c r="L329" s="5" t="s">
        <v>981</v>
      </c>
      <c r="M329" s="1">
        <v>6</v>
      </c>
      <c r="N329" s="5" t="s">
        <v>981</v>
      </c>
      <c r="O329" s="1">
        <v>0</v>
      </c>
      <c r="P329" s="5" t="s">
        <v>983</v>
      </c>
      <c r="Q329" s="1">
        <v>1</v>
      </c>
      <c r="R329" s="1">
        <v>0</v>
      </c>
      <c r="S329" s="1" t="s">
        <v>194</v>
      </c>
      <c r="T329" s="1">
        <v>1</v>
      </c>
      <c r="U329" s="1">
        <v>4</v>
      </c>
      <c r="V329" s="1">
        <v>5</v>
      </c>
      <c r="W329" s="1">
        <v>38</v>
      </c>
      <c r="X329" s="1">
        <v>0</v>
      </c>
      <c r="Y329" s="1">
        <v>2</v>
      </c>
      <c r="Z329" s="1">
        <v>2</v>
      </c>
      <c r="AA329" s="1">
        <v>100000</v>
      </c>
      <c r="AB329" s="1">
        <v>6</v>
      </c>
    </row>
    <row r="330" spans="1:28" ht="12.75" customHeight="1" x14ac:dyDescent="0.15">
      <c r="A330" s="5">
        <v>267</v>
      </c>
      <c r="B330" s="5" t="s">
        <v>238</v>
      </c>
      <c r="C330" s="1">
        <v>22</v>
      </c>
      <c r="D330" s="5" t="s">
        <v>982</v>
      </c>
      <c r="E330" s="1">
        <v>7</v>
      </c>
      <c r="F330" s="5" t="s">
        <v>981</v>
      </c>
      <c r="G330" s="1">
        <v>7</v>
      </c>
      <c r="H330" s="5" t="s">
        <v>981</v>
      </c>
      <c r="I330" s="1">
        <v>8</v>
      </c>
      <c r="J330" s="5" t="s">
        <v>981</v>
      </c>
      <c r="K330" s="1">
        <v>7</v>
      </c>
      <c r="L330" s="5" t="s">
        <v>981</v>
      </c>
      <c r="M330" s="1">
        <v>8</v>
      </c>
      <c r="N330" s="5" t="s">
        <v>981</v>
      </c>
      <c r="O330" s="1">
        <v>2</v>
      </c>
      <c r="P330" s="5" t="s">
        <v>982</v>
      </c>
      <c r="Q330" s="1">
        <v>0</v>
      </c>
      <c r="R330" s="1">
        <v>0</v>
      </c>
      <c r="S330" s="1" t="s">
        <v>194</v>
      </c>
      <c r="T330" s="1">
        <v>0</v>
      </c>
      <c r="U330" s="1" t="s">
        <v>194</v>
      </c>
      <c r="V330" s="1" t="s">
        <v>194</v>
      </c>
      <c r="W330" s="1">
        <v>33</v>
      </c>
      <c r="X330" s="1">
        <v>0</v>
      </c>
      <c r="Y330" s="1">
        <v>14</v>
      </c>
      <c r="Z330" s="1">
        <v>1</v>
      </c>
      <c r="AA330" s="1">
        <v>100000</v>
      </c>
      <c r="AB330" s="1">
        <v>3</v>
      </c>
    </row>
    <row r="331" spans="1:28" ht="12.75" customHeight="1" x14ac:dyDescent="0.15">
      <c r="A331" s="5">
        <v>268</v>
      </c>
      <c r="B331" s="5" t="s">
        <v>238</v>
      </c>
      <c r="C331" s="1">
        <v>15</v>
      </c>
      <c r="D331" s="5" t="s">
        <v>983</v>
      </c>
      <c r="E331" s="1">
        <v>3</v>
      </c>
      <c r="F331" s="5" t="s">
        <v>982</v>
      </c>
      <c r="G331" s="1">
        <v>2</v>
      </c>
      <c r="H331" s="5" t="s">
        <v>982</v>
      </c>
      <c r="I331" s="1">
        <v>15</v>
      </c>
      <c r="J331" s="5" t="s">
        <v>981</v>
      </c>
      <c r="K331" s="1">
        <v>0</v>
      </c>
      <c r="L331" s="5" t="s">
        <v>983</v>
      </c>
      <c r="M331" s="1">
        <v>0</v>
      </c>
      <c r="N331" s="5" t="s">
        <v>983</v>
      </c>
      <c r="O331" s="1">
        <v>0</v>
      </c>
      <c r="P331" s="5" t="s">
        <v>983</v>
      </c>
      <c r="Q331" s="1">
        <v>1</v>
      </c>
      <c r="R331" s="1">
        <v>0</v>
      </c>
      <c r="S331" s="1">
        <v>1</v>
      </c>
      <c r="T331" s="1">
        <v>1</v>
      </c>
      <c r="U331" s="1" t="s">
        <v>194</v>
      </c>
      <c r="V331" s="1">
        <v>5</v>
      </c>
      <c r="W331" s="1">
        <v>33</v>
      </c>
      <c r="X331" s="1">
        <v>0</v>
      </c>
      <c r="Y331" s="1">
        <v>14</v>
      </c>
      <c r="Z331" s="1">
        <v>1</v>
      </c>
      <c r="AA331" s="1">
        <v>100000</v>
      </c>
      <c r="AB331" s="1">
        <v>3</v>
      </c>
    </row>
    <row r="332" spans="1:28" ht="12.75" customHeight="1" x14ac:dyDescent="0.15">
      <c r="A332" s="5">
        <v>301</v>
      </c>
      <c r="B332" s="5" t="s">
        <v>238</v>
      </c>
      <c r="C332" s="1">
        <v>32</v>
      </c>
      <c r="D332" s="5" t="s">
        <v>981</v>
      </c>
      <c r="E332" s="1">
        <v>6</v>
      </c>
      <c r="F332" s="5" t="s">
        <v>981</v>
      </c>
      <c r="G332" s="1">
        <v>6</v>
      </c>
      <c r="H332" s="5" t="s">
        <v>981</v>
      </c>
      <c r="I332" s="1">
        <v>7</v>
      </c>
      <c r="J332" s="5" t="s">
        <v>981</v>
      </c>
      <c r="K332" s="1">
        <v>7</v>
      </c>
      <c r="L332" s="5" t="s">
        <v>981</v>
      </c>
      <c r="M332" s="1">
        <v>3</v>
      </c>
      <c r="N332" s="5" t="s">
        <v>982</v>
      </c>
      <c r="O332" s="1">
        <v>6</v>
      </c>
      <c r="P332" s="5" t="s">
        <v>982</v>
      </c>
      <c r="Q332" s="1">
        <v>1</v>
      </c>
      <c r="R332" s="1">
        <v>0</v>
      </c>
      <c r="S332" s="1">
        <v>1</v>
      </c>
      <c r="T332" s="1">
        <v>1</v>
      </c>
      <c r="U332" s="1">
        <v>2</v>
      </c>
      <c r="V332" s="1">
        <v>2</v>
      </c>
      <c r="W332" s="1">
        <v>0</v>
      </c>
      <c r="X332" s="1">
        <v>1</v>
      </c>
      <c r="Y332" s="1">
        <v>18</v>
      </c>
      <c r="Z332" s="1">
        <v>34</v>
      </c>
      <c r="AA332" s="1">
        <v>80000</v>
      </c>
      <c r="AB332" s="1">
        <v>5</v>
      </c>
    </row>
    <row r="333" spans="1:28" ht="12.75" customHeight="1" x14ac:dyDescent="0.15">
      <c r="A333" s="5">
        <v>322</v>
      </c>
      <c r="B333" s="5" t="s">
        <v>238</v>
      </c>
      <c r="C333" s="1">
        <v>18</v>
      </c>
      <c r="D333" s="5" t="s">
        <v>983</v>
      </c>
      <c r="E333" s="1">
        <v>4</v>
      </c>
      <c r="F333" s="5" t="s">
        <v>982</v>
      </c>
      <c r="G333" s="1">
        <v>3</v>
      </c>
      <c r="H333" s="5" t="s">
        <v>982</v>
      </c>
      <c r="I333" s="1">
        <v>8</v>
      </c>
      <c r="J333" s="5" t="s">
        <v>981</v>
      </c>
      <c r="K333" s="1">
        <v>6</v>
      </c>
      <c r="L333" s="5" t="s">
        <v>981</v>
      </c>
      <c r="M333" s="1">
        <v>6</v>
      </c>
      <c r="N333" s="5" t="s">
        <v>981</v>
      </c>
      <c r="O333" s="1">
        <v>0</v>
      </c>
      <c r="P333" s="5" t="s">
        <v>983</v>
      </c>
      <c r="Q333" s="1">
        <v>1</v>
      </c>
      <c r="R333" s="1">
        <v>0</v>
      </c>
      <c r="S333" s="1">
        <v>1</v>
      </c>
      <c r="T333" s="1">
        <v>1</v>
      </c>
      <c r="U333" s="1">
        <v>3</v>
      </c>
      <c r="V333" s="1">
        <v>3</v>
      </c>
      <c r="W333" s="1">
        <v>52</v>
      </c>
      <c r="X333" s="1">
        <v>1</v>
      </c>
      <c r="Y333" s="1">
        <v>3</v>
      </c>
      <c r="Z333" s="1">
        <v>3</v>
      </c>
      <c r="AA333" s="1">
        <v>80000</v>
      </c>
      <c r="AB333" s="1">
        <v>5</v>
      </c>
    </row>
    <row r="334" spans="1:28" ht="12.75" customHeight="1" x14ac:dyDescent="0.15">
      <c r="A334" s="5">
        <v>184</v>
      </c>
      <c r="B334" s="5" t="s">
        <v>238</v>
      </c>
      <c r="C334" s="1">
        <v>14</v>
      </c>
      <c r="D334" s="5" t="s">
        <v>983</v>
      </c>
      <c r="E334" s="1">
        <v>1</v>
      </c>
      <c r="F334" s="5" t="s">
        <v>983</v>
      </c>
      <c r="G334" s="1">
        <v>7</v>
      </c>
      <c r="H334" s="5" t="s">
        <v>981</v>
      </c>
      <c r="I334" s="1">
        <v>0</v>
      </c>
      <c r="J334" s="5" t="s">
        <v>983</v>
      </c>
      <c r="K334" s="1">
        <v>10</v>
      </c>
      <c r="L334" s="5" t="s">
        <v>981</v>
      </c>
      <c r="M334" s="1">
        <v>1</v>
      </c>
      <c r="N334" s="5" t="s">
        <v>983</v>
      </c>
      <c r="O334" s="1">
        <v>1</v>
      </c>
      <c r="P334" s="5" t="s">
        <v>982</v>
      </c>
      <c r="Q334" s="1">
        <v>0</v>
      </c>
      <c r="R334" s="1">
        <v>0</v>
      </c>
      <c r="S334" s="1" t="s">
        <v>194</v>
      </c>
      <c r="T334" s="1">
        <v>1</v>
      </c>
      <c r="U334" s="1">
        <v>5</v>
      </c>
      <c r="V334" s="1">
        <v>5</v>
      </c>
      <c r="W334" s="1">
        <v>33</v>
      </c>
      <c r="X334" s="1">
        <v>0</v>
      </c>
      <c r="Y334" s="1">
        <v>14</v>
      </c>
      <c r="Z334" s="1">
        <v>1</v>
      </c>
      <c r="AA334" s="1">
        <v>80000</v>
      </c>
      <c r="AB334" s="1">
        <v>4</v>
      </c>
    </row>
    <row r="335" spans="1:28" ht="12.75" customHeight="1" x14ac:dyDescent="0.15">
      <c r="A335" s="5">
        <v>354</v>
      </c>
      <c r="B335" s="5" t="s">
        <v>238</v>
      </c>
      <c r="C335" s="1">
        <v>24</v>
      </c>
      <c r="D335" s="5" t="s">
        <v>981</v>
      </c>
      <c r="E335" s="1">
        <v>2</v>
      </c>
      <c r="F335" s="5" t="s">
        <v>982</v>
      </c>
      <c r="G335" s="1">
        <v>8</v>
      </c>
      <c r="H335" s="5" t="s">
        <v>981</v>
      </c>
      <c r="I335" s="1">
        <v>11</v>
      </c>
      <c r="J335" s="5" t="s">
        <v>981</v>
      </c>
      <c r="K335" s="1">
        <v>1</v>
      </c>
      <c r="L335" s="5" t="s">
        <v>983</v>
      </c>
      <c r="M335" s="1">
        <v>12</v>
      </c>
      <c r="N335" s="5" t="s">
        <v>981</v>
      </c>
      <c r="O335" s="1">
        <v>0</v>
      </c>
      <c r="P335" s="5" t="s">
        <v>983</v>
      </c>
      <c r="Q335" s="1">
        <v>1</v>
      </c>
      <c r="R335" s="1">
        <v>1</v>
      </c>
      <c r="S335" s="1">
        <v>1</v>
      </c>
      <c r="T335" s="1">
        <v>1</v>
      </c>
      <c r="U335" s="1">
        <v>5</v>
      </c>
      <c r="V335" s="1">
        <v>5</v>
      </c>
      <c r="W335" s="1">
        <v>26</v>
      </c>
      <c r="X335" s="1">
        <v>0</v>
      </c>
      <c r="Y335" s="1">
        <v>15</v>
      </c>
      <c r="Z335" s="1">
        <v>34</v>
      </c>
      <c r="AA335" s="1">
        <v>60000</v>
      </c>
      <c r="AB335" s="1">
        <v>4</v>
      </c>
    </row>
    <row r="336" spans="1:28" ht="12.75" customHeight="1" x14ac:dyDescent="0.15">
      <c r="A336" s="5">
        <v>459</v>
      </c>
      <c r="B336" s="5" t="s">
        <v>238</v>
      </c>
      <c r="C336" s="1">
        <v>22</v>
      </c>
      <c r="D336" s="5" t="s">
        <v>982</v>
      </c>
      <c r="E336" s="1">
        <v>4</v>
      </c>
      <c r="F336" s="5" t="s">
        <v>982</v>
      </c>
      <c r="G336" s="1">
        <v>4</v>
      </c>
      <c r="H336" s="5" t="s">
        <v>982</v>
      </c>
      <c r="I336" s="1">
        <v>3</v>
      </c>
      <c r="J336" s="5" t="s">
        <v>982</v>
      </c>
      <c r="K336" s="1">
        <v>5</v>
      </c>
      <c r="L336" s="5" t="s">
        <v>982</v>
      </c>
      <c r="M336" s="1">
        <v>2</v>
      </c>
      <c r="N336" s="5" t="s">
        <v>983</v>
      </c>
      <c r="O336" s="1">
        <v>0</v>
      </c>
      <c r="P336" s="5" t="s">
        <v>983</v>
      </c>
      <c r="Q336" s="1">
        <v>1</v>
      </c>
      <c r="R336" s="1">
        <v>0</v>
      </c>
      <c r="S336" s="1">
        <v>1</v>
      </c>
      <c r="T336" s="1">
        <v>1</v>
      </c>
      <c r="U336" s="1">
        <v>3</v>
      </c>
      <c r="V336" s="1">
        <v>2</v>
      </c>
      <c r="W336" s="1">
        <v>47</v>
      </c>
      <c r="X336" s="1">
        <v>1</v>
      </c>
      <c r="Y336" s="1">
        <v>14</v>
      </c>
      <c r="Z336" s="1">
        <v>24</v>
      </c>
      <c r="AA336" s="1">
        <v>60000</v>
      </c>
      <c r="AB336" s="1">
        <v>1</v>
      </c>
    </row>
    <row r="337" spans="1:28" ht="12.75" customHeight="1" x14ac:dyDescent="0.15">
      <c r="A337" s="5">
        <v>486</v>
      </c>
      <c r="B337" s="5" t="s">
        <v>238</v>
      </c>
      <c r="C337" s="1">
        <v>13</v>
      </c>
      <c r="D337" s="5" t="s">
        <v>983</v>
      </c>
      <c r="E337" s="1">
        <v>3</v>
      </c>
      <c r="F337" s="5" t="s">
        <v>982</v>
      </c>
      <c r="G337" s="1">
        <v>5</v>
      </c>
      <c r="H337" s="5" t="s">
        <v>982</v>
      </c>
      <c r="I337" s="1">
        <v>7</v>
      </c>
      <c r="J337" s="5" t="s">
        <v>981</v>
      </c>
      <c r="K337" s="1">
        <v>4</v>
      </c>
      <c r="L337" s="5" t="s">
        <v>982</v>
      </c>
      <c r="M337" s="1">
        <v>3</v>
      </c>
      <c r="N337" s="5" t="s">
        <v>982</v>
      </c>
      <c r="O337" s="1">
        <v>0</v>
      </c>
      <c r="P337" s="5" t="s">
        <v>983</v>
      </c>
      <c r="Q337" s="1">
        <v>1</v>
      </c>
      <c r="R337" s="1">
        <v>0</v>
      </c>
      <c r="S337" s="1" t="s">
        <v>194</v>
      </c>
      <c r="T337" s="1">
        <v>1</v>
      </c>
      <c r="U337" s="1" t="s">
        <v>194</v>
      </c>
      <c r="V337" s="1">
        <v>2</v>
      </c>
      <c r="W337" s="1">
        <v>34</v>
      </c>
      <c r="X337" s="1">
        <v>0</v>
      </c>
      <c r="Y337" s="1">
        <v>18</v>
      </c>
      <c r="Z337" s="1">
        <v>3</v>
      </c>
      <c r="AA337" s="1">
        <v>60000</v>
      </c>
      <c r="AB337" s="1">
        <v>3</v>
      </c>
    </row>
    <row r="338" spans="1:28" ht="12.75" customHeight="1" x14ac:dyDescent="0.15">
      <c r="A338" s="5">
        <v>272</v>
      </c>
      <c r="B338" s="5" t="s">
        <v>984</v>
      </c>
      <c r="C338" s="1">
        <v>23</v>
      </c>
      <c r="D338" s="5" t="s">
        <v>982</v>
      </c>
      <c r="E338" s="1">
        <v>5</v>
      </c>
      <c r="F338" s="5" t="s">
        <v>981</v>
      </c>
      <c r="G338" s="1">
        <v>1</v>
      </c>
      <c r="H338" s="5" t="s">
        <v>983</v>
      </c>
      <c r="I338" s="1">
        <v>8</v>
      </c>
      <c r="J338" s="5" t="s">
        <v>981</v>
      </c>
      <c r="K338" s="1">
        <v>0</v>
      </c>
      <c r="L338" s="5" t="s">
        <v>983</v>
      </c>
      <c r="M338" s="1">
        <v>0</v>
      </c>
      <c r="N338" s="5" t="s">
        <v>983</v>
      </c>
      <c r="O338" s="1">
        <v>0</v>
      </c>
      <c r="P338" s="5" t="s">
        <v>983</v>
      </c>
      <c r="Q338" s="1">
        <v>0</v>
      </c>
      <c r="R338" s="1">
        <v>0</v>
      </c>
      <c r="S338" s="1" t="s">
        <v>194</v>
      </c>
      <c r="T338" s="1">
        <v>1</v>
      </c>
      <c r="U338" s="1">
        <v>5</v>
      </c>
      <c r="V338" s="1">
        <v>4</v>
      </c>
      <c r="W338" s="1">
        <v>35</v>
      </c>
      <c r="X338" s="1">
        <v>0</v>
      </c>
      <c r="Y338" s="1">
        <v>3</v>
      </c>
      <c r="Z338" s="1">
        <v>34</v>
      </c>
      <c r="AA338" s="1">
        <v>53000</v>
      </c>
      <c r="AB338" s="1">
        <v>2</v>
      </c>
    </row>
    <row r="339" spans="1:28" ht="12.75" customHeight="1" x14ac:dyDescent="0.15">
      <c r="A339" s="5">
        <v>216</v>
      </c>
      <c r="B339" s="5" t="s">
        <v>238</v>
      </c>
      <c r="C339" s="1">
        <v>28</v>
      </c>
      <c r="D339" s="5" t="s">
        <v>981</v>
      </c>
      <c r="E339" s="1">
        <v>7</v>
      </c>
      <c r="F339" s="5" t="s">
        <v>981</v>
      </c>
      <c r="G339" s="1">
        <v>1</v>
      </c>
      <c r="H339" s="5" t="s">
        <v>983</v>
      </c>
      <c r="I339" s="1">
        <v>4</v>
      </c>
      <c r="J339" s="5" t="s">
        <v>982</v>
      </c>
      <c r="K339" s="1">
        <v>9</v>
      </c>
      <c r="L339" s="5" t="s">
        <v>981</v>
      </c>
      <c r="M339" s="1">
        <v>9</v>
      </c>
      <c r="N339" s="5" t="s">
        <v>981</v>
      </c>
      <c r="O339" s="1">
        <v>0</v>
      </c>
      <c r="P339" s="5" t="s">
        <v>983</v>
      </c>
      <c r="Q339" s="1">
        <v>1</v>
      </c>
      <c r="R339" s="1">
        <v>0</v>
      </c>
      <c r="S339" s="1">
        <v>1</v>
      </c>
      <c r="T339" s="1">
        <v>1</v>
      </c>
      <c r="U339" s="1">
        <v>4</v>
      </c>
      <c r="V339" s="1">
        <v>4</v>
      </c>
      <c r="W339" s="1">
        <v>39</v>
      </c>
      <c r="X339" s="1">
        <v>1</v>
      </c>
      <c r="Y339" s="1">
        <v>17</v>
      </c>
      <c r="Z339" s="1">
        <v>34</v>
      </c>
      <c r="AA339" s="1">
        <v>50000</v>
      </c>
      <c r="AB339" s="1">
        <v>6</v>
      </c>
    </row>
    <row r="340" spans="1:28" ht="12.75" customHeight="1" x14ac:dyDescent="0.15">
      <c r="A340" s="5">
        <v>174</v>
      </c>
      <c r="B340" s="5" t="s">
        <v>984</v>
      </c>
      <c r="C340" s="1">
        <v>21</v>
      </c>
      <c r="D340" s="5" t="s">
        <v>982</v>
      </c>
      <c r="E340" s="1">
        <v>4</v>
      </c>
      <c r="F340" s="5" t="s">
        <v>982</v>
      </c>
      <c r="G340" s="1">
        <v>5</v>
      </c>
      <c r="H340" s="5" t="s">
        <v>982</v>
      </c>
      <c r="I340" s="1">
        <v>3</v>
      </c>
      <c r="J340" s="5" t="s">
        <v>982</v>
      </c>
      <c r="K340" s="1">
        <v>0</v>
      </c>
      <c r="L340" s="5" t="s">
        <v>983</v>
      </c>
      <c r="M340" s="1">
        <v>6</v>
      </c>
      <c r="N340" s="5" t="s">
        <v>981</v>
      </c>
      <c r="O340" s="1">
        <v>0</v>
      </c>
      <c r="P340" s="5" t="s">
        <v>983</v>
      </c>
      <c r="Q340" s="1">
        <v>1</v>
      </c>
      <c r="R340" s="1">
        <v>0</v>
      </c>
      <c r="S340" s="1">
        <v>1</v>
      </c>
      <c r="T340" s="1">
        <v>1</v>
      </c>
      <c r="U340" s="1">
        <v>5</v>
      </c>
      <c r="V340" s="1">
        <v>4</v>
      </c>
      <c r="W340" s="1">
        <v>29</v>
      </c>
      <c r="X340" s="1">
        <v>0</v>
      </c>
      <c r="Y340" s="1">
        <v>4</v>
      </c>
      <c r="Z340" s="1">
        <v>2</v>
      </c>
      <c r="AA340" s="1">
        <v>50000</v>
      </c>
      <c r="AB340" s="1">
        <v>3</v>
      </c>
    </row>
    <row r="341" spans="1:28" ht="12.75" customHeight="1" x14ac:dyDescent="0.15">
      <c r="A341" s="5">
        <v>321</v>
      </c>
      <c r="B341" s="5" t="s">
        <v>984</v>
      </c>
      <c r="C341" s="1">
        <v>24</v>
      </c>
      <c r="D341" s="5" t="s">
        <v>981</v>
      </c>
      <c r="E341" s="1">
        <v>4</v>
      </c>
      <c r="F341" s="5" t="s">
        <v>982</v>
      </c>
      <c r="G341" s="1">
        <v>3</v>
      </c>
      <c r="H341" s="5" t="s">
        <v>982</v>
      </c>
      <c r="I341" s="1">
        <v>2</v>
      </c>
      <c r="J341" s="5" t="s">
        <v>982</v>
      </c>
      <c r="K341" s="1">
        <v>1</v>
      </c>
      <c r="L341" s="5" t="s">
        <v>983</v>
      </c>
      <c r="M341" s="1">
        <v>3</v>
      </c>
      <c r="N341" s="5" t="s">
        <v>982</v>
      </c>
      <c r="O341" s="1">
        <v>1</v>
      </c>
      <c r="P341" s="5" t="s">
        <v>982</v>
      </c>
      <c r="Q341" s="1">
        <v>0</v>
      </c>
      <c r="R341" s="1">
        <v>0</v>
      </c>
      <c r="S341" s="1" t="s">
        <v>194</v>
      </c>
      <c r="T341" s="1">
        <v>1</v>
      </c>
      <c r="U341" s="1">
        <v>2</v>
      </c>
      <c r="V341" s="1">
        <v>2</v>
      </c>
      <c r="W341" s="1">
        <v>49</v>
      </c>
      <c r="X341" s="1">
        <v>0</v>
      </c>
      <c r="Y341" s="1">
        <v>14</v>
      </c>
      <c r="Z341" s="1">
        <v>1</v>
      </c>
      <c r="AA341" s="1">
        <v>49000</v>
      </c>
      <c r="AB341" s="1">
        <v>3</v>
      </c>
    </row>
    <row r="342" spans="1:28" ht="12.75" customHeight="1" x14ac:dyDescent="0.15">
      <c r="A342" s="5">
        <v>155</v>
      </c>
      <c r="B342" s="5" t="s">
        <v>984</v>
      </c>
      <c r="C342" s="1">
        <v>35</v>
      </c>
      <c r="D342" s="5" t="s">
        <v>981</v>
      </c>
      <c r="E342" s="1">
        <v>2</v>
      </c>
      <c r="F342" s="5" t="s">
        <v>982</v>
      </c>
      <c r="G342" s="1">
        <v>12</v>
      </c>
      <c r="H342" s="5" t="s">
        <v>981</v>
      </c>
      <c r="I342" s="1">
        <v>14</v>
      </c>
      <c r="J342" s="5" t="s">
        <v>981</v>
      </c>
      <c r="K342" s="1">
        <v>9</v>
      </c>
      <c r="L342" s="5" t="s">
        <v>981</v>
      </c>
      <c r="M342" s="1">
        <v>4</v>
      </c>
      <c r="N342" s="5" t="s">
        <v>982</v>
      </c>
      <c r="O342" s="1">
        <v>0</v>
      </c>
      <c r="P342" s="5" t="s">
        <v>983</v>
      </c>
      <c r="Q342" s="1">
        <v>1</v>
      </c>
      <c r="R342" s="1">
        <v>0</v>
      </c>
      <c r="S342" s="1" t="s">
        <v>194</v>
      </c>
      <c r="T342" s="1">
        <v>1</v>
      </c>
      <c r="U342" s="1">
        <v>4</v>
      </c>
      <c r="V342" s="1">
        <v>4</v>
      </c>
      <c r="W342" s="1">
        <v>34</v>
      </c>
      <c r="X342" s="1">
        <v>1</v>
      </c>
      <c r="Y342" s="1">
        <v>14</v>
      </c>
      <c r="Z342" s="1">
        <v>18</v>
      </c>
      <c r="AA342" s="1">
        <v>47000</v>
      </c>
      <c r="AB342" s="1">
        <v>1</v>
      </c>
    </row>
    <row r="343" spans="1:28" ht="12.75" customHeight="1" x14ac:dyDescent="0.15">
      <c r="A343" s="5">
        <v>156</v>
      </c>
      <c r="B343" s="5" t="s">
        <v>238</v>
      </c>
      <c r="C343" s="1">
        <v>25</v>
      </c>
      <c r="D343" s="5" t="s">
        <v>981</v>
      </c>
      <c r="E343" s="1">
        <v>2</v>
      </c>
      <c r="F343" s="5" t="s">
        <v>982</v>
      </c>
      <c r="G343" s="1">
        <v>1</v>
      </c>
      <c r="H343" s="5" t="s">
        <v>983</v>
      </c>
      <c r="I343" s="1">
        <v>8</v>
      </c>
      <c r="J343" s="5" t="s">
        <v>981</v>
      </c>
      <c r="K343" s="1">
        <v>0</v>
      </c>
      <c r="L343" s="5" t="s">
        <v>983</v>
      </c>
      <c r="M343" s="1">
        <v>2</v>
      </c>
      <c r="N343" s="5" t="s">
        <v>983</v>
      </c>
      <c r="O343" s="1">
        <v>0</v>
      </c>
      <c r="P343" s="5" t="s">
        <v>983</v>
      </c>
      <c r="Q343" s="1">
        <v>0</v>
      </c>
      <c r="R343" s="1">
        <v>0</v>
      </c>
      <c r="S343" s="1" t="s">
        <v>194</v>
      </c>
      <c r="T343" s="1">
        <v>1</v>
      </c>
      <c r="U343" s="1">
        <v>3</v>
      </c>
      <c r="V343" s="1">
        <v>3</v>
      </c>
      <c r="W343" s="1">
        <v>34</v>
      </c>
      <c r="X343" s="1">
        <v>1</v>
      </c>
      <c r="Y343" s="1">
        <v>14</v>
      </c>
      <c r="Z343" s="1">
        <v>18</v>
      </c>
      <c r="AA343" s="1">
        <v>47000</v>
      </c>
      <c r="AB343" s="1">
        <v>1</v>
      </c>
    </row>
    <row r="344" spans="1:28" ht="12.75" customHeight="1" x14ac:dyDescent="0.15">
      <c r="A344" s="5">
        <v>3</v>
      </c>
      <c r="B344" s="5" t="s">
        <v>238</v>
      </c>
      <c r="C344" s="1">
        <v>12</v>
      </c>
      <c r="D344" s="5" t="s">
        <v>983</v>
      </c>
      <c r="E344" s="1">
        <v>6</v>
      </c>
      <c r="F344" s="5" t="s">
        <v>981</v>
      </c>
      <c r="G344" s="1">
        <v>6</v>
      </c>
      <c r="H344" s="5" t="s">
        <v>981</v>
      </c>
      <c r="I344" s="1">
        <v>8</v>
      </c>
      <c r="J344" s="5" t="s">
        <v>981</v>
      </c>
      <c r="K344" s="1">
        <v>6</v>
      </c>
      <c r="L344" s="5" t="s">
        <v>981</v>
      </c>
      <c r="M344" s="1">
        <v>6</v>
      </c>
      <c r="N344" s="5" t="s">
        <v>981</v>
      </c>
      <c r="O344" s="1">
        <v>0</v>
      </c>
      <c r="P344" s="5" t="s">
        <v>983</v>
      </c>
      <c r="Q344" s="1">
        <v>1</v>
      </c>
      <c r="R344" s="1">
        <v>0</v>
      </c>
      <c r="S344" s="1" t="s">
        <v>194</v>
      </c>
      <c r="T344" s="1">
        <v>1</v>
      </c>
      <c r="U344" s="1" t="s">
        <v>194</v>
      </c>
      <c r="V344" s="1" t="s">
        <v>194</v>
      </c>
      <c r="W344" s="1">
        <v>40</v>
      </c>
      <c r="X344" s="1">
        <v>1</v>
      </c>
      <c r="Y344" s="1">
        <v>14</v>
      </c>
      <c r="Z344" s="1">
        <v>1</v>
      </c>
      <c r="AA344" s="1">
        <v>40000</v>
      </c>
      <c r="AB344" s="1">
        <v>3</v>
      </c>
    </row>
    <row r="345" spans="1:28" ht="12.75" customHeight="1" x14ac:dyDescent="0.15">
      <c r="A345" s="5">
        <v>498</v>
      </c>
      <c r="B345" s="5" t="s">
        <v>238</v>
      </c>
      <c r="C345" s="1">
        <v>15</v>
      </c>
      <c r="D345" s="5" t="s">
        <v>983</v>
      </c>
      <c r="E345" s="1">
        <v>3</v>
      </c>
      <c r="F345" s="5" t="s">
        <v>982</v>
      </c>
      <c r="G345" s="1">
        <v>6</v>
      </c>
      <c r="H345" s="5" t="s">
        <v>981</v>
      </c>
      <c r="I345" s="1">
        <v>7</v>
      </c>
      <c r="J345" s="5" t="s">
        <v>981</v>
      </c>
      <c r="K345" s="1">
        <v>0</v>
      </c>
      <c r="L345" s="5" t="s">
        <v>983</v>
      </c>
      <c r="M345" s="1">
        <v>12</v>
      </c>
      <c r="N345" s="5" t="s">
        <v>981</v>
      </c>
      <c r="O345" s="1">
        <v>0</v>
      </c>
      <c r="P345" s="5" t="s">
        <v>983</v>
      </c>
      <c r="Q345" s="1">
        <v>1</v>
      </c>
      <c r="R345" s="1">
        <v>0</v>
      </c>
      <c r="S345" s="1" t="s">
        <v>194</v>
      </c>
      <c r="T345" s="1">
        <v>1</v>
      </c>
      <c r="U345" s="1">
        <v>2</v>
      </c>
      <c r="V345" s="1">
        <v>1</v>
      </c>
      <c r="W345" s="1">
        <v>34</v>
      </c>
      <c r="X345" s="1">
        <v>0</v>
      </c>
      <c r="Y345" s="1">
        <v>17</v>
      </c>
      <c r="Z345" s="1">
        <v>11</v>
      </c>
      <c r="AA345" s="1">
        <v>27000</v>
      </c>
      <c r="AB345" s="1">
        <v>2</v>
      </c>
    </row>
    <row r="346" spans="1:28" ht="12.75" customHeight="1" x14ac:dyDescent="0.15">
      <c r="A346" s="5">
        <v>175</v>
      </c>
      <c r="B346" s="5" t="s">
        <v>238</v>
      </c>
      <c r="C346" s="1">
        <v>16</v>
      </c>
      <c r="D346" s="5" t="s">
        <v>983</v>
      </c>
      <c r="E346" s="1">
        <v>1</v>
      </c>
      <c r="F346" s="5" t="s">
        <v>983</v>
      </c>
      <c r="G346" s="1">
        <v>1</v>
      </c>
      <c r="H346" s="5" t="s">
        <v>983</v>
      </c>
      <c r="I346" s="1">
        <v>7</v>
      </c>
      <c r="J346" s="5" t="s">
        <v>981</v>
      </c>
      <c r="K346" s="1">
        <v>0</v>
      </c>
      <c r="L346" s="5" t="s">
        <v>983</v>
      </c>
      <c r="M346" s="1">
        <v>0</v>
      </c>
      <c r="N346" s="5" t="s">
        <v>983</v>
      </c>
      <c r="O346" s="1">
        <v>0</v>
      </c>
      <c r="P346" s="5" t="s">
        <v>983</v>
      </c>
      <c r="Q346" s="1">
        <v>0</v>
      </c>
      <c r="R346" s="1">
        <v>0</v>
      </c>
      <c r="S346" s="1" t="s">
        <v>194</v>
      </c>
      <c r="T346" s="1">
        <v>1</v>
      </c>
      <c r="U346" s="1">
        <v>5</v>
      </c>
      <c r="V346" s="1">
        <v>5</v>
      </c>
      <c r="W346" s="1">
        <v>39</v>
      </c>
      <c r="X346" s="1">
        <v>0</v>
      </c>
      <c r="Y346" s="1">
        <v>18</v>
      </c>
      <c r="Z346" s="1">
        <v>24</v>
      </c>
      <c r="AA346" s="1">
        <v>1600</v>
      </c>
      <c r="AB346" s="1">
        <v>4</v>
      </c>
    </row>
    <row r="347" spans="1:28" ht="12.75" customHeight="1" x14ac:dyDescent="0.15">
      <c r="A347" s="5">
        <v>100</v>
      </c>
      <c r="B347" s="5" t="s">
        <v>238</v>
      </c>
      <c r="C347" s="1">
        <v>30</v>
      </c>
      <c r="D347" s="5" t="s">
        <v>981</v>
      </c>
      <c r="E347" s="1">
        <v>6</v>
      </c>
      <c r="F347" s="5" t="s">
        <v>981</v>
      </c>
      <c r="G347" s="1">
        <v>2</v>
      </c>
      <c r="H347" s="5" t="s">
        <v>982</v>
      </c>
      <c r="I347" s="1">
        <v>8</v>
      </c>
      <c r="J347" s="5" t="s">
        <v>981</v>
      </c>
      <c r="K347" s="1">
        <v>3</v>
      </c>
      <c r="L347" s="5" t="s">
        <v>982</v>
      </c>
      <c r="M347" s="1">
        <v>0</v>
      </c>
      <c r="N347" s="5" t="s">
        <v>983</v>
      </c>
      <c r="O347" s="1">
        <v>0</v>
      </c>
      <c r="P347" s="5" t="s">
        <v>983</v>
      </c>
      <c r="Q347" s="1">
        <v>1</v>
      </c>
      <c r="R347" s="1">
        <v>0</v>
      </c>
      <c r="S347" s="1">
        <v>1</v>
      </c>
      <c r="T347" s="1">
        <v>1</v>
      </c>
      <c r="U347" s="1">
        <v>5</v>
      </c>
      <c r="V347" s="1">
        <v>4</v>
      </c>
      <c r="W347" s="1">
        <v>0</v>
      </c>
      <c r="X347" s="1">
        <v>0</v>
      </c>
      <c r="Y347" s="1">
        <v>16</v>
      </c>
      <c r="Z347" s="1">
        <v>7</v>
      </c>
      <c r="AA347" s="1">
        <v>1400</v>
      </c>
      <c r="AB347" s="1">
        <v>1</v>
      </c>
    </row>
    <row r="348" spans="1:28" ht="12.75" customHeight="1" x14ac:dyDescent="0.15">
      <c r="A348" s="5">
        <v>157</v>
      </c>
      <c r="B348" s="5" t="s">
        <v>238</v>
      </c>
      <c r="C348" s="1">
        <v>26</v>
      </c>
      <c r="D348" s="5" t="s">
        <v>981</v>
      </c>
      <c r="E348" s="1">
        <v>6</v>
      </c>
      <c r="F348" s="5" t="s">
        <v>981</v>
      </c>
      <c r="G348" s="1">
        <v>6</v>
      </c>
      <c r="H348" s="5" t="s">
        <v>981</v>
      </c>
      <c r="I348" s="1">
        <v>8</v>
      </c>
      <c r="J348" s="5" t="s">
        <v>981</v>
      </c>
      <c r="K348" s="1">
        <v>6</v>
      </c>
      <c r="L348" s="5" t="s">
        <v>981</v>
      </c>
      <c r="M348" s="1">
        <v>6</v>
      </c>
      <c r="N348" s="5" t="s">
        <v>981</v>
      </c>
      <c r="O348" s="1">
        <v>0</v>
      </c>
      <c r="P348" s="5" t="s">
        <v>983</v>
      </c>
      <c r="Q348" s="1">
        <v>1</v>
      </c>
      <c r="R348" s="1">
        <v>0</v>
      </c>
      <c r="S348" s="1">
        <v>1</v>
      </c>
      <c r="T348" s="1">
        <v>1</v>
      </c>
      <c r="U348" s="1" t="s">
        <v>194</v>
      </c>
      <c r="V348" s="1">
        <v>4</v>
      </c>
      <c r="W348" s="1">
        <v>52</v>
      </c>
      <c r="X348" s="1">
        <v>0</v>
      </c>
      <c r="Y348" s="1">
        <v>15</v>
      </c>
      <c r="Z348" s="1">
        <v>24</v>
      </c>
      <c r="AA348" s="1">
        <v>1100</v>
      </c>
      <c r="AB348" s="1">
        <v>5</v>
      </c>
    </row>
    <row r="349" spans="1:28" ht="12.75" customHeight="1" x14ac:dyDescent="0.15">
      <c r="A349" s="5">
        <v>435</v>
      </c>
      <c r="B349" s="5" t="s">
        <v>238</v>
      </c>
      <c r="C349" s="1">
        <v>13</v>
      </c>
      <c r="D349" s="5" t="s">
        <v>983</v>
      </c>
      <c r="E349" s="1">
        <v>3</v>
      </c>
      <c r="F349" s="5" t="s">
        <v>982</v>
      </c>
      <c r="G349" s="1">
        <v>1</v>
      </c>
      <c r="H349" s="5" t="s">
        <v>983</v>
      </c>
      <c r="I349" s="1">
        <v>11</v>
      </c>
      <c r="J349" s="5" t="s">
        <v>981</v>
      </c>
      <c r="K349" s="1">
        <v>3</v>
      </c>
      <c r="L349" s="5" t="s">
        <v>982</v>
      </c>
      <c r="M349" s="1">
        <v>3</v>
      </c>
      <c r="N349" s="5" t="s">
        <v>982</v>
      </c>
      <c r="O349" s="1">
        <v>0</v>
      </c>
      <c r="P349" s="5" t="s">
        <v>983</v>
      </c>
      <c r="Q349" s="1">
        <v>1</v>
      </c>
      <c r="R349" s="1">
        <v>1</v>
      </c>
      <c r="S349" s="1">
        <v>1</v>
      </c>
      <c r="T349" s="1">
        <v>1</v>
      </c>
      <c r="U349" s="1">
        <v>2</v>
      </c>
      <c r="V349" s="1">
        <v>1</v>
      </c>
      <c r="W349" s="1">
        <v>63</v>
      </c>
      <c r="X349" s="1">
        <v>1</v>
      </c>
      <c r="Y349" s="1">
        <v>14</v>
      </c>
      <c r="Z349" s="1">
        <v>34</v>
      </c>
      <c r="AA349" s="1">
        <v>0</v>
      </c>
      <c r="AB349" s="1">
        <v>1</v>
      </c>
    </row>
    <row r="350" spans="1:28" ht="12.75" customHeight="1" x14ac:dyDescent="0.15">
      <c r="A350" s="5">
        <v>371</v>
      </c>
      <c r="B350" s="5" t="s">
        <v>984</v>
      </c>
      <c r="C350" s="1">
        <v>12</v>
      </c>
      <c r="D350" s="5" t="s">
        <v>983</v>
      </c>
      <c r="E350" s="1">
        <v>0</v>
      </c>
      <c r="F350" s="5" t="s">
        <v>983</v>
      </c>
      <c r="G350" s="1">
        <v>0</v>
      </c>
      <c r="H350" s="5" t="s">
        <v>983</v>
      </c>
      <c r="I350" s="1">
        <v>16</v>
      </c>
      <c r="J350" s="5" t="s">
        <v>981</v>
      </c>
      <c r="K350" s="1">
        <v>0</v>
      </c>
      <c r="L350" s="5" t="s">
        <v>983</v>
      </c>
      <c r="M350" s="1">
        <v>0</v>
      </c>
      <c r="N350" s="5" t="s">
        <v>983</v>
      </c>
      <c r="O350" s="1">
        <v>0</v>
      </c>
      <c r="P350" s="5" t="s">
        <v>983</v>
      </c>
      <c r="Q350" s="1">
        <v>1</v>
      </c>
      <c r="R350" s="1">
        <v>0</v>
      </c>
      <c r="S350" s="1" t="s">
        <v>194</v>
      </c>
      <c r="T350" s="1">
        <v>1</v>
      </c>
      <c r="U350" s="1">
        <v>5</v>
      </c>
      <c r="V350" s="1">
        <v>5</v>
      </c>
      <c r="W350" s="1">
        <v>35</v>
      </c>
      <c r="X350" s="1">
        <v>0</v>
      </c>
      <c r="Y350" s="1">
        <v>14</v>
      </c>
      <c r="Z350" s="1">
        <v>34</v>
      </c>
      <c r="AA350" s="1">
        <v>0</v>
      </c>
      <c r="AB350" s="1">
        <v>1</v>
      </c>
    </row>
    <row r="351" spans="1:28" ht="12.75" customHeight="1" x14ac:dyDescent="0.15">
      <c r="A351" s="5">
        <v>68</v>
      </c>
      <c r="B351" s="5" t="s">
        <v>238</v>
      </c>
      <c r="C351" s="1">
        <v>35</v>
      </c>
      <c r="D351" s="5" t="s">
        <v>981</v>
      </c>
      <c r="E351" s="1">
        <v>9</v>
      </c>
      <c r="F351" s="5" t="s">
        <v>981</v>
      </c>
      <c r="G351" s="1">
        <v>6</v>
      </c>
      <c r="H351" s="5" t="s">
        <v>981</v>
      </c>
      <c r="I351" s="1">
        <v>10</v>
      </c>
      <c r="J351" s="5" t="s">
        <v>981</v>
      </c>
      <c r="K351" s="1">
        <v>3</v>
      </c>
      <c r="L351" s="5" t="s">
        <v>982</v>
      </c>
      <c r="M351" s="1">
        <v>5</v>
      </c>
      <c r="N351" s="5" t="s">
        <v>982</v>
      </c>
      <c r="O351" s="1">
        <v>1</v>
      </c>
      <c r="P351" s="5" t="s">
        <v>982</v>
      </c>
      <c r="Q351" s="1">
        <v>1</v>
      </c>
      <c r="R351" s="1">
        <v>0</v>
      </c>
      <c r="S351" s="1">
        <v>1</v>
      </c>
      <c r="T351" s="1">
        <v>1</v>
      </c>
      <c r="U351" s="1">
        <v>3</v>
      </c>
      <c r="V351" s="1">
        <v>3</v>
      </c>
      <c r="W351" s="1">
        <v>37</v>
      </c>
      <c r="X351" s="1">
        <v>0</v>
      </c>
      <c r="Y351" s="1">
        <v>14</v>
      </c>
      <c r="Z351" s="1">
        <v>34</v>
      </c>
      <c r="AA351" s="1">
        <v>0</v>
      </c>
      <c r="AB351" s="1">
        <v>1</v>
      </c>
    </row>
    <row r="352" spans="1:28" ht="12.75" customHeight="1" x14ac:dyDescent="0.15">
      <c r="A352" s="5">
        <v>51</v>
      </c>
      <c r="B352" s="5" t="s">
        <v>238</v>
      </c>
      <c r="C352" s="1">
        <v>15</v>
      </c>
      <c r="D352" s="5" t="s">
        <v>983</v>
      </c>
      <c r="E352" s="1">
        <v>3</v>
      </c>
      <c r="F352" s="5" t="s">
        <v>982</v>
      </c>
      <c r="G352" s="1">
        <v>3</v>
      </c>
      <c r="H352" s="5" t="s">
        <v>982</v>
      </c>
      <c r="I352" s="1">
        <v>0</v>
      </c>
      <c r="J352" s="5" t="s">
        <v>983</v>
      </c>
      <c r="K352" s="1">
        <v>0</v>
      </c>
      <c r="L352" s="5" t="s">
        <v>983</v>
      </c>
      <c r="M352" s="1">
        <v>0</v>
      </c>
      <c r="N352" s="5" t="s">
        <v>983</v>
      </c>
      <c r="O352" s="1">
        <v>0</v>
      </c>
      <c r="P352" s="5" t="s">
        <v>983</v>
      </c>
      <c r="Q352" s="1">
        <v>1</v>
      </c>
      <c r="R352" s="1">
        <v>0</v>
      </c>
      <c r="S352" s="1">
        <v>1</v>
      </c>
      <c r="T352" s="1">
        <v>1</v>
      </c>
      <c r="U352" s="1" t="s">
        <v>194</v>
      </c>
      <c r="V352" s="1">
        <v>2</v>
      </c>
      <c r="W352" s="1">
        <v>34</v>
      </c>
      <c r="X352" s="1">
        <v>1</v>
      </c>
      <c r="Y352" s="1">
        <v>10</v>
      </c>
      <c r="Z352" s="1">
        <v>34</v>
      </c>
      <c r="AA352" s="1">
        <v>0</v>
      </c>
      <c r="AB352" s="1">
        <v>3</v>
      </c>
    </row>
    <row r="353" spans="1:28" ht="12.75" customHeight="1" x14ac:dyDescent="0.15">
      <c r="A353" s="5">
        <v>454</v>
      </c>
      <c r="B353" s="5" t="s">
        <v>238</v>
      </c>
      <c r="C353" s="1">
        <v>13</v>
      </c>
      <c r="D353" s="5" t="s">
        <v>983</v>
      </c>
      <c r="E353" s="1">
        <v>3</v>
      </c>
      <c r="F353" s="5" t="s">
        <v>982</v>
      </c>
      <c r="G353" s="1">
        <v>0</v>
      </c>
      <c r="H353" s="5" t="s">
        <v>983</v>
      </c>
      <c r="I353" s="1">
        <v>12</v>
      </c>
      <c r="J353" s="5" t="s">
        <v>981</v>
      </c>
      <c r="K353" s="1">
        <v>2</v>
      </c>
      <c r="L353" s="5" t="s">
        <v>983</v>
      </c>
      <c r="M353" s="1">
        <v>0</v>
      </c>
      <c r="N353" s="5" t="s">
        <v>983</v>
      </c>
      <c r="O353" s="1">
        <v>0</v>
      </c>
      <c r="P353" s="5" t="s">
        <v>983</v>
      </c>
      <c r="Q353" s="1">
        <v>1</v>
      </c>
      <c r="R353" s="1">
        <v>0</v>
      </c>
      <c r="S353" s="1">
        <v>1</v>
      </c>
      <c r="T353" s="1">
        <v>1</v>
      </c>
      <c r="U353" s="1" t="s">
        <v>194</v>
      </c>
      <c r="V353" s="1">
        <v>2</v>
      </c>
      <c r="W353" s="1">
        <v>36</v>
      </c>
      <c r="X353" s="1">
        <v>1</v>
      </c>
      <c r="Y353" s="1">
        <v>4</v>
      </c>
      <c r="Z353" s="1">
        <v>34</v>
      </c>
      <c r="AA353" s="1">
        <v>0</v>
      </c>
      <c r="AB353" s="1">
        <v>1</v>
      </c>
    </row>
    <row r="354" spans="1:28" ht="12.75" customHeight="1" x14ac:dyDescent="0.15">
      <c r="A354" s="5">
        <v>28</v>
      </c>
      <c r="B354" s="5" t="s">
        <v>238</v>
      </c>
      <c r="C354" s="1">
        <v>45</v>
      </c>
      <c r="D354" s="5" t="s">
        <v>981</v>
      </c>
      <c r="E354" s="1">
        <v>6</v>
      </c>
      <c r="F354" s="5" t="s">
        <v>981</v>
      </c>
      <c r="G354" s="1">
        <v>9</v>
      </c>
      <c r="H354" s="5" t="s">
        <v>981</v>
      </c>
      <c r="I354" s="1">
        <v>5</v>
      </c>
      <c r="J354" s="5" t="s">
        <v>981</v>
      </c>
      <c r="K354" s="1">
        <v>3</v>
      </c>
      <c r="L354" s="5" t="s">
        <v>982</v>
      </c>
      <c r="M354" s="1">
        <v>10</v>
      </c>
      <c r="N354" s="5" t="s">
        <v>981</v>
      </c>
      <c r="O354" s="1">
        <v>1</v>
      </c>
      <c r="P354" s="5" t="s">
        <v>982</v>
      </c>
      <c r="Q354" s="1">
        <v>1</v>
      </c>
      <c r="R354" s="1">
        <v>0</v>
      </c>
      <c r="S354" s="1">
        <v>1</v>
      </c>
      <c r="T354" s="1">
        <v>1</v>
      </c>
      <c r="U354" s="1">
        <v>5</v>
      </c>
      <c r="V354" s="1">
        <v>3</v>
      </c>
      <c r="W354" s="1">
        <v>34</v>
      </c>
      <c r="X354" s="1">
        <v>1</v>
      </c>
      <c r="Y354" s="1">
        <v>14</v>
      </c>
      <c r="Z354" s="1">
        <v>29</v>
      </c>
      <c r="AA354" s="1">
        <v>0</v>
      </c>
      <c r="AB354" s="1">
        <v>5</v>
      </c>
    </row>
    <row r="355" spans="1:28" ht="12.75" customHeight="1" x14ac:dyDescent="0.15">
      <c r="A355" s="5">
        <v>224</v>
      </c>
      <c r="B355" s="5" t="s">
        <v>238</v>
      </c>
      <c r="C355" s="1">
        <v>31</v>
      </c>
      <c r="D355" s="5" t="s">
        <v>981</v>
      </c>
      <c r="E355" s="1">
        <v>5</v>
      </c>
      <c r="F355" s="5" t="s">
        <v>981</v>
      </c>
      <c r="G355" s="1">
        <v>8</v>
      </c>
      <c r="H355" s="5" t="s">
        <v>981</v>
      </c>
      <c r="I355" s="1">
        <v>14</v>
      </c>
      <c r="J355" s="5" t="s">
        <v>981</v>
      </c>
      <c r="K355" s="1">
        <v>0</v>
      </c>
      <c r="L355" s="5" t="s">
        <v>983</v>
      </c>
      <c r="M355" s="1">
        <v>10</v>
      </c>
      <c r="N355" s="5" t="s">
        <v>981</v>
      </c>
      <c r="O355" s="1">
        <v>2</v>
      </c>
      <c r="P355" s="5" t="s">
        <v>982</v>
      </c>
      <c r="Q355" s="1">
        <v>0</v>
      </c>
      <c r="R355" s="1">
        <v>0</v>
      </c>
      <c r="S355" s="1" t="s">
        <v>194</v>
      </c>
      <c r="T355" s="1">
        <v>1</v>
      </c>
      <c r="U355" s="1">
        <v>3</v>
      </c>
      <c r="V355" s="1">
        <v>2</v>
      </c>
      <c r="W355" s="1">
        <v>67</v>
      </c>
      <c r="X355" s="1">
        <v>0</v>
      </c>
      <c r="Y355" s="1">
        <v>14</v>
      </c>
      <c r="Z355" s="1">
        <v>28</v>
      </c>
      <c r="AA355" s="1">
        <v>0</v>
      </c>
      <c r="AB355" s="1">
        <v>3</v>
      </c>
    </row>
    <row r="356" spans="1:28" ht="12.75" customHeight="1" x14ac:dyDescent="0.15">
      <c r="A356" s="5">
        <v>223</v>
      </c>
      <c r="B356" s="5" t="s">
        <v>238</v>
      </c>
      <c r="C356" s="1">
        <v>26</v>
      </c>
      <c r="D356" s="5" t="s">
        <v>981</v>
      </c>
      <c r="E356" s="1">
        <v>4</v>
      </c>
      <c r="F356" s="5" t="s">
        <v>982</v>
      </c>
      <c r="G356" s="1">
        <v>5</v>
      </c>
      <c r="H356" s="5" t="s">
        <v>982</v>
      </c>
      <c r="I356" s="1">
        <v>12</v>
      </c>
      <c r="J356" s="5" t="s">
        <v>981</v>
      </c>
      <c r="K356" s="1">
        <v>3</v>
      </c>
      <c r="L356" s="5" t="s">
        <v>982</v>
      </c>
      <c r="M356" s="1">
        <v>6</v>
      </c>
      <c r="N356" s="5" t="s">
        <v>981</v>
      </c>
      <c r="O356" s="1">
        <v>0</v>
      </c>
      <c r="P356" s="5" t="s">
        <v>983</v>
      </c>
      <c r="Q356" s="1">
        <v>1</v>
      </c>
      <c r="R356" s="1">
        <v>0</v>
      </c>
      <c r="S356" s="1">
        <v>1</v>
      </c>
      <c r="T356" s="1">
        <v>1</v>
      </c>
      <c r="U356" s="1">
        <v>2</v>
      </c>
      <c r="V356" s="1">
        <v>2</v>
      </c>
      <c r="W356" s="1">
        <v>67</v>
      </c>
      <c r="X356" s="1">
        <v>0</v>
      </c>
      <c r="Y356" s="1">
        <v>14</v>
      </c>
      <c r="Z356" s="1">
        <v>28</v>
      </c>
      <c r="AA356" s="1">
        <v>0</v>
      </c>
      <c r="AB356" s="1">
        <v>3</v>
      </c>
    </row>
    <row r="357" spans="1:28" ht="12.75" customHeight="1" x14ac:dyDescent="0.15">
      <c r="A357" s="5">
        <v>415</v>
      </c>
      <c r="B357" s="5" t="s">
        <v>984</v>
      </c>
      <c r="C357" s="1">
        <v>18</v>
      </c>
      <c r="D357" s="5" t="s">
        <v>983</v>
      </c>
      <c r="E357" s="1">
        <v>0</v>
      </c>
      <c r="F357" s="5" t="s">
        <v>983</v>
      </c>
      <c r="G357" s="1">
        <v>5</v>
      </c>
      <c r="H357" s="5" t="s">
        <v>982</v>
      </c>
      <c r="I357" s="1">
        <v>0</v>
      </c>
      <c r="J357" s="5" t="s">
        <v>983</v>
      </c>
      <c r="K357" s="1">
        <v>0</v>
      </c>
      <c r="L357" s="5" t="s">
        <v>983</v>
      </c>
      <c r="M357" s="1">
        <v>0</v>
      </c>
      <c r="N357" s="5" t="s">
        <v>983</v>
      </c>
      <c r="O357" s="1">
        <v>0</v>
      </c>
      <c r="P357" s="5" t="s">
        <v>983</v>
      </c>
      <c r="Q357" s="1">
        <v>0</v>
      </c>
      <c r="R357" s="1">
        <v>0</v>
      </c>
      <c r="S357" s="1" t="s">
        <v>194</v>
      </c>
      <c r="T357" s="1">
        <v>1</v>
      </c>
      <c r="U357" s="1">
        <v>3</v>
      </c>
      <c r="V357" s="1">
        <v>3</v>
      </c>
      <c r="W357" s="1">
        <v>44</v>
      </c>
      <c r="X357" s="1">
        <v>0</v>
      </c>
      <c r="Y357" s="1">
        <v>8</v>
      </c>
      <c r="Z357" s="1">
        <v>28</v>
      </c>
      <c r="AA357" s="1">
        <v>0</v>
      </c>
      <c r="AB357" s="1">
        <v>2</v>
      </c>
    </row>
    <row r="358" spans="1:28" ht="12.75" customHeight="1" x14ac:dyDescent="0.15">
      <c r="A358" s="5">
        <v>479</v>
      </c>
      <c r="B358" s="5" t="s">
        <v>238</v>
      </c>
      <c r="C358" s="1">
        <v>19</v>
      </c>
      <c r="D358" s="5" t="s">
        <v>982</v>
      </c>
      <c r="E358" s="1">
        <v>9</v>
      </c>
      <c r="F358" s="5" t="s">
        <v>981</v>
      </c>
      <c r="G358" s="1">
        <v>3</v>
      </c>
      <c r="H358" s="5" t="s">
        <v>982</v>
      </c>
      <c r="I358" s="1">
        <v>5</v>
      </c>
      <c r="J358" s="5" t="s">
        <v>981</v>
      </c>
      <c r="K358" s="1">
        <v>7</v>
      </c>
      <c r="L358" s="5" t="s">
        <v>981</v>
      </c>
      <c r="M358" s="1">
        <v>6</v>
      </c>
      <c r="N358" s="5" t="s">
        <v>981</v>
      </c>
      <c r="O358" s="1">
        <v>3</v>
      </c>
      <c r="P358" s="5" t="s">
        <v>982</v>
      </c>
      <c r="Q358" s="1">
        <v>1</v>
      </c>
      <c r="R358" s="1">
        <v>0</v>
      </c>
      <c r="S358" s="1" t="s">
        <v>194</v>
      </c>
      <c r="T358" s="1">
        <v>1</v>
      </c>
      <c r="U358" s="1">
        <v>1</v>
      </c>
      <c r="V358" s="1">
        <v>3</v>
      </c>
      <c r="W358" s="1">
        <v>57</v>
      </c>
      <c r="X358" s="1">
        <v>1</v>
      </c>
      <c r="Y358" s="1">
        <v>14</v>
      </c>
      <c r="Z358" s="1">
        <v>24</v>
      </c>
      <c r="AA358" s="1">
        <v>0</v>
      </c>
      <c r="AB358" s="1">
        <v>2</v>
      </c>
    </row>
    <row r="359" spans="1:28" ht="12.75" customHeight="1" x14ac:dyDescent="0.15">
      <c r="A359" s="5">
        <v>217</v>
      </c>
      <c r="B359" s="5" t="s">
        <v>238</v>
      </c>
      <c r="C359" s="1">
        <v>28</v>
      </c>
      <c r="D359" s="5" t="s">
        <v>981</v>
      </c>
      <c r="E359" s="1">
        <v>9</v>
      </c>
      <c r="F359" s="5" t="s">
        <v>981</v>
      </c>
      <c r="G359" s="1">
        <v>6</v>
      </c>
      <c r="H359" s="5" t="s">
        <v>981</v>
      </c>
      <c r="I359" s="1">
        <v>16</v>
      </c>
      <c r="J359" s="5" t="s">
        <v>981</v>
      </c>
      <c r="K359" s="1">
        <v>0</v>
      </c>
      <c r="L359" s="5" t="s">
        <v>983</v>
      </c>
      <c r="M359" s="1">
        <v>9</v>
      </c>
      <c r="N359" s="5" t="s">
        <v>981</v>
      </c>
      <c r="O359" s="1">
        <v>1</v>
      </c>
      <c r="P359" s="5" t="s">
        <v>982</v>
      </c>
      <c r="Q359" s="1">
        <v>1</v>
      </c>
      <c r="R359" s="1">
        <v>0</v>
      </c>
      <c r="S359" s="1">
        <v>1</v>
      </c>
      <c r="T359" s="1">
        <v>1</v>
      </c>
      <c r="U359" s="1">
        <v>5</v>
      </c>
      <c r="V359" s="1">
        <v>5</v>
      </c>
      <c r="W359" s="1">
        <v>41</v>
      </c>
      <c r="X359" s="1">
        <v>0</v>
      </c>
      <c r="Y359" s="1">
        <v>12</v>
      </c>
      <c r="Z359" s="1">
        <v>24</v>
      </c>
      <c r="AA359" s="1">
        <v>0</v>
      </c>
      <c r="AB359" s="1">
        <v>4</v>
      </c>
    </row>
    <row r="360" spans="1:28" ht="12.75" customHeight="1" x14ac:dyDescent="0.15">
      <c r="A360" s="5">
        <v>203</v>
      </c>
      <c r="B360" s="5" t="s">
        <v>238</v>
      </c>
      <c r="C360" s="1">
        <v>37</v>
      </c>
      <c r="D360" s="5" t="s">
        <v>981</v>
      </c>
      <c r="E360" s="1">
        <v>3</v>
      </c>
      <c r="F360" s="5" t="s">
        <v>982</v>
      </c>
      <c r="G360" s="1">
        <v>3</v>
      </c>
      <c r="H360" s="5" t="s">
        <v>982</v>
      </c>
      <c r="I360" s="1">
        <v>12</v>
      </c>
      <c r="J360" s="5" t="s">
        <v>981</v>
      </c>
      <c r="K360" s="1">
        <v>3</v>
      </c>
      <c r="L360" s="5" t="s">
        <v>982</v>
      </c>
      <c r="M360" s="1">
        <v>3</v>
      </c>
      <c r="N360" s="5" t="s">
        <v>982</v>
      </c>
      <c r="O360" s="1">
        <v>0</v>
      </c>
      <c r="P360" s="5" t="s">
        <v>983</v>
      </c>
      <c r="Q360" s="1">
        <v>1</v>
      </c>
      <c r="R360" s="1">
        <v>0</v>
      </c>
      <c r="S360" s="1" t="s">
        <v>194</v>
      </c>
      <c r="T360" s="1">
        <v>1</v>
      </c>
      <c r="U360" s="1">
        <v>5</v>
      </c>
      <c r="V360" s="1">
        <v>4</v>
      </c>
      <c r="W360" s="1">
        <v>49</v>
      </c>
      <c r="X360" s="1">
        <v>0</v>
      </c>
      <c r="Y360" s="1">
        <v>4</v>
      </c>
      <c r="Z360" s="1">
        <v>24</v>
      </c>
      <c r="AA360" s="1">
        <v>0</v>
      </c>
      <c r="AB360" s="1">
        <v>4</v>
      </c>
    </row>
    <row r="361" spans="1:28" ht="12.75" customHeight="1" x14ac:dyDescent="0.15">
      <c r="A361" s="5">
        <v>381</v>
      </c>
      <c r="B361" s="5" t="s">
        <v>238</v>
      </c>
      <c r="C361" s="1">
        <v>16</v>
      </c>
      <c r="D361" s="5" t="s">
        <v>983</v>
      </c>
      <c r="E361" s="1">
        <v>2</v>
      </c>
      <c r="F361" s="5" t="s">
        <v>982</v>
      </c>
      <c r="G361" s="1">
        <v>3</v>
      </c>
      <c r="H361" s="5" t="s">
        <v>982</v>
      </c>
      <c r="I361" s="1">
        <v>8</v>
      </c>
      <c r="J361" s="5" t="s">
        <v>981</v>
      </c>
      <c r="K361" s="1">
        <v>6</v>
      </c>
      <c r="L361" s="5" t="s">
        <v>981</v>
      </c>
      <c r="M361" s="1">
        <v>0</v>
      </c>
      <c r="N361" s="5" t="s">
        <v>983</v>
      </c>
      <c r="O361" s="1">
        <v>0</v>
      </c>
      <c r="P361" s="5" t="s">
        <v>983</v>
      </c>
      <c r="Q361" s="1">
        <v>1</v>
      </c>
      <c r="R361" s="1">
        <v>1</v>
      </c>
      <c r="S361" s="1">
        <v>1</v>
      </c>
      <c r="T361" s="1">
        <v>1</v>
      </c>
      <c r="U361" s="1">
        <v>2</v>
      </c>
      <c r="V361" s="1">
        <v>1</v>
      </c>
      <c r="W361" s="1">
        <v>46</v>
      </c>
      <c r="X361" s="1">
        <v>1</v>
      </c>
      <c r="Y361" s="1">
        <v>2</v>
      </c>
      <c r="Z361" s="1">
        <v>17</v>
      </c>
      <c r="AA361" s="1">
        <v>0</v>
      </c>
      <c r="AB361" s="1">
        <v>3</v>
      </c>
    </row>
    <row r="362" spans="1:28" ht="12.75" customHeight="1" x14ac:dyDescent="0.15">
      <c r="A362" s="5">
        <v>4</v>
      </c>
      <c r="B362" s="5" t="s">
        <v>238</v>
      </c>
      <c r="C362" s="1">
        <v>32</v>
      </c>
      <c r="D362" s="5" t="s">
        <v>981</v>
      </c>
      <c r="E362" s="1">
        <v>8</v>
      </c>
      <c r="F362" s="5" t="s">
        <v>981</v>
      </c>
      <c r="G362" s="1">
        <v>7</v>
      </c>
      <c r="H362" s="5" t="s">
        <v>981</v>
      </c>
      <c r="I362" s="1">
        <v>16</v>
      </c>
      <c r="J362" s="5" t="s">
        <v>981</v>
      </c>
      <c r="K362" s="1">
        <v>0</v>
      </c>
      <c r="L362" s="5" t="s">
        <v>983</v>
      </c>
      <c r="M362" s="1">
        <v>7</v>
      </c>
      <c r="N362" s="5" t="s">
        <v>981</v>
      </c>
      <c r="O362" s="1">
        <v>2</v>
      </c>
      <c r="P362" s="5" t="s">
        <v>982</v>
      </c>
      <c r="Q362" s="1">
        <v>1</v>
      </c>
      <c r="R362" s="1">
        <v>0</v>
      </c>
      <c r="S362" s="1">
        <v>1</v>
      </c>
      <c r="T362" s="1">
        <v>1</v>
      </c>
      <c r="U362" s="1">
        <v>5</v>
      </c>
      <c r="V362" s="1">
        <v>5</v>
      </c>
      <c r="W362" s="1">
        <v>49</v>
      </c>
      <c r="X362" s="1">
        <v>0</v>
      </c>
      <c r="Y362" s="1">
        <v>14</v>
      </c>
      <c r="Z362" s="1">
        <v>16</v>
      </c>
      <c r="AA362" s="1">
        <v>0</v>
      </c>
      <c r="AB362" s="1">
        <v>3</v>
      </c>
    </row>
    <row r="363" spans="1:28" ht="12.75" customHeight="1" x14ac:dyDescent="0.15">
      <c r="A363" s="5">
        <v>197</v>
      </c>
      <c r="B363" s="5" t="s">
        <v>238</v>
      </c>
      <c r="C363" s="1">
        <v>18</v>
      </c>
      <c r="D363" s="5" t="s">
        <v>983</v>
      </c>
      <c r="E363" s="1">
        <v>4</v>
      </c>
      <c r="F363" s="5" t="s">
        <v>982</v>
      </c>
      <c r="G363" s="1">
        <v>0</v>
      </c>
      <c r="H363" s="5" t="s">
        <v>983</v>
      </c>
      <c r="I363" s="1">
        <v>2</v>
      </c>
      <c r="J363" s="5" t="s">
        <v>982</v>
      </c>
      <c r="K363" s="1">
        <v>0</v>
      </c>
      <c r="L363" s="5" t="s">
        <v>983</v>
      </c>
      <c r="M363" s="1">
        <v>0</v>
      </c>
      <c r="N363" s="5" t="s">
        <v>983</v>
      </c>
      <c r="O363" s="1">
        <v>0</v>
      </c>
      <c r="P363" s="5" t="s">
        <v>983</v>
      </c>
      <c r="Q363" s="1">
        <v>1</v>
      </c>
      <c r="R363" s="1">
        <v>0</v>
      </c>
      <c r="S363" s="1">
        <v>1</v>
      </c>
      <c r="T363" s="1">
        <v>1</v>
      </c>
      <c r="U363" s="1">
        <v>2</v>
      </c>
      <c r="V363" s="1">
        <v>3</v>
      </c>
      <c r="W363" s="1">
        <v>0</v>
      </c>
      <c r="X363" s="1">
        <v>1</v>
      </c>
      <c r="Y363" s="1">
        <v>0</v>
      </c>
      <c r="Z363" s="1">
        <v>14</v>
      </c>
      <c r="AA363" s="1">
        <v>0</v>
      </c>
      <c r="AB363" s="1">
        <v>1</v>
      </c>
    </row>
    <row r="364" spans="1:28" ht="12.75" customHeight="1" x14ac:dyDescent="0.15">
      <c r="A364" s="5">
        <v>134</v>
      </c>
      <c r="B364" s="5" t="s">
        <v>984</v>
      </c>
      <c r="C364" s="1">
        <v>31</v>
      </c>
      <c r="D364" s="5" t="s">
        <v>981</v>
      </c>
      <c r="E364" s="1">
        <v>4</v>
      </c>
      <c r="F364" s="5" t="s">
        <v>982</v>
      </c>
      <c r="G364" s="1">
        <v>12</v>
      </c>
      <c r="H364" s="5" t="s">
        <v>981</v>
      </c>
      <c r="I364" s="1">
        <v>12</v>
      </c>
      <c r="J364" s="5" t="s">
        <v>981</v>
      </c>
      <c r="K364" s="1">
        <v>3</v>
      </c>
      <c r="L364" s="5" t="s">
        <v>982</v>
      </c>
      <c r="M364" s="1">
        <v>7</v>
      </c>
      <c r="N364" s="5" t="s">
        <v>981</v>
      </c>
      <c r="O364" s="1">
        <v>5</v>
      </c>
      <c r="P364" s="5" t="s">
        <v>982</v>
      </c>
      <c r="Q364" s="1">
        <v>0</v>
      </c>
      <c r="R364" s="1">
        <v>0</v>
      </c>
      <c r="S364" s="1" t="s">
        <v>194</v>
      </c>
      <c r="T364" s="1">
        <v>1</v>
      </c>
      <c r="U364" s="1" t="s">
        <v>194</v>
      </c>
      <c r="V364" s="1">
        <v>2</v>
      </c>
      <c r="W364" s="1">
        <v>47</v>
      </c>
      <c r="X364" s="1">
        <v>0</v>
      </c>
      <c r="Y364" s="1">
        <v>18</v>
      </c>
      <c r="Z364" s="1">
        <v>12</v>
      </c>
      <c r="AA364" s="1">
        <v>0</v>
      </c>
      <c r="AB364" s="1">
        <v>3</v>
      </c>
    </row>
    <row r="365" spans="1:28" ht="12.75" customHeight="1" x14ac:dyDescent="0.15">
      <c r="A365" s="5">
        <v>56</v>
      </c>
      <c r="B365" s="5" t="s">
        <v>238</v>
      </c>
      <c r="C365" s="1">
        <v>39</v>
      </c>
      <c r="D365" s="5" t="s">
        <v>981</v>
      </c>
      <c r="E365" s="1">
        <v>1</v>
      </c>
      <c r="F365" s="5" t="s">
        <v>983</v>
      </c>
      <c r="G365" s="1">
        <v>4</v>
      </c>
      <c r="H365" s="5" t="s">
        <v>982</v>
      </c>
      <c r="I365" s="1">
        <v>16</v>
      </c>
      <c r="J365" s="5" t="s">
        <v>981</v>
      </c>
      <c r="K365" s="1">
        <v>0</v>
      </c>
      <c r="L365" s="5" t="s">
        <v>983</v>
      </c>
      <c r="M365" s="1">
        <v>10</v>
      </c>
      <c r="N365" s="5" t="s">
        <v>981</v>
      </c>
      <c r="O365" s="1">
        <v>0</v>
      </c>
      <c r="P365" s="5" t="s">
        <v>983</v>
      </c>
      <c r="Q365" s="1">
        <v>0</v>
      </c>
      <c r="R365" s="1">
        <v>0</v>
      </c>
      <c r="S365" s="1" t="s">
        <v>194</v>
      </c>
      <c r="T365" s="1">
        <v>1</v>
      </c>
      <c r="U365" s="1" t="s">
        <v>194</v>
      </c>
      <c r="V365" s="1" t="s">
        <v>194</v>
      </c>
      <c r="W365" s="1">
        <v>37</v>
      </c>
      <c r="X365" s="1">
        <v>1</v>
      </c>
      <c r="Y365" s="1">
        <v>16</v>
      </c>
      <c r="Z365" s="1">
        <v>11</v>
      </c>
      <c r="AA365" s="1">
        <v>0</v>
      </c>
      <c r="AB365" s="1">
        <v>1</v>
      </c>
    </row>
    <row r="366" spans="1:28" ht="12.75" customHeight="1" x14ac:dyDescent="0.15">
      <c r="A366" s="5">
        <v>57</v>
      </c>
      <c r="B366" s="5" t="s">
        <v>238</v>
      </c>
      <c r="C366" s="1">
        <v>24</v>
      </c>
      <c r="D366" s="5" t="s">
        <v>981</v>
      </c>
      <c r="E366" s="1">
        <v>6</v>
      </c>
      <c r="F366" s="5" t="s">
        <v>981</v>
      </c>
      <c r="G366" s="1">
        <v>11</v>
      </c>
      <c r="H366" s="5" t="s">
        <v>981</v>
      </c>
      <c r="I366" s="1">
        <v>4</v>
      </c>
      <c r="J366" s="5" t="s">
        <v>982</v>
      </c>
      <c r="K366" s="1">
        <v>11</v>
      </c>
      <c r="L366" s="5" t="s">
        <v>981</v>
      </c>
      <c r="M366" s="1">
        <v>6</v>
      </c>
      <c r="N366" s="5" t="s">
        <v>981</v>
      </c>
      <c r="O366" s="1">
        <v>4</v>
      </c>
      <c r="P366" s="5" t="s">
        <v>982</v>
      </c>
      <c r="Q366" s="1">
        <v>1</v>
      </c>
      <c r="R366" s="1">
        <v>0</v>
      </c>
      <c r="S366" s="1">
        <v>1</v>
      </c>
      <c r="T366" s="1">
        <v>1</v>
      </c>
      <c r="U366" s="1">
        <v>5</v>
      </c>
      <c r="V366" s="1">
        <v>5</v>
      </c>
      <c r="W366" s="1">
        <v>37</v>
      </c>
      <c r="X366" s="1">
        <v>1</v>
      </c>
      <c r="Y366" s="1">
        <v>16</v>
      </c>
      <c r="Z366" s="1">
        <v>11</v>
      </c>
      <c r="AA366" s="1">
        <v>0</v>
      </c>
      <c r="AB366" s="1">
        <v>1</v>
      </c>
    </row>
    <row r="367" spans="1:28" ht="12.75" customHeight="1" x14ac:dyDescent="0.15">
      <c r="A367" s="5">
        <v>91</v>
      </c>
      <c r="B367" s="5" t="s">
        <v>238</v>
      </c>
      <c r="C367" s="1">
        <v>21</v>
      </c>
      <c r="D367" s="5" t="s">
        <v>982</v>
      </c>
      <c r="E367" s="1">
        <v>10</v>
      </c>
      <c r="F367" s="5" t="s">
        <v>981</v>
      </c>
      <c r="G367" s="1">
        <v>10</v>
      </c>
      <c r="H367" s="5" t="s">
        <v>981</v>
      </c>
      <c r="I367" s="1">
        <v>5</v>
      </c>
      <c r="J367" s="5" t="s">
        <v>981</v>
      </c>
      <c r="K367" s="1">
        <v>9</v>
      </c>
      <c r="L367" s="5" t="s">
        <v>981</v>
      </c>
      <c r="M367" s="1">
        <v>9</v>
      </c>
      <c r="N367" s="5" t="s">
        <v>981</v>
      </c>
      <c r="O367" s="1">
        <v>1</v>
      </c>
      <c r="P367" s="5" t="s">
        <v>982</v>
      </c>
      <c r="Q367" s="1">
        <v>1</v>
      </c>
      <c r="R367" s="1">
        <v>0</v>
      </c>
      <c r="S367" s="1" t="s">
        <v>194</v>
      </c>
      <c r="T367" s="1">
        <v>1</v>
      </c>
      <c r="U367" s="1">
        <v>4</v>
      </c>
      <c r="V367" s="1">
        <v>3</v>
      </c>
      <c r="W367" s="1">
        <v>29</v>
      </c>
      <c r="X367" s="1">
        <v>1</v>
      </c>
      <c r="Y367" s="1">
        <v>14</v>
      </c>
      <c r="Z367" s="1">
        <v>11</v>
      </c>
      <c r="AA367" s="1">
        <v>0</v>
      </c>
      <c r="AB367" s="1">
        <v>2</v>
      </c>
    </row>
    <row r="368" spans="1:28" ht="12.75" customHeight="1" x14ac:dyDescent="0.15">
      <c r="A368" s="5">
        <v>238</v>
      </c>
      <c r="B368" s="5" t="s">
        <v>238</v>
      </c>
      <c r="C368" s="1">
        <v>30</v>
      </c>
      <c r="D368" s="5" t="s">
        <v>981</v>
      </c>
      <c r="E368" s="1">
        <v>4</v>
      </c>
      <c r="F368" s="5" t="s">
        <v>982</v>
      </c>
      <c r="G368" s="1">
        <v>6</v>
      </c>
      <c r="H368" s="5" t="s">
        <v>981</v>
      </c>
      <c r="I368" s="1">
        <v>10</v>
      </c>
      <c r="J368" s="5" t="s">
        <v>981</v>
      </c>
      <c r="K368" s="1">
        <v>5</v>
      </c>
      <c r="L368" s="5" t="s">
        <v>982</v>
      </c>
      <c r="M368" s="1">
        <v>6</v>
      </c>
      <c r="N368" s="5" t="s">
        <v>981</v>
      </c>
      <c r="O368" s="1">
        <v>0</v>
      </c>
      <c r="P368" s="5" t="s">
        <v>983</v>
      </c>
      <c r="Q368" s="1">
        <v>1</v>
      </c>
      <c r="R368" s="1">
        <v>0</v>
      </c>
      <c r="S368" s="1">
        <v>1</v>
      </c>
      <c r="T368" s="1">
        <v>1</v>
      </c>
      <c r="U368" s="1">
        <v>1</v>
      </c>
      <c r="V368" s="1">
        <v>3</v>
      </c>
      <c r="W368" s="1">
        <v>47</v>
      </c>
      <c r="X368" s="1">
        <v>0</v>
      </c>
      <c r="Y368" s="1">
        <v>13</v>
      </c>
      <c r="Z368" s="1">
        <v>9</v>
      </c>
      <c r="AA368" s="1">
        <v>0</v>
      </c>
      <c r="AB368" s="1">
        <v>3</v>
      </c>
    </row>
    <row r="369" spans="1:28" ht="12.75" customHeight="1" x14ac:dyDescent="0.15">
      <c r="A369" s="5">
        <v>120</v>
      </c>
      <c r="B369" s="5" t="s">
        <v>238</v>
      </c>
      <c r="C369" s="1">
        <v>12</v>
      </c>
      <c r="D369" s="5" t="s">
        <v>983</v>
      </c>
      <c r="E369" s="1">
        <v>4</v>
      </c>
      <c r="F369" s="5" t="s">
        <v>982</v>
      </c>
      <c r="G369" s="1">
        <v>1</v>
      </c>
      <c r="H369" s="5" t="s">
        <v>983</v>
      </c>
      <c r="I369" s="1">
        <v>16</v>
      </c>
      <c r="J369" s="5" t="s">
        <v>981</v>
      </c>
      <c r="K369" s="1">
        <v>0</v>
      </c>
      <c r="L369" s="5" t="s">
        <v>983</v>
      </c>
      <c r="M369" s="1">
        <v>0</v>
      </c>
      <c r="N369" s="5" t="s">
        <v>983</v>
      </c>
      <c r="O369" s="1">
        <v>0</v>
      </c>
      <c r="P369" s="5" t="s">
        <v>983</v>
      </c>
      <c r="Q369" s="1">
        <v>0</v>
      </c>
      <c r="R369" s="1">
        <v>0</v>
      </c>
      <c r="S369" s="1">
        <v>1</v>
      </c>
      <c r="T369" s="1">
        <v>1</v>
      </c>
      <c r="U369" s="1">
        <v>5</v>
      </c>
      <c r="V369" s="1">
        <v>5</v>
      </c>
      <c r="W369" s="1">
        <v>36</v>
      </c>
      <c r="X369" s="1">
        <v>1</v>
      </c>
      <c r="Y369" s="1">
        <v>14</v>
      </c>
      <c r="Z369" s="1">
        <v>8</v>
      </c>
      <c r="AA369" s="1">
        <v>0</v>
      </c>
      <c r="AB369" s="1">
        <v>1</v>
      </c>
    </row>
    <row r="370" spans="1:28" ht="12.75" customHeight="1" x14ac:dyDescent="0.15">
      <c r="A370" s="5">
        <v>26</v>
      </c>
      <c r="B370" s="5" t="s">
        <v>984</v>
      </c>
      <c r="C370" s="1">
        <v>24</v>
      </c>
      <c r="D370" s="5" t="s">
        <v>981</v>
      </c>
      <c r="E370" s="1">
        <v>6</v>
      </c>
      <c r="F370" s="5" t="s">
        <v>981</v>
      </c>
      <c r="G370" s="1">
        <v>4</v>
      </c>
      <c r="H370" s="5" t="s">
        <v>982</v>
      </c>
      <c r="I370" s="1">
        <v>9</v>
      </c>
      <c r="J370" s="5" t="s">
        <v>981</v>
      </c>
      <c r="K370" s="1">
        <v>9</v>
      </c>
      <c r="L370" s="5" t="s">
        <v>981</v>
      </c>
      <c r="M370" s="1">
        <v>6</v>
      </c>
      <c r="N370" s="5" t="s">
        <v>981</v>
      </c>
      <c r="O370" s="1">
        <v>7</v>
      </c>
      <c r="P370" s="5" t="s">
        <v>982</v>
      </c>
      <c r="Q370" s="1">
        <v>1</v>
      </c>
      <c r="R370" s="1">
        <v>0</v>
      </c>
      <c r="S370" s="1" t="s">
        <v>194</v>
      </c>
      <c r="T370" s="1">
        <v>1</v>
      </c>
      <c r="U370" s="1">
        <v>2</v>
      </c>
      <c r="V370" s="1">
        <v>1</v>
      </c>
      <c r="W370" s="1">
        <v>41</v>
      </c>
      <c r="X370" s="1">
        <v>0</v>
      </c>
      <c r="Y370" s="1">
        <v>14</v>
      </c>
      <c r="Z370" s="1">
        <v>7</v>
      </c>
      <c r="AA370" s="1">
        <v>0</v>
      </c>
      <c r="AB370" s="1">
        <v>4</v>
      </c>
    </row>
    <row r="371" spans="1:28" ht="12.75" customHeight="1" x14ac:dyDescent="0.15">
      <c r="A371" s="5">
        <v>198</v>
      </c>
      <c r="B371" s="5" t="s">
        <v>238</v>
      </c>
      <c r="C371" s="1">
        <v>22</v>
      </c>
      <c r="D371" s="5" t="s">
        <v>982</v>
      </c>
      <c r="E371" s="1">
        <v>2</v>
      </c>
      <c r="F371" s="5" t="s">
        <v>982</v>
      </c>
      <c r="G371" s="1">
        <v>1</v>
      </c>
      <c r="H371" s="5" t="s">
        <v>983</v>
      </c>
      <c r="I371" s="1">
        <v>8</v>
      </c>
      <c r="J371" s="5" t="s">
        <v>981</v>
      </c>
      <c r="K371" s="1">
        <v>1</v>
      </c>
      <c r="L371" s="5" t="s">
        <v>983</v>
      </c>
      <c r="M371" s="1">
        <v>3</v>
      </c>
      <c r="N371" s="5" t="s">
        <v>982</v>
      </c>
      <c r="O371" s="1">
        <v>0</v>
      </c>
      <c r="P371" s="5" t="s">
        <v>983</v>
      </c>
      <c r="Q371" s="1">
        <v>0</v>
      </c>
      <c r="R371" s="1">
        <v>0</v>
      </c>
      <c r="S371" s="1" t="s">
        <v>194</v>
      </c>
      <c r="T371" s="1">
        <v>1</v>
      </c>
      <c r="U371" s="1">
        <v>5</v>
      </c>
      <c r="V371" s="1">
        <v>5</v>
      </c>
      <c r="W371" s="1">
        <v>53</v>
      </c>
      <c r="X371" s="1">
        <v>0</v>
      </c>
      <c r="Y371" s="1">
        <v>17</v>
      </c>
      <c r="Z371" s="1">
        <v>6</v>
      </c>
      <c r="AA371" s="1">
        <v>0</v>
      </c>
      <c r="AB371" s="1">
        <v>2</v>
      </c>
    </row>
    <row r="372" spans="1:28" ht="12.75" customHeight="1" x14ac:dyDescent="0.15">
      <c r="A372" s="5">
        <v>199</v>
      </c>
      <c r="B372" s="5" t="s">
        <v>238</v>
      </c>
      <c r="C372" s="1">
        <v>13</v>
      </c>
      <c r="D372" s="5" t="s">
        <v>983</v>
      </c>
      <c r="E372" s="1">
        <v>3</v>
      </c>
      <c r="F372" s="5" t="s">
        <v>982</v>
      </c>
      <c r="G372" s="1">
        <v>4</v>
      </c>
      <c r="H372" s="5" t="s">
        <v>982</v>
      </c>
      <c r="I372" s="1">
        <v>0</v>
      </c>
      <c r="J372" s="5" t="s">
        <v>983</v>
      </c>
      <c r="K372" s="1">
        <v>3</v>
      </c>
      <c r="L372" s="5" t="s">
        <v>982</v>
      </c>
      <c r="M372" s="1">
        <v>3</v>
      </c>
      <c r="N372" s="5" t="s">
        <v>982</v>
      </c>
      <c r="O372" s="1">
        <v>1</v>
      </c>
      <c r="P372" s="5" t="s">
        <v>982</v>
      </c>
      <c r="Q372" s="1">
        <v>0</v>
      </c>
      <c r="R372" s="1">
        <v>0</v>
      </c>
      <c r="S372" s="1" t="s">
        <v>194</v>
      </c>
      <c r="T372" s="1">
        <v>1</v>
      </c>
      <c r="U372" s="1">
        <v>3</v>
      </c>
      <c r="V372" s="1">
        <v>3</v>
      </c>
      <c r="W372" s="1">
        <v>53</v>
      </c>
      <c r="X372" s="1">
        <v>0</v>
      </c>
      <c r="Y372" s="1">
        <v>17</v>
      </c>
      <c r="Z372" s="1">
        <v>6</v>
      </c>
      <c r="AA372" s="1">
        <v>0</v>
      </c>
      <c r="AB372" s="1">
        <v>2</v>
      </c>
    </row>
    <row r="373" spans="1:28" ht="12.75" customHeight="1" x14ac:dyDescent="0.15">
      <c r="A373" s="5">
        <v>190</v>
      </c>
      <c r="B373" s="5" t="s">
        <v>238</v>
      </c>
      <c r="C373" s="1">
        <v>29</v>
      </c>
      <c r="D373" s="5" t="s">
        <v>981</v>
      </c>
      <c r="E373" s="1">
        <v>7</v>
      </c>
      <c r="F373" s="5" t="s">
        <v>981</v>
      </c>
      <c r="G373" s="1">
        <v>1</v>
      </c>
      <c r="H373" s="5" t="s">
        <v>983</v>
      </c>
      <c r="I373" s="1">
        <v>4</v>
      </c>
      <c r="J373" s="5" t="s">
        <v>982</v>
      </c>
      <c r="K373" s="1">
        <v>6</v>
      </c>
      <c r="L373" s="5" t="s">
        <v>981</v>
      </c>
      <c r="M373" s="1">
        <v>12</v>
      </c>
      <c r="N373" s="5" t="s">
        <v>981</v>
      </c>
      <c r="O373" s="1">
        <v>0</v>
      </c>
      <c r="P373" s="5" t="s">
        <v>983</v>
      </c>
      <c r="Q373" s="1">
        <v>0</v>
      </c>
      <c r="R373" s="1">
        <v>0</v>
      </c>
      <c r="S373" s="1" t="s">
        <v>194</v>
      </c>
      <c r="T373" s="1">
        <v>1</v>
      </c>
      <c r="U373" s="1">
        <v>5</v>
      </c>
      <c r="V373" s="1">
        <v>3</v>
      </c>
      <c r="W373" s="1">
        <v>34</v>
      </c>
      <c r="X373" s="1">
        <v>0</v>
      </c>
      <c r="Y373" s="1">
        <v>16</v>
      </c>
      <c r="Z373" s="1">
        <v>4</v>
      </c>
      <c r="AA373" s="1">
        <v>0</v>
      </c>
      <c r="AB373" s="1">
        <v>2</v>
      </c>
    </row>
    <row r="374" spans="1:28" ht="12.75" customHeight="1" x14ac:dyDescent="0.15">
      <c r="A374" s="5">
        <v>360</v>
      </c>
      <c r="B374" s="5" t="s">
        <v>238</v>
      </c>
      <c r="C374" s="1">
        <v>19</v>
      </c>
      <c r="D374" s="5" t="s">
        <v>982</v>
      </c>
      <c r="E374" s="1">
        <v>5</v>
      </c>
      <c r="F374" s="5" t="s">
        <v>981</v>
      </c>
      <c r="G374" s="1">
        <v>2</v>
      </c>
      <c r="H374" s="5" t="s">
        <v>982</v>
      </c>
      <c r="I374" s="1">
        <v>10</v>
      </c>
      <c r="J374" s="5" t="s">
        <v>981</v>
      </c>
      <c r="K374" s="1">
        <v>2</v>
      </c>
      <c r="L374" s="5" t="s">
        <v>983</v>
      </c>
      <c r="M374" s="1">
        <v>6</v>
      </c>
      <c r="N374" s="5" t="s">
        <v>981</v>
      </c>
      <c r="O374" s="1">
        <v>1</v>
      </c>
      <c r="P374" s="5" t="s">
        <v>982</v>
      </c>
      <c r="Q374" s="1">
        <v>1</v>
      </c>
      <c r="R374" s="1">
        <v>1</v>
      </c>
      <c r="S374" s="1">
        <v>1</v>
      </c>
      <c r="T374" s="1">
        <v>1</v>
      </c>
      <c r="U374" s="1">
        <v>4</v>
      </c>
      <c r="V374" s="1">
        <v>3</v>
      </c>
      <c r="W374" s="1">
        <v>58</v>
      </c>
      <c r="X374" s="1">
        <v>1</v>
      </c>
      <c r="Y374" s="1">
        <v>14</v>
      </c>
      <c r="Z374" s="1">
        <v>3</v>
      </c>
      <c r="AA374" s="1">
        <v>0</v>
      </c>
      <c r="AB374" s="1">
        <v>1</v>
      </c>
    </row>
    <row r="375" spans="1:28" ht="12.75" customHeight="1" x14ac:dyDescent="0.15">
      <c r="A375" s="5">
        <v>368</v>
      </c>
      <c r="B375" s="5" t="s">
        <v>238</v>
      </c>
      <c r="C375" s="1">
        <v>24</v>
      </c>
      <c r="D375" s="5" t="s">
        <v>981</v>
      </c>
      <c r="E375" s="1">
        <v>7</v>
      </c>
      <c r="F375" s="5" t="s">
        <v>981</v>
      </c>
      <c r="G375" s="1">
        <v>8</v>
      </c>
      <c r="H375" s="5" t="s">
        <v>981</v>
      </c>
      <c r="I375" s="1">
        <v>7</v>
      </c>
      <c r="J375" s="5" t="s">
        <v>981</v>
      </c>
      <c r="K375" s="1">
        <v>0</v>
      </c>
      <c r="L375" s="5" t="s">
        <v>983</v>
      </c>
      <c r="M375" s="1">
        <v>6</v>
      </c>
      <c r="N375" s="5" t="s">
        <v>981</v>
      </c>
      <c r="O375" s="1">
        <v>2</v>
      </c>
      <c r="P375" s="5" t="s">
        <v>982</v>
      </c>
      <c r="Q375" s="1">
        <v>0</v>
      </c>
      <c r="R375" s="1">
        <v>0</v>
      </c>
      <c r="S375" s="1" t="s">
        <v>194</v>
      </c>
      <c r="T375" s="1">
        <v>1</v>
      </c>
      <c r="U375" s="1" t="s">
        <v>194</v>
      </c>
      <c r="V375" s="1">
        <v>2</v>
      </c>
      <c r="W375" s="1">
        <v>34</v>
      </c>
      <c r="X375" s="1">
        <v>0</v>
      </c>
      <c r="Y375" s="1">
        <v>17</v>
      </c>
      <c r="Z375" s="1">
        <v>2</v>
      </c>
      <c r="AA375" s="1">
        <v>0</v>
      </c>
      <c r="AB375" s="1">
        <v>4</v>
      </c>
    </row>
    <row r="376" spans="1:28" ht="12.75" customHeight="1" x14ac:dyDescent="0.15">
      <c r="A376" s="5">
        <v>366</v>
      </c>
      <c r="B376" s="5" t="s">
        <v>984</v>
      </c>
      <c r="C376" s="1">
        <v>28</v>
      </c>
      <c r="D376" s="5" t="s">
        <v>981</v>
      </c>
      <c r="E376" s="1">
        <v>4</v>
      </c>
      <c r="F376" s="5" t="s">
        <v>982</v>
      </c>
      <c r="G376" s="1">
        <v>4</v>
      </c>
      <c r="H376" s="5" t="s">
        <v>982</v>
      </c>
      <c r="I376" s="1">
        <v>5</v>
      </c>
      <c r="J376" s="5" t="s">
        <v>981</v>
      </c>
      <c r="K376" s="1">
        <v>4</v>
      </c>
      <c r="L376" s="5" t="s">
        <v>982</v>
      </c>
      <c r="M376" s="1">
        <v>3</v>
      </c>
      <c r="N376" s="5" t="s">
        <v>982</v>
      </c>
      <c r="O376" s="1">
        <v>2</v>
      </c>
      <c r="P376" s="5" t="s">
        <v>982</v>
      </c>
      <c r="Q376" s="1">
        <v>0</v>
      </c>
      <c r="R376" s="1">
        <v>0</v>
      </c>
      <c r="S376" s="1" t="s">
        <v>194</v>
      </c>
      <c r="T376" s="1">
        <v>1</v>
      </c>
      <c r="U376" s="1">
        <v>5</v>
      </c>
      <c r="V376" s="1">
        <v>3</v>
      </c>
      <c r="W376" s="1">
        <v>33</v>
      </c>
      <c r="X376" s="1">
        <v>1</v>
      </c>
      <c r="Y376" s="1">
        <v>16</v>
      </c>
      <c r="Z376" s="1">
        <v>2</v>
      </c>
      <c r="AA376" s="1">
        <v>0</v>
      </c>
      <c r="AB376" s="1">
        <v>1</v>
      </c>
    </row>
    <row r="377" spans="1:28" ht="12.75" customHeight="1" x14ac:dyDescent="0.15">
      <c r="A377" s="5">
        <v>416</v>
      </c>
      <c r="B377" s="5" t="s">
        <v>984</v>
      </c>
      <c r="C377" s="1">
        <v>14</v>
      </c>
      <c r="D377" s="5" t="s">
        <v>983</v>
      </c>
      <c r="E377" s="1">
        <v>0</v>
      </c>
      <c r="F377" s="5" t="s">
        <v>983</v>
      </c>
      <c r="G377" s="1">
        <v>1</v>
      </c>
      <c r="H377" s="5" t="s">
        <v>983</v>
      </c>
      <c r="I377" s="1">
        <v>0</v>
      </c>
      <c r="J377" s="5" t="s">
        <v>983</v>
      </c>
      <c r="K377" s="1">
        <v>0</v>
      </c>
      <c r="L377" s="5" t="s">
        <v>983</v>
      </c>
      <c r="M377" s="1">
        <v>0</v>
      </c>
      <c r="N377" s="5" t="s">
        <v>983</v>
      </c>
      <c r="O377" s="1">
        <v>0</v>
      </c>
      <c r="P377" s="5" t="s">
        <v>983</v>
      </c>
      <c r="Q377" s="1">
        <v>1</v>
      </c>
      <c r="R377" s="1">
        <v>0</v>
      </c>
      <c r="S377" s="1">
        <v>1</v>
      </c>
      <c r="T377" s="1">
        <v>1</v>
      </c>
      <c r="U377" s="1">
        <v>3</v>
      </c>
      <c r="V377" s="1">
        <v>2</v>
      </c>
      <c r="W377" s="1">
        <v>0</v>
      </c>
      <c r="X377" s="1">
        <v>0</v>
      </c>
      <c r="Y377" s="1">
        <v>14</v>
      </c>
      <c r="Z377" s="1">
        <v>2</v>
      </c>
      <c r="AA377" s="1">
        <v>0</v>
      </c>
      <c r="AB377" s="1">
        <v>1</v>
      </c>
    </row>
    <row r="378" spans="1:28" ht="12.75" customHeight="1" x14ac:dyDescent="0.15">
      <c r="A378" s="5">
        <v>328</v>
      </c>
      <c r="B378" s="5" t="s">
        <v>238</v>
      </c>
      <c r="C378" s="1">
        <v>17</v>
      </c>
      <c r="D378" s="5" t="s">
        <v>983</v>
      </c>
      <c r="E378" s="1">
        <v>0</v>
      </c>
      <c r="F378" s="5" t="s">
        <v>983</v>
      </c>
      <c r="G378" s="1">
        <v>4</v>
      </c>
      <c r="H378" s="5" t="s">
        <v>982</v>
      </c>
      <c r="I378" s="1">
        <v>4</v>
      </c>
      <c r="J378" s="5" t="s">
        <v>982</v>
      </c>
      <c r="K378" s="1">
        <v>10</v>
      </c>
      <c r="L378" s="5" t="s">
        <v>981</v>
      </c>
      <c r="M378" s="1">
        <v>9</v>
      </c>
      <c r="N378" s="5" t="s">
        <v>981</v>
      </c>
      <c r="O378" s="1">
        <v>0</v>
      </c>
      <c r="P378" s="5" t="s">
        <v>983</v>
      </c>
      <c r="Q378" s="1">
        <v>1</v>
      </c>
      <c r="R378" s="1">
        <v>0</v>
      </c>
      <c r="S378" s="1">
        <v>1</v>
      </c>
      <c r="T378" s="1">
        <v>1</v>
      </c>
      <c r="U378" s="1">
        <v>2</v>
      </c>
      <c r="V378" s="1">
        <v>1</v>
      </c>
      <c r="W378" s="1">
        <v>38</v>
      </c>
      <c r="X378" s="1">
        <v>0</v>
      </c>
      <c r="Y378" s="1">
        <v>14</v>
      </c>
      <c r="Z378" s="1">
        <v>2</v>
      </c>
      <c r="AA378" s="1">
        <v>0</v>
      </c>
      <c r="AB378" s="1">
        <v>7</v>
      </c>
    </row>
    <row r="379" spans="1:28" ht="12.75" customHeight="1" x14ac:dyDescent="0.15">
      <c r="A379" s="5">
        <v>251</v>
      </c>
      <c r="B379" s="5" t="s">
        <v>238</v>
      </c>
      <c r="C379" s="1">
        <v>23</v>
      </c>
      <c r="D379" s="5" t="s">
        <v>982</v>
      </c>
      <c r="E379" s="1">
        <v>4</v>
      </c>
      <c r="F379" s="5" t="s">
        <v>982</v>
      </c>
      <c r="G379" s="1">
        <v>2</v>
      </c>
      <c r="H379" s="5" t="s">
        <v>982</v>
      </c>
      <c r="I379" s="1">
        <v>7</v>
      </c>
      <c r="J379" s="5" t="s">
        <v>981</v>
      </c>
      <c r="K379" s="1">
        <v>3</v>
      </c>
      <c r="L379" s="5" t="s">
        <v>982</v>
      </c>
      <c r="M379" s="1">
        <v>3</v>
      </c>
      <c r="N379" s="5" t="s">
        <v>982</v>
      </c>
      <c r="O379" s="1">
        <v>0</v>
      </c>
      <c r="P379" s="5" t="s">
        <v>983</v>
      </c>
      <c r="Q379" s="1">
        <v>0</v>
      </c>
      <c r="R379" s="1">
        <v>0</v>
      </c>
      <c r="S379" s="1" t="s">
        <v>194</v>
      </c>
      <c r="T379" s="1">
        <v>0</v>
      </c>
      <c r="U379" s="1" t="s">
        <v>194</v>
      </c>
      <c r="V379" s="1" t="s">
        <v>194</v>
      </c>
      <c r="W379" s="1">
        <v>52</v>
      </c>
      <c r="X379" s="1">
        <v>0</v>
      </c>
      <c r="Y379" s="1">
        <v>2</v>
      </c>
      <c r="Z379" s="1">
        <v>2</v>
      </c>
      <c r="AA379" s="1">
        <v>0</v>
      </c>
      <c r="AB379" s="1">
        <v>2</v>
      </c>
    </row>
    <row r="380" spans="1:28" ht="12.75" customHeight="1" x14ac:dyDescent="0.15">
      <c r="A380" s="5">
        <v>250</v>
      </c>
      <c r="B380" s="5" t="s">
        <v>238</v>
      </c>
      <c r="C380" s="1">
        <v>30</v>
      </c>
      <c r="D380" s="5" t="s">
        <v>981</v>
      </c>
      <c r="E380" s="1">
        <v>7</v>
      </c>
      <c r="F380" s="5" t="s">
        <v>981</v>
      </c>
      <c r="G380" s="1">
        <v>2</v>
      </c>
      <c r="H380" s="5" t="s">
        <v>982</v>
      </c>
      <c r="I380" s="1">
        <v>7</v>
      </c>
      <c r="J380" s="5" t="s">
        <v>981</v>
      </c>
      <c r="K380" s="1">
        <v>3</v>
      </c>
      <c r="L380" s="5" t="s">
        <v>982</v>
      </c>
      <c r="M380" s="1">
        <v>5</v>
      </c>
      <c r="N380" s="5" t="s">
        <v>982</v>
      </c>
      <c r="O380" s="1">
        <v>0</v>
      </c>
      <c r="P380" s="5" t="s">
        <v>983</v>
      </c>
      <c r="Q380" s="1">
        <v>0</v>
      </c>
      <c r="R380" s="1">
        <v>0</v>
      </c>
      <c r="S380" s="1" t="s">
        <v>194</v>
      </c>
      <c r="T380" s="1">
        <v>1</v>
      </c>
      <c r="U380" s="1">
        <v>4</v>
      </c>
      <c r="V380" s="1">
        <v>2</v>
      </c>
      <c r="W380" s="1">
        <v>52</v>
      </c>
      <c r="X380" s="1">
        <v>0</v>
      </c>
      <c r="Y380" s="1">
        <v>2</v>
      </c>
      <c r="Z380" s="1">
        <v>2</v>
      </c>
      <c r="AA380" s="1">
        <v>0</v>
      </c>
      <c r="AB380" s="1">
        <v>2</v>
      </c>
    </row>
    <row r="381" spans="1:28" ht="12.75" customHeight="1" x14ac:dyDescent="0.15">
      <c r="A381" s="5">
        <v>273</v>
      </c>
      <c r="B381" s="5" t="s">
        <v>238</v>
      </c>
      <c r="C381" s="1">
        <v>45</v>
      </c>
      <c r="D381" s="5" t="s">
        <v>981</v>
      </c>
      <c r="E381" s="1">
        <v>2</v>
      </c>
      <c r="F381" s="5" t="s">
        <v>982</v>
      </c>
      <c r="G381" s="1">
        <v>4</v>
      </c>
      <c r="H381" s="5" t="s">
        <v>982</v>
      </c>
      <c r="I381" s="1">
        <v>13</v>
      </c>
      <c r="J381" s="5" t="s">
        <v>981</v>
      </c>
      <c r="K381" s="1">
        <v>1</v>
      </c>
      <c r="L381" s="5" t="s">
        <v>983</v>
      </c>
      <c r="M381" s="1">
        <v>1</v>
      </c>
      <c r="N381" s="5" t="s">
        <v>983</v>
      </c>
      <c r="O381" s="1">
        <v>0</v>
      </c>
      <c r="P381" s="5" t="s">
        <v>983</v>
      </c>
      <c r="Q381" s="1">
        <v>0</v>
      </c>
      <c r="R381" s="1">
        <v>0</v>
      </c>
      <c r="S381" s="1" t="s">
        <v>194</v>
      </c>
      <c r="T381" s="1">
        <v>1</v>
      </c>
      <c r="U381" s="1">
        <v>5</v>
      </c>
      <c r="V381" s="1">
        <v>5</v>
      </c>
      <c r="W381" s="1">
        <v>0</v>
      </c>
      <c r="X381" s="1">
        <v>0</v>
      </c>
      <c r="Y381" s="1">
        <v>0</v>
      </c>
      <c r="Z381" s="1">
        <v>2</v>
      </c>
      <c r="AA381" s="1">
        <v>0</v>
      </c>
      <c r="AB381" s="1">
        <v>2</v>
      </c>
    </row>
    <row r="382" spans="1:28" ht="12.75" customHeight="1" x14ac:dyDescent="0.15">
      <c r="A382" s="5">
        <v>374</v>
      </c>
      <c r="B382" s="5" t="s">
        <v>238</v>
      </c>
      <c r="C382" s="1">
        <v>18</v>
      </c>
      <c r="D382" s="5" t="s">
        <v>983</v>
      </c>
      <c r="E382" s="1">
        <v>0</v>
      </c>
      <c r="F382" s="5" t="s">
        <v>983</v>
      </c>
      <c r="G382" s="1">
        <v>8</v>
      </c>
      <c r="H382" s="5" t="s">
        <v>981</v>
      </c>
      <c r="I382" s="1">
        <v>6</v>
      </c>
      <c r="J382" s="5" t="s">
        <v>981</v>
      </c>
      <c r="K382" s="1">
        <v>1</v>
      </c>
      <c r="L382" s="5" t="s">
        <v>983</v>
      </c>
      <c r="M382" s="1">
        <v>8</v>
      </c>
      <c r="N382" s="5" t="s">
        <v>981</v>
      </c>
      <c r="O382" s="1">
        <v>0</v>
      </c>
      <c r="P382" s="5" t="s">
        <v>983</v>
      </c>
      <c r="Q382" s="1">
        <v>0</v>
      </c>
      <c r="R382" s="1">
        <v>0</v>
      </c>
      <c r="S382" s="1">
        <v>0</v>
      </c>
      <c r="T382" s="1">
        <v>1</v>
      </c>
      <c r="U382" s="1" t="s">
        <v>194</v>
      </c>
      <c r="V382" s="1">
        <v>1</v>
      </c>
      <c r="W382" s="1">
        <v>0</v>
      </c>
      <c r="X382" s="1">
        <v>0</v>
      </c>
      <c r="Y382" s="1">
        <v>0</v>
      </c>
      <c r="Z382" s="1">
        <v>2</v>
      </c>
      <c r="AA382" s="1">
        <v>0</v>
      </c>
      <c r="AB382" s="1">
        <v>1</v>
      </c>
    </row>
    <row r="383" spans="1:28" ht="12.75" customHeight="1" x14ac:dyDescent="0.15">
      <c r="A383" s="5">
        <v>265</v>
      </c>
      <c r="B383" s="5" t="s">
        <v>238</v>
      </c>
      <c r="C383" s="1">
        <v>14</v>
      </c>
      <c r="D383" s="5" t="s">
        <v>983</v>
      </c>
      <c r="E383" s="1">
        <v>4</v>
      </c>
      <c r="F383" s="5" t="s">
        <v>982</v>
      </c>
      <c r="G383" s="1">
        <v>4</v>
      </c>
      <c r="H383" s="5" t="s">
        <v>982</v>
      </c>
      <c r="I383" s="1">
        <v>3</v>
      </c>
      <c r="J383" s="5" t="s">
        <v>982</v>
      </c>
      <c r="K383" s="1">
        <v>3</v>
      </c>
      <c r="L383" s="5" t="s">
        <v>982</v>
      </c>
      <c r="M383" s="1">
        <v>3</v>
      </c>
      <c r="N383" s="5" t="s">
        <v>982</v>
      </c>
      <c r="O383" s="1">
        <v>0</v>
      </c>
      <c r="P383" s="5" t="s">
        <v>983</v>
      </c>
      <c r="Q383" s="1">
        <v>1</v>
      </c>
      <c r="R383" s="1">
        <v>0</v>
      </c>
      <c r="S383" s="1">
        <v>1</v>
      </c>
      <c r="T383" s="1">
        <v>1</v>
      </c>
      <c r="U383" s="1">
        <v>3</v>
      </c>
      <c r="V383" s="1">
        <v>2</v>
      </c>
      <c r="W383" s="1">
        <v>61</v>
      </c>
      <c r="X383" s="1">
        <v>1</v>
      </c>
      <c r="Y383" s="1">
        <v>15</v>
      </c>
      <c r="Z383" s="1">
        <v>1</v>
      </c>
      <c r="AA383" s="1">
        <v>0</v>
      </c>
      <c r="AB383" s="1">
        <v>2</v>
      </c>
    </row>
    <row r="384" spans="1:28" ht="12.75" customHeight="1" x14ac:dyDescent="0.15">
      <c r="A384" s="5">
        <v>147</v>
      </c>
      <c r="B384" s="5" t="s">
        <v>238</v>
      </c>
      <c r="C384" s="1">
        <v>20</v>
      </c>
      <c r="D384" s="5" t="s">
        <v>982</v>
      </c>
      <c r="E384" s="1">
        <v>2</v>
      </c>
      <c r="F384" s="5" t="s">
        <v>982</v>
      </c>
      <c r="G384" s="1">
        <v>0</v>
      </c>
      <c r="H384" s="5" t="s">
        <v>983</v>
      </c>
      <c r="I384" s="1">
        <v>4</v>
      </c>
      <c r="J384" s="5" t="s">
        <v>982</v>
      </c>
      <c r="K384" s="1">
        <v>0</v>
      </c>
      <c r="L384" s="5" t="s">
        <v>983</v>
      </c>
      <c r="M384" s="1">
        <v>2</v>
      </c>
      <c r="N384" s="5" t="s">
        <v>983</v>
      </c>
      <c r="O384" s="1">
        <v>0</v>
      </c>
      <c r="P384" s="5" t="s">
        <v>983</v>
      </c>
      <c r="Q384" s="1">
        <v>1</v>
      </c>
      <c r="R384" s="1">
        <v>0</v>
      </c>
      <c r="S384" s="1">
        <v>1</v>
      </c>
      <c r="T384" s="1">
        <v>1</v>
      </c>
      <c r="U384" s="1">
        <v>5</v>
      </c>
      <c r="V384" s="1">
        <v>4</v>
      </c>
      <c r="W384" s="1">
        <v>38</v>
      </c>
      <c r="X384" s="1">
        <v>1</v>
      </c>
      <c r="Y384" s="1">
        <v>14</v>
      </c>
      <c r="Z384" s="1">
        <v>1</v>
      </c>
      <c r="AA384" s="1">
        <v>0</v>
      </c>
      <c r="AB384" s="1">
        <v>3</v>
      </c>
    </row>
    <row r="385" spans="1:28" ht="12.75" customHeight="1" x14ac:dyDescent="0.15">
      <c r="A385" s="5">
        <v>65</v>
      </c>
      <c r="B385" s="5" t="s">
        <v>238</v>
      </c>
      <c r="C385" s="1">
        <v>23</v>
      </c>
      <c r="D385" s="5" t="s">
        <v>982</v>
      </c>
      <c r="E385" s="1">
        <v>2</v>
      </c>
      <c r="F385" s="5" t="s">
        <v>982</v>
      </c>
      <c r="G385" s="1">
        <v>0</v>
      </c>
      <c r="H385" s="5" t="s">
        <v>983</v>
      </c>
      <c r="I385" s="1">
        <v>3</v>
      </c>
      <c r="J385" s="5" t="s">
        <v>982</v>
      </c>
      <c r="K385" s="1">
        <v>0</v>
      </c>
      <c r="L385" s="5" t="s">
        <v>983</v>
      </c>
      <c r="M385" s="1">
        <v>0</v>
      </c>
      <c r="N385" s="5" t="s">
        <v>983</v>
      </c>
      <c r="O385" s="1">
        <v>0</v>
      </c>
      <c r="P385" s="5" t="s">
        <v>983</v>
      </c>
      <c r="Q385" s="1">
        <v>0</v>
      </c>
      <c r="R385" s="1">
        <v>0</v>
      </c>
      <c r="S385" s="1" t="s">
        <v>194</v>
      </c>
      <c r="T385" s="1">
        <v>1</v>
      </c>
      <c r="U385" s="1">
        <v>3</v>
      </c>
      <c r="V385" s="1">
        <v>3</v>
      </c>
      <c r="W385" s="1">
        <v>52</v>
      </c>
      <c r="X385" s="1">
        <v>1</v>
      </c>
      <c r="Y385" s="1">
        <v>14</v>
      </c>
      <c r="Z385" s="1">
        <v>1</v>
      </c>
      <c r="AA385" s="1">
        <v>0</v>
      </c>
      <c r="AB385" s="1">
        <v>4</v>
      </c>
    </row>
    <row r="386" spans="1:28" ht="12.75" customHeight="1" x14ac:dyDescent="0.15">
      <c r="A386" s="5">
        <v>222</v>
      </c>
      <c r="B386" s="5" t="s">
        <v>984</v>
      </c>
      <c r="C386" s="1">
        <v>26</v>
      </c>
      <c r="D386" s="5" t="s">
        <v>981</v>
      </c>
      <c r="E386" s="1">
        <v>5</v>
      </c>
      <c r="F386" s="5" t="s">
        <v>981</v>
      </c>
      <c r="G386" s="1">
        <v>0</v>
      </c>
      <c r="H386" s="5" t="s">
        <v>983</v>
      </c>
      <c r="I386" s="1">
        <v>16</v>
      </c>
      <c r="J386" s="5" t="s">
        <v>981</v>
      </c>
      <c r="K386" s="1">
        <v>0</v>
      </c>
      <c r="L386" s="5" t="s">
        <v>983</v>
      </c>
      <c r="M386" s="1">
        <v>0</v>
      </c>
      <c r="N386" s="5" t="s">
        <v>983</v>
      </c>
      <c r="O386" s="1">
        <v>3</v>
      </c>
      <c r="P386" s="5" t="s">
        <v>982</v>
      </c>
      <c r="Q386" s="1">
        <v>1</v>
      </c>
      <c r="R386" s="1">
        <v>0</v>
      </c>
      <c r="S386" s="1">
        <v>1</v>
      </c>
      <c r="T386" s="1">
        <v>1</v>
      </c>
      <c r="U386" s="1">
        <v>3</v>
      </c>
      <c r="V386" s="1">
        <v>1</v>
      </c>
      <c r="W386" s="1">
        <v>0</v>
      </c>
      <c r="X386" s="1">
        <v>0</v>
      </c>
      <c r="Y386" s="1">
        <v>0</v>
      </c>
      <c r="Z386" s="1">
        <v>1</v>
      </c>
      <c r="AA386" s="1">
        <v>0</v>
      </c>
      <c r="AB386" s="1">
        <v>1</v>
      </c>
    </row>
    <row r="387" spans="1:28" ht="12.75" customHeight="1" x14ac:dyDescent="0.15">
      <c r="A387" s="5">
        <v>326</v>
      </c>
      <c r="B387" s="5" t="s">
        <v>238</v>
      </c>
      <c r="C387" s="1">
        <v>19</v>
      </c>
      <c r="D387" s="5" t="s">
        <v>982</v>
      </c>
      <c r="E387" s="1">
        <v>8</v>
      </c>
      <c r="F387" s="5" t="s">
        <v>981</v>
      </c>
      <c r="G387" s="1">
        <v>4</v>
      </c>
      <c r="H387" s="5" t="s">
        <v>982</v>
      </c>
      <c r="I387" s="1">
        <v>6</v>
      </c>
      <c r="J387" s="5" t="s">
        <v>981</v>
      </c>
      <c r="K387" s="1">
        <v>5</v>
      </c>
      <c r="L387" s="5" t="s">
        <v>982</v>
      </c>
      <c r="M387" s="1">
        <v>6</v>
      </c>
      <c r="N387" s="5" t="s">
        <v>981</v>
      </c>
      <c r="O387" s="1">
        <v>0</v>
      </c>
      <c r="P387" s="5" t="s">
        <v>983</v>
      </c>
      <c r="Q387" s="1">
        <v>1</v>
      </c>
      <c r="R387" s="1">
        <v>0</v>
      </c>
      <c r="S387" s="1">
        <v>1</v>
      </c>
      <c r="T387" s="1">
        <v>1</v>
      </c>
      <c r="U387" s="1">
        <v>1</v>
      </c>
      <c r="V387" s="1">
        <v>1</v>
      </c>
      <c r="W387" s="1">
        <v>33</v>
      </c>
      <c r="X387" s="1">
        <v>1</v>
      </c>
      <c r="Y387" s="1">
        <v>18</v>
      </c>
      <c r="Z387" s="1">
        <v>34</v>
      </c>
      <c r="AA387" s="1">
        <v>-99</v>
      </c>
      <c r="AB387" s="1">
        <v>1</v>
      </c>
    </row>
    <row r="388" spans="1:28" ht="12.75" customHeight="1" x14ac:dyDescent="0.15">
      <c r="A388" s="5">
        <v>50</v>
      </c>
      <c r="B388" s="5" t="s">
        <v>984</v>
      </c>
      <c r="C388" s="1">
        <v>24</v>
      </c>
      <c r="D388" s="5" t="s">
        <v>981</v>
      </c>
      <c r="E388" s="1">
        <v>5</v>
      </c>
      <c r="F388" s="5" t="s">
        <v>981</v>
      </c>
      <c r="G388" s="1">
        <v>6</v>
      </c>
      <c r="H388" s="5" t="s">
        <v>981</v>
      </c>
      <c r="I388" s="1">
        <v>8</v>
      </c>
      <c r="J388" s="5" t="s">
        <v>981</v>
      </c>
      <c r="K388" s="1">
        <v>6</v>
      </c>
      <c r="L388" s="5" t="s">
        <v>981</v>
      </c>
      <c r="M388" s="1">
        <v>6</v>
      </c>
      <c r="N388" s="5" t="s">
        <v>981</v>
      </c>
      <c r="O388" s="1">
        <v>1</v>
      </c>
      <c r="P388" s="5" t="s">
        <v>982</v>
      </c>
      <c r="Q388" s="1">
        <v>1</v>
      </c>
      <c r="R388" s="1">
        <v>0</v>
      </c>
      <c r="S388" s="1">
        <v>1</v>
      </c>
      <c r="T388" s="1">
        <v>1</v>
      </c>
      <c r="U388" s="1">
        <v>3</v>
      </c>
      <c r="V388" s="1">
        <v>3</v>
      </c>
      <c r="W388" s="1">
        <v>54</v>
      </c>
      <c r="X388" s="1">
        <v>0</v>
      </c>
      <c r="Y388" s="1">
        <v>16</v>
      </c>
      <c r="Z388" s="1">
        <v>34</v>
      </c>
      <c r="AA388" s="1">
        <v>-99</v>
      </c>
      <c r="AB388" s="1">
        <v>2</v>
      </c>
    </row>
    <row r="389" spans="1:28" ht="12.75" customHeight="1" x14ac:dyDescent="0.15">
      <c r="A389" s="5">
        <v>497</v>
      </c>
      <c r="B389" s="5" t="s">
        <v>238</v>
      </c>
      <c r="C389" s="1">
        <v>12</v>
      </c>
      <c r="D389" s="5" t="s">
        <v>983</v>
      </c>
      <c r="E389" s="1">
        <v>0</v>
      </c>
      <c r="F389" s="5" t="s">
        <v>983</v>
      </c>
      <c r="G389" s="1">
        <v>0</v>
      </c>
      <c r="H389" s="5" t="s">
        <v>983</v>
      </c>
      <c r="I389" s="1">
        <v>16</v>
      </c>
      <c r="J389" s="5" t="s">
        <v>981</v>
      </c>
      <c r="K389" s="1">
        <v>0</v>
      </c>
      <c r="L389" s="5" t="s">
        <v>983</v>
      </c>
      <c r="M389" s="1">
        <v>0</v>
      </c>
      <c r="N389" s="5" t="s">
        <v>983</v>
      </c>
      <c r="O389" s="1">
        <v>6</v>
      </c>
      <c r="P389" s="5" t="s">
        <v>982</v>
      </c>
      <c r="Q389" s="1">
        <v>1</v>
      </c>
      <c r="R389" s="1">
        <v>0</v>
      </c>
      <c r="S389" s="1" t="s">
        <v>194</v>
      </c>
      <c r="T389" s="1">
        <v>1</v>
      </c>
      <c r="U389" s="1">
        <v>2</v>
      </c>
      <c r="V389" s="1">
        <v>2</v>
      </c>
      <c r="W389" s="1">
        <v>48</v>
      </c>
      <c r="X389" s="1">
        <v>1</v>
      </c>
      <c r="Y389" s="1">
        <v>14</v>
      </c>
      <c r="Z389" s="1">
        <v>34</v>
      </c>
      <c r="AA389" s="1">
        <v>-99</v>
      </c>
      <c r="AB389" s="1">
        <v>2</v>
      </c>
    </row>
    <row r="390" spans="1:28" ht="12.75" customHeight="1" x14ac:dyDescent="0.15">
      <c r="A390" s="5">
        <v>249</v>
      </c>
      <c r="B390" s="5" t="s">
        <v>984</v>
      </c>
      <c r="C390" s="1">
        <v>14</v>
      </c>
      <c r="D390" s="5" t="s">
        <v>983</v>
      </c>
      <c r="E390" s="1">
        <v>1</v>
      </c>
      <c r="F390" s="5" t="s">
        <v>983</v>
      </c>
      <c r="G390" s="1">
        <v>8</v>
      </c>
      <c r="H390" s="5" t="s">
        <v>981</v>
      </c>
      <c r="I390" s="1">
        <v>2</v>
      </c>
      <c r="J390" s="5" t="s">
        <v>982</v>
      </c>
      <c r="K390" s="1">
        <v>0</v>
      </c>
      <c r="L390" s="5" t="s">
        <v>983</v>
      </c>
      <c r="M390" s="1">
        <v>0</v>
      </c>
      <c r="N390" s="5" t="s">
        <v>983</v>
      </c>
      <c r="O390" s="1">
        <v>1</v>
      </c>
      <c r="P390" s="5" t="s">
        <v>982</v>
      </c>
      <c r="Q390" s="1">
        <v>1</v>
      </c>
      <c r="R390" s="1">
        <v>0</v>
      </c>
      <c r="S390" s="1">
        <v>1</v>
      </c>
      <c r="T390" s="1">
        <v>1</v>
      </c>
      <c r="U390" s="1">
        <v>5</v>
      </c>
      <c r="V390" s="1">
        <v>5</v>
      </c>
      <c r="W390" s="1">
        <v>29</v>
      </c>
      <c r="X390" s="1">
        <v>0</v>
      </c>
      <c r="Y390" s="1">
        <v>14</v>
      </c>
      <c r="Z390" s="1">
        <v>34</v>
      </c>
      <c r="AA390" s="1">
        <v>-99</v>
      </c>
      <c r="AB390" s="1">
        <v>2</v>
      </c>
    </row>
    <row r="391" spans="1:28" ht="12.75" customHeight="1" x14ac:dyDescent="0.15">
      <c r="A391" s="5">
        <v>38</v>
      </c>
      <c r="B391" s="5" t="s">
        <v>238</v>
      </c>
      <c r="C391" s="1">
        <v>26</v>
      </c>
      <c r="D391" s="5" t="s">
        <v>981</v>
      </c>
      <c r="E391" s="1">
        <v>0</v>
      </c>
      <c r="F391" s="5" t="s">
        <v>983</v>
      </c>
      <c r="G391" s="1">
        <v>8</v>
      </c>
      <c r="H391" s="5" t="s">
        <v>981</v>
      </c>
      <c r="I391" s="1">
        <v>8</v>
      </c>
      <c r="J391" s="5" t="s">
        <v>981</v>
      </c>
      <c r="K391" s="1">
        <v>2</v>
      </c>
      <c r="L391" s="5" t="s">
        <v>983</v>
      </c>
      <c r="M391" s="1">
        <v>5</v>
      </c>
      <c r="N391" s="5" t="s">
        <v>982</v>
      </c>
      <c r="O391" s="1">
        <v>0</v>
      </c>
      <c r="P391" s="5" t="s">
        <v>983</v>
      </c>
      <c r="Q391" s="1">
        <v>0</v>
      </c>
      <c r="R391" s="1">
        <v>0</v>
      </c>
      <c r="S391" s="1" t="s">
        <v>194</v>
      </c>
      <c r="T391" s="1">
        <v>1</v>
      </c>
      <c r="U391" s="1" t="s">
        <v>194</v>
      </c>
      <c r="V391" s="1">
        <v>1</v>
      </c>
      <c r="W391" s="1">
        <v>44</v>
      </c>
      <c r="X391" s="1">
        <v>0</v>
      </c>
      <c r="Y391" s="1">
        <v>14</v>
      </c>
      <c r="Z391" s="1">
        <v>34</v>
      </c>
      <c r="AA391" s="1">
        <v>-99</v>
      </c>
      <c r="AB391" s="1">
        <v>2</v>
      </c>
    </row>
    <row r="392" spans="1:28" ht="12.75" customHeight="1" x14ac:dyDescent="0.15">
      <c r="A392" s="5">
        <v>234</v>
      </c>
      <c r="B392" s="5" t="s">
        <v>238</v>
      </c>
      <c r="C392" s="1">
        <v>16</v>
      </c>
      <c r="D392" s="5" t="s">
        <v>983</v>
      </c>
      <c r="E392" s="1">
        <v>0</v>
      </c>
      <c r="F392" s="5" t="s">
        <v>983</v>
      </c>
      <c r="G392" s="1">
        <v>0</v>
      </c>
      <c r="H392" s="5" t="s">
        <v>983</v>
      </c>
      <c r="I392" s="1">
        <v>0</v>
      </c>
      <c r="J392" s="5" t="s">
        <v>983</v>
      </c>
      <c r="K392" s="1">
        <v>1</v>
      </c>
      <c r="L392" s="5" t="s">
        <v>983</v>
      </c>
      <c r="M392" s="1">
        <v>0</v>
      </c>
      <c r="N392" s="5" t="s">
        <v>983</v>
      </c>
      <c r="O392" s="1">
        <v>0</v>
      </c>
      <c r="P392" s="5" t="s">
        <v>983</v>
      </c>
      <c r="Q392" s="1">
        <v>0</v>
      </c>
      <c r="R392" s="1">
        <v>0</v>
      </c>
      <c r="S392" s="1">
        <v>1</v>
      </c>
      <c r="T392" s="1">
        <v>1</v>
      </c>
      <c r="U392" s="1">
        <v>5</v>
      </c>
      <c r="V392" s="1">
        <v>5</v>
      </c>
      <c r="W392" s="1">
        <v>0</v>
      </c>
      <c r="X392" s="1">
        <v>1</v>
      </c>
      <c r="Y392" s="1">
        <v>8</v>
      </c>
      <c r="Z392" s="1">
        <v>34</v>
      </c>
      <c r="AA392" s="1">
        <v>-99</v>
      </c>
      <c r="AB392" s="1">
        <v>1</v>
      </c>
    </row>
    <row r="393" spans="1:28" ht="12.75" customHeight="1" x14ac:dyDescent="0.15">
      <c r="A393" s="5">
        <v>235</v>
      </c>
      <c r="B393" s="5" t="s">
        <v>238</v>
      </c>
      <c r="C393" s="1">
        <v>18</v>
      </c>
      <c r="D393" s="5" t="s">
        <v>983</v>
      </c>
      <c r="E393" s="1">
        <v>6</v>
      </c>
      <c r="F393" s="5" t="s">
        <v>981</v>
      </c>
      <c r="G393" s="1">
        <v>2</v>
      </c>
      <c r="H393" s="5" t="s">
        <v>982</v>
      </c>
      <c r="I393" s="1">
        <v>16</v>
      </c>
      <c r="J393" s="5" t="s">
        <v>981</v>
      </c>
      <c r="K393" s="1">
        <v>0</v>
      </c>
      <c r="L393" s="5" t="s">
        <v>983</v>
      </c>
      <c r="M393" s="1">
        <v>4</v>
      </c>
      <c r="N393" s="5" t="s">
        <v>982</v>
      </c>
      <c r="O393" s="1">
        <v>0</v>
      </c>
      <c r="P393" s="5" t="s">
        <v>983</v>
      </c>
      <c r="Q393" s="1">
        <v>1</v>
      </c>
      <c r="R393" s="1">
        <v>0</v>
      </c>
      <c r="S393" s="1">
        <v>1</v>
      </c>
      <c r="T393" s="1">
        <v>1</v>
      </c>
      <c r="U393" s="1">
        <v>5</v>
      </c>
      <c r="V393" s="1">
        <v>3</v>
      </c>
      <c r="W393" s="1">
        <v>0</v>
      </c>
      <c r="X393" s="1">
        <v>1</v>
      </c>
      <c r="Y393" s="1">
        <v>8</v>
      </c>
      <c r="Z393" s="1">
        <v>34</v>
      </c>
      <c r="AA393" s="1">
        <v>-99</v>
      </c>
      <c r="AB393" s="1">
        <v>1</v>
      </c>
    </row>
    <row r="394" spans="1:28" ht="12.75" customHeight="1" x14ac:dyDescent="0.15">
      <c r="A394" s="5">
        <v>292</v>
      </c>
      <c r="B394" s="5" t="s">
        <v>238</v>
      </c>
      <c r="C394" s="1">
        <v>19</v>
      </c>
      <c r="D394" s="5" t="s">
        <v>982</v>
      </c>
      <c r="E394" s="1">
        <v>7</v>
      </c>
      <c r="F394" s="5" t="s">
        <v>981</v>
      </c>
      <c r="G394" s="1">
        <v>6</v>
      </c>
      <c r="H394" s="5" t="s">
        <v>981</v>
      </c>
      <c r="I394" s="1">
        <v>3</v>
      </c>
      <c r="J394" s="5" t="s">
        <v>982</v>
      </c>
      <c r="K394" s="1">
        <v>0</v>
      </c>
      <c r="L394" s="5" t="s">
        <v>983</v>
      </c>
      <c r="M394" s="1">
        <v>5</v>
      </c>
      <c r="N394" s="5" t="s">
        <v>982</v>
      </c>
      <c r="O394" s="1">
        <v>0</v>
      </c>
      <c r="P394" s="5" t="s">
        <v>983</v>
      </c>
      <c r="Q394" s="1">
        <v>1</v>
      </c>
      <c r="R394" s="1">
        <v>0</v>
      </c>
      <c r="S394" s="1" t="s">
        <v>194</v>
      </c>
      <c r="T394" s="1">
        <v>1</v>
      </c>
      <c r="U394" s="1" t="s">
        <v>194</v>
      </c>
      <c r="V394" s="1">
        <v>2</v>
      </c>
      <c r="W394" s="1">
        <v>35</v>
      </c>
      <c r="X394" s="1">
        <v>1</v>
      </c>
      <c r="Y394" s="1">
        <v>2</v>
      </c>
      <c r="Z394" s="1">
        <v>34</v>
      </c>
      <c r="AA394" s="1">
        <v>-99</v>
      </c>
      <c r="AB394" s="1">
        <v>6</v>
      </c>
    </row>
    <row r="395" spans="1:28" ht="12.75" customHeight="1" x14ac:dyDescent="0.15">
      <c r="A395" s="5">
        <v>372</v>
      </c>
      <c r="B395" s="5" t="s">
        <v>238</v>
      </c>
      <c r="C395" s="1">
        <v>35</v>
      </c>
      <c r="D395" s="5" t="s">
        <v>981</v>
      </c>
      <c r="E395" s="1">
        <v>3</v>
      </c>
      <c r="F395" s="5" t="s">
        <v>982</v>
      </c>
      <c r="G395" s="1">
        <v>3</v>
      </c>
      <c r="H395" s="5" t="s">
        <v>982</v>
      </c>
      <c r="I395" s="1">
        <v>13</v>
      </c>
      <c r="J395" s="5" t="s">
        <v>981</v>
      </c>
      <c r="K395" s="1">
        <v>4</v>
      </c>
      <c r="L395" s="5" t="s">
        <v>982</v>
      </c>
      <c r="M395" s="1">
        <v>1</v>
      </c>
      <c r="N395" s="5" t="s">
        <v>983</v>
      </c>
      <c r="O395" s="1">
        <v>0</v>
      </c>
      <c r="P395" s="5" t="s">
        <v>983</v>
      </c>
      <c r="Q395" s="1">
        <v>0</v>
      </c>
      <c r="R395" s="1">
        <v>0</v>
      </c>
      <c r="S395" s="1" t="s">
        <v>194</v>
      </c>
      <c r="T395" s="1">
        <v>1</v>
      </c>
      <c r="U395" s="1">
        <v>1</v>
      </c>
      <c r="V395" s="1">
        <v>2</v>
      </c>
      <c r="W395" s="1">
        <v>0</v>
      </c>
      <c r="X395" s="1">
        <v>0</v>
      </c>
      <c r="Y395" s="1">
        <v>4</v>
      </c>
      <c r="Z395" s="1">
        <v>32</v>
      </c>
      <c r="AA395" s="1">
        <v>-99</v>
      </c>
      <c r="AB395" s="1">
        <v>2</v>
      </c>
    </row>
    <row r="396" spans="1:28" ht="12.75" customHeight="1" x14ac:dyDescent="0.15">
      <c r="A396" s="5">
        <v>465</v>
      </c>
      <c r="B396" s="5" t="s">
        <v>238</v>
      </c>
      <c r="C396" s="1">
        <v>23</v>
      </c>
      <c r="D396" s="5" t="s">
        <v>982</v>
      </c>
      <c r="E396" s="1">
        <v>2</v>
      </c>
      <c r="F396" s="5" t="s">
        <v>982</v>
      </c>
      <c r="G396" s="1">
        <v>1</v>
      </c>
      <c r="H396" s="5" t="s">
        <v>983</v>
      </c>
      <c r="I396" s="1">
        <v>8</v>
      </c>
      <c r="J396" s="5" t="s">
        <v>981</v>
      </c>
      <c r="K396" s="1">
        <v>0</v>
      </c>
      <c r="L396" s="5" t="s">
        <v>983</v>
      </c>
      <c r="M396" s="1">
        <v>3</v>
      </c>
      <c r="N396" s="5" t="s">
        <v>982</v>
      </c>
      <c r="O396" s="1">
        <v>0</v>
      </c>
      <c r="P396" s="5" t="s">
        <v>983</v>
      </c>
      <c r="Q396" s="1">
        <v>1</v>
      </c>
      <c r="R396" s="1">
        <v>0</v>
      </c>
      <c r="S396" s="1">
        <v>1</v>
      </c>
      <c r="T396" s="1">
        <v>1</v>
      </c>
      <c r="U396" s="1">
        <v>5</v>
      </c>
      <c r="V396" s="1">
        <v>3</v>
      </c>
      <c r="W396" s="1">
        <v>0</v>
      </c>
      <c r="X396" s="1">
        <v>1</v>
      </c>
      <c r="Y396" s="1">
        <v>18</v>
      </c>
      <c r="Z396" s="1">
        <v>31</v>
      </c>
      <c r="AA396" s="1">
        <v>-99</v>
      </c>
      <c r="AB396" s="1">
        <v>3</v>
      </c>
    </row>
    <row r="397" spans="1:28" ht="12.75" customHeight="1" x14ac:dyDescent="0.15">
      <c r="A397" s="5">
        <v>271</v>
      </c>
      <c r="B397" s="5" t="s">
        <v>984</v>
      </c>
      <c r="C397" s="1">
        <v>18</v>
      </c>
      <c r="D397" s="5" t="s">
        <v>983</v>
      </c>
      <c r="E397" s="1">
        <v>1</v>
      </c>
      <c r="F397" s="5" t="s">
        <v>983</v>
      </c>
      <c r="G397" s="1">
        <v>3</v>
      </c>
      <c r="H397" s="5" t="s">
        <v>982</v>
      </c>
      <c r="I397" s="1">
        <v>16</v>
      </c>
      <c r="J397" s="5" t="s">
        <v>981</v>
      </c>
      <c r="K397" s="1">
        <v>0</v>
      </c>
      <c r="L397" s="5" t="s">
        <v>983</v>
      </c>
      <c r="M397" s="1">
        <v>0</v>
      </c>
      <c r="N397" s="5" t="s">
        <v>983</v>
      </c>
      <c r="O397" s="1">
        <v>0</v>
      </c>
      <c r="P397" s="5" t="s">
        <v>983</v>
      </c>
      <c r="Q397" s="1">
        <v>1</v>
      </c>
      <c r="R397" s="1">
        <v>0</v>
      </c>
      <c r="S397" s="1">
        <v>1</v>
      </c>
      <c r="T397" s="1">
        <v>1</v>
      </c>
      <c r="U397" s="1">
        <v>1</v>
      </c>
      <c r="V397" s="1">
        <v>1</v>
      </c>
      <c r="W397" s="1">
        <v>47</v>
      </c>
      <c r="X397" s="1">
        <v>0</v>
      </c>
      <c r="Y397" s="1">
        <v>15</v>
      </c>
      <c r="Z397" s="1">
        <v>31</v>
      </c>
      <c r="AA397" s="1">
        <v>-99</v>
      </c>
      <c r="AB397" s="1">
        <v>3</v>
      </c>
    </row>
    <row r="398" spans="1:28" ht="12.75" customHeight="1" x14ac:dyDescent="0.15">
      <c r="A398" s="5">
        <v>66</v>
      </c>
      <c r="B398" s="5" t="s">
        <v>238</v>
      </c>
      <c r="C398" s="1">
        <v>18</v>
      </c>
      <c r="D398" s="5" t="s">
        <v>983</v>
      </c>
      <c r="E398" s="1">
        <v>0</v>
      </c>
      <c r="F398" s="5" t="s">
        <v>983</v>
      </c>
      <c r="G398" s="1">
        <v>0</v>
      </c>
      <c r="H398" s="5" t="s">
        <v>983</v>
      </c>
      <c r="I398" s="1">
        <v>8</v>
      </c>
      <c r="J398" s="5" t="s">
        <v>981</v>
      </c>
      <c r="K398" s="1">
        <v>0</v>
      </c>
      <c r="L398" s="5" t="s">
        <v>983</v>
      </c>
      <c r="M398" s="1">
        <v>0</v>
      </c>
      <c r="N398" s="5" t="s">
        <v>983</v>
      </c>
      <c r="O398" s="1">
        <v>0</v>
      </c>
      <c r="P398" s="5" t="s">
        <v>983</v>
      </c>
      <c r="Q398" s="1">
        <v>1</v>
      </c>
      <c r="R398" s="1">
        <v>1</v>
      </c>
      <c r="S398" s="1" t="s">
        <v>194</v>
      </c>
      <c r="T398" s="1">
        <v>1</v>
      </c>
      <c r="U398" s="1">
        <v>2</v>
      </c>
      <c r="V398" s="1">
        <v>1</v>
      </c>
      <c r="W398" s="1">
        <v>55</v>
      </c>
      <c r="X398" s="1">
        <v>0</v>
      </c>
      <c r="Y398" s="1">
        <v>12</v>
      </c>
      <c r="Z398" s="1">
        <v>31</v>
      </c>
      <c r="AA398" s="1">
        <v>-99</v>
      </c>
      <c r="AB398" s="1">
        <v>5</v>
      </c>
    </row>
    <row r="399" spans="1:28" ht="12.75" customHeight="1" x14ac:dyDescent="0.15">
      <c r="A399" s="5">
        <v>47</v>
      </c>
      <c r="B399" s="5" t="s">
        <v>238</v>
      </c>
      <c r="C399" s="1">
        <v>39</v>
      </c>
      <c r="D399" s="5" t="s">
        <v>981</v>
      </c>
      <c r="E399" s="1">
        <v>5</v>
      </c>
      <c r="F399" s="5" t="s">
        <v>981</v>
      </c>
      <c r="G399" s="1">
        <v>9</v>
      </c>
      <c r="H399" s="5" t="s">
        <v>981</v>
      </c>
      <c r="I399" s="1">
        <v>2</v>
      </c>
      <c r="J399" s="5" t="s">
        <v>982</v>
      </c>
      <c r="K399" s="1">
        <v>2</v>
      </c>
      <c r="L399" s="5" t="s">
        <v>983</v>
      </c>
      <c r="M399" s="1">
        <v>5</v>
      </c>
      <c r="N399" s="5" t="s">
        <v>982</v>
      </c>
      <c r="O399" s="1">
        <v>0</v>
      </c>
      <c r="P399" s="5" t="s">
        <v>983</v>
      </c>
      <c r="Q399" s="1">
        <v>1</v>
      </c>
      <c r="R399" s="1">
        <v>0</v>
      </c>
      <c r="S399" s="1">
        <v>1</v>
      </c>
      <c r="T399" s="1">
        <v>1</v>
      </c>
      <c r="U399" s="1">
        <v>5</v>
      </c>
      <c r="V399" s="1">
        <v>5</v>
      </c>
      <c r="W399" s="1">
        <v>36</v>
      </c>
      <c r="X399" s="1">
        <v>0</v>
      </c>
      <c r="Y399" s="1">
        <v>16</v>
      </c>
      <c r="Z399" s="1">
        <v>24</v>
      </c>
      <c r="AA399" s="1">
        <v>-99</v>
      </c>
      <c r="AB399" s="1">
        <v>3</v>
      </c>
    </row>
    <row r="400" spans="1:28" ht="12.75" customHeight="1" x14ac:dyDescent="0.15">
      <c r="A400" s="5">
        <v>228</v>
      </c>
      <c r="B400" s="5" t="s">
        <v>984</v>
      </c>
      <c r="C400" s="1">
        <v>13</v>
      </c>
      <c r="D400" s="5" t="s">
        <v>983</v>
      </c>
      <c r="E400" s="1">
        <v>4</v>
      </c>
      <c r="F400" s="5" t="s">
        <v>982</v>
      </c>
      <c r="G400" s="1">
        <v>11</v>
      </c>
      <c r="H400" s="5" t="s">
        <v>981</v>
      </c>
      <c r="I400" s="1">
        <v>4</v>
      </c>
      <c r="J400" s="5" t="s">
        <v>982</v>
      </c>
      <c r="K400" s="1">
        <v>6</v>
      </c>
      <c r="L400" s="5" t="s">
        <v>981</v>
      </c>
      <c r="M400" s="1">
        <v>6</v>
      </c>
      <c r="N400" s="5" t="s">
        <v>981</v>
      </c>
      <c r="O400" s="1">
        <v>0</v>
      </c>
      <c r="P400" s="5" t="s">
        <v>983</v>
      </c>
      <c r="Q400" s="1">
        <v>1</v>
      </c>
      <c r="R400" s="1">
        <v>0</v>
      </c>
      <c r="S400" s="1">
        <v>1</v>
      </c>
      <c r="T400" s="1">
        <v>1</v>
      </c>
      <c r="U400" s="1">
        <v>5</v>
      </c>
      <c r="V400" s="1">
        <v>4</v>
      </c>
      <c r="W400" s="1">
        <v>49</v>
      </c>
      <c r="X400" s="1">
        <v>0</v>
      </c>
      <c r="Y400" s="1">
        <v>16</v>
      </c>
      <c r="Z400" s="1">
        <v>24</v>
      </c>
      <c r="AA400" s="1">
        <v>-99</v>
      </c>
      <c r="AB400" s="1">
        <v>3</v>
      </c>
    </row>
    <row r="401" spans="1:28" ht="12.75" customHeight="1" x14ac:dyDescent="0.15">
      <c r="A401" s="5">
        <v>246</v>
      </c>
      <c r="B401" s="5" t="s">
        <v>238</v>
      </c>
      <c r="C401" s="1">
        <v>34</v>
      </c>
      <c r="D401" s="5" t="s">
        <v>981</v>
      </c>
      <c r="E401" s="1">
        <v>6</v>
      </c>
      <c r="F401" s="5" t="s">
        <v>981</v>
      </c>
      <c r="G401" s="1">
        <v>6</v>
      </c>
      <c r="H401" s="5" t="s">
        <v>981</v>
      </c>
      <c r="I401" s="1">
        <v>8</v>
      </c>
      <c r="J401" s="5" t="s">
        <v>981</v>
      </c>
      <c r="K401" s="1">
        <v>6</v>
      </c>
      <c r="L401" s="5" t="s">
        <v>981</v>
      </c>
      <c r="M401" s="1">
        <v>6</v>
      </c>
      <c r="N401" s="5" t="s">
        <v>981</v>
      </c>
      <c r="O401" s="1">
        <v>0</v>
      </c>
      <c r="P401" s="5" t="s">
        <v>983</v>
      </c>
      <c r="Q401" s="1">
        <v>0</v>
      </c>
      <c r="R401" s="1">
        <v>0</v>
      </c>
      <c r="S401" s="1" t="s">
        <v>194</v>
      </c>
      <c r="T401" s="1">
        <v>1</v>
      </c>
      <c r="U401" s="1" t="s">
        <v>194</v>
      </c>
      <c r="V401" s="1">
        <v>1</v>
      </c>
      <c r="W401" s="1">
        <v>39</v>
      </c>
      <c r="X401" s="1">
        <v>1</v>
      </c>
      <c r="Y401" s="1">
        <v>15</v>
      </c>
      <c r="Z401" s="1">
        <v>24</v>
      </c>
      <c r="AA401" s="1">
        <v>-99</v>
      </c>
      <c r="AB401" s="1">
        <v>5</v>
      </c>
    </row>
    <row r="402" spans="1:28" ht="12.75" customHeight="1" x14ac:dyDescent="0.15">
      <c r="A402" s="5">
        <v>213</v>
      </c>
      <c r="B402" s="5" t="s">
        <v>238</v>
      </c>
      <c r="C402" s="1">
        <v>20</v>
      </c>
      <c r="D402" s="5" t="s">
        <v>982</v>
      </c>
      <c r="E402" s="1">
        <v>0</v>
      </c>
      <c r="F402" s="5" t="s">
        <v>983</v>
      </c>
      <c r="G402" s="1">
        <v>3</v>
      </c>
      <c r="H402" s="5" t="s">
        <v>982</v>
      </c>
      <c r="I402" s="1">
        <v>5</v>
      </c>
      <c r="J402" s="5" t="s">
        <v>981</v>
      </c>
      <c r="K402" s="1">
        <v>1</v>
      </c>
      <c r="L402" s="5" t="s">
        <v>983</v>
      </c>
      <c r="M402" s="1">
        <v>0</v>
      </c>
      <c r="N402" s="5" t="s">
        <v>983</v>
      </c>
      <c r="O402" s="1">
        <v>0</v>
      </c>
      <c r="P402" s="5" t="s">
        <v>983</v>
      </c>
      <c r="Q402" s="1">
        <v>1</v>
      </c>
      <c r="R402" s="1">
        <v>0</v>
      </c>
      <c r="S402" s="1">
        <v>1</v>
      </c>
      <c r="T402" s="1">
        <v>1</v>
      </c>
      <c r="U402" s="1">
        <v>3</v>
      </c>
      <c r="V402" s="1">
        <v>2</v>
      </c>
      <c r="W402" s="1">
        <v>0</v>
      </c>
      <c r="X402" s="1">
        <v>1</v>
      </c>
      <c r="Y402" s="1">
        <v>14</v>
      </c>
      <c r="Z402" s="1">
        <v>24</v>
      </c>
      <c r="AA402" s="1">
        <v>-99</v>
      </c>
      <c r="AB402" s="1">
        <v>4</v>
      </c>
    </row>
    <row r="403" spans="1:28" ht="12.75" customHeight="1" x14ac:dyDescent="0.15">
      <c r="A403" s="5">
        <v>413</v>
      </c>
      <c r="B403" s="5" t="s">
        <v>238</v>
      </c>
      <c r="C403" s="1">
        <v>18</v>
      </c>
      <c r="D403" s="5" t="s">
        <v>983</v>
      </c>
      <c r="E403" s="1">
        <v>2</v>
      </c>
      <c r="F403" s="5" t="s">
        <v>982</v>
      </c>
      <c r="G403" s="1">
        <v>3</v>
      </c>
      <c r="H403" s="5" t="s">
        <v>982</v>
      </c>
      <c r="I403" s="1">
        <v>10</v>
      </c>
      <c r="J403" s="5" t="s">
        <v>981</v>
      </c>
      <c r="K403" s="1">
        <v>7</v>
      </c>
      <c r="L403" s="5" t="s">
        <v>981</v>
      </c>
      <c r="M403" s="1">
        <v>6</v>
      </c>
      <c r="N403" s="5" t="s">
        <v>981</v>
      </c>
      <c r="O403" s="1">
        <v>0</v>
      </c>
      <c r="P403" s="5" t="s">
        <v>983</v>
      </c>
      <c r="Q403" s="1">
        <v>1</v>
      </c>
      <c r="R403" s="1">
        <v>0</v>
      </c>
      <c r="S403" s="1" t="s">
        <v>194</v>
      </c>
      <c r="T403" s="1">
        <v>1</v>
      </c>
      <c r="U403" s="1">
        <v>4</v>
      </c>
      <c r="V403" s="1">
        <v>1</v>
      </c>
      <c r="W403" s="1">
        <v>44</v>
      </c>
      <c r="X403" s="1">
        <v>1</v>
      </c>
      <c r="Y403" s="1">
        <v>14</v>
      </c>
      <c r="Z403" s="1">
        <v>24</v>
      </c>
      <c r="AA403" s="1">
        <v>-99</v>
      </c>
      <c r="AB403" s="1">
        <v>3</v>
      </c>
    </row>
    <row r="404" spans="1:28" ht="12.75" customHeight="1" x14ac:dyDescent="0.15">
      <c r="A404" s="5">
        <v>74</v>
      </c>
      <c r="B404" s="5" t="s">
        <v>984</v>
      </c>
      <c r="C404" s="1">
        <v>24</v>
      </c>
      <c r="D404" s="5" t="s">
        <v>981</v>
      </c>
      <c r="E404" s="1">
        <v>5</v>
      </c>
      <c r="F404" s="5" t="s">
        <v>981</v>
      </c>
      <c r="G404" s="1">
        <v>2</v>
      </c>
      <c r="H404" s="5" t="s">
        <v>982</v>
      </c>
      <c r="I404" s="1">
        <v>8</v>
      </c>
      <c r="J404" s="5" t="s">
        <v>981</v>
      </c>
      <c r="K404" s="1">
        <v>1</v>
      </c>
      <c r="L404" s="5" t="s">
        <v>983</v>
      </c>
      <c r="M404" s="1">
        <v>6</v>
      </c>
      <c r="N404" s="5" t="s">
        <v>981</v>
      </c>
      <c r="O404" s="1">
        <v>0</v>
      </c>
      <c r="P404" s="5" t="s">
        <v>983</v>
      </c>
      <c r="Q404" s="1">
        <v>1</v>
      </c>
      <c r="R404" s="1">
        <v>0</v>
      </c>
      <c r="S404" s="1">
        <v>1</v>
      </c>
      <c r="T404" s="1">
        <v>1</v>
      </c>
      <c r="U404" s="1">
        <v>5</v>
      </c>
      <c r="V404" s="1">
        <v>5</v>
      </c>
      <c r="W404" s="1">
        <v>56</v>
      </c>
      <c r="X404" s="1">
        <v>0</v>
      </c>
      <c r="Y404" s="1">
        <v>14</v>
      </c>
      <c r="Z404" s="1">
        <v>24</v>
      </c>
      <c r="AA404" s="1">
        <v>-99</v>
      </c>
      <c r="AB404" s="1">
        <v>5</v>
      </c>
    </row>
    <row r="405" spans="1:28" ht="12.75" customHeight="1" x14ac:dyDescent="0.15">
      <c r="A405" s="5">
        <v>464</v>
      </c>
      <c r="B405" s="5" t="s">
        <v>238</v>
      </c>
      <c r="C405" s="1">
        <v>43</v>
      </c>
      <c r="D405" s="5" t="s">
        <v>981</v>
      </c>
      <c r="E405" s="1">
        <v>7</v>
      </c>
      <c r="F405" s="5" t="s">
        <v>981</v>
      </c>
      <c r="G405" s="1">
        <v>5</v>
      </c>
      <c r="H405" s="5" t="s">
        <v>982</v>
      </c>
      <c r="I405" s="1">
        <v>16</v>
      </c>
      <c r="J405" s="5" t="s">
        <v>981</v>
      </c>
      <c r="K405" s="1">
        <v>4</v>
      </c>
      <c r="L405" s="5" t="s">
        <v>982</v>
      </c>
      <c r="M405" s="1">
        <v>9</v>
      </c>
      <c r="N405" s="5" t="s">
        <v>981</v>
      </c>
      <c r="O405" s="1">
        <v>0</v>
      </c>
      <c r="P405" s="5" t="s">
        <v>983</v>
      </c>
      <c r="Q405" s="1">
        <v>1</v>
      </c>
      <c r="R405" s="1">
        <v>0</v>
      </c>
      <c r="S405" s="1">
        <v>1</v>
      </c>
      <c r="T405" s="1">
        <v>1</v>
      </c>
      <c r="U405" s="1">
        <v>5</v>
      </c>
      <c r="V405" s="1">
        <v>5</v>
      </c>
      <c r="W405" s="1">
        <v>21</v>
      </c>
      <c r="X405" s="1">
        <v>1</v>
      </c>
      <c r="Y405" s="1">
        <v>5</v>
      </c>
      <c r="Z405" s="1">
        <v>24</v>
      </c>
      <c r="AA405" s="1">
        <v>-99</v>
      </c>
      <c r="AB405" s="1">
        <v>4</v>
      </c>
    </row>
    <row r="406" spans="1:28" ht="12.75" customHeight="1" x14ac:dyDescent="0.15">
      <c r="A406" s="5">
        <v>443</v>
      </c>
      <c r="B406" s="5" t="s">
        <v>238</v>
      </c>
      <c r="C406" s="1">
        <v>22</v>
      </c>
      <c r="D406" s="5" t="s">
        <v>982</v>
      </c>
      <c r="E406" s="1">
        <v>6</v>
      </c>
      <c r="F406" s="5" t="s">
        <v>981</v>
      </c>
      <c r="G406" s="1">
        <v>6</v>
      </c>
      <c r="H406" s="5" t="s">
        <v>981</v>
      </c>
      <c r="I406" s="1">
        <v>8</v>
      </c>
      <c r="J406" s="5" t="s">
        <v>981</v>
      </c>
      <c r="K406" s="1">
        <v>7</v>
      </c>
      <c r="L406" s="5" t="s">
        <v>981</v>
      </c>
      <c r="M406" s="1">
        <v>7</v>
      </c>
      <c r="N406" s="5" t="s">
        <v>981</v>
      </c>
      <c r="O406" s="1">
        <v>0</v>
      </c>
      <c r="P406" s="5" t="s">
        <v>983</v>
      </c>
      <c r="Q406" s="1">
        <v>1</v>
      </c>
      <c r="R406" s="1">
        <v>0</v>
      </c>
      <c r="S406" s="1" t="s">
        <v>194</v>
      </c>
      <c r="T406" s="1">
        <v>1</v>
      </c>
      <c r="U406" s="1">
        <v>3</v>
      </c>
      <c r="V406" s="1">
        <v>3</v>
      </c>
      <c r="W406" s="1">
        <v>26</v>
      </c>
      <c r="X406" s="1">
        <v>0</v>
      </c>
      <c r="Y406" s="1">
        <v>2</v>
      </c>
      <c r="Z406" s="1">
        <v>24</v>
      </c>
      <c r="AA406" s="1">
        <v>-99</v>
      </c>
      <c r="AB406" s="1">
        <v>1</v>
      </c>
    </row>
    <row r="407" spans="1:28" ht="12.75" customHeight="1" x14ac:dyDescent="0.15">
      <c r="A407" s="5">
        <v>133</v>
      </c>
      <c r="B407" s="5" t="s">
        <v>238</v>
      </c>
      <c r="C407" s="1">
        <v>27</v>
      </c>
      <c r="D407" s="5" t="s">
        <v>981</v>
      </c>
      <c r="E407" s="1">
        <v>2</v>
      </c>
      <c r="F407" s="5" t="s">
        <v>982</v>
      </c>
      <c r="G407" s="1">
        <v>1</v>
      </c>
      <c r="H407" s="5" t="s">
        <v>983</v>
      </c>
      <c r="I407" s="1">
        <v>5</v>
      </c>
      <c r="J407" s="5" t="s">
        <v>981</v>
      </c>
      <c r="K407" s="1">
        <v>1</v>
      </c>
      <c r="L407" s="5" t="s">
        <v>983</v>
      </c>
      <c r="M407" s="1">
        <v>0</v>
      </c>
      <c r="N407" s="5" t="s">
        <v>983</v>
      </c>
      <c r="O407" s="1">
        <v>0</v>
      </c>
      <c r="P407" s="5" t="s">
        <v>983</v>
      </c>
      <c r="Q407" s="1">
        <v>0</v>
      </c>
      <c r="R407" s="1">
        <v>0</v>
      </c>
      <c r="S407" s="1" t="s">
        <v>194</v>
      </c>
      <c r="T407" s="1">
        <v>1</v>
      </c>
      <c r="U407" s="1">
        <v>3</v>
      </c>
      <c r="V407" s="1">
        <v>3</v>
      </c>
      <c r="W407" s="1">
        <v>48</v>
      </c>
      <c r="X407" s="1">
        <v>0</v>
      </c>
      <c r="Y407" s="1">
        <v>16</v>
      </c>
      <c r="Z407" s="1">
        <v>17</v>
      </c>
      <c r="AA407" s="1">
        <v>-99</v>
      </c>
      <c r="AB407" s="1">
        <v>2</v>
      </c>
    </row>
    <row r="408" spans="1:28" ht="12.75" customHeight="1" x14ac:dyDescent="0.15">
      <c r="A408" s="5">
        <v>161</v>
      </c>
      <c r="B408" s="5" t="s">
        <v>238</v>
      </c>
      <c r="C408" s="1">
        <v>30</v>
      </c>
      <c r="D408" s="5" t="s">
        <v>981</v>
      </c>
      <c r="E408" s="1">
        <v>3</v>
      </c>
      <c r="F408" s="5" t="s">
        <v>982</v>
      </c>
      <c r="G408" s="1">
        <v>3</v>
      </c>
      <c r="H408" s="5" t="s">
        <v>982</v>
      </c>
      <c r="I408" s="1">
        <v>12</v>
      </c>
      <c r="J408" s="5" t="s">
        <v>981</v>
      </c>
      <c r="K408" s="1">
        <v>3</v>
      </c>
      <c r="L408" s="5" t="s">
        <v>982</v>
      </c>
      <c r="M408" s="1">
        <v>3</v>
      </c>
      <c r="N408" s="5" t="s">
        <v>982</v>
      </c>
      <c r="O408" s="1">
        <v>0</v>
      </c>
      <c r="P408" s="5" t="s">
        <v>983</v>
      </c>
      <c r="Q408" s="1">
        <v>1</v>
      </c>
      <c r="R408" s="1">
        <v>0</v>
      </c>
      <c r="S408" s="1" t="s">
        <v>194</v>
      </c>
      <c r="T408" s="1">
        <v>1</v>
      </c>
      <c r="U408" s="1" t="s">
        <v>194</v>
      </c>
      <c r="V408" s="1" t="s">
        <v>194</v>
      </c>
      <c r="W408" s="1">
        <v>34</v>
      </c>
      <c r="X408" s="1">
        <v>0</v>
      </c>
      <c r="Y408" s="1">
        <v>16</v>
      </c>
      <c r="Z408" s="1">
        <v>11</v>
      </c>
      <c r="AA408" s="1">
        <v>-99</v>
      </c>
      <c r="AB408" s="1">
        <v>3</v>
      </c>
    </row>
    <row r="409" spans="1:28" ht="12.75" customHeight="1" x14ac:dyDescent="0.15">
      <c r="A409" s="5">
        <v>364</v>
      </c>
      <c r="B409" s="5" t="s">
        <v>238</v>
      </c>
      <c r="C409" s="1">
        <v>13</v>
      </c>
      <c r="D409" s="5" t="s">
        <v>983</v>
      </c>
      <c r="E409" s="1">
        <v>2</v>
      </c>
      <c r="F409" s="5" t="s">
        <v>982</v>
      </c>
      <c r="G409" s="1">
        <v>1</v>
      </c>
      <c r="H409" s="5" t="s">
        <v>983</v>
      </c>
      <c r="I409" s="1">
        <v>6</v>
      </c>
      <c r="J409" s="5" t="s">
        <v>981</v>
      </c>
      <c r="K409" s="1">
        <v>0</v>
      </c>
      <c r="L409" s="5" t="s">
        <v>983</v>
      </c>
      <c r="M409" s="1">
        <v>1</v>
      </c>
      <c r="N409" s="5" t="s">
        <v>983</v>
      </c>
      <c r="O409" s="1">
        <v>0</v>
      </c>
      <c r="P409" s="5" t="s">
        <v>983</v>
      </c>
      <c r="Q409" s="1">
        <v>1</v>
      </c>
      <c r="R409" s="1">
        <v>0</v>
      </c>
      <c r="S409" s="1" t="s">
        <v>194</v>
      </c>
      <c r="T409" s="1">
        <v>1</v>
      </c>
      <c r="U409" s="1" t="s">
        <v>194</v>
      </c>
      <c r="V409" s="1">
        <v>2</v>
      </c>
      <c r="W409" s="1">
        <v>56</v>
      </c>
      <c r="X409" s="1">
        <v>0</v>
      </c>
      <c r="Y409" s="1">
        <v>2</v>
      </c>
      <c r="Z409" s="1">
        <v>11</v>
      </c>
      <c r="AA409" s="1">
        <v>-99</v>
      </c>
      <c r="AB409" s="1">
        <v>2</v>
      </c>
    </row>
    <row r="410" spans="1:28" ht="12.75" customHeight="1" x14ac:dyDescent="0.15">
      <c r="A410" s="5">
        <v>365</v>
      </c>
      <c r="B410" s="5" t="s">
        <v>238</v>
      </c>
      <c r="C410" s="1">
        <v>34</v>
      </c>
      <c r="D410" s="5" t="s">
        <v>981</v>
      </c>
      <c r="E410" s="1">
        <v>6</v>
      </c>
      <c r="F410" s="5" t="s">
        <v>981</v>
      </c>
      <c r="G410" s="1">
        <v>5</v>
      </c>
      <c r="H410" s="5" t="s">
        <v>982</v>
      </c>
      <c r="I410" s="1">
        <v>15</v>
      </c>
      <c r="J410" s="5" t="s">
        <v>981</v>
      </c>
      <c r="K410" s="1">
        <v>2</v>
      </c>
      <c r="L410" s="5" t="s">
        <v>983</v>
      </c>
      <c r="M410" s="1">
        <v>0</v>
      </c>
      <c r="N410" s="5" t="s">
        <v>983</v>
      </c>
      <c r="O410" s="1">
        <v>0</v>
      </c>
      <c r="P410" s="5" t="s">
        <v>983</v>
      </c>
      <c r="Q410" s="1">
        <v>0</v>
      </c>
      <c r="R410" s="1">
        <v>0</v>
      </c>
      <c r="S410" s="1" t="s">
        <v>194</v>
      </c>
      <c r="T410" s="1">
        <v>1</v>
      </c>
      <c r="U410" s="1">
        <v>3</v>
      </c>
      <c r="V410" s="1">
        <v>2</v>
      </c>
      <c r="W410" s="1">
        <v>56</v>
      </c>
      <c r="X410" s="1">
        <v>0</v>
      </c>
      <c r="Y410" s="1">
        <v>2</v>
      </c>
      <c r="Z410" s="1">
        <v>11</v>
      </c>
      <c r="AA410" s="1">
        <v>-99</v>
      </c>
      <c r="AB410" s="1">
        <v>2</v>
      </c>
    </row>
    <row r="411" spans="1:28" ht="12.75" customHeight="1" x14ac:dyDescent="0.15">
      <c r="A411" s="5">
        <v>187</v>
      </c>
      <c r="B411" s="5" t="s">
        <v>238</v>
      </c>
      <c r="C411" s="1">
        <v>23</v>
      </c>
      <c r="D411" s="5" t="s">
        <v>982</v>
      </c>
      <c r="E411" s="1">
        <v>3</v>
      </c>
      <c r="F411" s="5" t="s">
        <v>982</v>
      </c>
      <c r="G411" s="1">
        <v>4</v>
      </c>
      <c r="H411" s="5" t="s">
        <v>982</v>
      </c>
      <c r="I411" s="1">
        <v>5</v>
      </c>
      <c r="J411" s="5" t="s">
        <v>981</v>
      </c>
      <c r="K411" s="1">
        <v>3</v>
      </c>
      <c r="L411" s="5" t="s">
        <v>982</v>
      </c>
      <c r="M411" s="1">
        <v>3</v>
      </c>
      <c r="N411" s="5" t="s">
        <v>982</v>
      </c>
      <c r="O411" s="1">
        <v>0</v>
      </c>
      <c r="P411" s="5" t="s">
        <v>983</v>
      </c>
      <c r="Q411" s="1">
        <v>0</v>
      </c>
      <c r="R411" s="1">
        <v>0</v>
      </c>
      <c r="S411" s="1" t="s">
        <v>194</v>
      </c>
      <c r="T411" s="1">
        <v>1</v>
      </c>
      <c r="U411" s="1">
        <v>5</v>
      </c>
      <c r="V411" s="1">
        <v>5</v>
      </c>
      <c r="W411" s="1">
        <v>38</v>
      </c>
      <c r="X411" s="1">
        <v>1</v>
      </c>
      <c r="Y411" s="1">
        <v>14</v>
      </c>
      <c r="Z411" s="1">
        <v>9</v>
      </c>
      <c r="AA411" s="1">
        <v>-99</v>
      </c>
      <c r="AB411" s="1">
        <v>3</v>
      </c>
    </row>
    <row r="412" spans="1:28" ht="12.75" customHeight="1" x14ac:dyDescent="0.15">
      <c r="A412" s="5">
        <v>489</v>
      </c>
      <c r="B412" s="5" t="s">
        <v>984</v>
      </c>
      <c r="C412" s="1">
        <v>23</v>
      </c>
      <c r="D412" s="5" t="s">
        <v>982</v>
      </c>
      <c r="E412" s="1">
        <v>4</v>
      </c>
      <c r="F412" s="5" t="s">
        <v>982</v>
      </c>
      <c r="G412" s="1">
        <v>5</v>
      </c>
      <c r="H412" s="5" t="s">
        <v>982</v>
      </c>
      <c r="I412" s="1">
        <v>8</v>
      </c>
      <c r="J412" s="5" t="s">
        <v>981</v>
      </c>
      <c r="K412" s="1">
        <v>4</v>
      </c>
      <c r="L412" s="5" t="s">
        <v>982</v>
      </c>
      <c r="M412" s="1">
        <v>8</v>
      </c>
      <c r="N412" s="5" t="s">
        <v>981</v>
      </c>
      <c r="O412" s="1">
        <v>0</v>
      </c>
      <c r="P412" s="5" t="s">
        <v>983</v>
      </c>
      <c r="Q412" s="1">
        <v>0</v>
      </c>
      <c r="R412" s="1">
        <v>0</v>
      </c>
      <c r="S412" s="1">
        <v>1</v>
      </c>
      <c r="T412" s="1">
        <v>1</v>
      </c>
      <c r="U412" s="1">
        <v>3</v>
      </c>
      <c r="V412" s="1">
        <v>3</v>
      </c>
      <c r="W412" s="1">
        <v>45</v>
      </c>
      <c r="X412" s="1">
        <v>0</v>
      </c>
      <c r="Y412" s="1">
        <v>11</v>
      </c>
      <c r="Z412" s="1">
        <v>9</v>
      </c>
      <c r="AA412" s="1">
        <v>-99</v>
      </c>
      <c r="AB412" s="1">
        <v>3</v>
      </c>
    </row>
    <row r="413" spans="1:28" ht="12.75" customHeight="1" x14ac:dyDescent="0.15">
      <c r="A413" s="5">
        <v>490</v>
      </c>
      <c r="B413" s="5" t="s">
        <v>238</v>
      </c>
      <c r="C413" s="1">
        <v>24</v>
      </c>
      <c r="D413" s="5" t="s">
        <v>981</v>
      </c>
      <c r="E413" s="1">
        <v>3</v>
      </c>
      <c r="F413" s="5" t="s">
        <v>982</v>
      </c>
      <c r="G413" s="1">
        <v>3</v>
      </c>
      <c r="H413" s="5" t="s">
        <v>982</v>
      </c>
      <c r="I413" s="1">
        <v>12</v>
      </c>
      <c r="J413" s="5" t="s">
        <v>981</v>
      </c>
      <c r="K413" s="1">
        <v>4</v>
      </c>
      <c r="L413" s="5" t="s">
        <v>982</v>
      </c>
      <c r="M413" s="1">
        <v>5</v>
      </c>
      <c r="N413" s="5" t="s">
        <v>982</v>
      </c>
      <c r="O413" s="1">
        <v>0</v>
      </c>
      <c r="P413" s="5" t="s">
        <v>983</v>
      </c>
      <c r="Q413" s="1">
        <v>0</v>
      </c>
      <c r="R413" s="1">
        <v>1</v>
      </c>
      <c r="S413" s="1" t="s">
        <v>194</v>
      </c>
      <c r="T413" s="1">
        <v>1</v>
      </c>
      <c r="U413" s="1" t="s">
        <v>194</v>
      </c>
      <c r="V413" s="1">
        <v>1</v>
      </c>
      <c r="W413" s="1">
        <v>45</v>
      </c>
      <c r="X413" s="1">
        <v>0</v>
      </c>
      <c r="Y413" s="1">
        <v>11</v>
      </c>
      <c r="Z413" s="1">
        <v>9</v>
      </c>
      <c r="AA413" s="1">
        <v>-99</v>
      </c>
      <c r="AB413" s="1">
        <v>3</v>
      </c>
    </row>
    <row r="414" spans="1:28" ht="12.75" customHeight="1" x14ac:dyDescent="0.15">
      <c r="A414" s="5">
        <v>445</v>
      </c>
      <c r="B414" s="5" t="s">
        <v>984</v>
      </c>
      <c r="C414" s="1">
        <v>29</v>
      </c>
      <c r="D414" s="5" t="s">
        <v>981</v>
      </c>
      <c r="E414" s="1">
        <v>3</v>
      </c>
      <c r="F414" s="5" t="s">
        <v>982</v>
      </c>
      <c r="G414" s="1">
        <v>5</v>
      </c>
      <c r="H414" s="5" t="s">
        <v>982</v>
      </c>
      <c r="I414" s="1">
        <v>8</v>
      </c>
      <c r="J414" s="5" t="s">
        <v>981</v>
      </c>
      <c r="K414" s="1">
        <v>8</v>
      </c>
      <c r="L414" s="5" t="s">
        <v>981</v>
      </c>
      <c r="M414" s="1">
        <v>0</v>
      </c>
      <c r="N414" s="5" t="s">
        <v>983</v>
      </c>
      <c r="O414" s="1">
        <v>0</v>
      </c>
      <c r="P414" s="5" t="s">
        <v>983</v>
      </c>
      <c r="Q414" s="1">
        <v>1</v>
      </c>
      <c r="R414" s="1">
        <v>0</v>
      </c>
      <c r="S414" s="1">
        <v>1</v>
      </c>
      <c r="T414" s="1">
        <v>1</v>
      </c>
      <c r="U414" s="1">
        <v>4</v>
      </c>
      <c r="V414" s="1">
        <v>3</v>
      </c>
      <c r="W414" s="1">
        <v>30</v>
      </c>
      <c r="X414" s="1">
        <v>1</v>
      </c>
      <c r="Y414" s="1">
        <v>10</v>
      </c>
      <c r="Z414" s="1">
        <v>8</v>
      </c>
      <c r="AA414" s="1">
        <v>-99</v>
      </c>
      <c r="AB414" s="1">
        <v>3</v>
      </c>
    </row>
    <row r="415" spans="1:28" ht="12.75" customHeight="1" x14ac:dyDescent="0.15">
      <c r="A415" s="5">
        <v>484</v>
      </c>
      <c r="B415" s="5" t="s">
        <v>238</v>
      </c>
      <c r="C415" s="1">
        <v>26</v>
      </c>
      <c r="D415" s="5" t="s">
        <v>981</v>
      </c>
      <c r="E415" s="1">
        <v>4</v>
      </c>
      <c r="F415" s="5" t="s">
        <v>982</v>
      </c>
      <c r="G415" s="1">
        <v>7</v>
      </c>
      <c r="H415" s="5" t="s">
        <v>981</v>
      </c>
      <c r="I415" s="1">
        <v>5</v>
      </c>
      <c r="J415" s="5" t="s">
        <v>981</v>
      </c>
      <c r="K415" s="1">
        <v>0</v>
      </c>
      <c r="L415" s="5" t="s">
        <v>983</v>
      </c>
      <c r="M415" s="1">
        <v>6</v>
      </c>
      <c r="N415" s="5" t="s">
        <v>981</v>
      </c>
      <c r="O415" s="1">
        <v>1</v>
      </c>
      <c r="P415" s="5" t="s">
        <v>982</v>
      </c>
      <c r="Q415" s="1">
        <v>1</v>
      </c>
      <c r="R415" s="1">
        <v>0</v>
      </c>
      <c r="S415" s="1" t="s">
        <v>194</v>
      </c>
      <c r="T415" s="1">
        <v>1</v>
      </c>
      <c r="U415" s="1">
        <v>3</v>
      </c>
      <c r="V415" s="1">
        <v>3</v>
      </c>
      <c r="W415" s="1">
        <v>39</v>
      </c>
      <c r="X415" s="1">
        <v>0</v>
      </c>
      <c r="Y415" s="1">
        <v>2</v>
      </c>
      <c r="Z415" s="1">
        <v>8</v>
      </c>
      <c r="AA415" s="1">
        <v>-99</v>
      </c>
      <c r="AB415" s="1">
        <v>4</v>
      </c>
    </row>
    <row r="416" spans="1:28" ht="12.75" customHeight="1" x14ac:dyDescent="0.15">
      <c r="A416" s="5">
        <v>483</v>
      </c>
      <c r="B416" s="5" t="s">
        <v>238</v>
      </c>
      <c r="C416" s="1">
        <v>21</v>
      </c>
      <c r="D416" s="5" t="s">
        <v>982</v>
      </c>
      <c r="E416" s="1">
        <v>4</v>
      </c>
      <c r="F416" s="5" t="s">
        <v>982</v>
      </c>
      <c r="G416" s="1">
        <v>0</v>
      </c>
      <c r="H416" s="5" t="s">
        <v>983</v>
      </c>
      <c r="I416" s="1">
        <v>7</v>
      </c>
      <c r="J416" s="5" t="s">
        <v>981</v>
      </c>
      <c r="K416" s="1">
        <v>0</v>
      </c>
      <c r="L416" s="5" t="s">
        <v>983</v>
      </c>
      <c r="M416" s="1">
        <v>1</v>
      </c>
      <c r="N416" s="5" t="s">
        <v>983</v>
      </c>
      <c r="O416" s="1">
        <v>0</v>
      </c>
      <c r="P416" s="5" t="s">
        <v>983</v>
      </c>
      <c r="Q416" s="1">
        <v>1</v>
      </c>
      <c r="R416" s="1">
        <v>0</v>
      </c>
      <c r="S416" s="1" t="s">
        <v>194</v>
      </c>
      <c r="T416" s="1">
        <v>1</v>
      </c>
      <c r="U416" s="1">
        <v>2</v>
      </c>
      <c r="V416" s="1">
        <v>1</v>
      </c>
      <c r="W416" s="1">
        <v>39</v>
      </c>
      <c r="X416" s="1">
        <v>0</v>
      </c>
      <c r="Y416" s="1">
        <v>2</v>
      </c>
      <c r="Z416" s="1">
        <v>8</v>
      </c>
      <c r="AA416" s="1">
        <v>-99</v>
      </c>
      <c r="AB416" s="1">
        <v>4</v>
      </c>
    </row>
    <row r="417" spans="1:28" ht="12.75" customHeight="1" x14ac:dyDescent="0.15">
      <c r="A417" s="5">
        <v>254</v>
      </c>
      <c r="B417" s="5" t="s">
        <v>238</v>
      </c>
      <c r="C417" s="1">
        <v>21</v>
      </c>
      <c r="D417" s="5" t="s">
        <v>982</v>
      </c>
      <c r="E417" s="1">
        <v>2</v>
      </c>
      <c r="F417" s="5" t="s">
        <v>982</v>
      </c>
      <c r="G417" s="1">
        <v>6</v>
      </c>
      <c r="H417" s="5" t="s">
        <v>981</v>
      </c>
      <c r="I417" s="1">
        <v>8</v>
      </c>
      <c r="J417" s="5" t="s">
        <v>981</v>
      </c>
      <c r="K417" s="1">
        <v>0</v>
      </c>
      <c r="L417" s="5" t="s">
        <v>983</v>
      </c>
      <c r="M417" s="1">
        <v>0</v>
      </c>
      <c r="N417" s="5" t="s">
        <v>983</v>
      </c>
      <c r="O417" s="1">
        <v>0</v>
      </c>
      <c r="P417" s="5" t="s">
        <v>983</v>
      </c>
      <c r="Q417" s="1">
        <v>1</v>
      </c>
      <c r="R417" s="1">
        <v>0</v>
      </c>
      <c r="S417" s="1">
        <v>1</v>
      </c>
      <c r="T417" s="1">
        <v>1</v>
      </c>
      <c r="U417" s="1">
        <v>5</v>
      </c>
      <c r="V417" s="1">
        <v>5</v>
      </c>
      <c r="W417" s="1">
        <v>0</v>
      </c>
      <c r="X417" s="1">
        <v>1</v>
      </c>
      <c r="Y417" s="1">
        <v>3</v>
      </c>
      <c r="Z417" s="1">
        <v>4</v>
      </c>
      <c r="AA417" s="1">
        <v>-99</v>
      </c>
      <c r="AB417" s="1">
        <v>2</v>
      </c>
    </row>
    <row r="418" spans="1:28" ht="12.75" customHeight="1" x14ac:dyDescent="0.15">
      <c r="A418" s="5">
        <v>304</v>
      </c>
      <c r="B418" s="5" t="s">
        <v>984</v>
      </c>
      <c r="C418" s="1">
        <v>15</v>
      </c>
      <c r="D418" s="5" t="s">
        <v>983</v>
      </c>
      <c r="E418" s="1">
        <v>5</v>
      </c>
      <c r="F418" s="5" t="s">
        <v>981</v>
      </c>
      <c r="G418" s="1">
        <v>3</v>
      </c>
      <c r="H418" s="5" t="s">
        <v>982</v>
      </c>
      <c r="I418" s="1">
        <v>0</v>
      </c>
      <c r="J418" s="5" t="s">
        <v>983</v>
      </c>
      <c r="K418" s="1">
        <v>5</v>
      </c>
      <c r="L418" s="5" t="s">
        <v>982</v>
      </c>
      <c r="M418" s="1">
        <v>1</v>
      </c>
      <c r="N418" s="5" t="s">
        <v>983</v>
      </c>
      <c r="O418" s="1">
        <v>0</v>
      </c>
      <c r="P418" s="5" t="s">
        <v>983</v>
      </c>
      <c r="Q418" s="1">
        <v>0</v>
      </c>
      <c r="R418" s="1">
        <v>0</v>
      </c>
      <c r="S418" s="1" t="s">
        <v>194</v>
      </c>
      <c r="T418" s="1">
        <v>1</v>
      </c>
      <c r="U418" s="1">
        <v>5</v>
      </c>
      <c r="V418" s="1">
        <v>5</v>
      </c>
      <c r="W418" s="1">
        <v>36</v>
      </c>
      <c r="X418" s="1">
        <v>1</v>
      </c>
      <c r="Y418" s="1">
        <v>14</v>
      </c>
      <c r="Z418" s="1">
        <v>3</v>
      </c>
      <c r="AA418" s="1">
        <v>-99</v>
      </c>
      <c r="AB418" s="1">
        <v>4</v>
      </c>
    </row>
    <row r="419" spans="1:28" ht="12.75" customHeight="1" x14ac:dyDescent="0.15">
      <c r="A419" s="5">
        <v>12</v>
      </c>
      <c r="B419" s="5" t="s">
        <v>238</v>
      </c>
      <c r="C419" s="1">
        <v>13</v>
      </c>
      <c r="D419" s="5" t="s">
        <v>983</v>
      </c>
      <c r="E419" s="1">
        <v>1</v>
      </c>
      <c r="F419" s="5" t="s">
        <v>983</v>
      </c>
      <c r="G419" s="1">
        <v>1</v>
      </c>
      <c r="H419" s="5" t="s">
        <v>983</v>
      </c>
      <c r="I419" s="1">
        <v>0</v>
      </c>
      <c r="J419" s="5" t="s">
        <v>983</v>
      </c>
      <c r="K419" s="1">
        <v>0</v>
      </c>
      <c r="L419" s="5" t="s">
        <v>983</v>
      </c>
      <c r="M419" s="1">
        <v>0</v>
      </c>
      <c r="N419" s="5" t="s">
        <v>983</v>
      </c>
      <c r="O419" s="1">
        <v>0</v>
      </c>
      <c r="P419" s="5" t="s">
        <v>983</v>
      </c>
      <c r="Q419" s="1">
        <v>1</v>
      </c>
      <c r="R419" s="1">
        <v>0</v>
      </c>
      <c r="S419" s="1">
        <v>1</v>
      </c>
      <c r="T419" s="1">
        <v>1</v>
      </c>
      <c r="U419" s="1">
        <v>3</v>
      </c>
      <c r="V419" s="1">
        <v>3</v>
      </c>
      <c r="W419" s="1">
        <v>0</v>
      </c>
      <c r="X419" s="1">
        <v>0</v>
      </c>
      <c r="Y419" s="1">
        <v>14</v>
      </c>
      <c r="Z419" s="1">
        <v>3</v>
      </c>
      <c r="AA419" s="1">
        <v>-99</v>
      </c>
      <c r="AB419" s="1">
        <v>3</v>
      </c>
    </row>
    <row r="420" spans="1:28" ht="12.75" customHeight="1" x14ac:dyDescent="0.15">
      <c r="A420" s="5">
        <v>247</v>
      </c>
      <c r="B420" s="5" t="s">
        <v>238</v>
      </c>
      <c r="C420" s="1">
        <v>43</v>
      </c>
      <c r="D420" s="5" t="s">
        <v>981</v>
      </c>
      <c r="E420" s="1">
        <v>2</v>
      </c>
      <c r="F420" s="5" t="s">
        <v>982</v>
      </c>
      <c r="G420" s="1">
        <v>0</v>
      </c>
      <c r="H420" s="5" t="s">
        <v>983</v>
      </c>
      <c r="I420" s="1">
        <v>16</v>
      </c>
      <c r="J420" s="5" t="s">
        <v>981</v>
      </c>
      <c r="K420" s="1">
        <v>0</v>
      </c>
      <c r="L420" s="5" t="s">
        <v>983</v>
      </c>
      <c r="M420" s="1">
        <v>8</v>
      </c>
      <c r="N420" s="5" t="s">
        <v>981</v>
      </c>
      <c r="O420" s="1">
        <v>0</v>
      </c>
      <c r="P420" s="5" t="s">
        <v>983</v>
      </c>
      <c r="Q420" s="1">
        <v>0</v>
      </c>
      <c r="R420" s="1">
        <v>0</v>
      </c>
      <c r="S420" s="1" t="s">
        <v>194</v>
      </c>
      <c r="T420" s="1">
        <v>1</v>
      </c>
      <c r="U420" s="1">
        <v>5</v>
      </c>
      <c r="V420" s="1">
        <v>5</v>
      </c>
      <c r="W420" s="1">
        <v>42</v>
      </c>
      <c r="X420" s="1">
        <v>0</v>
      </c>
      <c r="Y420" s="1">
        <v>10</v>
      </c>
      <c r="Z420" s="1">
        <v>3</v>
      </c>
      <c r="AA420" s="1">
        <v>-99</v>
      </c>
      <c r="AB420" s="1">
        <v>2</v>
      </c>
    </row>
    <row r="421" spans="1:28" ht="12.75" customHeight="1" x14ac:dyDescent="0.15">
      <c r="A421" s="5">
        <v>379</v>
      </c>
      <c r="B421" s="5" t="s">
        <v>238</v>
      </c>
      <c r="C421" s="1">
        <v>29</v>
      </c>
      <c r="D421" s="5" t="s">
        <v>981</v>
      </c>
      <c r="E421" s="1">
        <v>0</v>
      </c>
      <c r="F421" s="5" t="s">
        <v>983</v>
      </c>
      <c r="G421" s="1">
        <v>4</v>
      </c>
      <c r="H421" s="5" t="s">
        <v>982</v>
      </c>
      <c r="I421" s="1">
        <v>12</v>
      </c>
      <c r="J421" s="5" t="s">
        <v>981</v>
      </c>
      <c r="K421" s="1">
        <v>2</v>
      </c>
      <c r="L421" s="5" t="s">
        <v>983</v>
      </c>
      <c r="M421" s="1">
        <v>3</v>
      </c>
      <c r="N421" s="5" t="s">
        <v>982</v>
      </c>
      <c r="O421" s="1">
        <v>0</v>
      </c>
      <c r="P421" s="5" t="s">
        <v>983</v>
      </c>
      <c r="Q421" s="1">
        <v>0</v>
      </c>
      <c r="R421" s="1">
        <v>1</v>
      </c>
      <c r="S421" s="1">
        <v>1</v>
      </c>
      <c r="T421" s="1">
        <v>1</v>
      </c>
      <c r="U421" s="1">
        <v>4</v>
      </c>
      <c r="V421" s="1">
        <v>2</v>
      </c>
      <c r="W421" s="1">
        <v>67</v>
      </c>
      <c r="X421" s="1">
        <v>0</v>
      </c>
      <c r="Y421" s="1">
        <v>6</v>
      </c>
      <c r="Z421" s="1">
        <v>3</v>
      </c>
      <c r="AA421" s="1">
        <v>-99</v>
      </c>
      <c r="AB421" s="1">
        <v>1</v>
      </c>
    </row>
    <row r="422" spans="1:28" ht="12.75" customHeight="1" x14ac:dyDescent="0.15">
      <c r="A422" s="5">
        <v>335</v>
      </c>
      <c r="B422" s="5" t="s">
        <v>238</v>
      </c>
      <c r="C422" s="1">
        <v>19</v>
      </c>
      <c r="D422" s="5" t="s">
        <v>982</v>
      </c>
      <c r="E422" s="1">
        <v>3</v>
      </c>
      <c r="F422" s="5" t="s">
        <v>982</v>
      </c>
      <c r="G422" s="1">
        <v>5</v>
      </c>
      <c r="H422" s="5" t="s">
        <v>982</v>
      </c>
      <c r="I422" s="1">
        <v>0</v>
      </c>
      <c r="J422" s="5" t="s">
        <v>983</v>
      </c>
      <c r="K422" s="1">
        <v>6</v>
      </c>
      <c r="L422" s="5" t="s">
        <v>981</v>
      </c>
      <c r="M422" s="1">
        <v>6</v>
      </c>
      <c r="N422" s="5" t="s">
        <v>981</v>
      </c>
      <c r="O422" s="1">
        <v>0</v>
      </c>
      <c r="P422" s="5" t="s">
        <v>983</v>
      </c>
      <c r="Q422" s="1">
        <v>0</v>
      </c>
      <c r="R422" s="1">
        <v>0</v>
      </c>
      <c r="S422" s="1" t="s">
        <v>194</v>
      </c>
      <c r="T422" s="1">
        <v>1</v>
      </c>
      <c r="U422" s="1">
        <v>3</v>
      </c>
      <c r="V422" s="1">
        <v>1</v>
      </c>
      <c r="W422" s="1">
        <v>20</v>
      </c>
      <c r="X422" s="1">
        <v>0</v>
      </c>
      <c r="Y422" s="1">
        <v>5</v>
      </c>
      <c r="Z422" s="1">
        <v>3</v>
      </c>
      <c r="AA422" s="1">
        <v>-99</v>
      </c>
      <c r="AB422" s="1">
        <v>4</v>
      </c>
    </row>
    <row r="423" spans="1:28" ht="12.75" customHeight="1" x14ac:dyDescent="0.15">
      <c r="A423" s="5">
        <v>289</v>
      </c>
      <c r="B423" s="5" t="s">
        <v>238</v>
      </c>
      <c r="C423" s="1">
        <v>25</v>
      </c>
      <c r="D423" s="5" t="s">
        <v>981</v>
      </c>
      <c r="E423" s="1">
        <v>6</v>
      </c>
      <c r="F423" s="5" t="s">
        <v>981</v>
      </c>
      <c r="G423" s="1">
        <v>5</v>
      </c>
      <c r="H423" s="5" t="s">
        <v>982</v>
      </c>
      <c r="I423" s="1">
        <v>8</v>
      </c>
      <c r="J423" s="5" t="s">
        <v>981</v>
      </c>
      <c r="K423" s="1">
        <v>5</v>
      </c>
      <c r="L423" s="5" t="s">
        <v>982</v>
      </c>
      <c r="M423" s="1">
        <v>5</v>
      </c>
      <c r="N423" s="5" t="s">
        <v>982</v>
      </c>
      <c r="O423" s="1">
        <v>0</v>
      </c>
      <c r="P423" s="5" t="s">
        <v>983</v>
      </c>
      <c r="Q423" s="1">
        <v>0</v>
      </c>
      <c r="R423" s="1">
        <v>0</v>
      </c>
      <c r="S423" s="1">
        <v>1</v>
      </c>
      <c r="T423" s="1">
        <v>1</v>
      </c>
      <c r="U423" s="1">
        <v>5</v>
      </c>
      <c r="V423" s="1">
        <v>3</v>
      </c>
      <c r="W423" s="1">
        <v>37</v>
      </c>
      <c r="X423" s="1">
        <v>1</v>
      </c>
      <c r="Y423" s="1">
        <v>2</v>
      </c>
      <c r="Z423" s="1">
        <v>3</v>
      </c>
      <c r="AA423" s="1">
        <v>-99</v>
      </c>
      <c r="AB423" s="1">
        <v>2</v>
      </c>
    </row>
    <row r="424" spans="1:28" ht="12.75" customHeight="1" x14ac:dyDescent="0.15">
      <c r="A424" s="5">
        <v>215</v>
      </c>
      <c r="B424" s="5" t="s">
        <v>238</v>
      </c>
      <c r="C424" s="1">
        <v>22</v>
      </c>
      <c r="D424" s="5" t="s">
        <v>982</v>
      </c>
      <c r="E424" s="1">
        <v>7</v>
      </c>
      <c r="F424" s="5" t="s">
        <v>981</v>
      </c>
      <c r="G424" s="1">
        <v>4</v>
      </c>
      <c r="H424" s="5" t="s">
        <v>982</v>
      </c>
      <c r="I424" s="1">
        <v>4</v>
      </c>
      <c r="J424" s="5" t="s">
        <v>982</v>
      </c>
      <c r="K424" s="1">
        <v>2</v>
      </c>
      <c r="L424" s="5" t="s">
        <v>983</v>
      </c>
      <c r="M424" s="1">
        <v>1</v>
      </c>
      <c r="N424" s="5" t="s">
        <v>983</v>
      </c>
      <c r="O424" s="1">
        <v>0</v>
      </c>
      <c r="P424" s="5" t="s">
        <v>983</v>
      </c>
      <c r="Q424" s="1">
        <v>1</v>
      </c>
      <c r="R424" s="1">
        <v>0</v>
      </c>
      <c r="S424" s="1">
        <v>1</v>
      </c>
      <c r="T424" s="1">
        <v>1</v>
      </c>
      <c r="U424" s="1">
        <v>3</v>
      </c>
      <c r="V424" s="1">
        <v>2</v>
      </c>
      <c r="W424" s="1">
        <v>35</v>
      </c>
      <c r="X424" s="1">
        <v>0</v>
      </c>
      <c r="Y424" s="1">
        <v>18</v>
      </c>
      <c r="Z424" s="1">
        <v>2</v>
      </c>
      <c r="AA424" s="1">
        <v>-99</v>
      </c>
      <c r="AB424" s="1">
        <v>3</v>
      </c>
    </row>
    <row r="425" spans="1:28" ht="12.75" customHeight="1" x14ac:dyDescent="0.15">
      <c r="A425" s="5">
        <v>193</v>
      </c>
      <c r="B425" s="5" t="s">
        <v>984</v>
      </c>
      <c r="C425" s="1">
        <v>15</v>
      </c>
      <c r="D425" s="5" t="s">
        <v>983</v>
      </c>
      <c r="E425" s="1">
        <v>3</v>
      </c>
      <c r="F425" s="5" t="s">
        <v>982</v>
      </c>
      <c r="G425" s="1">
        <v>5</v>
      </c>
      <c r="H425" s="5" t="s">
        <v>982</v>
      </c>
      <c r="I425" s="1">
        <v>3</v>
      </c>
      <c r="J425" s="5" t="s">
        <v>982</v>
      </c>
      <c r="K425" s="1">
        <v>1</v>
      </c>
      <c r="L425" s="5" t="s">
        <v>983</v>
      </c>
      <c r="M425" s="1">
        <v>0</v>
      </c>
      <c r="N425" s="5" t="s">
        <v>983</v>
      </c>
      <c r="O425" s="1">
        <v>1</v>
      </c>
      <c r="P425" s="5" t="s">
        <v>982</v>
      </c>
      <c r="Q425" s="1">
        <v>0</v>
      </c>
      <c r="R425" s="1">
        <v>0</v>
      </c>
      <c r="S425" s="1">
        <v>1</v>
      </c>
      <c r="T425" s="1">
        <v>1</v>
      </c>
      <c r="U425" s="1" t="s">
        <v>194</v>
      </c>
      <c r="V425" s="1">
        <v>2</v>
      </c>
      <c r="W425" s="1">
        <v>28</v>
      </c>
      <c r="X425" s="1">
        <v>1</v>
      </c>
      <c r="Y425" s="1">
        <v>17</v>
      </c>
      <c r="Z425" s="1">
        <v>2</v>
      </c>
      <c r="AA425" s="1">
        <v>-99</v>
      </c>
      <c r="AB425" s="1">
        <v>2</v>
      </c>
    </row>
    <row r="426" spans="1:28" ht="12.75" customHeight="1" x14ac:dyDescent="0.15">
      <c r="A426" s="5">
        <v>361</v>
      </c>
      <c r="B426" s="5" t="s">
        <v>984</v>
      </c>
      <c r="C426" s="1">
        <v>33</v>
      </c>
      <c r="D426" s="5" t="s">
        <v>981</v>
      </c>
      <c r="E426" s="1">
        <v>3</v>
      </c>
      <c r="F426" s="5" t="s">
        <v>982</v>
      </c>
      <c r="G426" s="1">
        <v>3</v>
      </c>
      <c r="H426" s="5" t="s">
        <v>982</v>
      </c>
      <c r="I426" s="1">
        <v>4</v>
      </c>
      <c r="J426" s="5" t="s">
        <v>982</v>
      </c>
      <c r="K426" s="1">
        <v>6</v>
      </c>
      <c r="L426" s="5" t="s">
        <v>981</v>
      </c>
      <c r="M426" s="1">
        <v>1</v>
      </c>
      <c r="N426" s="5" t="s">
        <v>983</v>
      </c>
      <c r="O426" s="1">
        <v>0</v>
      </c>
      <c r="P426" s="5" t="s">
        <v>983</v>
      </c>
      <c r="Q426" s="1">
        <v>0</v>
      </c>
      <c r="R426" s="1">
        <v>0</v>
      </c>
      <c r="S426" s="1" t="s">
        <v>194</v>
      </c>
      <c r="T426" s="1">
        <v>1</v>
      </c>
      <c r="U426" s="1">
        <v>5</v>
      </c>
      <c r="V426" s="1">
        <v>4</v>
      </c>
      <c r="W426" s="1">
        <v>36</v>
      </c>
      <c r="X426" s="1">
        <v>0</v>
      </c>
      <c r="Y426" s="1">
        <v>14</v>
      </c>
      <c r="Z426" s="1">
        <v>2</v>
      </c>
      <c r="AA426" s="1">
        <v>-99</v>
      </c>
      <c r="AB426" s="1">
        <v>4</v>
      </c>
    </row>
    <row r="427" spans="1:28" ht="12.75" customHeight="1" x14ac:dyDescent="0.15">
      <c r="A427" s="5">
        <v>370</v>
      </c>
      <c r="B427" s="5" t="s">
        <v>984</v>
      </c>
      <c r="C427" s="1">
        <v>25</v>
      </c>
      <c r="D427" s="5" t="s">
        <v>981</v>
      </c>
      <c r="E427" s="1">
        <v>1</v>
      </c>
      <c r="F427" s="5" t="s">
        <v>983</v>
      </c>
      <c r="G427" s="1">
        <v>7</v>
      </c>
      <c r="H427" s="5" t="s">
        <v>981</v>
      </c>
      <c r="I427" s="1">
        <v>1</v>
      </c>
      <c r="J427" s="5" t="s">
        <v>982</v>
      </c>
      <c r="K427" s="1">
        <v>0</v>
      </c>
      <c r="L427" s="5" t="s">
        <v>983</v>
      </c>
      <c r="M427" s="1">
        <v>3</v>
      </c>
      <c r="N427" s="5" t="s">
        <v>982</v>
      </c>
      <c r="O427" s="1">
        <v>0</v>
      </c>
      <c r="P427" s="5" t="s">
        <v>983</v>
      </c>
      <c r="Q427" s="1">
        <v>1</v>
      </c>
      <c r="R427" s="1">
        <v>0</v>
      </c>
      <c r="S427" s="1">
        <v>1</v>
      </c>
      <c r="T427" s="1">
        <v>1</v>
      </c>
      <c r="U427" s="1">
        <v>3</v>
      </c>
      <c r="V427" s="1">
        <v>2</v>
      </c>
      <c r="W427" s="1">
        <v>51</v>
      </c>
      <c r="X427" s="1">
        <v>0</v>
      </c>
      <c r="Y427" s="1">
        <v>10</v>
      </c>
      <c r="Z427" s="1">
        <v>2</v>
      </c>
      <c r="AA427" s="1">
        <v>-99</v>
      </c>
      <c r="AB427" s="1">
        <v>4</v>
      </c>
    </row>
    <row r="428" spans="1:28" ht="12.75" customHeight="1" x14ac:dyDescent="0.15">
      <c r="A428" s="5">
        <v>369</v>
      </c>
      <c r="B428" s="5" t="s">
        <v>238</v>
      </c>
      <c r="C428" s="1">
        <v>29</v>
      </c>
      <c r="D428" s="5" t="s">
        <v>981</v>
      </c>
      <c r="E428" s="1">
        <v>9</v>
      </c>
      <c r="F428" s="5" t="s">
        <v>981</v>
      </c>
      <c r="G428" s="1">
        <v>9</v>
      </c>
      <c r="H428" s="5" t="s">
        <v>981</v>
      </c>
      <c r="I428" s="1">
        <v>4</v>
      </c>
      <c r="J428" s="5" t="s">
        <v>982</v>
      </c>
      <c r="K428" s="1">
        <v>9</v>
      </c>
      <c r="L428" s="5" t="s">
        <v>981</v>
      </c>
      <c r="M428" s="1">
        <v>6</v>
      </c>
      <c r="N428" s="5" t="s">
        <v>981</v>
      </c>
      <c r="O428" s="1">
        <v>14</v>
      </c>
      <c r="P428" s="5" t="s">
        <v>982</v>
      </c>
      <c r="Q428" s="1">
        <v>0</v>
      </c>
      <c r="R428" s="1">
        <v>0</v>
      </c>
      <c r="S428" s="1" t="s">
        <v>194</v>
      </c>
      <c r="T428" s="1">
        <v>1</v>
      </c>
      <c r="U428" s="1" t="s">
        <v>194</v>
      </c>
      <c r="V428" s="1">
        <v>1</v>
      </c>
      <c r="W428" s="1">
        <v>51</v>
      </c>
      <c r="X428" s="1">
        <v>0</v>
      </c>
      <c r="Y428" s="1">
        <v>10</v>
      </c>
      <c r="Z428" s="1">
        <v>2</v>
      </c>
      <c r="AA428" s="1">
        <v>-99</v>
      </c>
      <c r="AB428" s="1">
        <v>4</v>
      </c>
    </row>
    <row r="429" spans="1:28" ht="12.75" customHeight="1" x14ac:dyDescent="0.15">
      <c r="A429" s="5">
        <v>375</v>
      </c>
      <c r="B429" s="5" t="s">
        <v>238</v>
      </c>
      <c r="C429" s="1">
        <v>26</v>
      </c>
      <c r="D429" s="5" t="s">
        <v>981</v>
      </c>
      <c r="E429" s="1">
        <v>4</v>
      </c>
      <c r="F429" s="5" t="s">
        <v>982</v>
      </c>
      <c r="G429" s="1">
        <v>0</v>
      </c>
      <c r="H429" s="5" t="s">
        <v>983</v>
      </c>
      <c r="I429" s="1">
        <v>8</v>
      </c>
      <c r="J429" s="5" t="s">
        <v>981</v>
      </c>
      <c r="K429" s="1">
        <v>0</v>
      </c>
      <c r="L429" s="5" t="s">
        <v>983</v>
      </c>
      <c r="M429" s="1">
        <v>1</v>
      </c>
      <c r="N429" s="5" t="s">
        <v>983</v>
      </c>
      <c r="O429" s="1">
        <v>0</v>
      </c>
      <c r="P429" s="5" t="s">
        <v>983</v>
      </c>
      <c r="Q429" s="1">
        <v>1</v>
      </c>
      <c r="R429" s="1">
        <v>0</v>
      </c>
      <c r="S429" s="1">
        <v>1</v>
      </c>
      <c r="T429" s="1">
        <v>1</v>
      </c>
      <c r="U429" s="1" t="s">
        <v>194</v>
      </c>
      <c r="V429" s="1">
        <v>2</v>
      </c>
      <c r="W429" s="1">
        <v>50</v>
      </c>
      <c r="X429" s="1">
        <v>1</v>
      </c>
      <c r="Y429" s="1">
        <v>4</v>
      </c>
      <c r="Z429" s="1">
        <v>2</v>
      </c>
      <c r="AA429" s="1">
        <v>-99</v>
      </c>
      <c r="AB429" s="1">
        <v>3</v>
      </c>
    </row>
    <row r="430" spans="1:28" ht="12.75" customHeight="1" x14ac:dyDescent="0.15">
      <c r="A430" s="5">
        <v>332</v>
      </c>
      <c r="B430" s="5" t="s">
        <v>238</v>
      </c>
      <c r="C430" s="1">
        <v>38</v>
      </c>
      <c r="D430" s="5" t="s">
        <v>981</v>
      </c>
      <c r="E430" s="1">
        <v>2</v>
      </c>
      <c r="F430" s="5" t="s">
        <v>982</v>
      </c>
      <c r="G430" s="1">
        <v>4</v>
      </c>
      <c r="H430" s="5" t="s">
        <v>982</v>
      </c>
      <c r="I430" s="1">
        <v>0</v>
      </c>
      <c r="J430" s="5" t="s">
        <v>983</v>
      </c>
      <c r="K430" s="1">
        <v>0</v>
      </c>
      <c r="L430" s="5" t="s">
        <v>983</v>
      </c>
      <c r="M430" s="1">
        <v>6</v>
      </c>
      <c r="N430" s="5" t="s">
        <v>981</v>
      </c>
      <c r="O430" s="1">
        <v>0</v>
      </c>
      <c r="P430" s="5" t="s">
        <v>983</v>
      </c>
      <c r="Q430" s="1">
        <v>0</v>
      </c>
      <c r="R430" s="1">
        <v>0</v>
      </c>
      <c r="S430" s="1" t="s">
        <v>194</v>
      </c>
      <c r="T430" s="1">
        <v>1</v>
      </c>
      <c r="U430" s="1">
        <v>5</v>
      </c>
      <c r="V430" s="1">
        <v>5</v>
      </c>
      <c r="W430" s="1">
        <v>39</v>
      </c>
      <c r="X430" s="1">
        <v>0</v>
      </c>
      <c r="Y430" s="1">
        <v>1</v>
      </c>
      <c r="Z430" s="1">
        <v>2</v>
      </c>
      <c r="AA430" s="1">
        <v>-99</v>
      </c>
      <c r="AB430" s="1">
        <v>1</v>
      </c>
    </row>
    <row r="431" spans="1:28" ht="12.75" customHeight="1" x14ac:dyDescent="0.15">
      <c r="A431" s="5">
        <v>63</v>
      </c>
      <c r="B431" s="5" t="s">
        <v>238</v>
      </c>
      <c r="C431" s="1">
        <v>27</v>
      </c>
      <c r="D431" s="5" t="s">
        <v>981</v>
      </c>
      <c r="E431" s="1">
        <v>2</v>
      </c>
      <c r="F431" s="5" t="s">
        <v>982</v>
      </c>
      <c r="G431" s="1">
        <v>2</v>
      </c>
      <c r="H431" s="5" t="s">
        <v>982</v>
      </c>
      <c r="I431" s="1">
        <v>3</v>
      </c>
      <c r="J431" s="5" t="s">
        <v>982</v>
      </c>
      <c r="K431" s="1">
        <v>1</v>
      </c>
      <c r="L431" s="5" t="s">
        <v>983</v>
      </c>
      <c r="M431" s="1">
        <v>1</v>
      </c>
      <c r="N431" s="5" t="s">
        <v>983</v>
      </c>
      <c r="O431" s="1">
        <v>0</v>
      </c>
      <c r="P431" s="5" t="s">
        <v>983</v>
      </c>
      <c r="Q431" s="1">
        <v>1</v>
      </c>
      <c r="R431" s="1">
        <v>0</v>
      </c>
      <c r="S431" s="1">
        <v>1</v>
      </c>
      <c r="T431" s="1">
        <v>1</v>
      </c>
      <c r="U431" s="1">
        <v>3</v>
      </c>
      <c r="V431" s="1">
        <v>3</v>
      </c>
      <c r="W431" s="1">
        <v>36</v>
      </c>
      <c r="X431" s="1">
        <v>0</v>
      </c>
      <c r="Y431" s="1">
        <v>88</v>
      </c>
      <c r="Z431" s="1">
        <v>1</v>
      </c>
      <c r="AA431" s="1">
        <v>-99</v>
      </c>
      <c r="AB431" s="1">
        <v>4</v>
      </c>
    </row>
    <row r="432" spans="1:28" ht="12.75" customHeight="1" x14ac:dyDescent="0.15">
      <c r="A432" s="5">
        <v>391</v>
      </c>
      <c r="B432" s="5" t="s">
        <v>238</v>
      </c>
      <c r="C432" s="1">
        <v>13</v>
      </c>
      <c r="D432" s="5" t="s">
        <v>983</v>
      </c>
      <c r="E432" s="1">
        <v>1</v>
      </c>
      <c r="F432" s="5" t="s">
        <v>983</v>
      </c>
      <c r="G432" s="1">
        <v>0</v>
      </c>
      <c r="H432" s="5" t="s">
        <v>983</v>
      </c>
      <c r="I432" s="1">
        <v>0</v>
      </c>
      <c r="J432" s="5" t="s">
        <v>983</v>
      </c>
      <c r="K432" s="1">
        <v>0</v>
      </c>
      <c r="L432" s="5" t="s">
        <v>983</v>
      </c>
      <c r="M432" s="1">
        <v>0</v>
      </c>
      <c r="N432" s="5" t="s">
        <v>983</v>
      </c>
      <c r="O432" s="1">
        <v>0</v>
      </c>
      <c r="P432" s="5" t="s">
        <v>983</v>
      </c>
      <c r="Q432" s="1">
        <v>0</v>
      </c>
      <c r="R432" s="1">
        <v>0</v>
      </c>
      <c r="S432" s="1">
        <v>1</v>
      </c>
      <c r="T432" s="1">
        <v>1</v>
      </c>
      <c r="U432" s="1">
        <v>4</v>
      </c>
      <c r="V432" s="1">
        <v>2</v>
      </c>
      <c r="W432" s="1">
        <v>43</v>
      </c>
      <c r="X432" s="1">
        <v>0</v>
      </c>
      <c r="Y432" s="1">
        <v>6</v>
      </c>
      <c r="Z432" s="1">
        <v>1</v>
      </c>
      <c r="AA432" s="1">
        <v>-99</v>
      </c>
      <c r="AB432" s="1">
        <v>2</v>
      </c>
    </row>
    <row r="433" spans="1:28" ht="12.75" customHeight="1" x14ac:dyDescent="0.15">
      <c r="A433" s="5">
        <v>299</v>
      </c>
      <c r="B433" s="5" t="s">
        <v>238</v>
      </c>
      <c r="C433" s="1">
        <v>17</v>
      </c>
      <c r="D433" s="5" t="s">
        <v>983</v>
      </c>
      <c r="E433" s="1">
        <v>1</v>
      </c>
      <c r="F433" s="5" t="s">
        <v>983</v>
      </c>
      <c r="G433" s="1">
        <v>0</v>
      </c>
      <c r="H433" s="5" t="s">
        <v>983</v>
      </c>
      <c r="I433" s="1">
        <v>2</v>
      </c>
      <c r="J433" s="5" t="s">
        <v>982</v>
      </c>
      <c r="K433" s="1">
        <v>0</v>
      </c>
      <c r="L433" s="5" t="s">
        <v>983</v>
      </c>
      <c r="M433" s="1">
        <v>2</v>
      </c>
      <c r="N433" s="5" t="s">
        <v>983</v>
      </c>
      <c r="O433" s="1">
        <v>0</v>
      </c>
      <c r="P433" s="5" t="s">
        <v>983</v>
      </c>
      <c r="Q433" s="1">
        <v>1</v>
      </c>
      <c r="R433" s="1">
        <v>0</v>
      </c>
      <c r="S433" s="1">
        <v>1</v>
      </c>
      <c r="T433" s="1">
        <v>1</v>
      </c>
      <c r="U433" s="1">
        <v>3</v>
      </c>
      <c r="V433" s="1">
        <v>3</v>
      </c>
      <c r="W433" s="1">
        <v>0</v>
      </c>
      <c r="X433" s="1">
        <v>1</v>
      </c>
      <c r="Z433" s="1">
        <v>34</v>
      </c>
      <c r="AB433" s="1">
        <v>1</v>
      </c>
    </row>
    <row r="434" spans="1:28" ht="12.75" customHeight="1" x14ac:dyDescent="0.15">
      <c r="A434" s="5">
        <v>81</v>
      </c>
      <c r="B434" s="5" t="s">
        <v>984</v>
      </c>
      <c r="C434" s="1">
        <v>15</v>
      </c>
      <c r="D434" s="5" t="s">
        <v>983</v>
      </c>
      <c r="E434" s="1">
        <v>6</v>
      </c>
      <c r="F434" s="5" t="s">
        <v>981</v>
      </c>
      <c r="G434" s="1">
        <v>6</v>
      </c>
      <c r="H434" s="5" t="s">
        <v>981</v>
      </c>
      <c r="I434" s="1">
        <v>8</v>
      </c>
      <c r="J434" s="5" t="s">
        <v>981</v>
      </c>
      <c r="K434" s="1">
        <v>5</v>
      </c>
      <c r="L434" s="5" t="s">
        <v>982</v>
      </c>
      <c r="M434" s="1">
        <v>3</v>
      </c>
      <c r="N434" s="5" t="s">
        <v>982</v>
      </c>
      <c r="O434" s="1">
        <v>1</v>
      </c>
      <c r="P434" s="5" t="s">
        <v>982</v>
      </c>
      <c r="Q434" s="1">
        <v>1</v>
      </c>
      <c r="R434" s="1">
        <v>0</v>
      </c>
      <c r="S434" s="1">
        <v>1</v>
      </c>
      <c r="T434" s="1">
        <v>1</v>
      </c>
      <c r="U434" s="1">
        <v>2</v>
      </c>
      <c r="V434" s="1">
        <v>2</v>
      </c>
      <c r="W434" s="1">
        <v>0</v>
      </c>
      <c r="X434" s="1">
        <v>1</v>
      </c>
      <c r="Z434" s="1">
        <v>34</v>
      </c>
      <c r="AB434" s="1">
        <v>4</v>
      </c>
    </row>
    <row r="435" spans="1:28" ht="12.75" customHeight="1" x14ac:dyDescent="0.15">
      <c r="A435" s="5">
        <v>282</v>
      </c>
      <c r="B435" s="5" t="s">
        <v>238</v>
      </c>
      <c r="C435" s="1">
        <v>18</v>
      </c>
      <c r="D435" s="5" t="s">
        <v>983</v>
      </c>
      <c r="E435" s="1">
        <v>1</v>
      </c>
      <c r="F435" s="5" t="s">
        <v>983</v>
      </c>
      <c r="G435" s="1">
        <v>0</v>
      </c>
      <c r="H435" s="5" t="s">
        <v>983</v>
      </c>
      <c r="I435" s="1">
        <v>16</v>
      </c>
      <c r="J435" s="5" t="s">
        <v>981</v>
      </c>
      <c r="K435" s="1">
        <v>0</v>
      </c>
      <c r="L435" s="5" t="s">
        <v>983</v>
      </c>
      <c r="M435" s="1">
        <v>0</v>
      </c>
      <c r="N435" s="5" t="s">
        <v>983</v>
      </c>
      <c r="O435" s="1">
        <v>0</v>
      </c>
      <c r="P435" s="5" t="s">
        <v>983</v>
      </c>
      <c r="Q435" s="1">
        <v>1</v>
      </c>
      <c r="R435" s="1">
        <v>0</v>
      </c>
      <c r="S435" s="1">
        <v>1</v>
      </c>
      <c r="T435" s="1">
        <v>1</v>
      </c>
      <c r="U435" s="1">
        <v>5</v>
      </c>
      <c r="V435" s="1">
        <v>5</v>
      </c>
      <c r="W435" s="1">
        <v>0</v>
      </c>
      <c r="X435" s="1">
        <v>0</v>
      </c>
      <c r="Z435" s="1">
        <v>34</v>
      </c>
      <c r="AB435" s="1">
        <v>1</v>
      </c>
    </row>
    <row r="436" spans="1:28" ht="12.75" customHeight="1" x14ac:dyDescent="0.15">
      <c r="A436" s="5">
        <v>276</v>
      </c>
      <c r="B436" s="5" t="s">
        <v>238</v>
      </c>
      <c r="C436" s="1">
        <v>24</v>
      </c>
      <c r="D436" s="5" t="s">
        <v>981</v>
      </c>
      <c r="E436" s="1">
        <v>6</v>
      </c>
      <c r="F436" s="5" t="s">
        <v>981</v>
      </c>
      <c r="G436" s="1">
        <v>6</v>
      </c>
      <c r="H436" s="5" t="s">
        <v>981</v>
      </c>
      <c r="I436" s="1">
        <v>8</v>
      </c>
      <c r="J436" s="5" t="s">
        <v>981</v>
      </c>
      <c r="K436" s="1">
        <v>6</v>
      </c>
      <c r="L436" s="5" t="s">
        <v>981</v>
      </c>
      <c r="M436" s="1">
        <v>6</v>
      </c>
      <c r="N436" s="5" t="s">
        <v>981</v>
      </c>
      <c r="O436" s="1">
        <v>0</v>
      </c>
      <c r="P436" s="5" t="s">
        <v>983</v>
      </c>
      <c r="Q436" s="1">
        <v>1</v>
      </c>
      <c r="R436" s="1">
        <v>0</v>
      </c>
      <c r="S436" s="1">
        <v>1</v>
      </c>
      <c r="T436" s="1">
        <v>1</v>
      </c>
      <c r="U436" s="1">
        <v>4</v>
      </c>
      <c r="V436" s="1">
        <v>3</v>
      </c>
      <c r="W436" s="1">
        <v>0</v>
      </c>
      <c r="X436" s="1">
        <v>0</v>
      </c>
      <c r="Z436" s="1">
        <v>34</v>
      </c>
      <c r="AB436" s="1">
        <v>2</v>
      </c>
    </row>
    <row r="437" spans="1:28" ht="12.75" customHeight="1" x14ac:dyDescent="0.15">
      <c r="A437" s="5">
        <v>7</v>
      </c>
      <c r="B437" s="5" t="s">
        <v>238</v>
      </c>
      <c r="C437" s="1">
        <v>22</v>
      </c>
      <c r="D437" s="5" t="s">
        <v>982</v>
      </c>
      <c r="E437" s="1">
        <v>0</v>
      </c>
      <c r="F437" s="5" t="s">
        <v>983</v>
      </c>
      <c r="G437" s="1">
        <v>5</v>
      </c>
      <c r="H437" s="5" t="s">
        <v>982</v>
      </c>
      <c r="I437" s="1">
        <v>2</v>
      </c>
      <c r="J437" s="5" t="s">
        <v>982</v>
      </c>
      <c r="K437" s="1">
        <v>2</v>
      </c>
      <c r="L437" s="5" t="s">
        <v>983</v>
      </c>
      <c r="M437" s="1">
        <v>0</v>
      </c>
      <c r="N437" s="5" t="s">
        <v>983</v>
      </c>
      <c r="O437" s="1">
        <v>0</v>
      </c>
      <c r="P437" s="5" t="s">
        <v>983</v>
      </c>
      <c r="Q437" s="1">
        <v>1</v>
      </c>
      <c r="R437" s="1">
        <v>0</v>
      </c>
      <c r="S437" s="1" t="s">
        <v>194</v>
      </c>
      <c r="T437" s="1">
        <v>1</v>
      </c>
      <c r="U437" s="1">
        <v>5</v>
      </c>
      <c r="V437" s="1">
        <v>2</v>
      </c>
      <c r="W437" s="1">
        <v>0</v>
      </c>
      <c r="X437" s="1">
        <v>0</v>
      </c>
      <c r="Z437" s="1">
        <v>34</v>
      </c>
      <c r="AB437" s="1">
        <v>2</v>
      </c>
    </row>
    <row r="438" spans="1:28" ht="12.75" customHeight="1" x14ac:dyDescent="0.15">
      <c r="A438" s="5">
        <v>444</v>
      </c>
      <c r="B438" s="5" t="s">
        <v>984</v>
      </c>
      <c r="C438" s="1">
        <v>26</v>
      </c>
      <c r="D438" s="5" t="s">
        <v>981</v>
      </c>
      <c r="E438" s="1">
        <v>3</v>
      </c>
      <c r="F438" s="5" t="s">
        <v>982</v>
      </c>
      <c r="G438" s="1">
        <v>3</v>
      </c>
      <c r="H438" s="5" t="s">
        <v>982</v>
      </c>
      <c r="I438" s="1">
        <v>7</v>
      </c>
      <c r="J438" s="5" t="s">
        <v>981</v>
      </c>
      <c r="K438" s="1">
        <v>3</v>
      </c>
      <c r="L438" s="5" t="s">
        <v>982</v>
      </c>
      <c r="M438" s="1">
        <v>3</v>
      </c>
      <c r="N438" s="5" t="s">
        <v>982</v>
      </c>
      <c r="O438" s="1">
        <v>0</v>
      </c>
      <c r="P438" s="5" t="s">
        <v>983</v>
      </c>
      <c r="Q438" s="1">
        <v>0</v>
      </c>
      <c r="R438" s="1">
        <v>0</v>
      </c>
      <c r="S438" s="1" t="s">
        <v>194</v>
      </c>
      <c r="T438" s="1">
        <v>1</v>
      </c>
      <c r="U438" s="1" t="s">
        <v>194</v>
      </c>
      <c r="V438" s="1">
        <v>1</v>
      </c>
      <c r="W438" s="1">
        <v>0</v>
      </c>
      <c r="X438" s="1">
        <v>0</v>
      </c>
      <c r="Z438" s="1">
        <v>34</v>
      </c>
      <c r="AB438" s="1">
        <v>2</v>
      </c>
    </row>
    <row r="439" spans="1:28" ht="12.75" customHeight="1" x14ac:dyDescent="0.15">
      <c r="A439" s="5">
        <v>462</v>
      </c>
      <c r="B439" s="5" t="s">
        <v>238</v>
      </c>
      <c r="C439" s="1">
        <v>18</v>
      </c>
      <c r="D439" s="5" t="s">
        <v>983</v>
      </c>
      <c r="E439" s="1">
        <v>2</v>
      </c>
      <c r="F439" s="5" t="s">
        <v>982</v>
      </c>
      <c r="G439" s="1">
        <v>3</v>
      </c>
      <c r="H439" s="5" t="s">
        <v>982</v>
      </c>
      <c r="I439" s="1">
        <v>2</v>
      </c>
      <c r="J439" s="5" t="s">
        <v>982</v>
      </c>
      <c r="K439" s="1">
        <v>1</v>
      </c>
      <c r="L439" s="5" t="s">
        <v>983</v>
      </c>
      <c r="M439" s="1">
        <v>0</v>
      </c>
      <c r="N439" s="5" t="s">
        <v>983</v>
      </c>
      <c r="O439" s="1">
        <v>0</v>
      </c>
      <c r="P439" s="5" t="s">
        <v>983</v>
      </c>
      <c r="Q439" s="1">
        <v>0</v>
      </c>
      <c r="R439" s="1">
        <v>0</v>
      </c>
      <c r="S439" s="1" t="s">
        <v>194</v>
      </c>
      <c r="T439" s="1">
        <v>1</v>
      </c>
      <c r="U439" s="1">
        <v>4</v>
      </c>
      <c r="V439" s="1">
        <v>4</v>
      </c>
      <c r="W439" s="1">
        <v>0</v>
      </c>
      <c r="X439" s="1">
        <v>1</v>
      </c>
      <c r="Z439" s="1">
        <v>33</v>
      </c>
      <c r="AB439" s="1">
        <v>3</v>
      </c>
    </row>
    <row r="440" spans="1:28" ht="12.75" customHeight="1" x14ac:dyDescent="0.15">
      <c r="A440" s="5">
        <v>403</v>
      </c>
      <c r="B440" s="5" t="s">
        <v>984</v>
      </c>
      <c r="C440" s="1">
        <v>25</v>
      </c>
      <c r="D440" s="5" t="s">
        <v>981</v>
      </c>
      <c r="E440" s="1">
        <v>4</v>
      </c>
      <c r="F440" s="5" t="s">
        <v>982</v>
      </c>
      <c r="G440" s="1">
        <v>10</v>
      </c>
      <c r="H440" s="5" t="s">
        <v>981</v>
      </c>
      <c r="I440" s="1">
        <v>7</v>
      </c>
      <c r="J440" s="5" t="s">
        <v>981</v>
      </c>
      <c r="K440" s="1">
        <v>9</v>
      </c>
      <c r="L440" s="5" t="s">
        <v>981</v>
      </c>
      <c r="M440" s="1">
        <v>10</v>
      </c>
      <c r="N440" s="5" t="s">
        <v>981</v>
      </c>
      <c r="O440" s="1">
        <v>3</v>
      </c>
      <c r="P440" s="5" t="s">
        <v>982</v>
      </c>
      <c r="Q440" s="1">
        <v>0</v>
      </c>
      <c r="R440" s="1">
        <v>0</v>
      </c>
      <c r="S440" s="1" t="s">
        <v>194</v>
      </c>
      <c r="T440" s="1">
        <v>1</v>
      </c>
      <c r="U440" s="1">
        <v>5</v>
      </c>
      <c r="V440" s="1">
        <v>3</v>
      </c>
      <c r="W440" s="1">
        <v>0</v>
      </c>
      <c r="X440" s="1">
        <v>1</v>
      </c>
      <c r="Z440" s="1">
        <v>32</v>
      </c>
      <c r="AB440" s="1">
        <v>2</v>
      </c>
    </row>
    <row r="441" spans="1:28" ht="12.75" customHeight="1" x14ac:dyDescent="0.15">
      <c r="A441" s="5">
        <v>404</v>
      </c>
      <c r="B441" s="5" t="s">
        <v>238</v>
      </c>
      <c r="C441" s="1">
        <v>20</v>
      </c>
      <c r="D441" s="5" t="s">
        <v>982</v>
      </c>
      <c r="E441" s="1">
        <v>4</v>
      </c>
      <c r="F441" s="5" t="s">
        <v>982</v>
      </c>
      <c r="G441" s="1">
        <v>4</v>
      </c>
      <c r="H441" s="5" t="s">
        <v>982</v>
      </c>
      <c r="I441" s="1">
        <v>3</v>
      </c>
      <c r="J441" s="5" t="s">
        <v>982</v>
      </c>
      <c r="K441" s="1">
        <v>1</v>
      </c>
      <c r="L441" s="5" t="s">
        <v>983</v>
      </c>
      <c r="M441" s="1">
        <v>3</v>
      </c>
      <c r="N441" s="5" t="s">
        <v>982</v>
      </c>
      <c r="O441" s="1">
        <v>1</v>
      </c>
      <c r="P441" s="5" t="s">
        <v>982</v>
      </c>
      <c r="Q441" s="1">
        <v>1</v>
      </c>
      <c r="R441" s="1">
        <v>0</v>
      </c>
      <c r="S441" s="1">
        <v>1</v>
      </c>
      <c r="T441" s="1">
        <v>1</v>
      </c>
      <c r="U441" s="1">
        <v>3</v>
      </c>
      <c r="V441" s="1">
        <v>2</v>
      </c>
      <c r="W441" s="1">
        <v>0</v>
      </c>
      <c r="X441" s="1">
        <v>1</v>
      </c>
      <c r="Z441" s="1">
        <v>32</v>
      </c>
      <c r="AB441" s="1">
        <v>2</v>
      </c>
    </row>
    <row r="442" spans="1:28" ht="12.75" customHeight="1" x14ac:dyDescent="0.15">
      <c r="A442" s="5">
        <v>208</v>
      </c>
      <c r="B442" s="5" t="s">
        <v>238</v>
      </c>
      <c r="C442" s="1">
        <v>18</v>
      </c>
      <c r="D442" s="5" t="s">
        <v>983</v>
      </c>
      <c r="E442" s="1">
        <v>3</v>
      </c>
      <c r="F442" s="5" t="s">
        <v>982</v>
      </c>
      <c r="G442" s="1">
        <v>1</v>
      </c>
      <c r="H442" s="5" t="s">
        <v>983</v>
      </c>
      <c r="I442" s="1">
        <v>5</v>
      </c>
      <c r="J442" s="5" t="s">
        <v>981</v>
      </c>
      <c r="K442" s="1">
        <v>0</v>
      </c>
      <c r="L442" s="5" t="s">
        <v>983</v>
      </c>
      <c r="M442" s="1">
        <v>2</v>
      </c>
      <c r="N442" s="5" t="s">
        <v>983</v>
      </c>
      <c r="O442" s="1">
        <v>0</v>
      </c>
      <c r="P442" s="5" t="s">
        <v>983</v>
      </c>
      <c r="Q442" s="1">
        <v>0</v>
      </c>
      <c r="R442" s="1">
        <v>0</v>
      </c>
      <c r="S442" s="1">
        <v>1</v>
      </c>
      <c r="T442" s="1">
        <v>1</v>
      </c>
      <c r="U442" s="1">
        <v>5</v>
      </c>
      <c r="V442" s="1">
        <v>4</v>
      </c>
      <c r="W442" s="1">
        <v>0</v>
      </c>
      <c r="X442" s="1">
        <v>0</v>
      </c>
      <c r="Z442" s="1">
        <v>31</v>
      </c>
      <c r="AB442" s="1">
        <v>8</v>
      </c>
    </row>
    <row r="443" spans="1:28" ht="12.75" customHeight="1" x14ac:dyDescent="0.15">
      <c r="A443" s="5">
        <v>172</v>
      </c>
      <c r="B443" s="5" t="s">
        <v>238</v>
      </c>
      <c r="C443" s="1">
        <v>32</v>
      </c>
      <c r="D443" s="5" t="s">
        <v>981</v>
      </c>
      <c r="E443" s="1">
        <v>9</v>
      </c>
      <c r="F443" s="5" t="s">
        <v>981</v>
      </c>
      <c r="G443" s="1">
        <v>6</v>
      </c>
      <c r="H443" s="5" t="s">
        <v>981</v>
      </c>
      <c r="I443" s="1">
        <v>16</v>
      </c>
      <c r="J443" s="5" t="s">
        <v>981</v>
      </c>
      <c r="K443" s="1">
        <v>0</v>
      </c>
      <c r="L443" s="5" t="s">
        <v>983</v>
      </c>
      <c r="M443" s="1">
        <v>7</v>
      </c>
      <c r="N443" s="5" t="s">
        <v>981</v>
      </c>
      <c r="O443" s="1">
        <v>0</v>
      </c>
      <c r="P443" s="5" t="s">
        <v>983</v>
      </c>
      <c r="Q443" s="1">
        <v>0</v>
      </c>
      <c r="R443" s="1">
        <v>0</v>
      </c>
      <c r="S443" s="1" t="s">
        <v>194</v>
      </c>
      <c r="T443" s="1">
        <v>1</v>
      </c>
      <c r="U443" s="1">
        <v>3</v>
      </c>
      <c r="V443" s="1">
        <v>3</v>
      </c>
      <c r="W443" s="1">
        <v>0</v>
      </c>
      <c r="X443" s="1">
        <v>1</v>
      </c>
      <c r="Z443" s="1">
        <v>30</v>
      </c>
      <c r="AB443" s="1">
        <v>3</v>
      </c>
    </row>
    <row r="444" spans="1:28" ht="12.75" customHeight="1" x14ac:dyDescent="0.15">
      <c r="A444" s="5">
        <v>245</v>
      </c>
      <c r="B444" s="5" t="s">
        <v>238</v>
      </c>
      <c r="C444" s="1">
        <v>12</v>
      </c>
      <c r="D444" s="5" t="s">
        <v>983</v>
      </c>
      <c r="E444" s="1">
        <v>8</v>
      </c>
      <c r="F444" s="5" t="s">
        <v>981</v>
      </c>
      <c r="G444" s="1">
        <v>6</v>
      </c>
      <c r="H444" s="5" t="s">
        <v>981</v>
      </c>
      <c r="I444" s="1">
        <v>0</v>
      </c>
      <c r="J444" s="5" t="s">
        <v>983</v>
      </c>
      <c r="K444" s="1">
        <v>6</v>
      </c>
      <c r="L444" s="5" t="s">
        <v>981</v>
      </c>
      <c r="M444" s="1">
        <v>6</v>
      </c>
      <c r="N444" s="5" t="s">
        <v>981</v>
      </c>
      <c r="O444" s="1">
        <v>0</v>
      </c>
      <c r="P444" s="5" t="s">
        <v>983</v>
      </c>
      <c r="Q444" s="1">
        <v>1</v>
      </c>
      <c r="R444" s="1">
        <v>0</v>
      </c>
      <c r="S444" s="1">
        <v>1</v>
      </c>
      <c r="T444" s="1">
        <v>0</v>
      </c>
      <c r="U444" s="1" t="s">
        <v>194</v>
      </c>
      <c r="V444" s="1" t="s">
        <v>194</v>
      </c>
      <c r="W444" s="1">
        <v>0</v>
      </c>
      <c r="X444" s="1">
        <v>1</v>
      </c>
      <c r="Z444" s="1">
        <v>29</v>
      </c>
      <c r="AB444" s="1">
        <v>4</v>
      </c>
    </row>
    <row r="445" spans="1:28" ht="12.75" customHeight="1" x14ac:dyDescent="0.15">
      <c r="A445" s="5">
        <v>258</v>
      </c>
      <c r="B445" s="5" t="s">
        <v>238</v>
      </c>
      <c r="C445" s="1">
        <v>13</v>
      </c>
      <c r="D445" s="5" t="s">
        <v>983</v>
      </c>
      <c r="E445" s="1">
        <v>6</v>
      </c>
      <c r="F445" s="5" t="s">
        <v>981</v>
      </c>
      <c r="G445" s="1">
        <v>4</v>
      </c>
      <c r="H445" s="5" t="s">
        <v>982</v>
      </c>
      <c r="I445" s="1">
        <v>8</v>
      </c>
      <c r="J445" s="5" t="s">
        <v>981</v>
      </c>
      <c r="K445" s="1">
        <v>2</v>
      </c>
      <c r="L445" s="5" t="s">
        <v>983</v>
      </c>
      <c r="M445" s="1">
        <v>3</v>
      </c>
      <c r="N445" s="5" t="s">
        <v>982</v>
      </c>
      <c r="O445" s="1">
        <v>0</v>
      </c>
      <c r="P445" s="5" t="s">
        <v>983</v>
      </c>
      <c r="Q445" s="1">
        <v>0</v>
      </c>
      <c r="R445" s="1">
        <v>0</v>
      </c>
      <c r="S445" s="1" t="s">
        <v>194</v>
      </c>
      <c r="T445" s="1">
        <v>0</v>
      </c>
      <c r="U445" s="1" t="s">
        <v>194</v>
      </c>
      <c r="V445" s="1" t="s">
        <v>194</v>
      </c>
      <c r="W445" s="1">
        <v>0</v>
      </c>
      <c r="X445" s="1">
        <v>0</v>
      </c>
      <c r="Z445" s="1">
        <v>29</v>
      </c>
      <c r="AB445" s="1">
        <v>3</v>
      </c>
    </row>
    <row r="446" spans="1:28" ht="12.75" customHeight="1" x14ac:dyDescent="0.15">
      <c r="A446" s="5">
        <v>501</v>
      </c>
      <c r="B446" s="5" t="s">
        <v>238</v>
      </c>
      <c r="C446" s="1">
        <v>18</v>
      </c>
      <c r="D446" s="5" t="s">
        <v>983</v>
      </c>
      <c r="E446" s="1">
        <v>6</v>
      </c>
      <c r="F446" s="5" t="s">
        <v>981</v>
      </c>
      <c r="G446" s="1">
        <v>0</v>
      </c>
      <c r="H446" s="5" t="s">
        <v>983</v>
      </c>
      <c r="I446" s="1">
        <v>8</v>
      </c>
      <c r="J446" s="5" t="s">
        <v>981</v>
      </c>
      <c r="K446" s="1">
        <v>0</v>
      </c>
      <c r="L446" s="5" t="s">
        <v>983</v>
      </c>
      <c r="M446" s="1">
        <v>0</v>
      </c>
      <c r="N446" s="5" t="s">
        <v>983</v>
      </c>
      <c r="O446" s="1">
        <v>0</v>
      </c>
      <c r="P446" s="5" t="s">
        <v>983</v>
      </c>
      <c r="Q446" s="1">
        <v>0</v>
      </c>
      <c r="R446" s="1">
        <v>0</v>
      </c>
      <c r="S446" s="1" t="s">
        <v>194</v>
      </c>
      <c r="T446" s="1">
        <v>1</v>
      </c>
      <c r="U446" s="1" t="s">
        <v>194</v>
      </c>
      <c r="V446" s="1">
        <v>2</v>
      </c>
      <c r="W446" s="1">
        <v>0</v>
      </c>
      <c r="X446" s="1">
        <v>0</v>
      </c>
      <c r="Z446" s="1">
        <v>29</v>
      </c>
      <c r="AB446" s="1">
        <v>2</v>
      </c>
    </row>
    <row r="447" spans="1:28" ht="12.75" customHeight="1" x14ac:dyDescent="0.15">
      <c r="A447" s="5">
        <v>410</v>
      </c>
      <c r="B447" s="5" t="s">
        <v>238</v>
      </c>
      <c r="C447" s="1">
        <v>27</v>
      </c>
      <c r="D447" s="5" t="s">
        <v>981</v>
      </c>
      <c r="E447" s="1">
        <v>6</v>
      </c>
      <c r="F447" s="5" t="s">
        <v>981</v>
      </c>
      <c r="G447" s="1">
        <v>0</v>
      </c>
      <c r="H447" s="5" t="s">
        <v>983</v>
      </c>
      <c r="I447" s="1">
        <v>10</v>
      </c>
      <c r="J447" s="5" t="s">
        <v>981</v>
      </c>
      <c r="K447" s="1">
        <v>3</v>
      </c>
      <c r="L447" s="5" t="s">
        <v>982</v>
      </c>
      <c r="M447" s="1">
        <v>7</v>
      </c>
      <c r="N447" s="5" t="s">
        <v>981</v>
      </c>
      <c r="O447" s="1">
        <v>0</v>
      </c>
      <c r="P447" s="5" t="s">
        <v>983</v>
      </c>
      <c r="Q447" s="1">
        <v>0</v>
      </c>
      <c r="R447" s="1">
        <v>1</v>
      </c>
      <c r="S447" s="1">
        <v>1</v>
      </c>
      <c r="T447" s="1">
        <v>1</v>
      </c>
      <c r="U447" s="1">
        <v>5</v>
      </c>
      <c r="V447" s="1">
        <v>4</v>
      </c>
      <c r="W447" s="1">
        <v>0</v>
      </c>
      <c r="X447" s="1">
        <v>1</v>
      </c>
      <c r="Z447" s="1">
        <v>28</v>
      </c>
      <c r="AB447" s="1">
        <v>3</v>
      </c>
    </row>
    <row r="448" spans="1:28" ht="12.75" customHeight="1" x14ac:dyDescent="0.15">
      <c r="A448" s="5">
        <v>363</v>
      </c>
      <c r="B448" s="5" t="s">
        <v>238</v>
      </c>
      <c r="C448" s="1">
        <v>37</v>
      </c>
      <c r="D448" s="5" t="s">
        <v>981</v>
      </c>
      <c r="E448" s="1">
        <v>9</v>
      </c>
      <c r="F448" s="5" t="s">
        <v>981</v>
      </c>
      <c r="G448" s="1">
        <v>9</v>
      </c>
      <c r="H448" s="5" t="s">
        <v>981</v>
      </c>
      <c r="I448" s="1">
        <v>4</v>
      </c>
      <c r="J448" s="5" t="s">
        <v>982</v>
      </c>
      <c r="K448" s="1">
        <v>9</v>
      </c>
      <c r="L448" s="5" t="s">
        <v>981</v>
      </c>
      <c r="M448" s="1">
        <v>9</v>
      </c>
      <c r="N448" s="5" t="s">
        <v>981</v>
      </c>
      <c r="O448" s="1">
        <v>0</v>
      </c>
      <c r="P448" s="5" t="s">
        <v>983</v>
      </c>
      <c r="Q448" s="1">
        <v>0</v>
      </c>
      <c r="R448" s="1">
        <v>0</v>
      </c>
      <c r="S448" s="1" t="s">
        <v>194</v>
      </c>
      <c r="T448" s="1">
        <v>1</v>
      </c>
      <c r="U448" s="1" t="s">
        <v>194</v>
      </c>
      <c r="V448" s="1">
        <v>3</v>
      </c>
      <c r="W448" s="1">
        <v>0</v>
      </c>
      <c r="X448" s="1">
        <v>0</v>
      </c>
      <c r="Z448" s="1">
        <v>25</v>
      </c>
      <c r="AB448" s="1">
        <v>3</v>
      </c>
    </row>
    <row r="449" spans="1:28" ht="12.75" customHeight="1" x14ac:dyDescent="0.15">
      <c r="A449" s="5">
        <v>351</v>
      </c>
      <c r="B449" s="5" t="s">
        <v>984</v>
      </c>
      <c r="C449" s="1">
        <v>47</v>
      </c>
      <c r="D449" s="5" t="s">
        <v>981</v>
      </c>
      <c r="E449" s="1">
        <v>12</v>
      </c>
      <c r="F449" s="5" t="s">
        <v>981</v>
      </c>
      <c r="G449" s="1">
        <v>12</v>
      </c>
      <c r="H449" s="5" t="s">
        <v>981</v>
      </c>
      <c r="I449" s="1">
        <v>0</v>
      </c>
      <c r="J449" s="5" t="s">
        <v>983</v>
      </c>
      <c r="K449" s="1">
        <v>12</v>
      </c>
      <c r="L449" s="5" t="s">
        <v>981</v>
      </c>
      <c r="M449" s="1">
        <v>12</v>
      </c>
      <c r="N449" s="5" t="s">
        <v>981</v>
      </c>
      <c r="O449" s="1">
        <v>0</v>
      </c>
      <c r="P449" s="5" t="s">
        <v>983</v>
      </c>
      <c r="Q449" s="1">
        <v>1</v>
      </c>
      <c r="R449" s="1">
        <v>1</v>
      </c>
      <c r="S449" s="1">
        <v>0</v>
      </c>
      <c r="T449" s="1">
        <v>1</v>
      </c>
      <c r="U449" s="1" t="s">
        <v>194</v>
      </c>
      <c r="V449" s="1" t="s">
        <v>194</v>
      </c>
      <c r="W449" s="1">
        <v>0</v>
      </c>
      <c r="X449" s="1">
        <v>1</v>
      </c>
      <c r="Z449" s="1">
        <v>24</v>
      </c>
      <c r="AB449" s="1">
        <v>3</v>
      </c>
    </row>
    <row r="450" spans="1:28" ht="12.75" customHeight="1" x14ac:dyDescent="0.15">
      <c r="A450" s="5">
        <v>352</v>
      </c>
      <c r="B450" s="5" t="s">
        <v>984</v>
      </c>
      <c r="C450" s="1">
        <v>14</v>
      </c>
      <c r="D450" s="5" t="s">
        <v>983</v>
      </c>
      <c r="E450" s="1">
        <v>5</v>
      </c>
      <c r="F450" s="5" t="s">
        <v>981</v>
      </c>
      <c r="G450" s="1">
        <v>0</v>
      </c>
      <c r="H450" s="5" t="s">
        <v>983</v>
      </c>
      <c r="I450" s="1">
        <v>2</v>
      </c>
      <c r="J450" s="5" t="s">
        <v>982</v>
      </c>
      <c r="K450" s="1">
        <v>3</v>
      </c>
      <c r="L450" s="5" t="s">
        <v>982</v>
      </c>
      <c r="M450" s="1">
        <v>0</v>
      </c>
      <c r="N450" s="5" t="s">
        <v>983</v>
      </c>
      <c r="O450" s="1">
        <v>0</v>
      </c>
      <c r="P450" s="5" t="s">
        <v>983</v>
      </c>
      <c r="Q450" s="1">
        <v>0</v>
      </c>
      <c r="R450" s="1">
        <v>0</v>
      </c>
      <c r="S450" s="1">
        <v>0</v>
      </c>
      <c r="T450" s="1">
        <v>1</v>
      </c>
      <c r="U450" s="1" t="s">
        <v>194</v>
      </c>
      <c r="V450" s="1">
        <v>1</v>
      </c>
      <c r="W450" s="1">
        <v>0</v>
      </c>
      <c r="X450" s="1">
        <v>1</v>
      </c>
      <c r="Z450" s="1">
        <v>24</v>
      </c>
      <c r="AB450" s="1">
        <v>3</v>
      </c>
    </row>
    <row r="451" spans="1:28" ht="12.75" customHeight="1" x14ac:dyDescent="0.15">
      <c r="A451" s="5">
        <v>77</v>
      </c>
      <c r="B451" s="5" t="s">
        <v>238</v>
      </c>
      <c r="C451" s="1">
        <v>12</v>
      </c>
      <c r="D451" s="5" t="s">
        <v>983</v>
      </c>
      <c r="E451" s="1">
        <v>6</v>
      </c>
      <c r="F451" s="5" t="s">
        <v>981</v>
      </c>
      <c r="G451" s="1">
        <v>0</v>
      </c>
      <c r="H451" s="5" t="s">
        <v>983</v>
      </c>
      <c r="I451" s="1">
        <v>16</v>
      </c>
      <c r="J451" s="5" t="s">
        <v>981</v>
      </c>
      <c r="K451" s="1">
        <v>0</v>
      </c>
      <c r="L451" s="5" t="s">
        <v>983</v>
      </c>
      <c r="M451" s="1">
        <v>0</v>
      </c>
      <c r="N451" s="5" t="s">
        <v>983</v>
      </c>
      <c r="O451" s="1">
        <v>0</v>
      </c>
      <c r="P451" s="5" t="s">
        <v>983</v>
      </c>
      <c r="Q451" s="1">
        <v>1</v>
      </c>
      <c r="R451" s="1">
        <v>0</v>
      </c>
      <c r="S451" s="1">
        <v>1</v>
      </c>
      <c r="T451" s="1">
        <v>1</v>
      </c>
      <c r="U451" s="1">
        <v>5</v>
      </c>
      <c r="V451" s="1">
        <v>5</v>
      </c>
      <c r="W451" s="1">
        <v>0</v>
      </c>
      <c r="X451" s="1">
        <v>0</v>
      </c>
      <c r="Z451" s="1">
        <v>24</v>
      </c>
      <c r="AB451" s="1">
        <v>7</v>
      </c>
    </row>
    <row r="452" spans="1:28" ht="12.75" customHeight="1" x14ac:dyDescent="0.15">
      <c r="A452" s="5">
        <v>17</v>
      </c>
      <c r="B452" s="5" t="s">
        <v>238</v>
      </c>
      <c r="C452" s="1">
        <v>22</v>
      </c>
      <c r="D452" s="5" t="s">
        <v>982</v>
      </c>
      <c r="E452" s="1">
        <v>3</v>
      </c>
      <c r="F452" s="5" t="s">
        <v>982</v>
      </c>
      <c r="G452" s="1">
        <v>2</v>
      </c>
      <c r="H452" s="5" t="s">
        <v>982</v>
      </c>
      <c r="I452" s="1">
        <v>3</v>
      </c>
      <c r="J452" s="5" t="s">
        <v>982</v>
      </c>
      <c r="K452" s="1">
        <v>3</v>
      </c>
      <c r="L452" s="5" t="s">
        <v>982</v>
      </c>
      <c r="M452" s="1">
        <v>3</v>
      </c>
      <c r="N452" s="5" t="s">
        <v>982</v>
      </c>
      <c r="O452" s="1">
        <v>0</v>
      </c>
      <c r="P452" s="5" t="s">
        <v>983</v>
      </c>
      <c r="Q452" s="1">
        <v>0</v>
      </c>
      <c r="R452" s="1">
        <v>0</v>
      </c>
      <c r="S452" s="1">
        <v>1</v>
      </c>
      <c r="T452" s="1">
        <v>1</v>
      </c>
      <c r="U452" s="1">
        <v>5</v>
      </c>
      <c r="V452" s="1">
        <v>3</v>
      </c>
      <c r="W452" s="1">
        <v>0</v>
      </c>
      <c r="X452" s="1">
        <v>0</v>
      </c>
      <c r="Z452" s="1">
        <v>24</v>
      </c>
      <c r="AB452" s="1">
        <v>6</v>
      </c>
    </row>
    <row r="453" spans="1:28" ht="12.75" customHeight="1" x14ac:dyDescent="0.15">
      <c r="A453" s="5">
        <v>171</v>
      </c>
      <c r="B453" s="5" t="s">
        <v>238</v>
      </c>
      <c r="C453" s="1">
        <v>26</v>
      </c>
      <c r="D453" s="5" t="s">
        <v>981</v>
      </c>
      <c r="E453" s="1">
        <v>5</v>
      </c>
      <c r="F453" s="5" t="s">
        <v>981</v>
      </c>
      <c r="G453" s="1">
        <v>2</v>
      </c>
      <c r="H453" s="5" t="s">
        <v>982</v>
      </c>
      <c r="I453" s="1">
        <v>3</v>
      </c>
      <c r="J453" s="5" t="s">
        <v>982</v>
      </c>
      <c r="K453" s="1">
        <v>6</v>
      </c>
      <c r="L453" s="5" t="s">
        <v>981</v>
      </c>
      <c r="M453" s="1">
        <v>4</v>
      </c>
      <c r="N453" s="5" t="s">
        <v>982</v>
      </c>
      <c r="O453" s="1">
        <v>0</v>
      </c>
      <c r="P453" s="5" t="s">
        <v>983</v>
      </c>
      <c r="Q453" s="1">
        <v>0</v>
      </c>
      <c r="R453" s="1">
        <v>0</v>
      </c>
      <c r="S453" s="1">
        <v>1</v>
      </c>
      <c r="T453" s="1">
        <v>1</v>
      </c>
      <c r="U453" s="1">
        <v>3</v>
      </c>
      <c r="V453" s="1">
        <v>3</v>
      </c>
      <c r="W453" s="1">
        <v>0</v>
      </c>
      <c r="X453" s="1">
        <v>0</v>
      </c>
      <c r="Z453" s="1">
        <v>24</v>
      </c>
      <c r="AB453" s="1">
        <v>3</v>
      </c>
    </row>
    <row r="454" spans="1:28" ht="12.75" customHeight="1" x14ac:dyDescent="0.15">
      <c r="A454" s="5">
        <v>338</v>
      </c>
      <c r="B454" s="5" t="s">
        <v>238</v>
      </c>
      <c r="C454" s="1">
        <v>15</v>
      </c>
      <c r="D454" s="5" t="s">
        <v>983</v>
      </c>
      <c r="E454" s="1">
        <v>0</v>
      </c>
      <c r="F454" s="5" t="s">
        <v>983</v>
      </c>
      <c r="G454" s="1">
        <v>4</v>
      </c>
      <c r="H454" s="5" t="s">
        <v>982</v>
      </c>
      <c r="I454" s="1">
        <v>4</v>
      </c>
      <c r="J454" s="5" t="s">
        <v>982</v>
      </c>
      <c r="K454" s="1">
        <v>1</v>
      </c>
      <c r="L454" s="5" t="s">
        <v>983</v>
      </c>
      <c r="M454" s="1">
        <v>1</v>
      </c>
      <c r="N454" s="5" t="s">
        <v>983</v>
      </c>
      <c r="O454" s="1">
        <v>0</v>
      </c>
      <c r="P454" s="5" t="s">
        <v>983</v>
      </c>
      <c r="Q454" s="1">
        <v>0</v>
      </c>
      <c r="R454" s="1">
        <v>0</v>
      </c>
      <c r="S454" s="1" t="s">
        <v>194</v>
      </c>
      <c r="T454" s="1">
        <v>1</v>
      </c>
      <c r="U454" s="1" t="s">
        <v>194</v>
      </c>
      <c r="V454" s="1">
        <v>2</v>
      </c>
      <c r="W454" s="1">
        <v>0</v>
      </c>
      <c r="X454" s="1">
        <v>0</v>
      </c>
      <c r="Z454" s="1">
        <v>24</v>
      </c>
      <c r="AB454" s="1">
        <v>1</v>
      </c>
    </row>
    <row r="455" spans="1:28" ht="12.75" customHeight="1" x14ac:dyDescent="0.15">
      <c r="A455" s="5">
        <v>59</v>
      </c>
      <c r="B455" s="5" t="s">
        <v>984</v>
      </c>
      <c r="C455" s="1">
        <v>16</v>
      </c>
      <c r="D455" s="5" t="s">
        <v>983</v>
      </c>
      <c r="E455" s="1">
        <v>0</v>
      </c>
      <c r="F455" s="5" t="s">
        <v>983</v>
      </c>
      <c r="G455" s="1">
        <v>0</v>
      </c>
      <c r="H455" s="5" t="s">
        <v>983</v>
      </c>
      <c r="I455" s="1">
        <v>2</v>
      </c>
      <c r="J455" s="5" t="s">
        <v>982</v>
      </c>
      <c r="K455" s="1">
        <v>0</v>
      </c>
      <c r="L455" s="5" t="s">
        <v>983</v>
      </c>
      <c r="M455" s="1">
        <v>0</v>
      </c>
      <c r="N455" s="5" t="s">
        <v>983</v>
      </c>
      <c r="O455" s="1">
        <v>0</v>
      </c>
      <c r="P455" s="5" t="s">
        <v>983</v>
      </c>
      <c r="Q455" s="1">
        <v>1</v>
      </c>
      <c r="R455" s="1">
        <v>0</v>
      </c>
      <c r="S455" s="1">
        <v>1</v>
      </c>
      <c r="T455" s="1">
        <v>1</v>
      </c>
      <c r="U455" s="1" t="s">
        <v>194</v>
      </c>
      <c r="V455" s="1">
        <v>1</v>
      </c>
      <c r="W455" s="1">
        <v>0</v>
      </c>
      <c r="X455" s="1">
        <v>0</v>
      </c>
      <c r="Z455" s="1">
        <v>24</v>
      </c>
      <c r="AB455" s="1">
        <v>4</v>
      </c>
    </row>
    <row r="456" spans="1:28" ht="12.75" customHeight="1" x14ac:dyDescent="0.15">
      <c r="A456" s="5">
        <v>315</v>
      </c>
      <c r="B456" s="5" t="s">
        <v>238</v>
      </c>
      <c r="C456" s="1">
        <v>15</v>
      </c>
      <c r="D456" s="5" t="s">
        <v>983</v>
      </c>
      <c r="E456" s="1">
        <v>5</v>
      </c>
      <c r="F456" s="5" t="s">
        <v>981</v>
      </c>
      <c r="G456" s="1">
        <v>0</v>
      </c>
      <c r="H456" s="5" t="s">
        <v>983</v>
      </c>
      <c r="I456" s="1">
        <v>4</v>
      </c>
      <c r="J456" s="5" t="s">
        <v>982</v>
      </c>
      <c r="K456" s="1">
        <v>6</v>
      </c>
      <c r="L456" s="5" t="s">
        <v>981</v>
      </c>
      <c r="M456" s="1">
        <v>4</v>
      </c>
      <c r="N456" s="5" t="s">
        <v>982</v>
      </c>
      <c r="O456" s="1">
        <v>0</v>
      </c>
      <c r="P456" s="5" t="s">
        <v>983</v>
      </c>
      <c r="Q456" s="1">
        <v>0</v>
      </c>
      <c r="R456" s="1">
        <v>0</v>
      </c>
      <c r="S456" s="1" t="s">
        <v>194</v>
      </c>
      <c r="T456" s="1">
        <v>1</v>
      </c>
      <c r="U456" s="1" t="s">
        <v>194</v>
      </c>
      <c r="V456" s="1">
        <v>1</v>
      </c>
      <c r="W456" s="1">
        <v>0</v>
      </c>
      <c r="X456" s="1">
        <v>0</v>
      </c>
      <c r="Z456" s="1">
        <v>20</v>
      </c>
      <c r="AB456" s="1">
        <v>2</v>
      </c>
    </row>
    <row r="457" spans="1:28" ht="12.75" customHeight="1" x14ac:dyDescent="0.15">
      <c r="A457" s="5">
        <v>277</v>
      </c>
      <c r="B457" s="5" t="s">
        <v>238</v>
      </c>
      <c r="C457" s="1">
        <v>14</v>
      </c>
      <c r="D457" s="5" t="s">
        <v>983</v>
      </c>
      <c r="E457" s="1">
        <v>3</v>
      </c>
      <c r="F457" s="5" t="s">
        <v>982</v>
      </c>
      <c r="G457" s="1">
        <v>1</v>
      </c>
      <c r="H457" s="5" t="s">
        <v>983</v>
      </c>
      <c r="I457" s="1">
        <v>5</v>
      </c>
      <c r="J457" s="5" t="s">
        <v>981</v>
      </c>
      <c r="K457" s="1">
        <v>0</v>
      </c>
      <c r="L457" s="5" t="s">
        <v>983</v>
      </c>
      <c r="M457" s="1">
        <v>3</v>
      </c>
      <c r="N457" s="5" t="s">
        <v>982</v>
      </c>
      <c r="O457" s="1">
        <v>0</v>
      </c>
      <c r="P457" s="5" t="s">
        <v>983</v>
      </c>
      <c r="Q457" s="1">
        <v>1</v>
      </c>
      <c r="R457" s="1">
        <v>0</v>
      </c>
      <c r="S457" s="1">
        <v>1</v>
      </c>
      <c r="T457" s="1">
        <v>1</v>
      </c>
      <c r="U457" s="1" t="s">
        <v>194</v>
      </c>
      <c r="V457" s="1" t="s">
        <v>194</v>
      </c>
      <c r="W457" s="1">
        <v>0</v>
      </c>
      <c r="X457" s="1">
        <v>0</v>
      </c>
      <c r="Z457" s="1">
        <v>18</v>
      </c>
      <c r="AB457" s="1">
        <v>2</v>
      </c>
    </row>
    <row r="458" spans="1:28" ht="12.75" customHeight="1" x14ac:dyDescent="0.15">
      <c r="A458" s="5">
        <v>420</v>
      </c>
      <c r="B458" s="5" t="s">
        <v>238</v>
      </c>
      <c r="C458" s="1">
        <v>25</v>
      </c>
      <c r="D458" s="5" t="s">
        <v>981</v>
      </c>
      <c r="E458" s="1">
        <v>6</v>
      </c>
      <c r="F458" s="5" t="s">
        <v>981</v>
      </c>
      <c r="G458" s="1">
        <v>6</v>
      </c>
      <c r="H458" s="5" t="s">
        <v>981</v>
      </c>
      <c r="I458" s="1">
        <v>8</v>
      </c>
      <c r="J458" s="5" t="s">
        <v>981</v>
      </c>
      <c r="K458" s="1">
        <v>6</v>
      </c>
      <c r="L458" s="5" t="s">
        <v>981</v>
      </c>
      <c r="M458" s="1">
        <v>6</v>
      </c>
      <c r="N458" s="5" t="s">
        <v>981</v>
      </c>
      <c r="O458" s="1">
        <v>0</v>
      </c>
      <c r="P458" s="5" t="s">
        <v>983</v>
      </c>
      <c r="Q458" s="1">
        <v>1</v>
      </c>
      <c r="R458" s="1">
        <v>0</v>
      </c>
      <c r="S458" s="1" t="s">
        <v>194</v>
      </c>
      <c r="T458" s="1">
        <v>1</v>
      </c>
      <c r="U458" s="1" t="s">
        <v>194</v>
      </c>
      <c r="V458" s="1">
        <v>3</v>
      </c>
      <c r="W458" s="1">
        <v>0</v>
      </c>
      <c r="X458" s="1">
        <v>0</v>
      </c>
      <c r="Z458" s="1">
        <v>13</v>
      </c>
      <c r="AB458" s="1">
        <v>4</v>
      </c>
    </row>
    <row r="459" spans="1:28" ht="12.75" customHeight="1" x14ac:dyDescent="0.15">
      <c r="A459" s="5">
        <v>300</v>
      </c>
      <c r="B459" s="5" t="s">
        <v>984</v>
      </c>
      <c r="C459" s="1">
        <v>34</v>
      </c>
      <c r="D459" s="5" t="s">
        <v>981</v>
      </c>
      <c r="E459" s="1">
        <v>0</v>
      </c>
      <c r="F459" s="5" t="s">
        <v>983</v>
      </c>
      <c r="G459" s="1">
        <v>4</v>
      </c>
      <c r="H459" s="5" t="s">
        <v>982</v>
      </c>
      <c r="I459" s="1">
        <v>16</v>
      </c>
      <c r="J459" s="5" t="s">
        <v>981</v>
      </c>
      <c r="K459" s="1">
        <v>0</v>
      </c>
      <c r="L459" s="5" t="s">
        <v>983</v>
      </c>
      <c r="M459" s="1">
        <v>0</v>
      </c>
      <c r="N459" s="5" t="s">
        <v>983</v>
      </c>
      <c r="O459" s="1">
        <v>0</v>
      </c>
      <c r="P459" s="5" t="s">
        <v>983</v>
      </c>
      <c r="Q459" s="1">
        <v>0</v>
      </c>
      <c r="R459" s="1">
        <v>0</v>
      </c>
      <c r="S459" s="1" t="s">
        <v>194</v>
      </c>
      <c r="T459" s="1">
        <v>1</v>
      </c>
      <c r="U459" s="1" t="s">
        <v>194</v>
      </c>
      <c r="V459" s="1">
        <v>2</v>
      </c>
      <c r="W459" s="1">
        <v>0</v>
      </c>
      <c r="X459" s="1">
        <v>0</v>
      </c>
      <c r="Z459" s="1">
        <v>13</v>
      </c>
      <c r="AB459" s="1">
        <v>2</v>
      </c>
    </row>
    <row r="460" spans="1:28" ht="12.75" customHeight="1" x14ac:dyDescent="0.15">
      <c r="A460" s="5">
        <v>419</v>
      </c>
      <c r="B460" s="5" t="s">
        <v>984</v>
      </c>
      <c r="C460" s="1">
        <v>21</v>
      </c>
      <c r="D460" s="5" t="s">
        <v>982</v>
      </c>
      <c r="E460" s="1">
        <v>5</v>
      </c>
      <c r="F460" s="5" t="s">
        <v>981</v>
      </c>
      <c r="G460" s="1">
        <v>6</v>
      </c>
      <c r="H460" s="5" t="s">
        <v>981</v>
      </c>
      <c r="I460" s="1">
        <v>1</v>
      </c>
      <c r="J460" s="5" t="s">
        <v>982</v>
      </c>
      <c r="K460" s="1">
        <v>1</v>
      </c>
      <c r="L460" s="5" t="s">
        <v>983</v>
      </c>
      <c r="M460" s="1">
        <v>4</v>
      </c>
      <c r="N460" s="5" t="s">
        <v>982</v>
      </c>
      <c r="O460" s="1">
        <v>0</v>
      </c>
      <c r="P460" s="5" t="s">
        <v>983</v>
      </c>
      <c r="Q460" s="1">
        <v>0</v>
      </c>
      <c r="R460" s="1">
        <v>0</v>
      </c>
      <c r="S460" s="1" t="s">
        <v>194</v>
      </c>
      <c r="T460" s="1">
        <v>1</v>
      </c>
      <c r="U460" s="1">
        <v>3</v>
      </c>
      <c r="V460" s="1">
        <v>2</v>
      </c>
      <c r="W460" s="1">
        <v>0</v>
      </c>
      <c r="X460" s="1">
        <v>0</v>
      </c>
      <c r="Z460" s="1">
        <v>13</v>
      </c>
      <c r="AB460" s="1">
        <v>4</v>
      </c>
    </row>
    <row r="461" spans="1:28" ht="12.75" customHeight="1" x14ac:dyDescent="0.15">
      <c r="A461" s="5">
        <v>10</v>
      </c>
      <c r="B461" s="5" t="s">
        <v>238</v>
      </c>
      <c r="C461" s="1">
        <v>12</v>
      </c>
      <c r="D461" s="5" t="s">
        <v>983</v>
      </c>
      <c r="E461" s="1">
        <v>2</v>
      </c>
      <c r="F461" s="5" t="s">
        <v>982</v>
      </c>
      <c r="G461" s="1">
        <v>1</v>
      </c>
      <c r="H461" s="5" t="s">
        <v>983</v>
      </c>
      <c r="I461" s="1">
        <v>0</v>
      </c>
      <c r="J461" s="5" t="s">
        <v>983</v>
      </c>
      <c r="K461" s="1">
        <v>1</v>
      </c>
      <c r="L461" s="5" t="s">
        <v>983</v>
      </c>
      <c r="M461" s="1">
        <v>0</v>
      </c>
      <c r="N461" s="5" t="s">
        <v>983</v>
      </c>
      <c r="O461" s="1">
        <v>0</v>
      </c>
      <c r="P461" s="5" t="s">
        <v>983</v>
      </c>
      <c r="Q461" s="1">
        <v>0</v>
      </c>
      <c r="R461" s="1">
        <v>0</v>
      </c>
      <c r="S461" s="1" t="s">
        <v>194</v>
      </c>
      <c r="T461" s="1">
        <v>1</v>
      </c>
      <c r="U461" s="1">
        <v>5</v>
      </c>
      <c r="V461" s="1">
        <v>5</v>
      </c>
      <c r="W461" s="1">
        <v>0</v>
      </c>
      <c r="X461" s="1">
        <v>1</v>
      </c>
      <c r="Z461" s="1">
        <v>11</v>
      </c>
      <c r="AB461" s="1">
        <v>2</v>
      </c>
    </row>
    <row r="462" spans="1:28" ht="12.75" customHeight="1" x14ac:dyDescent="0.15">
      <c r="A462" s="5">
        <v>148</v>
      </c>
      <c r="B462" s="5" t="s">
        <v>238</v>
      </c>
      <c r="C462" s="1">
        <v>20</v>
      </c>
      <c r="D462" s="5" t="s">
        <v>982</v>
      </c>
      <c r="E462" s="1">
        <v>4</v>
      </c>
      <c r="F462" s="5" t="s">
        <v>982</v>
      </c>
      <c r="G462" s="1">
        <v>6</v>
      </c>
      <c r="H462" s="5" t="s">
        <v>981</v>
      </c>
      <c r="I462" s="1">
        <v>8</v>
      </c>
      <c r="J462" s="5" t="s">
        <v>981</v>
      </c>
      <c r="K462" s="1">
        <v>5</v>
      </c>
      <c r="L462" s="5" t="s">
        <v>982</v>
      </c>
      <c r="M462" s="1">
        <v>1</v>
      </c>
      <c r="N462" s="5" t="s">
        <v>983</v>
      </c>
      <c r="O462" s="1">
        <v>0</v>
      </c>
      <c r="P462" s="5" t="s">
        <v>983</v>
      </c>
      <c r="Q462" s="1">
        <v>1</v>
      </c>
      <c r="R462" s="1">
        <v>0</v>
      </c>
      <c r="S462" s="1">
        <v>1</v>
      </c>
      <c r="T462" s="1">
        <v>1</v>
      </c>
      <c r="U462" s="1">
        <v>5</v>
      </c>
      <c r="V462" s="1">
        <v>5</v>
      </c>
      <c r="W462" s="1">
        <v>0</v>
      </c>
      <c r="X462" s="1">
        <v>1</v>
      </c>
      <c r="Z462" s="1">
        <v>11</v>
      </c>
      <c r="AB462" s="1">
        <v>3</v>
      </c>
    </row>
    <row r="463" spans="1:28" ht="12.75" customHeight="1" x14ac:dyDescent="0.15">
      <c r="A463" s="5">
        <v>13</v>
      </c>
      <c r="B463" s="5" t="s">
        <v>238</v>
      </c>
      <c r="C463" s="1">
        <v>21</v>
      </c>
      <c r="D463" s="5" t="s">
        <v>982</v>
      </c>
      <c r="E463" s="1">
        <v>3</v>
      </c>
      <c r="F463" s="5" t="s">
        <v>982</v>
      </c>
      <c r="G463" s="1">
        <v>0</v>
      </c>
      <c r="H463" s="5" t="s">
        <v>983</v>
      </c>
      <c r="I463" s="1">
        <v>6</v>
      </c>
      <c r="J463" s="5" t="s">
        <v>981</v>
      </c>
      <c r="K463" s="1">
        <v>2</v>
      </c>
      <c r="L463" s="5" t="s">
        <v>983</v>
      </c>
      <c r="M463" s="1">
        <v>0</v>
      </c>
      <c r="N463" s="5" t="s">
        <v>983</v>
      </c>
      <c r="O463" s="1">
        <v>0</v>
      </c>
      <c r="P463" s="5" t="s">
        <v>983</v>
      </c>
      <c r="Q463" s="1">
        <v>1</v>
      </c>
      <c r="R463" s="1">
        <v>0</v>
      </c>
      <c r="S463" s="1" t="s">
        <v>194</v>
      </c>
      <c r="T463" s="1">
        <v>1</v>
      </c>
      <c r="U463" s="1">
        <v>5</v>
      </c>
      <c r="V463" s="1">
        <v>3</v>
      </c>
      <c r="W463" s="1">
        <v>0</v>
      </c>
      <c r="X463" s="1">
        <v>1</v>
      </c>
      <c r="Z463" s="1">
        <v>11</v>
      </c>
      <c r="AB463" s="1">
        <v>2</v>
      </c>
    </row>
    <row r="464" spans="1:28" ht="12.75" customHeight="1" x14ac:dyDescent="0.15">
      <c r="A464" s="5">
        <v>62</v>
      </c>
      <c r="B464" s="5" t="s">
        <v>238</v>
      </c>
      <c r="C464" s="1">
        <v>13</v>
      </c>
      <c r="D464" s="5" t="s">
        <v>983</v>
      </c>
      <c r="E464" s="1">
        <v>9</v>
      </c>
      <c r="F464" s="5" t="s">
        <v>981</v>
      </c>
      <c r="G464" s="1">
        <v>9</v>
      </c>
      <c r="H464" s="5" t="s">
        <v>981</v>
      </c>
      <c r="I464" s="1">
        <v>4</v>
      </c>
      <c r="J464" s="5" t="s">
        <v>982</v>
      </c>
      <c r="K464" s="1">
        <v>9</v>
      </c>
      <c r="L464" s="5" t="s">
        <v>981</v>
      </c>
      <c r="M464" s="1">
        <v>9</v>
      </c>
      <c r="N464" s="5" t="s">
        <v>981</v>
      </c>
      <c r="O464" s="1">
        <v>0</v>
      </c>
      <c r="P464" s="5" t="s">
        <v>983</v>
      </c>
      <c r="Q464" s="1">
        <v>0</v>
      </c>
      <c r="R464" s="1">
        <v>0</v>
      </c>
      <c r="S464" s="1" t="s">
        <v>194</v>
      </c>
      <c r="T464" s="1">
        <v>1</v>
      </c>
      <c r="U464" s="1" t="s">
        <v>194</v>
      </c>
      <c r="V464" s="1">
        <v>2</v>
      </c>
      <c r="W464" s="1">
        <v>0</v>
      </c>
      <c r="X464" s="1">
        <v>1</v>
      </c>
      <c r="Z464" s="1">
        <v>11</v>
      </c>
      <c r="AB464" s="1">
        <v>1</v>
      </c>
    </row>
    <row r="465" spans="1:28" ht="12.75" customHeight="1" x14ac:dyDescent="0.15">
      <c r="A465" s="5">
        <v>36</v>
      </c>
      <c r="B465" s="5" t="s">
        <v>238</v>
      </c>
      <c r="C465" s="1">
        <v>24</v>
      </c>
      <c r="D465" s="5" t="s">
        <v>981</v>
      </c>
      <c r="E465" s="1">
        <v>6</v>
      </c>
      <c r="F465" s="5" t="s">
        <v>981</v>
      </c>
      <c r="G465" s="1">
        <v>9</v>
      </c>
      <c r="H465" s="5" t="s">
        <v>981</v>
      </c>
      <c r="I465" s="1">
        <v>16</v>
      </c>
      <c r="J465" s="5" t="s">
        <v>981</v>
      </c>
      <c r="K465" s="1">
        <v>2</v>
      </c>
      <c r="L465" s="5" t="s">
        <v>983</v>
      </c>
      <c r="M465" s="1">
        <v>5</v>
      </c>
      <c r="N465" s="5" t="s">
        <v>982</v>
      </c>
      <c r="O465" s="1">
        <v>0</v>
      </c>
      <c r="P465" s="5" t="s">
        <v>983</v>
      </c>
      <c r="Q465" s="1">
        <v>0</v>
      </c>
      <c r="R465" s="1">
        <v>0</v>
      </c>
      <c r="S465" s="1" t="s">
        <v>194</v>
      </c>
      <c r="T465" s="1">
        <v>1</v>
      </c>
      <c r="U465" s="1">
        <v>5</v>
      </c>
      <c r="V465" s="1">
        <v>5</v>
      </c>
      <c r="W465" s="1">
        <v>0</v>
      </c>
      <c r="X465" s="1">
        <v>0</v>
      </c>
      <c r="Z465" s="1">
        <v>11</v>
      </c>
      <c r="AB465" s="1">
        <v>5</v>
      </c>
    </row>
    <row r="466" spans="1:28" ht="12.75" customHeight="1" x14ac:dyDescent="0.15">
      <c r="A466" s="5">
        <v>21</v>
      </c>
      <c r="B466" s="5" t="s">
        <v>238</v>
      </c>
      <c r="C466" s="1">
        <v>33</v>
      </c>
      <c r="D466" s="5" t="s">
        <v>981</v>
      </c>
      <c r="E466" s="1">
        <v>9</v>
      </c>
      <c r="F466" s="5" t="s">
        <v>981</v>
      </c>
      <c r="G466" s="1">
        <v>5</v>
      </c>
      <c r="H466" s="5" t="s">
        <v>982</v>
      </c>
      <c r="I466" s="1">
        <v>7</v>
      </c>
      <c r="J466" s="5" t="s">
        <v>981</v>
      </c>
      <c r="K466" s="1">
        <v>6</v>
      </c>
      <c r="L466" s="5" t="s">
        <v>981</v>
      </c>
      <c r="M466" s="1">
        <v>6</v>
      </c>
      <c r="N466" s="5" t="s">
        <v>981</v>
      </c>
      <c r="O466" s="1">
        <v>0</v>
      </c>
      <c r="P466" s="5" t="s">
        <v>983</v>
      </c>
      <c r="Q466" s="1">
        <v>1</v>
      </c>
      <c r="R466" s="1">
        <v>0</v>
      </c>
      <c r="S466" s="1">
        <v>1</v>
      </c>
      <c r="T466" s="1">
        <v>1</v>
      </c>
      <c r="U466" s="1">
        <v>5</v>
      </c>
      <c r="V466" s="1">
        <v>5</v>
      </c>
      <c r="W466" s="1">
        <v>0</v>
      </c>
      <c r="X466" s="1">
        <v>0</v>
      </c>
      <c r="Z466" s="1">
        <v>11</v>
      </c>
      <c r="AB466" s="1">
        <v>3</v>
      </c>
    </row>
    <row r="467" spans="1:28" ht="12.75" customHeight="1" x14ac:dyDescent="0.15">
      <c r="A467" s="5">
        <v>37</v>
      </c>
      <c r="B467" s="5" t="s">
        <v>238</v>
      </c>
      <c r="C467" s="1">
        <v>23</v>
      </c>
      <c r="D467" s="5" t="s">
        <v>982</v>
      </c>
      <c r="E467" s="1">
        <v>5</v>
      </c>
      <c r="F467" s="5" t="s">
        <v>981</v>
      </c>
      <c r="G467" s="1">
        <v>2</v>
      </c>
      <c r="H467" s="5" t="s">
        <v>982</v>
      </c>
      <c r="I467" s="1">
        <v>3</v>
      </c>
      <c r="J467" s="5" t="s">
        <v>982</v>
      </c>
      <c r="K467" s="1">
        <v>0</v>
      </c>
      <c r="L467" s="5" t="s">
        <v>983</v>
      </c>
      <c r="M467" s="1">
        <v>2</v>
      </c>
      <c r="N467" s="5" t="s">
        <v>983</v>
      </c>
      <c r="O467" s="1">
        <v>0</v>
      </c>
      <c r="P467" s="5" t="s">
        <v>983</v>
      </c>
      <c r="Q467" s="1">
        <v>0</v>
      </c>
      <c r="R467" s="1">
        <v>0</v>
      </c>
      <c r="S467" s="1">
        <v>1</v>
      </c>
      <c r="T467" s="1">
        <v>1</v>
      </c>
      <c r="U467" s="1">
        <v>5</v>
      </c>
      <c r="V467" s="1">
        <v>5</v>
      </c>
      <c r="W467" s="1">
        <v>0</v>
      </c>
      <c r="X467" s="1">
        <v>0</v>
      </c>
      <c r="Z467" s="1">
        <v>11</v>
      </c>
      <c r="AB467" s="1">
        <v>5</v>
      </c>
    </row>
    <row r="468" spans="1:28" ht="12.75" customHeight="1" x14ac:dyDescent="0.15">
      <c r="A468" s="5">
        <v>470</v>
      </c>
      <c r="B468" s="5" t="s">
        <v>238</v>
      </c>
      <c r="C468" s="1">
        <v>14</v>
      </c>
      <c r="D468" s="5" t="s">
        <v>983</v>
      </c>
      <c r="E468" s="1">
        <v>3</v>
      </c>
      <c r="F468" s="5" t="s">
        <v>982</v>
      </c>
      <c r="G468" s="1">
        <v>5</v>
      </c>
      <c r="H468" s="5" t="s">
        <v>982</v>
      </c>
      <c r="I468" s="1">
        <v>9</v>
      </c>
      <c r="J468" s="5" t="s">
        <v>981</v>
      </c>
      <c r="K468" s="1">
        <v>1</v>
      </c>
      <c r="L468" s="5" t="s">
        <v>983</v>
      </c>
      <c r="M468" s="1">
        <v>1</v>
      </c>
      <c r="N468" s="5" t="s">
        <v>983</v>
      </c>
      <c r="O468" s="1">
        <v>0</v>
      </c>
      <c r="P468" s="5" t="s">
        <v>983</v>
      </c>
      <c r="Q468" s="1">
        <v>0</v>
      </c>
      <c r="R468" s="1">
        <v>0</v>
      </c>
      <c r="S468" s="1" t="s">
        <v>194</v>
      </c>
      <c r="T468" s="1">
        <v>1</v>
      </c>
      <c r="U468" s="1" t="s">
        <v>194</v>
      </c>
      <c r="V468" s="1">
        <v>2</v>
      </c>
      <c r="W468" s="1">
        <v>0</v>
      </c>
      <c r="X468" s="1">
        <v>0</v>
      </c>
      <c r="Z468" s="1">
        <v>11</v>
      </c>
      <c r="AB468" s="1">
        <v>3</v>
      </c>
    </row>
    <row r="469" spans="1:28" ht="12.75" customHeight="1" x14ac:dyDescent="0.15">
      <c r="A469" s="5">
        <v>20</v>
      </c>
      <c r="B469" s="5" t="s">
        <v>984</v>
      </c>
      <c r="C469" s="1">
        <v>12</v>
      </c>
      <c r="D469" s="5" t="s">
        <v>983</v>
      </c>
      <c r="E469" s="1">
        <v>0</v>
      </c>
      <c r="F469" s="5" t="s">
        <v>983</v>
      </c>
      <c r="G469" s="1">
        <v>0</v>
      </c>
      <c r="H469" s="5" t="s">
        <v>983</v>
      </c>
      <c r="I469" s="1">
        <v>16</v>
      </c>
      <c r="J469" s="5" t="s">
        <v>981</v>
      </c>
      <c r="K469" s="1">
        <v>0</v>
      </c>
      <c r="L469" s="5" t="s">
        <v>983</v>
      </c>
      <c r="M469" s="1">
        <v>0</v>
      </c>
      <c r="N469" s="5" t="s">
        <v>983</v>
      </c>
      <c r="O469" s="1">
        <v>0</v>
      </c>
      <c r="P469" s="5" t="s">
        <v>983</v>
      </c>
      <c r="Q469" s="1">
        <v>0</v>
      </c>
      <c r="R469" s="1">
        <v>0</v>
      </c>
      <c r="S469" s="1">
        <v>0</v>
      </c>
      <c r="T469" s="1">
        <v>1</v>
      </c>
      <c r="U469" s="1" t="s">
        <v>194</v>
      </c>
      <c r="V469" s="1">
        <v>2</v>
      </c>
      <c r="W469" s="1">
        <v>0</v>
      </c>
      <c r="X469" s="1">
        <v>0</v>
      </c>
      <c r="Z469" s="1">
        <v>11</v>
      </c>
      <c r="AB469" s="1">
        <v>3</v>
      </c>
    </row>
    <row r="470" spans="1:28" ht="12.75" customHeight="1" x14ac:dyDescent="0.15">
      <c r="A470" s="5">
        <v>471</v>
      </c>
      <c r="B470" s="5" t="s">
        <v>238</v>
      </c>
      <c r="C470" s="1">
        <v>19</v>
      </c>
      <c r="D470" s="5" t="s">
        <v>982</v>
      </c>
      <c r="E470" s="1">
        <v>5</v>
      </c>
      <c r="F470" s="5" t="s">
        <v>981</v>
      </c>
      <c r="G470" s="1">
        <v>5</v>
      </c>
      <c r="H470" s="5" t="s">
        <v>982</v>
      </c>
      <c r="I470" s="1">
        <v>9</v>
      </c>
      <c r="J470" s="5" t="s">
        <v>981</v>
      </c>
      <c r="K470" s="1">
        <v>5</v>
      </c>
      <c r="L470" s="5" t="s">
        <v>982</v>
      </c>
      <c r="M470" s="1">
        <v>3</v>
      </c>
      <c r="N470" s="5" t="s">
        <v>982</v>
      </c>
      <c r="O470" s="1">
        <v>0</v>
      </c>
      <c r="P470" s="5" t="s">
        <v>983</v>
      </c>
      <c r="Q470" s="1">
        <v>1</v>
      </c>
      <c r="R470" s="1">
        <v>0</v>
      </c>
      <c r="S470" s="1">
        <v>1</v>
      </c>
      <c r="T470" s="1">
        <v>1</v>
      </c>
      <c r="U470" s="1">
        <v>2</v>
      </c>
      <c r="V470" s="1">
        <v>1</v>
      </c>
      <c r="W470" s="1">
        <v>0</v>
      </c>
      <c r="X470" s="1">
        <v>0</v>
      </c>
      <c r="Z470" s="1">
        <v>11</v>
      </c>
      <c r="AB470" s="1">
        <v>3</v>
      </c>
    </row>
    <row r="471" spans="1:28" ht="12.75" customHeight="1" x14ac:dyDescent="0.15">
      <c r="A471" s="5">
        <v>466</v>
      </c>
      <c r="B471" s="5" t="s">
        <v>984</v>
      </c>
      <c r="C471" s="1">
        <v>32</v>
      </c>
      <c r="D471" s="5" t="s">
        <v>981</v>
      </c>
      <c r="E471" s="1">
        <v>4</v>
      </c>
      <c r="F471" s="5" t="s">
        <v>982</v>
      </c>
      <c r="G471" s="1">
        <v>0</v>
      </c>
      <c r="H471" s="5" t="s">
        <v>983</v>
      </c>
      <c r="I471" s="1">
        <v>8</v>
      </c>
      <c r="J471" s="5" t="s">
        <v>981</v>
      </c>
      <c r="K471" s="1">
        <v>6</v>
      </c>
      <c r="L471" s="5" t="s">
        <v>981</v>
      </c>
      <c r="M471" s="1">
        <v>7</v>
      </c>
      <c r="N471" s="5" t="s">
        <v>981</v>
      </c>
      <c r="O471" s="1">
        <v>2</v>
      </c>
      <c r="P471" s="5" t="s">
        <v>982</v>
      </c>
      <c r="Q471" s="1">
        <v>0</v>
      </c>
      <c r="R471" s="1">
        <v>0</v>
      </c>
      <c r="S471" s="1" t="s">
        <v>194</v>
      </c>
      <c r="T471" s="1">
        <v>1</v>
      </c>
      <c r="U471" s="1">
        <v>5</v>
      </c>
      <c r="V471" s="1">
        <v>5</v>
      </c>
      <c r="W471" s="1">
        <v>0</v>
      </c>
      <c r="X471" s="1">
        <v>0</v>
      </c>
      <c r="Z471" s="1">
        <v>10</v>
      </c>
      <c r="AB471" s="1">
        <v>4</v>
      </c>
    </row>
    <row r="472" spans="1:28" ht="12.75" customHeight="1" x14ac:dyDescent="0.15">
      <c r="A472" s="5">
        <v>467</v>
      </c>
      <c r="B472" s="5" t="s">
        <v>238</v>
      </c>
      <c r="C472" s="1">
        <v>36</v>
      </c>
      <c r="D472" s="5" t="s">
        <v>981</v>
      </c>
      <c r="E472" s="1">
        <v>12</v>
      </c>
      <c r="F472" s="5" t="s">
        <v>981</v>
      </c>
      <c r="G472" s="1">
        <v>0</v>
      </c>
      <c r="H472" s="5" t="s">
        <v>983</v>
      </c>
      <c r="I472" s="1">
        <v>16</v>
      </c>
      <c r="J472" s="5" t="s">
        <v>981</v>
      </c>
      <c r="K472" s="1">
        <v>0</v>
      </c>
      <c r="L472" s="5" t="s">
        <v>983</v>
      </c>
      <c r="M472" s="1">
        <v>12</v>
      </c>
      <c r="N472" s="5" t="s">
        <v>981</v>
      </c>
      <c r="O472" s="1">
        <v>3</v>
      </c>
      <c r="P472" s="5" t="s">
        <v>982</v>
      </c>
      <c r="Q472" s="1">
        <v>0</v>
      </c>
      <c r="R472" s="1">
        <v>0</v>
      </c>
      <c r="S472" s="1" t="s">
        <v>194</v>
      </c>
      <c r="T472" s="1">
        <v>1</v>
      </c>
      <c r="U472" s="1">
        <v>5</v>
      </c>
      <c r="V472" s="1">
        <v>5</v>
      </c>
      <c r="W472" s="1">
        <v>0</v>
      </c>
      <c r="X472" s="1">
        <v>0</v>
      </c>
      <c r="Z472" s="1">
        <v>10</v>
      </c>
      <c r="AB472" s="1">
        <v>4</v>
      </c>
    </row>
    <row r="473" spans="1:28" ht="12.75" customHeight="1" x14ac:dyDescent="0.15">
      <c r="A473" s="5">
        <v>422</v>
      </c>
      <c r="B473" s="5" t="s">
        <v>238</v>
      </c>
      <c r="C473" s="1">
        <v>22</v>
      </c>
      <c r="D473" s="5" t="s">
        <v>982</v>
      </c>
      <c r="E473" s="1">
        <v>5</v>
      </c>
      <c r="F473" s="5" t="s">
        <v>981</v>
      </c>
      <c r="G473" s="1">
        <v>0</v>
      </c>
      <c r="H473" s="5" t="s">
        <v>983</v>
      </c>
      <c r="I473" s="1">
        <v>6</v>
      </c>
      <c r="J473" s="5" t="s">
        <v>981</v>
      </c>
      <c r="K473" s="1">
        <v>3</v>
      </c>
      <c r="L473" s="5" t="s">
        <v>982</v>
      </c>
      <c r="M473" s="1">
        <v>4</v>
      </c>
      <c r="N473" s="5" t="s">
        <v>982</v>
      </c>
      <c r="O473" s="1">
        <v>0</v>
      </c>
      <c r="P473" s="5" t="s">
        <v>983</v>
      </c>
      <c r="Q473" s="1">
        <v>1</v>
      </c>
      <c r="R473" s="1">
        <v>0</v>
      </c>
      <c r="S473" s="1">
        <v>1</v>
      </c>
      <c r="T473" s="1">
        <v>1</v>
      </c>
      <c r="U473" s="1">
        <v>5</v>
      </c>
      <c r="V473" s="1">
        <v>3</v>
      </c>
      <c r="W473" s="1">
        <v>0</v>
      </c>
      <c r="X473" s="1">
        <v>0</v>
      </c>
      <c r="Z473" s="1">
        <v>10</v>
      </c>
      <c r="AB473" s="1">
        <v>2</v>
      </c>
    </row>
    <row r="474" spans="1:28" ht="12.75" customHeight="1" x14ac:dyDescent="0.15">
      <c r="A474" s="5">
        <v>324</v>
      </c>
      <c r="B474" s="5" t="s">
        <v>238</v>
      </c>
      <c r="C474" s="1">
        <v>26</v>
      </c>
      <c r="D474" s="5" t="s">
        <v>981</v>
      </c>
      <c r="E474" s="1">
        <v>9</v>
      </c>
      <c r="F474" s="5" t="s">
        <v>981</v>
      </c>
      <c r="G474" s="1">
        <v>6</v>
      </c>
      <c r="H474" s="5" t="s">
        <v>981</v>
      </c>
      <c r="I474" s="1">
        <v>8</v>
      </c>
      <c r="J474" s="5" t="s">
        <v>981</v>
      </c>
      <c r="K474" s="1">
        <v>10</v>
      </c>
      <c r="L474" s="5" t="s">
        <v>981</v>
      </c>
      <c r="M474" s="1">
        <v>12</v>
      </c>
      <c r="N474" s="5" t="s">
        <v>981</v>
      </c>
      <c r="O474" s="1">
        <v>8</v>
      </c>
      <c r="P474" s="5" t="s">
        <v>982</v>
      </c>
      <c r="Q474" s="1">
        <v>1</v>
      </c>
      <c r="R474" s="1">
        <v>0</v>
      </c>
      <c r="S474" s="1">
        <v>1</v>
      </c>
      <c r="T474" s="1">
        <v>1</v>
      </c>
      <c r="U474" s="1">
        <v>2</v>
      </c>
      <c r="V474" s="1">
        <v>2</v>
      </c>
      <c r="W474" s="1">
        <v>0</v>
      </c>
      <c r="X474" s="1">
        <v>1</v>
      </c>
      <c r="Z474" s="1">
        <v>7</v>
      </c>
      <c r="AB474" s="1">
        <v>1</v>
      </c>
    </row>
    <row r="475" spans="1:28" ht="12.75" customHeight="1" x14ac:dyDescent="0.15">
      <c r="A475" s="5">
        <v>472</v>
      </c>
      <c r="B475" s="5" t="s">
        <v>984</v>
      </c>
      <c r="C475" s="1">
        <v>13</v>
      </c>
      <c r="D475" s="5" t="s">
        <v>983</v>
      </c>
      <c r="E475" s="1">
        <v>1</v>
      </c>
      <c r="F475" s="5" t="s">
        <v>983</v>
      </c>
      <c r="G475" s="1">
        <v>10</v>
      </c>
      <c r="H475" s="5" t="s">
        <v>981</v>
      </c>
      <c r="I475" s="1">
        <v>8</v>
      </c>
      <c r="J475" s="5" t="s">
        <v>981</v>
      </c>
      <c r="K475" s="1">
        <v>9</v>
      </c>
      <c r="L475" s="5" t="s">
        <v>981</v>
      </c>
      <c r="M475" s="1">
        <v>10</v>
      </c>
      <c r="N475" s="5" t="s">
        <v>981</v>
      </c>
      <c r="O475" s="1">
        <v>5</v>
      </c>
      <c r="P475" s="5" t="s">
        <v>982</v>
      </c>
      <c r="Q475" s="1">
        <v>1</v>
      </c>
      <c r="R475" s="1">
        <v>0</v>
      </c>
      <c r="S475" s="1">
        <v>1</v>
      </c>
      <c r="T475" s="1">
        <v>1</v>
      </c>
      <c r="U475" s="1">
        <v>3</v>
      </c>
      <c r="V475" s="1">
        <v>3</v>
      </c>
      <c r="W475" s="1">
        <v>0</v>
      </c>
      <c r="X475" s="1">
        <v>0</v>
      </c>
      <c r="Z475" s="1">
        <v>7</v>
      </c>
      <c r="AB475" s="1">
        <v>4</v>
      </c>
    </row>
    <row r="476" spans="1:28" ht="12.75" customHeight="1" x14ac:dyDescent="0.15">
      <c r="A476" s="5">
        <v>244</v>
      </c>
      <c r="B476" s="5" t="s">
        <v>238</v>
      </c>
      <c r="C476" s="1">
        <v>22</v>
      </c>
      <c r="D476" s="5" t="s">
        <v>982</v>
      </c>
      <c r="E476" s="1">
        <v>5</v>
      </c>
      <c r="F476" s="5" t="s">
        <v>981</v>
      </c>
      <c r="G476" s="1">
        <v>6</v>
      </c>
      <c r="H476" s="5" t="s">
        <v>981</v>
      </c>
      <c r="I476" s="1">
        <v>2</v>
      </c>
      <c r="J476" s="5" t="s">
        <v>982</v>
      </c>
      <c r="K476" s="1">
        <v>10</v>
      </c>
      <c r="L476" s="5" t="s">
        <v>981</v>
      </c>
      <c r="M476" s="1">
        <v>9</v>
      </c>
      <c r="N476" s="5" t="s">
        <v>981</v>
      </c>
      <c r="O476" s="1">
        <v>0</v>
      </c>
      <c r="P476" s="5" t="s">
        <v>983</v>
      </c>
      <c r="Q476" s="1">
        <v>1</v>
      </c>
      <c r="R476" s="1">
        <v>0</v>
      </c>
      <c r="S476" s="1">
        <v>1</v>
      </c>
      <c r="T476" s="1">
        <v>1</v>
      </c>
      <c r="U476" s="1" t="s">
        <v>194</v>
      </c>
      <c r="V476" s="1">
        <v>2</v>
      </c>
      <c r="W476" s="1">
        <v>0</v>
      </c>
      <c r="X476" s="1">
        <v>0</v>
      </c>
      <c r="Z476" s="1">
        <v>7</v>
      </c>
      <c r="AB476" s="1">
        <v>5</v>
      </c>
    </row>
    <row r="477" spans="1:28" ht="12.75" customHeight="1" x14ac:dyDescent="0.15">
      <c r="A477" s="5">
        <v>339</v>
      </c>
      <c r="B477" s="5" t="s">
        <v>984</v>
      </c>
      <c r="C477" s="1">
        <v>23</v>
      </c>
      <c r="D477" s="5" t="s">
        <v>982</v>
      </c>
      <c r="E477" s="1">
        <v>5</v>
      </c>
      <c r="F477" s="5" t="s">
        <v>981</v>
      </c>
      <c r="G477" s="1">
        <v>0</v>
      </c>
      <c r="H477" s="5" t="s">
        <v>983</v>
      </c>
      <c r="I477" s="1">
        <v>0</v>
      </c>
      <c r="J477" s="5" t="s">
        <v>983</v>
      </c>
      <c r="K477" s="1">
        <v>5</v>
      </c>
      <c r="L477" s="5" t="s">
        <v>982</v>
      </c>
      <c r="M477" s="1">
        <v>4</v>
      </c>
      <c r="N477" s="5" t="s">
        <v>982</v>
      </c>
      <c r="O477" s="1">
        <v>0</v>
      </c>
      <c r="P477" s="5" t="s">
        <v>983</v>
      </c>
      <c r="Q477" s="1">
        <v>0</v>
      </c>
      <c r="R477" s="1">
        <v>0</v>
      </c>
      <c r="S477" s="1" t="s">
        <v>194</v>
      </c>
      <c r="T477" s="1">
        <v>1</v>
      </c>
      <c r="U477" s="1" t="s">
        <v>194</v>
      </c>
      <c r="V477" s="1">
        <v>1</v>
      </c>
      <c r="W477" s="1">
        <v>0</v>
      </c>
      <c r="X477" s="1">
        <v>0</v>
      </c>
      <c r="Z477" s="1">
        <v>7</v>
      </c>
      <c r="AB477" s="1">
        <v>1</v>
      </c>
    </row>
    <row r="478" spans="1:28" ht="12.75" customHeight="1" x14ac:dyDescent="0.15">
      <c r="A478" s="5">
        <v>243</v>
      </c>
      <c r="B478" s="5" t="s">
        <v>984</v>
      </c>
      <c r="C478" s="1">
        <v>18</v>
      </c>
      <c r="D478" s="5" t="s">
        <v>983</v>
      </c>
      <c r="E478" s="1">
        <v>1</v>
      </c>
      <c r="F478" s="5" t="s">
        <v>983</v>
      </c>
      <c r="G478" s="1">
        <v>3</v>
      </c>
      <c r="H478" s="5" t="s">
        <v>982</v>
      </c>
      <c r="I478" s="1">
        <v>3</v>
      </c>
      <c r="J478" s="5" t="s">
        <v>982</v>
      </c>
      <c r="K478" s="1">
        <v>0</v>
      </c>
      <c r="L478" s="5" t="s">
        <v>983</v>
      </c>
      <c r="M478" s="1">
        <v>0</v>
      </c>
      <c r="N478" s="5" t="s">
        <v>983</v>
      </c>
      <c r="O478" s="1">
        <v>0</v>
      </c>
      <c r="P478" s="5" t="s">
        <v>983</v>
      </c>
      <c r="Q478" s="1">
        <v>1</v>
      </c>
      <c r="R478" s="1">
        <v>0</v>
      </c>
      <c r="S478" s="1">
        <v>1</v>
      </c>
      <c r="T478" s="1">
        <v>1</v>
      </c>
      <c r="U478" s="1">
        <v>3</v>
      </c>
      <c r="V478" s="1">
        <v>1</v>
      </c>
      <c r="W478" s="1">
        <v>0</v>
      </c>
      <c r="X478" s="1">
        <v>0</v>
      </c>
      <c r="Z478" s="1">
        <v>7</v>
      </c>
      <c r="AB478" s="1">
        <v>5</v>
      </c>
    </row>
    <row r="479" spans="1:28" ht="12.75" customHeight="1" x14ac:dyDescent="0.15">
      <c r="A479" s="5">
        <v>290</v>
      </c>
      <c r="B479" s="5" t="s">
        <v>238</v>
      </c>
      <c r="C479" s="1">
        <v>19</v>
      </c>
      <c r="D479" s="5" t="s">
        <v>982</v>
      </c>
      <c r="E479" s="1">
        <v>5</v>
      </c>
      <c r="F479" s="5" t="s">
        <v>981</v>
      </c>
      <c r="G479" s="1">
        <v>5</v>
      </c>
      <c r="H479" s="5" t="s">
        <v>982</v>
      </c>
      <c r="I479" s="1">
        <v>12</v>
      </c>
      <c r="J479" s="5" t="s">
        <v>981</v>
      </c>
      <c r="K479" s="1">
        <v>0</v>
      </c>
      <c r="L479" s="5" t="s">
        <v>983</v>
      </c>
      <c r="M479" s="1">
        <v>3</v>
      </c>
      <c r="N479" s="5" t="s">
        <v>982</v>
      </c>
      <c r="O479" s="1">
        <v>0</v>
      </c>
      <c r="P479" s="5" t="s">
        <v>983</v>
      </c>
      <c r="Q479" s="1">
        <v>1</v>
      </c>
      <c r="R479" s="1">
        <v>0</v>
      </c>
      <c r="S479" s="1">
        <v>1</v>
      </c>
      <c r="T479" s="1">
        <v>1</v>
      </c>
      <c r="U479" s="1">
        <v>5</v>
      </c>
      <c r="V479" s="1">
        <v>3</v>
      </c>
      <c r="W479" s="1">
        <v>0</v>
      </c>
      <c r="X479" s="1">
        <v>1</v>
      </c>
      <c r="Z479" s="1">
        <v>6</v>
      </c>
      <c r="AB479" s="1">
        <v>4</v>
      </c>
    </row>
    <row r="480" spans="1:28" ht="12.75" customHeight="1" x14ac:dyDescent="0.15">
      <c r="A480" s="5">
        <v>346</v>
      </c>
      <c r="B480" s="5" t="s">
        <v>238</v>
      </c>
      <c r="C480" s="1">
        <v>12</v>
      </c>
      <c r="D480" s="5" t="s">
        <v>983</v>
      </c>
      <c r="E480" s="1">
        <v>0</v>
      </c>
      <c r="F480" s="5" t="s">
        <v>983</v>
      </c>
      <c r="G480" s="1">
        <v>4</v>
      </c>
      <c r="H480" s="5" t="s">
        <v>982</v>
      </c>
      <c r="I480" s="1">
        <v>2</v>
      </c>
      <c r="J480" s="5" t="s">
        <v>982</v>
      </c>
      <c r="K480" s="1">
        <v>6</v>
      </c>
      <c r="L480" s="5" t="s">
        <v>981</v>
      </c>
      <c r="M480" s="1">
        <v>0</v>
      </c>
      <c r="N480" s="5" t="s">
        <v>983</v>
      </c>
      <c r="O480" s="1">
        <v>0</v>
      </c>
      <c r="P480" s="5" t="s">
        <v>983</v>
      </c>
      <c r="Q480" s="1">
        <v>0</v>
      </c>
      <c r="R480" s="1">
        <v>0</v>
      </c>
      <c r="S480" s="1">
        <v>1</v>
      </c>
      <c r="T480" s="1">
        <v>1</v>
      </c>
      <c r="U480" s="1">
        <v>2</v>
      </c>
      <c r="V480" s="1">
        <v>1</v>
      </c>
      <c r="W480" s="1">
        <v>0</v>
      </c>
      <c r="X480" s="1">
        <v>1</v>
      </c>
      <c r="Z480" s="1">
        <v>6</v>
      </c>
      <c r="AB480" s="1">
        <v>7</v>
      </c>
    </row>
    <row r="481" spans="1:28" ht="12.75" customHeight="1" x14ac:dyDescent="0.15">
      <c r="A481" s="5">
        <v>241</v>
      </c>
      <c r="B481" s="5" t="s">
        <v>238</v>
      </c>
      <c r="C481" s="1">
        <v>27</v>
      </c>
      <c r="D481" s="5" t="s">
        <v>981</v>
      </c>
      <c r="E481" s="1">
        <v>6</v>
      </c>
      <c r="F481" s="5" t="s">
        <v>981</v>
      </c>
      <c r="G481" s="1">
        <v>4</v>
      </c>
      <c r="H481" s="5" t="s">
        <v>982</v>
      </c>
      <c r="I481" s="1">
        <v>7</v>
      </c>
      <c r="J481" s="5" t="s">
        <v>981</v>
      </c>
      <c r="K481" s="1">
        <v>2</v>
      </c>
      <c r="L481" s="5" t="s">
        <v>983</v>
      </c>
      <c r="M481" s="1">
        <v>1</v>
      </c>
      <c r="N481" s="5" t="s">
        <v>983</v>
      </c>
      <c r="O481" s="1">
        <v>0</v>
      </c>
      <c r="P481" s="5" t="s">
        <v>983</v>
      </c>
      <c r="Q481" s="1">
        <v>1</v>
      </c>
      <c r="R481" s="1">
        <v>0</v>
      </c>
      <c r="S481" s="1">
        <v>1</v>
      </c>
      <c r="T481" s="1">
        <v>1</v>
      </c>
      <c r="U481" s="1">
        <v>3</v>
      </c>
      <c r="V481" s="1">
        <v>3</v>
      </c>
      <c r="W481" s="1">
        <v>0</v>
      </c>
      <c r="X481" s="1">
        <v>0</v>
      </c>
      <c r="Z481" s="1">
        <v>6</v>
      </c>
      <c r="AB481" s="1">
        <v>2</v>
      </c>
    </row>
    <row r="482" spans="1:28" ht="12.75" customHeight="1" x14ac:dyDescent="0.15">
      <c r="A482" s="5">
        <v>316</v>
      </c>
      <c r="B482" s="5" t="s">
        <v>238</v>
      </c>
      <c r="C482" s="1">
        <v>23</v>
      </c>
      <c r="D482" s="5" t="s">
        <v>982</v>
      </c>
      <c r="E482" s="1">
        <v>3</v>
      </c>
      <c r="F482" s="5" t="s">
        <v>982</v>
      </c>
      <c r="G482" s="1">
        <v>8</v>
      </c>
      <c r="H482" s="5" t="s">
        <v>981</v>
      </c>
      <c r="I482" s="1">
        <v>16</v>
      </c>
      <c r="J482" s="5" t="s">
        <v>981</v>
      </c>
      <c r="K482" s="1">
        <v>2</v>
      </c>
      <c r="L482" s="5" t="s">
        <v>983</v>
      </c>
      <c r="M482" s="1">
        <v>6</v>
      </c>
      <c r="N482" s="5" t="s">
        <v>981</v>
      </c>
      <c r="O482" s="1">
        <v>0</v>
      </c>
      <c r="P482" s="5" t="s">
        <v>983</v>
      </c>
      <c r="Q482" s="1">
        <v>0</v>
      </c>
      <c r="R482" s="1">
        <v>0</v>
      </c>
      <c r="S482" s="1">
        <v>0</v>
      </c>
      <c r="T482" s="1">
        <v>1</v>
      </c>
      <c r="U482" s="1">
        <v>2</v>
      </c>
      <c r="V482" s="1">
        <v>3</v>
      </c>
      <c r="W482" s="1">
        <v>0</v>
      </c>
      <c r="X482" s="1">
        <v>0</v>
      </c>
      <c r="Z482" s="1">
        <v>6</v>
      </c>
      <c r="AB482" s="1">
        <v>2</v>
      </c>
    </row>
    <row r="483" spans="1:28" ht="12.75" customHeight="1" x14ac:dyDescent="0.15">
      <c r="A483" s="5">
        <v>240</v>
      </c>
      <c r="B483" s="5" t="s">
        <v>238</v>
      </c>
      <c r="C483" s="1">
        <v>14</v>
      </c>
      <c r="D483" s="5" t="s">
        <v>983</v>
      </c>
      <c r="E483" s="1">
        <v>5</v>
      </c>
      <c r="F483" s="5" t="s">
        <v>981</v>
      </c>
      <c r="G483" s="1">
        <v>4</v>
      </c>
      <c r="H483" s="5" t="s">
        <v>982</v>
      </c>
      <c r="I483" s="1">
        <v>4</v>
      </c>
      <c r="J483" s="5" t="s">
        <v>982</v>
      </c>
      <c r="K483" s="1">
        <v>2</v>
      </c>
      <c r="L483" s="5" t="s">
        <v>983</v>
      </c>
      <c r="M483" s="1">
        <v>0</v>
      </c>
      <c r="N483" s="5" t="s">
        <v>983</v>
      </c>
      <c r="O483" s="1">
        <v>0</v>
      </c>
      <c r="P483" s="5" t="s">
        <v>983</v>
      </c>
      <c r="Q483" s="1">
        <v>0</v>
      </c>
      <c r="R483" s="1">
        <v>0</v>
      </c>
      <c r="S483" s="1" t="s">
        <v>194</v>
      </c>
      <c r="T483" s="1">
        <v>1</v>
      </c>
      <c r="U483" s="1">
        <v>3</v>
      </c>
      <c r="V483" s="1">
        <v>2</v>
      </c>
      <c r="W483" s="1">
        <v>0</v>
      </c>
      <c r="X483" s="1">
        <v>0</v>
      </c>
      <c r="Z483" s="1">
        <v>6</v>
      </c>
      <c r="AB483" s="1">
        <v>2</v>
      </c>
    </row>
    <row r="484" spans="1:28" ht="12.75" customHeight="1" x14ac:dyDescent="0.15">
      <c r="A484" s="5">
        <v>500</v>
      </c>
      <c r="B484" s="5" t="s">
        <v>984</v>
      </c>
      <c r="C484" s="1">
        <v>15</v>
      </c>
      <c r="D484" s="5" t="s">
        <v>983</v>
      </c>
      <c r="E484" s="1">
        <v>3</v>
      </c>
      <c r="F484" s="5" t="s">
        <v>982</v>
      </c>
      <c r="G484" s="1">
        <v>5</v>
      </c>
      <c r="H484" s="5" t="s">
        <v>982</v>
      </c>
      <c r="I484" s="1">
        <v>1</v>
      </c>
      <c r="J484" s="5" t="s">
        <v>982</v>
      </c>
      <c r="K484" s="1">
        <v>0</v>
      </c>
      <c r="L484" s="5" t="s">
        <v>983</v>
      </c>
      <c r="M484" s="1">
        <v>2</v>
      </c>
      <c r="N484" s="5" t="s">
        <v>983</v>
      </c>
      <c r="O484" s="1">
        <v>5</v>
      </c>
      <c r="P484" s="5" t="s">
        <v>982</v>
      </c>
      <c r="Q484" s="1">
        <v>0</v>
      </c>
      <c r="R484" s="1">
        <v>0</v>
      </c>
      <c r="S484" s="1">
        <v>1</v>
      </c>
      <c r="T484" s="1">
        <v>1</v>
      </c>
      <c r="U484" s="1">
        <v>3</v>
      </c>
      <c r="V484" s="1">
        <v>2</v>
      </c>
      <c r="W484" s="1">
        <v>0</v>
      </c>
      <c r="X484" s="1">
        <v>0</v>
      </c>
      <c r="Z484" s="1">
        <v>6</v>
      </c>
      <c r="AB484" s="1">
        <v>1</v>
      </c>
    </row>
    <row r="485" spans="1:28" ht="12.75" customHeight="1" x14ac:dyDescent="0.15">
      <c r="A485" s="5">
        <v>225</v>
      </c>
      <c r="B485" s="5" t="s">
        <v>238</v>
      </c>
      <c r="C485" s="1">
        <v>24</v>
      </c>
      <c r="D485" s="5" t="s">
        <v>981</v>
      </c>
      <c r="E485" s="1">
        <v>9</v>
      </c>
      <c r="F485" s="5" t="s">
        <v>981</v>
      </c>
      <c r="G485" s="1">
        <v>9</v>
      </c>
      <c r="H485" s="5" t="s">
        <v>981</v>
      </c>
      <c r="I485" s="1">
        <v>4</v>
      </c>
      <c r="J485" s="5" t="s">
        <v>982</v>
      </c>
      <c r="K485" s="1">
        <v>9</v>
      </c>
      <c r="L485" s="5" t="s">
        <v>981</v>
      </c>
      <c r="M485" s="1">
        <v>9</v>
      </c>
      <c r="N485" s="5" t="s">
        <v>981</v>
      </c>
      <c r="O485" s="1">
        <v>0</v>
      </c>
      <c r="P485" s="5" t="s">
        <v>983</v>
      </c>
      <c r="Q485" s="1">
        <v>1</v>
      </c>
      <c r="R485" s="1">
        <v>0</v>
      </c>
      <c r="S485" s="1">
        <v>1</v>
      </c>
      <c r="T485" s="1">
        <v>1</v>
      </c>
      <c r="U485" s="1" t="s">
        <v>194</v>
      </c>
      <c r="V485" s="1">
        <v>1</v>
      </c>
      <c r="W485" s="1">
        <v>0</v>
      </c>
      <c r="X485" s="1">
        <v>0</v>
      </c>
      <c r="Z485" s="1">
        <v>6</v>
      </c>
      <c r="AB485" s="1">
        <v>1</v>
      </c>
    </row>
    <row r="486" spans="1:28" ht="12.75" customHeight="1" x14ac:dyDescent="0.15">
      <c r="A486" s="5">
        <v>357</v>
      </c>
      <c r="B486" s="5" t="s">
        <v>238</v>
      </c>
      <c r="C486" s="1">
        <v>28</v>
      </c>
      <c r="D486" s="5" t="s">
        <v>981</v>
      </c>
      <c r="E486" s="1">
        <v>6</v>
      </c>
      <c r="F486" s="5" t="s">
        <v>981</v>
      </c>
      <c r="G486" s="1">
        <v>6</v>
      </c>
      <c r="H486" s="5" t="s">
        <v>981</v>
      </c>
      <c r="I486" s="1">
        <v>8</v>
      </c>
      <c r="J486" s="5" t="s">
        <v>981</v>
      </c>
      <c r="K486" s="1">
        <v>6</v>
      </c>
      <c r="L486" s="5" t="s">
        <v>981</v>
      </c>
      <c r="M486" s="1">
        <v>6</v>
      </c>
      <c r="N486" s="5" t="s">
        <v>981</v>
      </c>
      <c r="O486" s="1">
        <v>0</v>
      </c>
      <c r="P486" s="5" t="s">
        <v>983</v>
      </c>
      <c r="Q486" s="1">
        <v>0</v>
      </c>
      <c r="R486" s="1">
        <v>0</v>
      </c>
      <c r="S486" s="1" t="s">
        <v>194</v>
      </c>
      <c r="T486" s="1">
        <v>0</v>
      </c>
      <c r="U486" s="1" t="s">
        <v>194</v>
      </c>
      <c r="V486" s="1" t="s">
        <v>194</v>
      </c>
      <c r="W486" s="1">
        <v>0</v>
      </c>
      <c r="X486" s="1">
        <v>0</v>
      </c>
      <c r="Z486" s="1">
        <v>5</v>
      </c>
      <c r="AB486" s="1">
        <v>8</v>
      </c>
    </row>
    <row r="487" spans="1:28" ht="12.75" customHeight="1" x14ac:dyDescent="0.15">
      <c r="A487" s="5">
        <v>358</v>
      </c>
      <c r="B487" s="5" t="s">
        <v>238</v>
      </c>
      <c r="C487" s="1">
        <v>29</v>
      </c>
      <c r="D487" s="5" t="s">
        <v>981</v>
      </c>
      <c r="E487" s="1">
        <v>6</v>
      </c>
      <c r="F487" s="5" t="s">
        <v>981</v>
      </c>
      <c r="G487" s="1">
        <v>6</v>
      </c>
      <c r="H487" s="5" t="s">
        <v>981</v>
      </c>
      <c r="I487" s="1">
        <v>8</v>
      </c>
      <c r="J487" s="5" t="s">
        <v>981</v>
      </c>
      <c r="K487" s="1">
        <v>6</v>
      </c>
      <c r="L487" s="5" t="s">
        <v>981</v>
      </c>
      <c r="M487" s="1">
        <v>6</v>
      </c>
      <c r="N487" s="5" t="s">
        <v>981</v>
      </c>
      <c r="O487" s="1">
        <v>3</v>
      </c>
      <c r="P487" s="5" t="s">
        <v>982</v>
      </c>
      <c r="Q487" s="1">
        <v>1</v>
      </c>
      <c r="R487" s="1">
        <v>0</v>
      </c>
      <c r="S487" s="1">
        <v>1</v>
      </c>
      <c r="T487" s="1">
        <v>1</v>
      </c>
      <c r="U487" s="1">
        <v>5</v>
      </c>
      <c r="V487" s="1">
        <v>5</v>
      </c>
      <c r="W487" s="1">
        <v>0</v>
      </c>
      <c r="X487" s="1">
        <v>0</v>
      </c>
      <c r="Z487" s="1">
        <v>5</v>
      </c>
      <c r="AB487" s="1">
        <v>8</v>
      </c>
    </row>
    <row r="488" spans="1:28" ht="12.75" customHeight="1" x14ac:dyDescent="0.15">
      <c r="A488" s="5">
        <v>385</v>
      </c>
      <c r="B488" s="5" t="s">
        <v>984</v>
      </c>
      <c r="C488" s="1">
        <v>34</v>
      </c>
      <c r="D488" s="5" t="s">
        <v>981</v>
      </c>
      <c r="E488" s="1">
        <v>5</v>
      </c>
      <c r="F488" s="5" t="s">
        <v>981</v>
      </c>
      <c r="G488" s="1">
        <v>11</v>
      </c>
      <c r="H488" s="5" t="s">
        <v>981</v>
      </c>
      <c r="I488" s="1">
        <v>15</v>
      </c>
      <c r="J488" s="5" t="s">
        <v>981</v>
      </c>
      <c r="K488" s="1">
        <v>6</v>
      </c>
      <c r="L488" s="5" t="s">
        <v>981</v>
      </c>
      <c r="M488" s="1">
        <v>11</v>
      </c>
      <c r="N488" s="5" t="s">
        <v>981</v>
      </c>
      <c r="O488" s="1">
        <v>11</v>
      </c>
      <c r="P488" s="5" t="s">
        <v>982</v>
      </c>
      <c r="Q488" s="1">
        <v>1</v>
      </c>
      <c r="R488" s="1">
        <v>0</v>
      </c>
      <c r="S488" s="1">
        <v>1</v>
      </c>
      <c r="T488" s="1">
        <v>1</v>
      </c>
      <c r="U488" s="1">
        <v>2</v>
      </c>
      <c r="V488" s="1">
        <v>1</v>
      </c>
      <c r="W488" s="1">
        <v>0</v>
      </c>
      <c r="X488" s="1">
        <v>1</v>
      </c>
      <c r="Z488" s="1">
        <v>4</v>
      </c>
      <c r="AB488" s="1">
        <v>7</v>
      </c>
    </row>
    <row r="489" spans="1:28" ht="12.75" customHeight="1" x14ac:dyDescent="0.15">
      <c r="A489" s="5">
        <v>46</v>
      </c>
      <c r="B489" s="5" t="s">
        <v>238</v>
      </c>
      <c r="C489" s="1">
        <v>19</v>
      </c>
      <c r="D489" s="5" t="s">
        <v>982</v>
      </c>
      <c r="E489" s="1">
        <v>1</v>
      </c>
      <c r="F489" s="5" t="s">
        <v>983</v>
      </c>
      <c r="G489" s="1">
        <v>5</v>
      </c>
      <c r="H489" s="5" t="s">
        <v>982</v>
      </c>
      <c r="I489" s="1">
        <v>0</v>
      </c>
      <c r="J489" s="5" t="s">
        <v>983</v>
      </c>
      <c r="K489" s="1">
        <v>0</v>
      </c>
      <c r="L489" s="5" t="s">
        <v>983</v>
      </c>
      <c r="M489" s="1">
        <v>0</v>
      </c>
      <c r="N489" s="5" t="s">
        <v>983</v>
      </c>
      <c r="O489" s="1">
        <v>0</v>
      </c>
      <c r="P489" s="5" t="s">
        <v>983</v>
      </c>
      <c r="Q489" s="1">
        <v>0</v>
      </c>
      <c r="R489" s="1">
        <v>0</v>
      </c>
      <c r="S489" s="1" t="s">
        <v>194</v>
      </c>
      <c r="T489" s="1">
        <v>1</v>
      </c>
      <c r="U489" s="1" t="s">
        <v>194</v>
      </c>
      <c r="V489" s="1">
        <v>4</v>
      </c>
      <c r="W489" s="1">
        <v>0</v>
      </c>
      <c r="X489" s="1">
        <v>1</v>
      </c>
      <c r="Z489" s="1">
        <v>3</v>
      </c>
      <c r="AB489" s="1">
        <v>2</v>
      </c>
    </row>
    <row r="490" spans="1:28" ht="12.75" customHeight="1" x14ac:dyDescent="0.15">
      <c r="A490" s="5">
        <v>438</v>
      </c>
      <c r="B490" s="5" t="s">
        <v>238</v>
      </c>
      <c r="C490" s="1">
        <v>22</v>
      </c>
      <c r="D490" s="5" t="s">
        <v>982</v>
      </c>
      <c r="E490" s="1">
        <v>6</v>
      </c>
      <c r="F490" s="5" t="s">
        <v>981</v>
      </c>
      <c r="G490" s="1">
        <v>6</v>
      </c>
      <c r="H490" s="5" t="s">
        <v>981</v>
      </c>
      <c r="I490" s="1">
        <v>8</v>
      </c>
      <c r="J490" s="5" t="s">
        <v>981</v>
      </c>
      <c r="K490" s="1">
        <v>6</v>
      </c>
      <c r="L490" s="5" t="s">
        <v>981</v>
      </c>
      <c r="M490" s="1">
        <v>6</v>
      </c>
      <c r="N490" s="5" t="s">
        <v>981</v>
      </c>
      <c r="O490" s="1">
        <v>0</v>
      </c>
      <c r="P490" s="5" t="s">
        <v>983</v>
      </c>
      <c r="Q490" s="1">
        <v>1</v>
      </c>
      <c r="R490" s="1">
        <v>0</v>
      </c>
      <c r="S490" s="1" t="s">
        <v>194</v>
      </c>
      <c r="T490" s="1">
        <v>1</v>
      </c>
      <c r="U490" s="1">
        <v>5</v>
      </c>
      <c r="V490" s="1">
        <v>4</v>
      </c>
      <c r="W490" s="1">
        <v>0</v>
      </c>
      <c r="X490" s="1">
        <v>1</v>
      </c>
      <c r="Z490" s="1">
        <v>3</v>
      </c>
      <c r="AB490" s="1">
        <v>3</v>
      </c>
    </row>
    <row r="491" spans="1:28" ht="12.75" customHeight="1" x14ac:dyDescent="0.15">
      <c r="A491" s="5">
        <v>386</v>
      </c>
      <c r="B491" s="5" t="s">
        <v>984</v>
      </c>
      <c r="C491" s="1">
        <v>18</v>
      </c>
      <c r="D491" s="5" t="s">
        <v>983</v>
      </c>
      <c r="E491" s="1">
        <v>0</v>
      </c>
      <c r="F491" s="5" t="s">
        <v>983</v>
      </c>
      <c r="G491" s="1">
        <v>0</v>
      </c>
      <c r="H491" s="5" t="s">
        <v>983</v>
      </c>
      <c r="I491" s="1">
        <v>16</v>
      </c>
      <c r="J491" s="5" t="s">
        <v>981</v>
      </c>
      <c r="K491" s="1">
        <v>0</v>
      </c>
      <c r="L491" s="5" t="s">
        <v>983</v>
      </c>
      <c r="M491" s="1">
        <v>0</v>
      </c>
      <c r="N491" s="5" t="s">
        <v>983</v>
      </c>
      <c r="O491" s="1">
        <v>0</v>
      </c>
      <c r="P491" s="5" t="s">
        <v>983</v>
      </c>
      <c r="Q491" s="1">
        <v>1</v>
      </c>
      <c r="R491" s="1">
        <v>0</v>
      </c>
      <c r="S491" s="1" t="s">
        <v>194</v>
      </c>
      <c r="T491" s="1">
        <v>1</v>
      </c>
      <c r="U491" s="1">
        <v>3</v>
      </c>
      <c r="V491" s="1">
        <v>2</v>
      </c>
      <c r="W491" s="1">
        <v>0</v>
      </c>
      <c r="X491" s="1">
        <v>1</v>
      </c>
      <c r="Z491" s="1">
        <v>3</v>
      </c>
      <c r="AB491" s="1">
        <v>3</v>
      </c>
    </row>
    <row r="492" spans="1:28" ht="12.75" customHeight="1" x14ac:dyDescent="0.15">
      <c r="A492" s="5">
        <v>166</v>
      </c>
      <c r="B492" s="5" t="s">
        <v>984</v>
      </c>
      <c r="C492" s="1">
        <v>15</v>
      </c>
      <c r="D492" s="5" t="s">
        <v>983</v>
      </c>
      <c r="E492" s="1">
        <v>1</v>
      </c>
      <c r="F492" s="5" t="s">
        <v>983</v>
      </c>
      <c r="G492" s="1">
        <v>0</v>
      </c>
      <c r="H492" s="5" t="s">
        <v>983</v>
      </c>
      <c r="I492" s="1">
        <v>0</v>
      </c>
      <c r="J492" s="5" t="s">
        <v>983</v>
      </c>
      <c r="K492" s="1">
        <v>2</v>
      </c>
      <c r="L492" s="5" t="s">
        <v>983</v>
      </c>
      <c r="M492" s="1">
        <v>0</v>
      </c>
      <c r="N492" s="5" t="s">
        <v>983</v>
      </c>
      <c r="O492" s="1">
        <v>0</v>
      </c>
      <c r="P492" s="5" t="s">
        <v>983</v>
      </c>
      <c r="Q492" s="1">
        <v>1</v>
      </c>
      <c r="R492" s="1">
        <v>0</v>
      </c>
      <c r="S492" s="1" t="s">
        <v>194</v>
      </c>
      <c r="T492" s="1">
        <v>1</v>
      </c>
      <c r="U492" s="1">
        <v>2</v>
      </c>
      <c r="V492" s="1">
        <v>1</v>
      </c>
      <c r="W492" s="1">
        <v>0</v>
      </c>
      <c r="X492" s="1">
        <v>1</v>
      </c>
      <c r="Z492" s="1">
        <v>3</v>
      </c>
      <c r="AB492" s="1">
        <v>3</v>
      </c>
    </row>
    <row r="493" spans="1:28" ht="12.75" customHeight="1" x14ac:dyDescent="0.15">
      <c r="A493" s="5">
        <v>145</v>
      </c>
      <c r="B493" s="5" t="s">
        <v>238</v>
      </c>
      <c r="C493" s="1">
        <v>31</v>
      </c>
      <c r="D493" s="5" t="s">
        <v>981</v>
      </c>
      <c r="E493" s="1">
        <v>5</v>
      </c>
      <c r="F493" s="5" t="s">
        <v>981</v>
      </c>
      <c r="G493" s="1">
        <v>6</v>
      </c>
      <c r="H493" s="5" t="s">
        <v>981</v>
      </c>
      <c r="I493" s="1">
        <v>2</v>
      </c>
      <c r="J493" s="5" t="s">
        <v>982</v>
      </c>
      <c r="K493" s="1">
        <v>0</v>
      </c>
      <c r="L493" s="5" t="s">
        <v>983</v>
      </c>
      <c r="M493" s="1">
        <v>12</v>
      </c>
      <c r="N493" s="5" t="s">
        <v>981</v>
      </c>
      <c r="O493" s="1">
        <v>1</v>
      </c>
      <c r="P493" s="5" t="s">
        <v>982</v>
      </c>
      <c r="Q493" s="1">
        <v>0</v>
      </c>
      <c r="R493" s="1">
        <v>0</v>
      </c>
      <c r="S493" s="1" t="s">
        <v>194</v>
      </c>
      <c r="T493" s="1">
        <v>1</v>
      </c>
      <c r="U493" s="1">
        <v>3</v>
      </c>
      <c r="V493" s="1">
        <v>4</v>
      </c>
      <c r="W493" s="1">
        <v>0</v>
      </c>
      <c r="X493" s="1">
        <v>0</v>
      </c>
      <c r="Z493" s="1">
        <v>3</v>
      </c>
      <c r="AB493" s="1">
        <v>2</v>
      </c>
    </row>
    <row r="494" spans="1:28" ht="12.75" customHeight="1" x14ac:dyDescent="0.15">
      <c r="A494" s="5">
        <v>144</v>
      </c>
      <c r="B494" s="5" t="s">
        <v>984</v>
      </c>
      <c r="C494" s="1">
        <v>35</v>
      </c>
      <c r="D494" s="5" t="s">
        <v>981</v>
      </c>
      <c r="E494" s="1">
        <v>4</v>
      </c>
      <c r="F494" s="5" t="s">
        <v>982</v>
      </c>
      <c r="G494" s="1">
        <v>3</v>
      </c>
      <c r="H494" s="5" t="s">
        <v>982</v>
      </c>
      <c r="I494" s="1">
        <v>8</v>
      </c>
      <c r="J494" s="5" t="s">
        <v>981</v>
      </c>
      <c r="K494" s="1">
        <v>5</v>
      </c>
      <c r="L494" s="5" t="s">
        <v>982</v>
      </c>
      <c r="M494" s="1">
        <v>7</v>
      </c>
      <c r="N494" s="5" t="s">
        <v>981</v>
      </c>
      <c r="O494" s="1">
        <v>3</v>
      </c>
      <c r="P494" s="5" t="s">
        <v>982</v>
      </c>
      <c r="Q494" s="1">
        <v>0</v>
      </c>
      <c r="R494" s="1">
        <v>0</v>
      </c>
      <c r="S494" s="1" t="s">
        <v>194</v>
      </c>
      <c r="T494" s="1">
        <v>1</v>
      </c>
      <c r="U494" s="1">
        <v>1</v>
      </c>
      <c r="V494" s="1">
        <v>2</v>
      </c>
      <c r="W494" s="1">
        <v>0</v>
      </c>
      <c r="X494" s="1">
        <v>0</v>
      </c>
      <c r="Z494" s="1">
        <v>3</v>
      </c>
      <c r="AB494" s="1">
        <v>3</v>
      </c>
    </row>
    <row r="495" spans="1:28" ht="12.75" customHeight="1" x14ac:dyDescent="0.15">
      <c r="A495" s="5">
        <v>396</v>
      </c>
      <c r="B495" s="5" t="s">
        <v>238</v>
      </c>
      <c r="C495" s="1">
        <v>15</v>
      </c>
      <c r="D495" s="5" t="s">
        <v>983</v>
      </c>
      <c r="E495" s="1">
        <v>3</v>
      </c>
      <c r="F495" s="5" t="s">
        <v>982</v>
      </c>
      <c r="G495" s="1">
        <v>3</v>
      </c>
      <c r="H495" s="5" t="s">
        <v>982</v>
      </c>
      <c r="I495" s="1">
        <v>15</v>
      </c>
      <c r="J495" s="5" t="s">
        <v>981</v>
      </c>
      <c r="K495" s="1">
        <v>0</v>
      </c>
      <c r="L495" s="5" t="s">
        <v>983</v>
      </c>
      <c r="M495" s="1">
        <v>0</v>
      </c>
      <c r="N495" s="5" t="s">
        <v>983</v>
      </c>
      <c r="O495" s="1">
        <v>0</v>
      </c>
      <c r="P495" s="5" t="s">
        <v>983</v>
      </c>
      <c r="Q495" s="1">
        <v>1</v>
      </c>
      <c r="R495" s="1">
        <v>0</v>
      </c>
      <c r="S495" s="1">
        <v>1</v>
      </c>
      <c r="T495" s="1">
        <v>1</v>
      </c>
      <c r="U495" s="1">
        <v>5</v>
      </c>
      <c r="V495" s="1">
        <v>5</v>
      </c>
      <c r="W495" s="1">
        <v>0</v>
      </c>
      <c r="X495" s="1">
        <v>1</v>
      </c>
      <c r="Z495" s="1">
        <v>2</v>
      </c>
      <c r="AB495" s="1">
        <v>3</v>
      </c>
    </row>
    <row r="496" spans="1:28" ht="12.75" customHeight="1" x14ac:dyDescent="0.15">
      <c r="A496" s="5">
        <v>139</v>
      </c>
      <c r="B496" s="5" t="s">
        <v>238</v>
      </c>
      <c r="C496" s="1">
        <v>15</v>
      </c>
      <c r="D496" s="5" t="s">
        <v>983</v>
      </c>
      <c r="E496" s="1">
        <v>1</v>
      </c>
      <c r="F496" s="5" t="s">
        <v>983</v>
      </c>
      <c r="G496" s="1">
        <v>2</v>
      </c>
      <c r="H496" s="5" t="s">
        <v>982</v>
      </c>
      <c r="I496" s="1">
        <v>16</v>
      </c>
      <c r="J496" s="5" t="s">
        <v>981</v>
      </c>
      <c r="K496" s="1">
        <v>0</v>
      </c>
      <c r="L496" s="5" t="s">
        <v>983</v>
      </c>
      <c r="M496" s="1">
        <v>0</v>
      </c>
      <c r="N496" s="5" t="s">
        <v>983</v>
      </c>
      <c r="O496" s="1">
        <v>0</v>
      </c>
      <c r="P496" s="5" t="s">
        <v>983</v>
      </c>
      <c r="Q496" s="1">
        <v>0</v>
      </c>
      <c r="R496" s="1">
        <v>0</v>
      </c>
      <c r="S496" s="1" t="s">
        <v>194</v>
      </c>
      <c r="T496" s="1">
        <v>1</v>
      </c>
      <c r="U496" s="1">
        <v>5</v>
      </c>
      <c r="V496" s="1">
        <v>4</v>
      </c>
      <c r="W496" s="1">
        <v>0</v>
      </c>
      <c r="X496" s="1">
        <v>0</v>
      </c>
      <c r="Z496" s="1">
        <v>2</v>
      </c>
      <c r="AB496" s="1">
        <v>3</v>
      </c>
    </row>
    <row r="497" spans="1:28" ht="12.75" customHeight="1" x14ac:dyDescent="0.15">
      <c r="A497" s="5">
        <v>458</v>
      </c>
      <c r="B497" s="5" t="s">
        <v>238</v>
      </c>
      <c r="C497" s="1">
        <v>24</v>
      </c>
      <c r="D497" s="5" t="s">
        <v>981</v>
      </c>
      <c r="E497" s="1">
        <v>8</v>
      </c>
      <c r="F497" s="5" t="s">
        <v>981</v>
      </c>
      <c r="G497" s="1">
        <v>2</v>
      </c>
      <c r="H497" s="5" t="s">
        <v>982</v>
      </c>
      <c r="I497" s="1">
        <v>10</v>
      </c>
      <c r="J497" s="5" t="s">
        <v>981</v>
      </c>
      <c r="K497" s="1">
        <v>0</v>
      </c>
      <c r="L497" s="5" t="s">
        <v>983</v>
      </c>
      <c r="M497" s="1">
        <v>0</v>
      </c>
      <c r="N497" s="5" t="s">
        <v>983</v>
      </c>
      <c r="O497" s="1">
        <v>0</v>
      </c>
      <c r="P497" s="5" t="s">
        <v>983</v>
      </c>
      <c r="Q497" s="1">
        <v>0</v>
      </c>
      <c r="R497" s="1">
        <v>0</v>
      </c>
      <c r="S497" s="1" t="s">
        <v>194</v>
      </c>
      <c r="T497" s="1">
        <v>1</v>
      </c>
      <c r="U497" s="1" t="s">
        <v>194</v>
      </c>
      <c r="V497" s="1">
        <v>2</v>
      </c>
      <c r="W497" s="1">
        <v>0</v>
      </c>
      <c r="X497" s="1">
        <v>0</v>
      </c>
      <c r="Z497" s="1">
        <v>2</v>
      </c>
      <c r="AB497" s="1">
        <v>3</v>
      </c>
    </row>
    <row r="498" spans="1:28" ht="12.75" customHeight="1" x14ac:dyDescent="0.15">
      <c r="A498" s="5">
        <v>496</v>
      </c>
      <c r="B498" s="5" t="s">
        <v>238</v>
      </c>
      <c r="C498" s="1">
        <v>26</v>
      </c>
      <c r="D498" s="5" t="s">
        <v>981</v>
      </c>
      <c r="E498" s="1">
        <v>9</v>
      </c>
      <c r="F498" s="5" t="s">
        <v>981</v>
      </c>
      <c r="G498" s="1">
        <v>8</v>
      </c>
      <c r="H498" s="5" t="s">
        <v>981</v>
      </c>
      <c r="I498" s="1">
        <v>12</v>
      </c>
      <c r="J498" s="5" t="s">
        <v>981</v>
      </c>
      <c r="K498" s="1">
        <v>12</v>
      </c>
      <c r="L498" s="5" t="s">
        <v>981</v>
      </c>
      <c r="M498" s="1">
        <v>9</v>
      </c>
      <c r="N498" s="5" t="s">
        <v>981</v>
      </c>
      <c r="O498" s="1">
        <v>2</v>
      </c>
      <c r="P498" s="5" t="s">
        <v>982</v>
      </c>
      <c r="Q498" s="1">
        <v>1</v>
      </c>
      <c r="R498" s="1">
        <v>0</v>
      </c>
      <c r="S498" s="1">
        <v>1</v>
      </c>
      <c r="T498" s="1">
        <v>1</v>
      </c>
      <c r="U498" s="1">
        <v>5</v>
      </c>
      <c r="V498" s="1">
        <v>4</v>
      </c>
      <c r="W498" s="1">
        <v>0</v>
      </c>
      <c r="X498" s="1">
        <v>1</v>
      </c>
      <c r="Z498" s="1">
        <v>1</v>
      </c>
      <c r="AB498" s="1">
        <v>2</v>
      </c>
    </row>
    <row r="499" spans="1:28" ht="12.75" customHeight="1" x14ac:dyDescent="0.15">
      <c r="A499" s="5">
        <v>398</v>
      </c>
      <c r="B499" s="5" t="s">
        <v>984</v>
      </c>
      <c r="C499" s="1">
        <v>29</v>
      </c>
      <c r="D499" s="5" t="s">
        <v>981</v>
      </c>
      <c r="E499" s="1">
        <v>6</v>
      </c>
      <c r="F499" s="5" t="s">
        <v>981</v>
      </c>
      <c r="G499" s="1">
        <v>8</v>
      </c>
      <c r="H499" s="5" t="s">
        <v>981</v>
      </c>
      <c r="I499" s="1">
        <v>5</v>
      </c>
      <c r="J499" s="5" t="s">
        <v>981</v>
      </c>
      <c r="K499" s="1">
        <v>7</v>
      </c>
      <c r="L499" s="5" t="s">
        <v>981</v>
      </c>
      <c r="M499" s="1">
        <v>9</v>
      </c>
      <c r="N499" s="5" t="s">
        <v>981</v>
      </c>
      <c r="O499" s="1">
        <v>0</v>
      </c>
      <c r="P499" s="5" t="s">
        <v>983</v>
      </c>
      <c r="Q499" s="1">
        <v>1</v>
      </c>
      <c r="R499" s="1">
        <v>0</v>
      </c>
      <c r="S499" s="1" t="s">
        <v>194</v>
      </c>
      <c r="T499" s="1">
        <v>1</v>
      </c>
      <c r="U499" s="1" t="s">
        <v>194</v>
      </c>
      <c r="V499" s="1">
        <v>3</v>
      </c>
      <c r="W499" s="1">
        <v>0</v>
      </c>
      <c r="X499" s="1">
        <v>1</v>
      </c>
      <c r="Z499" s="1">
        <v>1</v>
      </c>
      <c r="AB499" s="1">
        <v>2</v>
      </c>
    </row>
    <row r="500" spans="1:28" ht="12.75" customHeight="1" x14ac:dyDescent="0.15">
      <c r="A500" s="5">
        <v>469</v>
      </c>
      <c r="B500" s="5" t="s">
        <v>984</v>
      </c>
      <c r="C500" s="1">
        <v>30</v>
      </c>
      <c r="D500" s="5" t="s">
        <v>981</v>
      </c>
      <c r="E500" s="1">
        <v>3</v>
      </c>
      <c r="F500" s="5" t="s">
        <v>982</v>
      </c>
      <c r="G500" s="1">
        <v>1</v>
      </c>
      <c r="H500" s="5" t="s">
        <v>983</v>
      </c>
      <c r="I500" s="1">
        <v>16</v>
      </c>
      <c r="J500" s="5" t="s">
        <v>981</v>
      </c>
      <c r="K500" s="1">
        <v>0</v>
      </c>
      <c r="L500" s="5" t="s">
        <v>983</v>
      </c>
      <c r="M500" s="1">
        <v>0</v>
      </c>
      <c r="N500" s="5" t="s">
        <v>983</v>
      </c>
      <c r="O500" s="1">
        <v>0</v>
      </c>
      <c r="P500" s="5" t="s">
        <v>983</v>
      </c>
      <c r="Q500" s="1">
        <v>1</v>
      </c>
      <c r="R500" s="1">
        <v>0</v>
      </c>
      <c r="S500" s="1">
        <v>1</v>
      </c>
      <c r="T500" s="1">
        <v>1</v>
      </c>
      <c r="U500" s="1">
        <v>4</v>
      </c>
      <c r="V500" s="1">
        <v>3</v>
      </c>
      <c r="W500" s="1">
        <v>0</v>
      </c>
      <c r="X500" s="1">
        <v>0</v>
      </c>
      <c r="Z500" s="1">
        <v>1</v>
      </c>
      <c r="AB500" s="1">
        <v>1</v>
      </c>
    </row>
    <row r="501" spans="1:28" ht="12.75" customHeight="1" x14ac:dyDescent="0.15">
      <c r="A501" s="5">
        <v>266</v>
      </c>
      <c r="B501" s="5" t="s">
        <v>238</v>
      </c>
      <c r="C501" s="1">
        <v>19</v>
      </c>
      <c r="D501" s="5" t="s">
        <v>982</v>
      </c>
      <c r="E501" s="1">
        <v>3</v>
      </c>
      <c r="F501" s="5" t="s">
        <v>982</v>
      </c>
      <c r="G501" s="1">
        <v>2</v>
      </c>
      <c r="H501" s="5" t="s">
        <v>982</v>
      </c>
      <c r="I501" s="1">
        <v>0</v>
      </c>
      <c r="J501" s="5" t="s">
        <v>983</v>
      </c>
      <c r="K501" s="1">
        <v>0</v>
      </c>
      <c r="L501" s="5" t="s">
        <v>983</v>
      </c>
      <c r="M501" s="1">
        <v>0</v>
      </c>
      <c r="N501" s="5" t="s">
        <v>983</v>
      </c>
      <c r="O501" s="1">
        <v>0</v>
      </c>
      <c r="P501" s="5" t="s">
        <v>983</v>
      </c>
      <c r="Q501" s="1">
        <v>1</v>
      </c>
      <c r="R501" s="1">
        <v>0</v>
      </c>
      <c r="S501" s="1">
        <v>1</v>
      </c>
      <c r="T501" s="1">
        <v>1</v>
      </c>
      <c r="U501" s="1">
        <v>3</v>
      </c>
      <c r="V501" s="1">
        <v>3</v>
      </c>
      <c r="W501" s="1">
        <v>0</v>
      </c>
      <c r="X501" s="1">
        <v>0</v>
      </c>
      <c r="Z501" s="1">
        <v>1</v>
      </c>
      <c r="AB501" s="1">
        <v>4</v>
      </c>
    </row>
    <row r="502" spans="1:28" ht="12.75" customHeight="1" x14ac:dyDescent="0.15">
      <c r="A502" s="5">
        <v>449</v>
      </c>
      <c r="B502" s="5" t="s">
        <v>238</v>
      </c>
      <c r="C502" s="1">
        <v>26</v>
      </c>
      <c r="D502" s="5" t="s">
        <v>981</v>
      </c>
      <c r="E502" s="1">
        <v>7</v>
      </c>
      <c r="F502" s="5" t="s">
        <v>981</v>
      </c>
      <c r="G502" s="1">
        <v>6</v>
      </c>
      <c r="H502" s="5" t="s">
        <v>981</v>
      </c>
      <c r="I502" s="1">
        <v>14</v>
      </c>
      <c r="J502" s="5" t="s">
        <v>981</v>
      </c>
      <c r="K502" s="1">
        <v>3</v>
      </c>
      <c r="L502" s="5" t="s">
        <v>982</v>
      </c>
      <c r="M502" s="1">
        <v>3</v>
      </c>
      <c r="N502" s="5" t="s">
        <v>982</v>
      </c>
      <c r="O502" s="1">
        <v>0</v>
      </c>
      <c r="P502" s="5" t="s">
        <v>983</v>
      </c>
      <c r="Q502" s="1">
        <v>0</v>
      </c>
      <c r="R502" s="1">
        <v>1</v>
      </c>
      <c r="S502" s="1" t="s">
        <v>194</v>
      </c>
      <c r="T502" s="1">
        <v>1</v>
      </c>
      <c r="U502" s="1" t="s">
        <v>194</v>
      </c>
      <c r="V502" s="1">
        <v>2</v>
      </c>
      <c r="W502" s="1">
        <v>0</v>
      </c>
      <c r="X502" s="1">
        <v>0</v>
      </c>
      <c r="Z502" s="1">
        <v>1</v>
      </c>
      <c r="AB502" s="1">
        <v>2</v>
      </c>
    </row>
    <row r="503" spans="1:28" ht="12.75" customHeight="1" x14ac:dyDescent="0.15">
      <c r="A503" s="5">
        <v>468</v>
      </c>
      <c r="B503" s="5" t="s">
        <v>984</v>
      </c>
      <c r="C503" s="1">
        <v>22</v>
      </c>
      <c r="D503" s="5" t="s">
        <v>982</v>
      </c>
      <c r="E503" s="1">
        <v>8</v>
      </c>
      <c r="F503" s="5" t="s">
        <v>981</v>
      </c>
      <c r="G503" s="1">
        <v>7</v>
      </c>
      <c r="H503" s="5" t="s">
        <v>981</v>
      </c>
      <c r="I503" s="1">
        <v>6</v>
      </c>
      <c r="J503" s="5" t="s">
        <v>981</v>
      </c>
      <c r="K503" s="1">
        <v>8</v>
      </c>
      <c r="L503" s="5" t="s">
        <v>981</v>
      </c>
      <c r="M503" s="1">
        <v>7</v>
      </c>
      <c r="N503" s="5" t="s">
        <v>981</v>
      </c>
      <c r="O503" s="1">
        <v>6</v>
      </c>
      <c r="P503" s="5" t="s">
        <v>982</v>
      </c>
      <c r="Q503" s="1">
        <v>0</v>
      </c>
      <c r="R503" s="1">
        <v>1</v>
      </c>
      <c r="S503" s="1" t="s">
        <v>194</v>
      </c>
      <c r="T503" s="1">
        <v>1</v>
      </c>
      <c r="U503" s="1">
        <v>1</v>
      </c>
      <c r="V503" s="1">
        <v>2</v>
      </c>
      <c r="W503" s="1">
        <v>0</v>
      </c>
      <c r="X503" s="1">
        <v>0</v>
      </c>
      <c r="Z503" s="1">
        <v>1</v>
      </c>
      <c r="AB503" s="1">
        <v>1</v>
      </c>
    </row>
    <row r="504" spans="1:28" ht="12.75" customHeight="1" x14ac:dyDescent="0.15"/>
    <row r="505" spans="1:28" ht="12.75" customHeight="1" x14ac:dyDescent="0.15"/>
    <row r="506" spans="1:28" ht="12.75" customHeight="1" x14ac:dyDescent="0.15"/>
    <row r="507" spans="1:28" ht="12.75" customHeight="1" x14ac:dyDescent="0.15"/>
    <row r="508" spans="1:28" ht="12.75" customHeight="1" x14ac:dyDescent="0.15"/>
    <row r="509" spans="1:28" ht="12.75" customHeight="1" x14ac:dyDescent="0.15"/>
    <row r="510" spans="1:28" ht="12.75" customHeight="1" x14ac:dyDescent="0.15"/>
    <row r="511" spans="1:28" ht="12.75" customHeight="1" x14ac:dyDescent="0.15"/>
    <row r="512" spans="1:28"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sortState xmlns:xlrd2="http://schemas.microsoft.com/office/spreadsheetml/2017/richdata2" ref="A2:AB503">
    <sortCondition descending="1" ref="AA2:AA503"/>
  </sortState>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3C95-1D15-419C-8AC6-DB5BBD176274}">
  <dimension ref="A1:AA1000"/>
  <sheetViews>
    <sheetView workbookViewId="0">
      <selection activeCell="V2" sqref="V2"/>
    </sheetView>
  </sheetViews>
  <sheetFormatPr baseColWidth="10" defaultColWidth="12.5" defaultRowHeight="15" customHeight="1" x14ac:dyDescent="0.15"/>
  <cols>
    <col min="1" max="25" width="8.5" customWidth="1"/>
    <col min="26" max="26" width="11.5" customWidth="1"/>
    <col min="27" max="33" width="8.5" customWidth="1"/>
  </cols>
  <sheetData>
    <row r="1" spans="1:27" ht="12.75" customHeight="1" x14ac:dyDescent="0.15">
      <c r="A1" s="1" t="s">
        <v>1002</v>
      </c>
      <c r="B1" s="1" t="s">
        <v>36</v>
      </c>
      <c r="C1" s="1" t="s">
        <v>966</v>
      </c>
      <c r="D1" s="1" t="s">
        <v>967</v>
      </c>
      <c r="E1" s="1" t="s">
        <v>968</v>
      </c>
      <c r="F1" s="1" t="s">
        <v>137</v>
      </c>
      <c r="G1" s="1" t="s">
        <v>144</v>
      </c>
      <c r="H1" s="1" t="s">
        <v>145</v>
      </c>
      <c r="I1" s="1" t="s">
        <v>154</v>
      </c>
      <c r="J1" s="1" t="s">
        <v>155</v>
      </c>
      <c r="K1" s="1" t="s">
        <v>162</v>
      </c>
      <c r="L1" s="1" t="s">
        <v>163</v>
      </c>
      <c r="M1" s="1" t="s">
        <v>170</v>
      </c>
      <c r="N1" s="1" t="s">
        <v>171</v>
      </c>
      <c r="O1" s="1" t="s">
        <v>186</v>
      </c>
      <c r="P1" s="1" t="s">
        <v>187</v>
      </c>
      <c r="Q1" s="1" t="s">
        <v>969</v>
      </c>
      <c r="R1" s="1" t="s">
        <v>970</v>
      </c>
      <c r="S1" s="11" t="s">
        <v>971</v>
      </c>
      <c r="T1" s="1" t="s">
        <v>973</v>
      </c>
      <c r="U1" s="1" t="s">
        <v>974</v>
      </c>
      <c r="V1" s="1" t="s">
        <v>975</v>
      </c>
      <c r="W1" s="1" t="s">
        <v>976</v>
      </c>
      <c r="X1" s="1" t="s">
        <v>977</v>
      </c>
      <c r="Y1" s="1" t="s">
        <v>978</v>
      </c>
      <c r="Z1" s="1" t="s">
        <v>979</v>
      </c>
      <c r="AA1" s="1" t="s">
        <v>980</v>
      </c>
    </row>
    <row r="2" spans="1:27" ht="12.75" customHeight="1" x14ac:dyDescent="0.15">
      <c r="A2" s="5">
        <v>374</v>
      </c>
      <c r="B2" s="5" t="s">
        <v>238</v>
      </c>
      <c r="C2" s="1">
        <v>18</v>
      </c>
      <c r="D2" s="5" t="s">
        <v>983</v>
      </c>
      <c r="E2" s="1">
        <v>0</v>
      </c>
      <c r="F2" s="5" t="s">
        <v>983</v>
      </c>
      <c r="G2" s="1">
        <v>8</v>
      </c>
      <c r="H2" s="5" t="s">
        <v>981</v>
      </c>
      <c r="I2" s="1">
        <v>6</v>
      </c>
      <c r="J2" s="5" t="s">
        <v>981</v>
      </c>
      <c r="K2" s="1">
        <v>1</v>
      </c>
      <c r="L2" s="5" t="s">
        <v>983</v>
      </c>
      <c r="M2" s="1">
        <v>8</v>
      </c>
      <c r="N2" s="5" t="s">
        <v>981</v>
      </c>
      <c r="O2" s="1">
        <v>0</v>
      </c>
      <c r="P2" s="5" t="s">
        <v>983</v>
      </c>
      <c r="Q2" s="1">
        <v>0</v>
      </c>
      <c r="R2" s="1">
        <v>0</v>
      </c>
      <c r="S2" s="1">
        <v>0</v>
      </c>
      <c r="T2" s="1" t="s">
        <v>194</v>
      </c>
      <c r="U2" s="1">
        <v>1</v>
      </c>
      <c r="V2" s="1">
        <v>0</v>
      </c>
      <c r="W2" s="1">
        <v>0</v>
      </c>
      <c r="X2" s="1"/>
      <c r="Y2" s="1">
        <v>2</v>
      </c>
      <c r="Z2" s="1">
        <v>0</v>
      </c>
      <c r="AA2" s="1">
        <v>1</v>
      </c>
    </row>
    <row r="3" spans="1:27" ht="12.75" customHeight="1" x14ac:dyDescent="0.15">
      <c r="A3" s="5">
        <v>352</v>
      </c>
      <c r="B3" s="5" t="s">
        <v>984</v>
      </c>
      <c r="C3" s="1">
        <v>14</v>
      </c>
      <c r="D3" s="5" t="s">
        <v>983</v>
      </c>
      <c r="E3" s="1">
        <v>5</v>
      </c>
      <c r="F3" s="5" t="s">
        <v>981</v>
      </c>
      <c r="G3" s="1">
        <v>0</v>
      </c>
      <c r="H3" s="5" t="s">
        <v>983</v>
      </c>
      <c r="I3" s="1">
        <v>2</v>
      </c>
      <c r="J3" s="5" t="s">
        <v>982</v>
      </c>
      <c r="K3" s="1">
        <v>3</v>
      </c>
      <c r="L3" s="5" t="s">
        <v>982</v>
      </c>
      <c r="M3" s="1">
        <v>0</v>
      </c>
      <c r="N3" s="5" t="s">
        <v>983</v>
      </c>
      <c r="O3" s="1">
        <v>0</v>
      </c>
      <c r="P3" s="5" t="s">
        <v>983</v>
      </c>
      <c r="Q3" s="1">
        <v>0</v>
      </c>
      <c r="R3" s="1">
        <v>0</v>
      </c>
      <c r="S3" s="1">
        <v>0</v>
      </c>
      <c r="T3" s="1" t="s">
        <v>194</v>
      </c>
      <c r="U3" s="1">
        <v>1</v>
      </c>
      <c r="V3" s="1">
        <v>0</v>
      </c>
      <c r="W3" s="1">
        <v>1</v>
      </c>
      <c r="Y3" s="1">
        <v>24</v>
      </c>
      <c r="AA3" s="1">
        <v>3</v>
      </c>
    </row>
    <row r="4" spans="1:27" ht="12.75" customHeight="1" x14ac:dyDescent="0.15">
      <c r="A4" s="5">
        <v>59</v>
      </c>
      <c r="B4" s="5" t="s">
        <v>984</v>
      </c>
      <c r="C4" s="1">
        <v>16</v>
      </c>
      <c r="D4" s="5" t="s">
        <v>983</v>
      </c>
      <c r="E4" s="1">
        <v>0</v>
      </c>
      <c r="F4" s="5" t="s">
        <v>983</v>
      </c>
      <c r="G4" s="1">
        <v>0</v>
      </c>
      <c r="H4" s="5" t="s">
        <v>983</v>
      </c>
      <c r="I4" s="1">
        <v>2</v>
      </c>
      <c r="J4" s="5" t="s">
        <v>982</v>
      </c>
      <c r="K4" s="1">
        <v>0</v>
      </c>
      <c r="L4" s="5" t="s">
        <v>983</v>
      </c>
      <c r="M4" s="1">
        <v>0</v>
      </c>
      <c r="N4" s="5" t="s">
        <v>983</v>
      </c>
      <c r="O4" s="1">
        <v>0</v>
      </c>
      <c r="P4" s="5" t="s">
        <v>983</v>
      </c>
      <c r="Q4" s="1">
        <v>1</v>
      </c>
      <c r="R4" s="1">
        <v>0</v>
      </c>
      <c r="S4" s="1">
        <v>1</v>
      </c>
      <c r="T4" s="1" t="s">
        <v>194</v>
      </c>
      <c r="U4" s="1">
        <v>1</v>
      </c>
      <c r="V4" s="1">
        <v>0</v>
      </c>
      <c r="W4" s="1">
        <v>0</v>
      </c>
      <c r="Y4" s="1">
        <v>24</v>
      </c>
      <c r="AA4" s="1">
        <v>4</v>
      </c>
    </row>
    <row r="5" spans="1:27" ht="12.75" customHeight="1" x14ac:dyDescent="0.15">
      <c r="A5" s="5">
        <v>225</v>
      </c>
      <c r="B5" s="5" t="s">
        <v>238</v>
      </c>
      <c r="C5" s="1">
        <v>24</v>
      </c>
      <c r="D5" s="5" t="s">
        <v>981</v>
      </c>
      <c r="E5" s="1">
        <v>9</v>
      </c>
      <c r="F5" s="5" t="s">
        <v>981</v>
      </c>
      <c r="G5" s="1">
        <v>9</v>
      </c>
      <c r="H5" s="5" t="s">
        <v>981</v>
      </c>
      <c r="I5" s="1">
        <v>4</v>
      </c>
      <c r="J5" s="5" t="s">
        <v>982</v>
      </c>
      <c r="K5" s="1">
        <v>9</v>
      </c>
      <c r="L5" s="5" t="s">
        <v>981</v>
      </c>
      <c r="M5" s="1">
        <v>9</v>
      </c>
      <c r="N5" s="5" t="s">
        <v>981</v>
      </c>
      <c r="O5" s="1">
        <v>0</v>
      </c>
      <c r="P5" s="5" t="s">
        <v>983</v>
      </c>
      <c r="Q5" s="1">
        <v>1</v>
      </c>
      <c r="R5" s="1">
        <v>0</v>
      </c>
      <c r="S5" s="1">
        <v>1</v>
      </c>
      <c r="T5" s="1" t="s">
        <v>194</v>
      </c>
      <c r="U5" s="1">
        <v>1</v>
      </c>
      <c r="V5" s="1">
        <v>0</v>
      </c>
      <c r="W5" s="1">
        <v>0</v>
      </c>
      <c r="Y5" s="1">
        <v>6</v>
      </c>
      <c r="AA5" s="1">
        <v>1</v>
      </c>
    </row>
    <row r="6" spans="1:27" ht="12.75" customHeight="1" x14ac:dyDescent="0.15">
      <c r="A6" s="5">
        <v>222</v>
      </c>
      <c r="B6" s="5" t="s">
        <v>984</v>
      </c>
      <c r="C6" s="1">
        <v>26</v>
      </c>
      <c r="D6" s="5" t="s">
        <v>981</v>
      </c>
      <c r="E6" s="1">
        <v>5</v>
      </c>
      <c r="F6" s="5" t="s">
        <v>981</v>
      </c>
      <c r="G6" s="1">
        <v>0</v>
      </c>
      <c r="H6" s="5" t="s">
        <v>983</v>
      </c>
      <c r="I6" s="1">
        <v>16</v>
      </c>
      <c r="J6" s="5" t="s">
        <v>981</v>
      </c>
      <c r="K6" s="1">
        <v>0</v>
      </c>
      <c r="L6" s="5" t="s">
        <v>983</v>
      </c>
      <c r="M6" s="1">
        <v>0</v>
      </c>
      <c r="N6" s="5" t="s">
        <v>983</v>
      </c>
      <c r="O6" s="1">
        <v>3</v>
      </c>
      <c r="P6" s="5" t="s">
        <v>982</v>
      </c>
      <c r="Q6" s="1">
        <v>1</v>
      </c>
      <c r="R6" s="1">
        <v>0</v>
      </c>
      <c r="S6" s="1">
        <v>1</v>
      </c>
      <c r="T6" s="1">
        <v>3</v>
      </c>
      <c r="U6" s="1">
        <v>1</v>
      </c>
      <c r="V6" s="1">
        <v>0</v>
      </c>
      <c r="W6" s="1">
        <v>0</v>
      </c>
      <c r="X6" s="1"/>
      <c r="Y6" s="1">
        <v>1</v>
      </c>
      <c r="Z6" s="1">
        <v>0</v>
      </c>
      <c r="AA6" s="1">
        <v>1</v>
      </c>
    </row>
    <row r="7" spans="1:27" ht="12.75" customHeight="1" x14ac:dyDescent="0.15">
      <c r="A7" s="5">
        <v>385</v>
      </c>
      <c r="B7" s="5" t="s">
        <v>984</v>
      </c>
      <c r="C7" s="1">
        <v>34</v>
      </c>
      <c r="D7" s="5" t="s">
        <v>981</v>
      </c>
      <c r="E7" s="1">
        <v>5</v>
      </c>
      <c r="F7" s="5" t="s">
        <v>981</v>
      </c>
      <c r="G7" s="1">
        <v>11</v>
      </c>
      <c r="H7" s="5" t="s">
        <v>981</v>
      </c>
      <c r="I7" s="1">
        <v>15</v>
      </c>
      <c r="J7" s="5" t="s">
        <v>981</v>
      </c>
      <c r="K7" s="1">
        <v>6</v>
      </c>
      <c r="L7" s="5" t="s">
        <v>981</v>
      </c>
      <c r="M7" s="1">
        <v>11</v>
      </c>
      <c r="N7" s="5" t="s">
        <v>981</v>
      </c>
      <c r="O7" s="1">
        <v>11</v>
      </c>
      <c r="P7" s="5" t="s">
        <v>982</v>
      </c>
      <c r="Q7" s="1">
        <v>1</v>
      </c>
      <c r="R7" s="1">
        <v>0</v>
      </c>
      <c r="S7" s="1">
        <v>1</v>
      </c>
      <c r="T7" s="1">
        <v>2</v>
      </c>
      <c r="U7" s="1">
        <v>1</v>
      </c>
      <c r="V7" s="1">
        <v>0</v>
      </c>
      <c r="W7" s="1">
        <v>1</v>
      </c>
      <c r="Y7" s="1">
        <v>4</v>
      </c>
      <c r="AA7" s="1">
        <v>7</v>
      </c>
    </row>
    <row r="8" spans="1:27" ht="12.75" customHeight="1" x14ac:dyDescent="0.15">
      <c r="A8" s="5">
        <v>346</v>
      </c>
      <c r="B8" s="5" t="s">
        <v>238</v>
      </c>
      <c r="C8" s="1">
        <v>12</v>
      </c>
      <c r="D8" s="5" t="s">
        <v>983</v>
      </c>
      <c r="E8" s="1">
        <v>0</v>
      </c>
      <c r="F8" s="5" t="s">
        <v>983</v>
      </c>
      <c r="G8" s="1">
        <v>4</v>
      </c>
      <c r="H8" s="5" t="s">
        <v>982</v>
      </c>
      <c r="I8" s="1">
        <v>2</v>
      </c>
      <c r="J8" s="5" t="s">
        <v>982</v>
      </c>
      <c r="K8" s="1">
        <v>6</v>
      </c>
      <c r="L8" s="5" t="s">
        <v>981</v>
      </c>
      <c r="M8" s="1">
        <v>0</v>
      </c>
      <c r="N8" s="5" t="s">
        <v>983</v>
      </c>
      <c r="O8" s="1">
        <v>0</v>
      </c>
      <c r="P8" s="5" t="s">
        <v>983</v>
      </c>
      <c r="Q8" s="1">
        <v>0</v>
      </c>
      <c r="R8" s="1">
        <v>0</v>
      </c>
      <c r="S8" s="1">
        <v>1</v>
      </c>
      <c r="T8" s="1">
        <v>2</v>
      </c>
      <c r="U8" s="1">
        <v>1</v>
      </c>
      <c r="V8" s="1">
        <v>0</v>
      </c>
      <c r="W8" s="1">
        <v>1</v>
      </c>
      <c r="Y8" s="1">
        <v>6</v>
      </c>
      <c r="AA8" s="1">
        <v>7</v>
      </c>
    </row>
    <row r="9" spans="1:27" ht="12.75" customHeight="1" x14ac:dyDescent="0.15">
      <c r="A9" s="5">
        <v>243</v>
      </c>
      <c r="B9" s="5" t="s">
        <v>984</v>
      </c>
      <c r="C9" s="1">
        <v>18</v>
      </c>
      <c r="D9" s="5" t="s">
        <v>983</v>
      </c>
      <c r="E9" s="1">
        <v>1</v>
      </c>
      <c r="F9" s="5" t="s">
        <v>983</v>
      </c>
      <c r="G9" s="1">
        <v>3</v>
      </c>
      <c r="H9" s="5" t="s">
        <v>982</v>
      </c>
      <c r="I9" s="1">
        <v>3</v>
      </c>
      <c r="J9" s="5" t="s">
        <v>982</v>
      </c>
      <c r="K9" s="1">
        <v>0</v>
      </c>
      <c r="L9" s="5" t="s">
        <v>983</v>
      </c>
      <c r="M9" s="1">
        <v>0</v>
      </c>
      <c r="N9" s="5" t="s">
        <v>983</v>
      </c>
      <c r="O9" s="1">
        <v>0</v>
      </c>
      <c r="P9" s="5" t="s">
        <v>983</v>
      </c>
      <c r="Q9" s="1">
        <v>1</v>
      </c>
      <c r="R9" s="1">
        <v>0</v>
      </c>
      <c r="S9" s="1">
        <v>1</v>
      </c>
      <c r="T9" s="1">
        <v>3</v>
      </c>
      <c r="U9" s="1">
        <v>1</v>
      </c>
      <c r="V9" s="1">
        <v>0</v>
      </c>
      <c r="W9" s="1">
        <v>0</v>
      </c>
      <c r="Y9" s="1">
        <v>7</v>
      </c>
      <c r="AA9" s="1">
        <v>5</v>
      </c>
    </row>
    <row r="10" spans="1:27" ht="12.75" customHeight="1" x14ac:dyDescent="0.15">
      <c r="A10" s="5">
        <v>471</v>
      </c>
      <c r="B10" s="5" t="s">
        <v>238</v>
      </c>
      <c r="C10" s="1">
        <v>19</v>
      </c>
      <c r="D10" s="5" t="s">
        <v>982</v>
      </c>
      <c r="E10" s="1">
        <v>5</v>
      </c>
      <c r="F10" s="5" t="s">
        <v>981</v>
      </c>
      <c r="G10" s="1">
        <v>5</v>
      </c>
      <c r="H10" s="5" t="s">
        <v>982</v>
      </c>
      <c r="I10" s="1">
        <v>9</v>
      </c>
      <c r="J10" s="5" t="s">
        <v>981</v>
      </c>
      <c r="K10" s="1">
        <v>5</v>
      </c>
      <c r="L10" s="5" t="s">
        <v>982</v>
      </c>
      <c r="M10" s="1">
        <v>3</v>
      </c>
      <c r="N10" s="5" t="s">
        <v>982</v>
      </c>
      <c r="O10" s="1">
        <v>0</v>
      </c>
      <c r="P10" s="5" t="s">
        <v>983</v>
      </c>
      <c r="Q10" s="1">
        <v>1</v>
      </c>
      <c r="R10" s="1">
        <v>0</v>
      </c>
      <c r="S10" s="1">
        <v>1</v>
      </c>
      <c r="T10" s="1">
        <v>2</v>
      </c>
      <c r="U10" s="1">
        <v>1</v>
      </c>
      <c r="V10" s="1">
        <v>0</v>
      </c>
      <c r="W10" s="1">
        <v>0</v>
      </c>
      <c r="Y10" s="1">
        <v>11</v>
      </c>
      <c r="AA10" s="1">
        <v>3</v>
      </c>
    </row>
    <row r="11" spans="1:27" ht="12.75" customHeight="1" x14ac:dyDescent="0.15">
      <c r="A11" s="5">
        <v>444</v>
      </c>
      <c r="B11" s="5" t="s">
        <v>984</v>
      </c>
      <c r="C11" s="1">
        <v>26</v>
      </c>
      <c r="D11" s="5" t="s">
        <v>981</v>
      </c>
      <c r="E11" s="1">
        <v>3</v>
      </c>
      <c r="F11" s="5" t="s">
        <v>982</v>
      </c>
      <c r="G11" s="1">
        <v>3</v>
      </c>
      <c r="H11" s="5" t="s">
        <v>982</v>
      </c>
      <c r="I11" s="1">
        <v>7</v>
      </c>
      <c r="J11" s="5" t="s">
        <v>981</v>
      </c>
      <c r="K11" s="1">
        <v>3</v>
      </c>
      <c r="L11" s="5" t="s">
        <v>982</v>
      </c>
      <c r="M11" s="1">
        <v>3</v>
      </c>
      <c r="N11" s="5" t="s">
        <v>982</v>
      </c>
      <c r="O11" s="1">
        <v>0</v>
      </c>
      <c r="P11" s="5" t="s">
        <v>983</v>
      </c>
      <c r="Q11" s="1">
        <v>0</v>
      </c>
      <c r="R11" s="1">
        <v>0</v>
      </c>
      <c r="S11" s="1" t="s">
        <v>194</v>
      </c>
      <c r="T11" s="1" t="s">
        <v>194</v>
      </c>
      <c r="U11" s="1">
        <v>1</v>
      </c>
      <c r="V11" s="1">
        <v>0</v>
      </c>
      <c r="W11" s="1">
        <v>0</v>
      </c>
      <c r="Y11" s="1">
        <v>34</v>
      </c>
      <c r="AA11" s="1">
        <v>2</v>
      </c>
    </row>
    <row r="12" spans="1:27" ht="12.75" customHeight="1" x14ac:dyDescent="0.15">
      <c r="A12" s="5">
        <v>315</v>
      </c>
      <c r="B12" s="5" t="s">
        <v>238</v>
      </c>
      <c r="C12" s="1">
        <v>15</v>
      </c>
      <c r="D12" s="5" t="s">
        <v>983</v>
      </c>
      <c r="E12" s="1">
        <v>5</v>
      </c>
      <c r="F12" s="5" t="s">
        <v>981</v>
      </c>
      <c r="G12" s="1">
        <v>0</v>
      </c>
      <c r="H12" s="5" t="s">
        <v>983</v>
      </c>
      <c r="I12" s="1">
        <v>4</v>
      </c>
      <c r="J12" s="5" t="s">
        <v>982</v>
      </c>
      <c r="K12" s="1">
        <v>6</v>
      </c>
      <c r="L12" s="5" t="s">
        <v>981</v>
      </c>
      <c r="M12" s="1">
        <v>4</v>
      </c>
      <c r="N12" s="5" t="s">
        <v>982</v>
      </c>
      <c r="O12" s="1">
        <v>0</v>
      </c>
      <c r="P12" s="5" t="s">
        <v>983</v>
      </c>
      <c r="Q12" s="1">
        <v>0</v>
      </c>
      <c r="R12" s="1">
        <v>0</v>
      </c>
      <c r="S12" s="1" t="s">
        <v>194</v>
      </c>
      <c r="T12" s="1" t="s">
        <v>194</v>
      </c>
      <c r="U12" s="1">
        <v>1</v>
      </c>
      <c r="V12" s="1">
        <v>0</v>
      </c>
      <c r="W12" s="1">
        <v>0</v>
      </c>
      <c r="Y12" s="1">
        <v>20</v>
      </c>
      <c r="AA12" s="1">
        <v>2</v>
      </c>
    </row>
    <row r="13" spans="1:27" ht="12.75" customHeight="1" x14ac:dyDescent="0.15">
      <c r="A13" s="5">
        <v>339</v>
      </c>
      <c r="B13" s="5" t="s">
        <v>984</v>
      </c>
      <c r="C13" s="1">
        <v>23</v>
      </c>
      <c r="D13" s="5" t="s">
        <v>982</v>
      </c>
      <c r="E13" s="1">
        <v>5</v>
      </c>
      <c r="F13" s="5" t="s">
        <v>981</v>
      </c>
      <c r="G13" s="1">
        <v>0</v>
      </c>
      <c r="H13" s="5" t="s">
        <v>983</v>
      </c>
      <c r="I13" s="1">
        <v>0</v>
      </c>
      <c r="J13" s="5" t="s">
        <v>983</v>
      </c>
      <c r="K13" s="1">
        <v>5</v>
      </c>
      <c r="L13" s="5" t="s">
        <v>982</v>
      </c>
      <c r="M13" s="1">
        <v>4</v>
      </c>
      <c r="N13" s="5" t="s">
        <v>982</v>
      </c>
      <c r="O13" s="1">
        <v>0</v>
      </c>
      <c r="P13" s="5" t="s">
        <v>983</v>
      </c>
      <c r="Q13" s="1">
        <v>0</v>
      </c>
      <c r="R13" s="1">
        <v>0</v>
      </c>
      <c r="S13" s="1" t="s">
        <v>194</v>
      </c>
      <c r="T13" s="1" t="s">
        <v>194</v>
      </c>
      <c r="U13" s="1">
        <v>1</v>
      </c>
      <c r="V13" s="1">
        <v>0</v>
      </c>
      <c r="W13" s="1">
        <v>0</v>
      </c>
      <c r="Y13" s="1">
        <v>7</v>
      </c>
      <c r="AA13" s="1">
        <v>1</v>
      </c>
    </row>
    <row r="14" spans="1:27" ht="12.75" customHeight="1" x14ac:dyDescent="0.15">
      <c r="A14" s="5">
        <v>166</v>
      </c>
      <c r="B14" s="5" t="s">
        <v>984</v>
      </c>
      <c r="C14" s="1">
        <v>15</v>
      </c>
      <c r="D14" s="5" t="s">
        <v>983</v>
      </c>
      <c r="E14" s="1">
        <v>1</v>
      </c>
      <c r="F14" s="5" t="s">
        <v>983</v>
      </c>
      <c r="G14" s="1">
        <v>0</v>
      </c>
      <c r="H14" s="5" t="s">
        <v>983</v>
      </c>
      <c r="I14" s="1">
        <v>0</v>
      </c>
      <c r="J14" s="5" t="s">
        <v>983</v>
      </c>
      <c r="K14" s="1">
        <v>2</v>
      </c>
      <c r="L14" s="5" t="s">
        <v>983</v>
      </c>
      <c r="M14" s="1">
        <v>0</v>
      </c>
      <c r="N14" s="5" t="s">
        <v>983</v>
      </c>
      <c r="O14" s="1">
        <v>0</v>
      </c>
      <c r="P14" s="5" t="s">
        <v>983</v>
      </c>
      <c r="Q14" s="1">
        <v>1</v>
      </c>
      <c r="R14" s="1">
        <v>0</v>
      </c>
      <c r="S14" s="1" t="s">
        <v>194</v>
      </c>
      <c r="T14" s="1">
        <v>2</v>
      </c>
      <c r="U14" s="1">
        <v>1</v>
      </c>
      <c r="V14" s="1">
        <v>0</v>
      </c>
      <c r="W14" s="1">
        <v>1</v>
      </c>
      <c r="Y14" s="1">
        <v>3</v>
      </c>
      <c r="AA14" s="1">
        <v>3</v>
      </c>
    </row>
    <row r="15" spans="1:27" ht="12.75" customHeight="1" x14ac:dyDescent="0.15">
      <c r="A15" s="5">
        <v>20</v>
      </c>
      <c r="B15" s="5" t="s">
        <v>984</v>
      </c>
      <c r="C15" s="1">
        <v>12</v>
      </c>
      <c r="D15" s="5" t="s">
        <v>983</v>
      </c>
      <c r="E15" s="1">
        <v>0</v>
      </c>
      <c r="F15" s="5" t="s">
        <v>983</v>
      </c>
      <c r="G15" s="1">
        <v>0</v>
      </c>
      <c r="H15" s="5" t="s">
        <v>983</v>
      </c>
      <c r="I15" s="1">
        <v>16</v>
      </c>
      <c r="J15" s="5" t="s">
        <v>981</v>
      </c>
      <c r="K15" s="1">
        <v>0</v>
      </c>
      <c r="L15" s="5" t="s">
        <v>983</v>
      </c>
      <c r="M15" s="1">
        <v>0</v>
      </c>
      <c r="N15" s="5" t="s">
        <v>983</v>
      </c>
      <c r="O15" s="1">
        <v>0</v>
      </c>
      <c r="P15" s="5" t="s">
        <v>983</v>
      </c>
      <c r="Q15" s="1">
        <v>0</v>
      </c>
      <c r="R15" s="1">
        <v>0</v>
      </c>
      <c r="S15" s="1">
        <v>0</v>
      </c>
      <c r="T15" s="1" t="s">
        <v>194</v>
      </c>
      <c r="U15" s="1">
        <v>2</v>
      </c>
      <c r="V15" s="1">
        <v>0</v>
      </c>
      <c r="W15" s="1">
        <v>0</v>
      </c>
      <c r="Y15" s="1">
        <v>11</v>
      </c>
      <c r="AA15" s="1">
        <v>3</v>
      </c>
    </row>
    <row r="16" spans="1:27" ht="12.75" customHeight="1" x14ac:dyDescent="0.15">
      <c r="A16" s="5">
        <v>244</v>
      </c>
      <c r="B16" s="5" t="s">
        <v>238</v>
      </c>
      <c r="C16" s="1">
        <v>22</v>
      </c>
      <c r="D16" s="5" t="s">
        <v>982</v>
      </c>
      <c r="E16" s="1">
        <v>5</v>
      </c>
      <c r="F16" s="5" t="s">
        <v>981</v>
      </c>
      <c r="G16" s="1">
        <v>6</v>
      </c>
      <c r="H16" s="5" t="s">
        <v>981</v>
      </c>
      <c r="I16" s="1">
        <v>2</v>
      </c>
      <c r="J16" s="5" t="s">
        <v>982</v>
      </c>
      <c r="K16" s="1">
        <v>10</v>
      </c>
      <c r="L16" s="5" t="s">
        <v>981</v>
      </c>
      <c r="M16" s="1">
        <v>9</v>
      </c>
      <c r="N16" s="5" t="s">
        <v>981</v>
      </c>
      <c r="O16" s="1">
        <v>0</v>
      </c>
      <c r="P16" s="5" t="s">
        <v>983</v>
      </c>
      <c r="Q16" s="1">
        <v>1</v>
      </c>
      <c r="R16" s="1">
        <v>0</v>
      </c>
      <c r="S16" s="1">
        <v>1</v>
      </c>
      <c r="T16" s="1" t="s">
        <v>194</v>
      </c>
      <c r="U16" s="1">
        <v>2</v>
      </c>
      <c r="V16" s="1">
        <v>0</v>
      </c>
      <c r="W16" s="1">
        <v>0</v>
      </c>
      <c r="Y16" s="1">
        <v>7</v>
      </c>
      <c r="AA16" s="1">
        <v>5</v>
      </c>
    </row>
    <row r="17" spans="1:27" ht="12.75" customHeight="1" x14ac:dyDescent="0.15">
      <c r="A17" s="5">
        <v>416</v>
      </c>
      <c r="B17" s="5" t="s">
        <v>984</v>
      </c>
      <c r="C17" s="1">
        <v>14</v>
      </c>
      <c r="D17" s="5" t="s">
        <v>983</v>
      </c>
      <c r="E17" s="1">
        <v>0</v>
      </c>
      <c r="F17" s="5" t="s">
        <v>983</v>
      </c>
      <c r="G17" s="1">
        <v>1</v>
      </c>
      <c r="H17" s="5" t="s">
        <v>983</v>
      </c>
      <c r="I17" s="1">
        <v>0</v>
      </c>
      <c r="J17" s="5" t="s">
        <v>983</v>
      </c>
      <c r="K17" s="1">
        <v>0</v>
      </c>
      <c r="L17" s="5" t="s">
        <v>983</v>
      </c>
      <c r="M17" s="1">
        <v>0</v>
      </c>
      <c r="N17" s="5" t="s">
        <v>983</v>
      </c>
      <c r="O17" s="1">
        <v>0</v>
      </c>
      <c r="P17" s="5" t="s">
        <v>983</v>
      </c>
      <c r="Q17" s="1">
        <v>1</v>
      </c>
      <c r="R17" s="1">
        <v>0</v>
      </c>
      <c r="S17" s="1">
        <v>1</v>
      </c>
      <c r="T17" s="1">
        <v>3</v>
      </c>
      <c r="U17" s="1">
        <v>2</v>
      </c>
      <c r="V17" s="1">
        <v>0</v>
      </c>
      <c r="W17" s="1">
        <v>0</v>
      </c>
      <c r="X17" s="1">
        <v>14</v>
      </c>
      <c r="Y17" s="1">
        <v>2</v>
      </c>
      <c r="Z17" s="1">
        <v>0</v>
      </c>
      <c r="AA17" s="1">
        <v>1</v>
      </c>
    </row>
    <row r="18" spans="1:27" ht="12.75" customHeight="1" x14ac:dyDescent="0.15">
      <c r="A18" s="5">
        <v>213</v>
      </c>
      <c r="B18" s="5" t="s">
        <v>238</v>
      </c>
      <c r="C18" s="1">
        <v>20</v>
      </c>
      <c r="D18" s="5" t="s">
        <v>982</v>
      </c>
      <c r="E18" s="1">
        <v>0</v>
      </c>
      <c r="F18" s="5" t="s">
        <v>983</v>
      </c>
      <c r="G18" s="1">
        <v>3</v>
      </c>
      <c r="H18" s="5" t="s">
        <v>982</v>
      </c>
      <c r="I18" s="1">
        <v>5</v>
      </c>
      <c r="J18" s="5" t="s">
        <v>981</v>
      </c>
      <c r="K18" s="1">
        <v>1</v>
      </c>
      <c r="L18" s="5" t="s">
        <v>983</v>
      </c>
      <c r="M18" s="1">
        <v>0</v>
      </c>
      <c r="N18" s="5" t="s">
        <v>983</v>
      </c>
      <c r="O18" s="1">
        <v>0</v>
      </c>
      <c r="P18" s="5" t="s">
        <v>983</v>
      </c>
      <c r="Q18" s="1">
        <v>1</v>
      </c>
      <c r="R18" s="1">
        <v>0</v>
      </c>
      <c r="S18" s="1">
        <v>1</v>
      </c>
      <c r="T18" s="1">
        <v>3</v>
      </c>
      <c r="U18" s="1">
        <v>2</v>
      </c>
      <c r="V18" s="1">
        <v>0</v>
      </c>
      <c r="W18" s="1">
        <v>1</v>
      </c>
      <c r="X18" s="1">
        <v>14</v>
      </c>
      <c r="Y18" s="1">
        <v>24</v>
      </c>
      <c r="Z18" s="1">
        <v>0</v>
      </c>
      <c r="AA18" s="1">
        <v>4</v>
      </c>
    </row>
    <row r="19" spans="1:27" ht="12.75" customHeight="1" x14ac:dyDescent="0.15">
      <c r="A19" s="5">
        <v>301</v>
      </c>
      <c r="B19" s="5" t="s">
        <v>238</v>
      </c>
      <c r="C19" s="1">
        <v>32</v>
      </c>
      <c r="D19" s="5" t="s">
        <v>981</v>
      </c>
      <c r="E19" s="1">
        <v>6</v>
      </c>
      <c r="F19" s="5" t="s">
        <v>981</v>
      </c>
      <c r="G19" s="1">
        <v>6</v>
      </c>
      <c r="H19" s="5" t="s">
        <v>981</v>
      </c>
      <c r="I19" s="1">
        <v>7</v>
      </c>
      <c r="J19" s="5" t="s">
        <v>981</v>
      </c>
      <c r="K19" s="1">
        <v>7</v>
      </c>
      <c r="L19" s="5" t="s">
        <v>981</v>
      </c>
      <c r="M19" s="1">
        <v>3</v>
      </c>
      <c r="N19" s="5" t="s">
        <v>982</v>
      </c>
      <c r="O19" s="1">
        <v>6</v>
      </c>
      <c r="P19" s="5" t="s">
        <v>982</v>
      </c>
      <c r="Q19" s="1">
        <v>1</v>
      </c>
      <c r="R19" s="1">
        <v>0</v>
      </c>
      <c r="S19" s="1">
        <v>1</v>
      </c>
      <c r="T19" s="1">
        <v>2</v>
      </c>
      <c r="U19" s="1">
        <v>2</v>
      </c>
      <c r="V19" s="1">
        <v>0</v>
      </c>
      <c r="W19" s="1">
        <v>1</v>
      </c>
      <c r="X19" s="1">
        <v>18</v>
      </c>
      <c r="Y19" s="1">
        <v>34</v>
      </c>
      <c r="Z19" s="1">
        <v>80000</v>
      </c>
      <c r="AA19" s="1">
        <v>5</v>
      </c>
    </row>
    <row r="20" spans="1:27" ht="12.75" customHeight="1" x14ac:dyDescent="0.15">
      <c r="A20" s="5">
        <v>500</v>
      </c>
      <c r="B20" s="5" t="s">
        <v>984</v>
      </c>
      <c r="C20" s="1">
        <v>15</v>
      </c>
      <c r="D20" s="5" t="s">
        <v>983</v>
      </c>
      <c r="E20" s="1">
        <v>3</v>
      </c>
      <c r="F20" s="5" t="s">
        <v>982</v>
      </c>
      <c r="G20" s="1">
        <v>5</v>
      </c>
      <c r="H20" s="5" t="s">
        <v>982</v>
      </c>
      <c r="I20" s="1">
        <v>1</v>
      </c>
      <c r="J20" s="5" t="s">
        <v>982</v>
      </c>
      <c r="K20" s="1">
        <v>0</v>
      </c>
      <c r="L20" s="5" t="s">
        <v>983</v>
      </c>
      <c r="M20" s="1">
        <v>2</v>
      </c>
      <c r="N20" s="5" t="s">
        <v>983</v>
      </c>
      <c r="O20" s="1">
        <v>5</v>
      </c>
      <c r="P20" s="5" t="s">
        <v>982</v>
      </c>
      <c r="Q20" s="1">
        <v>0</v>
      </c>
      <c r="R20" s="1">
        <v>0</v>
      </c>
      <c r="S20" s="1">
        <v>1</v>
      </c>
      <c r="T20" s="1">
        <v>3</v>
      </c>
      <c r="U20" s="1">
        <v>2</v>
      </c>
      <c r="V20" s="1">
        <v>0</v>
      </c>
      <c r="W20" s="1">
        <v>0</v>
      </c>
      <c r="Y20" s="1">
        <v>6</v>
      </c>
      <c r="AA20" s="1">
        <v>1</v>
      </c>
    </row>
    <row r="21" spans="1:27" ht="12.75" customHeight="1" x14ac:dyDescent="0.15">
      <c r="A21" s="5">
        <v>324</v>
      </c>
      <c r="B21" s="5" t="s">
        <v>238</v>
      </c>
      <c r="C21" s="1">
        <v>26</v>
      </c>
      <c r="D21" s="5" t="s">
        <v>981</v>
      </c>
      <c r="E21" s="1">
        <v>9</v>
      </c>
      <c r="F21" s="5" t="s">
        <v>981</v>
      </c>
      <c r="G21" s="1">
        <v>6</v>
      </c>
      <c r="H21" s="5" t="s">
        <v>981</v>
      </c>
      <c r="I21" s="1">
        <v>8</v>
      </c>
      <c r="J21" s="5" t="s">
        <v>981</v>
      </c>
      <c r="K21" s="1">
        <v>10</v>
      </c>
      <c r="L21" s="5" t="s">
        <v>981</v>
      </c>
      <c r="M21" s="1">
        <v>12</v>
      </c>
      <c r="N21" s="5" t="s">
        <v>981</v>
      </c>
      <c r="O21" s="1">
        <v>8</v>
      </c>
      <c r="P21" s="5" t="s">
        <v>982</v>
      </c>
      <c r="Q21" s="1">
        <v>1</v>
      </c>
      <c r="R21" s="1">
        <v>0</v>
      </c>
      <c r="S21" s="1">
        <v>1</v>
      </c>
      <c r="T21" s="1">
        <v>2</v>
      </c>
      <c r="U21" s="1">
        <v>2</v>
      </c>
      <c r="V21" s="1">
        <v>0</v>
      </c>
      <c r="W21" s="1">
        <v>1</v>
      </c>
      <c r="Y21" s="1">
        <v>7</v>
      </c>
      <c r="AA21" s="1">
        <v>1</v>
      </c>
    </row>
    <row r="22" spans="1:27" ht="12.75" customHeight="1" x14ac:dyDescent="0.15">
      <c r="A22" s="5">
        <v>404</v>
      </c>
      <c r="B22" s="5" t="s">
        <v>238</v>
      </c>
      <c r="C22" s="1">
        <v>20</v>
      </c>
      <c r="D22" s="5" t="s">
        <v>982</v>
      </c>
      <c r="E22" s="1">
        <v>4</v>
      </c>
      <c r="F22" s="5" t="s">
        <v>982</v>
      </c>
      <c r="G22" s="1">
        <v>4</v>
      </c>
      <c r="H22" s="5" t="s">
        <v>982</v>
      </c>
      <c r="I22" s="1">
        <v>3</v>
      </c>
      <c r="J22" s="5" t="s">
        <v>982</v>
      </c>
      <c r="K22" s="1">
        <v>1</v>
      </c>
      <c r="L22" s="5" t="s">
        <v>983</v>
      </c>
      <c r="M22" s="1">
        <v>3</v>
      </c>
      <c r="N22" s="5" t="s">
        <v>982</v>
      </c>
      <c r="O22" s="1">
        <v>1</v>
      </c>
      <c r="P22" s="5" t="s">
        <v>982</v>
      </c>
      <c r="Q22" s="1">
        <v>1</v>
      </c>
      <c r="R22" s="1">
        <v>0</v>
      </c>
      <c r="S22" s="1">
        <v>1</v>
      </c>
      <c r="T22" s="1">
        <v>3</v>
      </c>
      <c r="U22" s="1">
        <v>2</v>
      </c>
      <c r="V22" s="1">
        <v>0</v>
      </c>
      <c r="W22" s="1">
        <v>1</v>
      </c>
      <c r="Y22" s="1">
        <v>32</v>
      </c>
      <c r="AA22" s="1">
        <v>2</v>
      </c>
    </row>
    <row r="23" spans="1:27" ht="12.75" customHeight="1" x14ac:dyDescent="0.15">
      <c r="A23" s="5">
        <v>81</v>
      </c>
      <c r="B23" s="5" t="s">
        <v>984</v>
      </c>
      <c r="C23" s="1">
        <v>15</v>
      </c>
      <c r="D23" s="5" t="s">
        <v>983</v>
      </c>
      <c r="E23" s="1">
        <v>6</v>
      </c>
      <c r="F23" s="5" t="s">
        <v>981</v>
      </c>
      <c r="G23" s="1">
        <v>6</v>
      </c>
      <c r="H23" s="5" t="s">
        <v>981</v>
      </c>
      <c r="I23" s="1">
        <v>8</v>
      </c>
      <c r="J23" s="5" t="s">
        <v>981</v>
      </c>
      <c r="K23" s="1">
        <v>5</v>
      </c>
      <c r="L23" s="5" t="s">
        <v>982</v>
      </c>
      <c r="M23" s="1">
        <v>3</v>
      </c>
      <c r="N23" s="5" t="s">
        <v>982</v>
      </c>
      <c r="O23" s="1">
        <v>1</v>
      </c>
      <c r="P23" s="5" t="s">
        <v>982</v>
      </c>
      <c r="Q23" s="1">
        <v>1</v>
      </c>
      <c r="R23" s="1">
        <v>0</v>
      </c>
      <c r="S23" s="1">
        <v>1</v>
      </c>
      <c r="T23" s="1">
        <v>2</v>
      </c>
      <c r="U23" s="1">
        <v>2</v>
      </c>
      <c r="V23" s="1">
        <v>0</v>
      </c>
      <c r="W23" s="1">
        <v>1</v>
      </c>
      <c r="Y23" s="1">
        <v>34</v>
      </c>
      <c r="AA23" s="1">
        <v>4</v>
      </c>
    </row>
    <row r="24" spans="1:27" ht="12.75" customHeight="1" x14ac:dyDescent="0.15">
      <c r="A24" s="5">
        <v>449</v>
      </c>
      <c r="B24" s="5" t="s">
        <v>238</v>
      </c>
      <c r="C24" s="1">
        <v>26</v>
      </c>
      <c r="D24" s="5" t="s">
        <v>981</v>
      </c>
      <c r="E24" s="1">
        <v>7</v>
      </c>
      <c r="F24" s="5" t="s">
        <v>981</v>
      </c>
      <c r="G24" s="1">
        <v>6</v>
      </c>
      <c r="H24" s="5" t="s">
        <v>981</v>
      </c>
      <c r="I24" s="1">
        <v>14</v>
      </c>
      <c r="J24" s="5" t="s">
        <v>981</v>
      </c>
      <c r="K24" s="1">
        <v>3</v>
      </c>
      <c r="L24" s="5" t="s">
        <v>982</v>
      </c>
      <c r="M24" s="1">
        <v>3</v>
      </c>
      <c r="N24" s="5" t="s">
        <v>982</v>
      </c>
      <c r="O24" s="1">
        <v>0</v>
      </c>
      <c r="P24" s="5" t="s">
        <v>983</v>
      </c>
      <c r="Q24" s="1">
        <v>0</v>
      </c>
      <c r="R24" s="1">
        <v>1</v>
      </c>
      <c r="S24" s="1" t="s">
        <v>194</v>
      </c>
      <c r="T24" s="1" t="s">
        <v>194</v>
      </c>
      <c r="U24" s="1">
        <v>2</v>
      </c>
      <c r="V24" s="1">
        <v>0</v>
      </c>
      <c r="W24" s="1">
        <v>0</v>
      </c>
      <c r="Y24" s="1">
        <v>1</v>
      </c>
      <c r="AA24" s="1">
        <v>2</v>
      </c>
    </row>
    <row r="25" spans="1:27" ht="12.75" customHeight="1" x14ac:dyDescent="0.15">
      <c r="A25" s="5">
        <v>501</v>
      </c>
      <c r="B25" s="5" t="s">
        <v>238</v>
      </c>
      <c r="C25" s="1">
        <v>18</v>
      </c>
      <c r="D25" s="5" t="s">
        <v>983</v>
      </c>
      <c r="E25" s="1">
        <v>6</v>
      </c>
      <c r="F25" s="5" t="s">
        <v>981</v>
      </c>
      <c r="G25" s="1">
        <v>0</v>
      </c>
      <c r="H25" s="5" t="s">
        <v>983</v>
      </c>
      <c r="I25" s="1">
        <v>8</v>
      </c>
      <c r="J25" s="5" t="s">
        <v>981</v>
      </c>
      <c r="K25" s="1">
        <v>0</v>
      </c>
      <c r="L25" s="5" t="s">
        <v>983</v>
      </c>
      <c r="M25" s="1">
        <v>0</v>
      </c>
      <c r="N25" s="5" t="s">
        <v>983</v>
      </c>
      <c r="O25" s="1">
        <v>0</v>
      </c>
      <c r="P25" s="5" t="s">
        <v>983</v>
      </c>
      <c r="Q25" s="1">
        <v>0</v>
      </c>
      <c r="R25" s="1">
        <v>0</v>
      </c>
      <c r="S25" s="1" t="s">
        <v>194</v>
      </c>
      <c r="T25" s="1" t="s">
        <v>194</v>
      </c>
      <c r="U25" s="1">
        <v>2</v>
      </c>
      <c r="V25" s="1">
        <v>0</v>
      </c>
      <c r="W25" s="1">
        <v>0</v>
      </c>
      <c r="Y25" s="1">
        <v>29</v>
      </c>
      <c r="AA25" s="1">
        <v>2</v>
      </c>
    </row>
    <row r="26" spans="1:27" ht="12.75" customHeight="1" x14ac:dyDescent="0.15">
      <c r="A26" s="5">
        <v>338</v>
      </c>
      <c r="B26" s="5" t="s">
        <v>238</v>
      </c>
      <c r="C26" s="1">
        <v>15</v>
      </c>
      <c r="D26" s="5" t="s">
        <v>983</v>
      </c>
      <c r="E26" s="1">
        <v>0</v>
      </c>
      <c r="F26" s="5" t="s">
        <v>983</v>
      </c>
      <c r="G26" s="1">
        <v>4</v>
      </c>
      <c r="H26" s="5" t="s">
        <v>982</v>
      </c>
      <c r="I26" s="1">
        <v>4</v>
      </c>
      <c r="J26" s="5" t="s">
        <v>982</v>
      </c>
      <c r="K26" s="1">
        <v>1</v>
      </c>
      <c r="L26" s="5" t="s">
        <v>983</v>
      </c>
      <c r="M26" s="1">
        <v>1</v>
      </c>
      <c r="N26" s="5" t="s">
        <v>983</v>
      </c>
      <c r="O26" s="1">
        <v>0</v>
      </c>
      <c r="P26" s="5" t="s">
        <v>983</v>
      </c>
      <c r="Q26" s="1">
        <v>0</v>
      </c>
      <c r="R26" s="1">
        <v>0</v>
      </c>
      <c r="S26" s="1" t="s">
        <v>194</v>
      </c>
      <c r="T26" s="1" t="s">
        <v>194</v>
      </c>
      <c r="U26" s="1">
        <v>2</v>
      </c>
      <c r="V26" s="1">
        <v>0</v>
      </c>
      <c r="W26" s="1">
        <v>0</v>
      </c>
      <c r="Y26" s="1">
        <v>24</v>
      </c>
      <c r="AA26" s="1">
        <v>1</v>
      </c>
    </row>
    <row r="27" spans="1:27" ht="12.75" customHeight="1" x14ac:dyDescent="0.15">
      <c r="A27" s="5">
        <v>300</v>
      </c>
      <c r="B27" s="5" t="s">
        <v>984</v>
      </c>
      <c r="C27" s="1">
        <v>34</v>
      </c>
      <c r="D27" s="5" t="s">
        <v>981</v>
      </c>
      <c r="E27" s="1">
        <v>0</v>
      </c>
      <c r="F27" s="5" t="s">
        <v>983</v>
      </c>
      <c r="G27" s="1">
        <v>4</v>
      </c>
      <c r="H27" s="5" t="s">
        <v>982</v>
      </c>
      <c r="I27" s="1">
        <v>16</v>
      </c>
      <c r="J27" s="5" t="s">
        <v>981</v>
      </c>
      <c r="K27" s="1">
        <v>0</v>
      </c>
      <c r="L27" s="5" t="s">
        <v>983</v>
      </c>
      <c r="M27" s="1">
        <v>0</v>
      </c>
      <c r="N27" s="5" t="s">
        <v>983</v>
      </c>
      <c r="O27" s="1">
        <v>0</v>
      </c>
      <c r="P27" s="5" t="s">
        <v>983</v>
      </c>
      <c r="Q27" s="1">
        <v>0</v>
      </c>
      <c r="R27" s="1">
        <v>0</v>
      </c>
      <c r="S27" s="1" t="s">
        <v>194</v>
      </c>
      <c r="T27" s="1" t="s">
        <v>194</v>
      </c>
      <c r="U27" s="1">
        <v>2</v>
      </c>
      <c r="V27" s="1">
        <v>0</v>
      </c>
      <c r="W27" s="1">
        <v>0</v>
      </c>
      <c r="Y27" s="1">
        <v>13</v>
      </c>
      <c r="AA27" s="1">
        <v>2</v>
      </c>
    </row>
    <row r="28" spans="1:27" ht="12.75" customHeight="1" x14ac:dyDescent="0.15">
      <c r="A28" s="5">
        <v>62</v>
      </c>
      <c r="B28" s="5" t="s">
        <v>238</v>
      </c>
      <c r="C28" s="1">
        <v>13</v>
      </c>
      <c r="D28" s="5" t="s">
        <v>983</v>
      </c>
      <c r="E28" s="1">
        <v>9</v>
      </c>
      <c r="F28" s="5" t="s">
        <v>981</v>
      </c>
      <c r="G28" s="1">
        <v>9</v>
      </c>
      <c r="H28" s="5" t="s">
        <v>981</v>
      </c>
      <c r="I28" s="1">
        <v>4</v>
      </c>
      <c r="J28" s="5" t="s">
        <v>982</v>
      </c>
      <c r="K28" s="1">
        <v>9</v>
      </c>
      <c r="L28" s="5" t="s">
        <v>981</v>
      </c>
      <c r="M28" s="1">
        <v>9</v>
      </c>
      <c r="N28" s="5" t="s">
        <v>981</v>
      </c>
      <c r="O28" s="1">
        <v>0</v>
      </c>
      <c r="P28" s="5" t="s">
        <v>983</v>
      </c>
      <c r="Q28" s="1">
        <v>0</v>
      </c>
      <c r="R28" s="1">
        <v>0</v>
      </c>
      <c r="S28" s="1" t="s">
        <v>194</v>
      </c>
      <c r="T28" s="1" t="s">
        <v>194</v>
      </c>
      <c r="U28" s="1">
        <v>2</v>
      </c>
      <c r="V28" s="1">
        <v>0</v>
      </c>
      <c r="W28" s="1">
        <v>1</v>
      </c>
      <c r="Y28" s="1">
        <v>11</v>
      </c>
      <c r="AA28" s="1">
        <v>1</v>
      </c>
    </row>
    <row r="29" spans="1:27" ht="12.75" customHeight="1" x14ac:dyDescent="0.15">
      <c r="A29" s="5">
        <v>470</v>
      </c>
      <c r="B29" s="5" t="s">
        <v>238</v>
      </c>
      <c r="C29" s="1">
        <v>14</v>
      </c>
      <c r="D29" s="5" t="s">
        <v>983</v>
      </c>
      <c r="E29" s="1">
        <v>3</v>
      </c>
      <c r="F29" s="5" t="s">
        <v>982</v>
      </c>
      <c r="G29" s="1">
        <v>5</v>
      </c>
      <c r="H29" s="5" t="s">
        <v>982</v>
      </c>
      <c r="I29" s="1">
        <v>9</v>
      </c>
      <c r="J29" s="5" t="s">
        <v>981</v>
      </c>
      <c r="K29" s="1">
        <v>1</v>
      </c>
      <c r="L29" s="5" t="s">
        <v>983</v>
      </c>
      <c r="M29" s="1">
        <v>1</v>
      </c>
      <c r="N29" s="5" t="s">
        <v>983</v>
      </c>
      <c r="O29" s="1">
        <v>0</v>
      </c>
      <c r="P29" s="5" t="s">
        <v>983</v>
      </c>
      <c r="Q29" s="1">
        <v>0</v>
      </c>
      <c r="R29" s="1">
        <v>0</v>
      </c>
      <c r="S29" s="1" t="s">
        <v>194</v>
      </c>
      <c r="T29" s="1" t="s">
        <v>194</v>
      </c>
      <c r="U29" s="1">
        <v>2</v>
      </c>
      <c r="V29" s="1">
        <v>0</v>
      </c>
      <c r="W29" s="1">
        <v>0</v>
      </c>
      <c r="Y29" s="1">
        <v>11</v>
      </c>
      <c r="AA29" s="1">
        <v>3</v>
      </c>
    </row>
    <row r="30" spans="1:27" ht="12.75" customHeight="1" x14ac:dyDescent="0.15">
      <c r="A30" s="5">
        <v>458</v>
      </c>
      <c r="B30" s="5" t="s">
        <v>238</v>
      </c>
      <c r="C30" s="1">
        <v>24</v>
      </c>
      <c r="D30" s="5" t="s">
        <v>981</v>
      </c>
      <c r="E30" s="1">
        <v>8</v>
      </c>
      <c r="F30" s="5" t="s">
        <v>981</v>
      </c>
      <c r="G30" s="1">
        <v>2</v>
      </c>
      <c r="H30" s="5" t="s">
        <v>982</v>
      </c>
      <c r="I30" s="1">
        <v>10</v>
      </c>
      <c r="J30" s="5" t="s">
        <v>981</v>
      </c>
      <c r="K30" s="1">
        <v>0</v>
      </c>
      <c r="L30" s="5" t="s">
        <v>983</v>
      </c>
      <c r="M30" s="1">
        <v>0</v>
      </c>
      <c r="N30" s="5" t="s">
        <v>983</v>
      </c>
      <c r="O30" s="1">
        <v>0</v>
      </c>
      <c r="P30" s="5" t="s">
        <v>983</v>
      </c>
      <c r="Q30" s="1">
        <v>0</v>
      </c>
      <c r="R30" s="1">
        <v>0</v>
      </c>
      <c r="S30" s="1" t="s">
        <v>194</v>
      </c>
      <c r="T30" s="1" t="s">
        <v>194</v>
      </c>
      <c r="U30" s="1">
        <v>2</v>
      </c>
      <c r="V30" s="1">
        <v>0</v>
      </c>
      <c r="W30" s="1">
        <v>0</v>
      </c>
      <c r="Y30" s="1">
        <v>2</v>
      </c>
      <c r="AA30" s="1">
        <v>3</v>
      </c>
    </row>
    <row r="31" spans="1:27" ht="12.75" customHeight="1" x14ac:dyDescent="0.15">
      <c r="A31" s="5">
        <v>372</v>
      </c>
      <c r="B31" s="5" t="s">
        <v>238</v>
      </c>
      <c r="C31" s="1">
        <v>35</v>
      </c>
      <c r="D31" s="5" t="s">
        <v>981</v>
      </c>
      <c r="E31" s="1">
        <v>3</v>
      </c>
      <c r="F31" s="5" t="s">
        <v>982</v>
      </c>
      <c r="G31" s="1">
        <v>3</v>
      </c>
      <c r="H31" s="5" t="s">
        <v>982</v>
      </c>
      <c r="I31" s="1">
        <v>13</v>
      </c>
      <c r="J31" s="5" t="s">
        <v>981</v>
      </c>
      <c r="K31" s="1">
        <v>4</v>
      </c>
      <c r="L31" s="5" t="s">
        <v>982</v>
      </c>
      <c r="M31" s="1">
        <v>1</v>
      </c>
      <c r="N31" s="5" t="s">
        <v>983</v>
      </c>
      <c r="O31" s="1">
        <v>0</v>
      </c>
      <c r="P31" s="5" t="s">
        <v>983</v>
      </c>
      <c r="Q31" s="1">
        <v>0</v>
      </c>
      <c r="R31" s="1">
        <v>0</v>
      </c>
      <c r="S31" s="1" t="s">
        <v>194</v>
      </c>
      <c r="T31" s="1">
        <v>1</v>
      </c>
      <c r="U31" s="1">
        <v>2</v>
      </c>
      <c r="V31" s="1">
        <v>0</v>
      </c>
      <c r="W31" s="1">
        <v>0</v>
      </c>
      <c r="X31" s="1">
        <v>4</v>
      </c>
      <c r="Y31" s="1">
        <v>32</v>
      </c>
      <c r="Z31" s="1">
        <v>0</v>
      </c>
      <c r="AA31" s="1">
        <v>2</v>
      </c>
    </row>
    <row r="32" spans="1:27" ht="12.75" customHeight="1" x14ac:dyDescent="0.15">
      <c r="A32" s="5">
        <v>468</v>
      </c>
      <c r="B32" s="5" t="s">
        <v>984</v>
      </c>
      <c r="C32" s="1">
        <v>22</v>
      </c>
      <c r="D32" s="5" t="s">
        <v>982</v>
      </c>
      <c r="E32" s="1">
        <v>8</v>
      </c>
      <c r="F32" s="5" t="s">
        <v>981</v>
      </c>
      <c r="G32" s="1">
        <v>7</v>
      </c>
      <c r="H32" s="5" t="s">
        <v>981</v>
      </c>
      <c r="I32" s="1">
        <v>6</v>
      </c>
      <c r="J32" s="5" t="s">
        <v>981</v>
      </c>
      <c r="K32" s="1">
        <v>8</v>
      </c>
      <c r="L32" s="5" t="s">
        <v>981</v>
      </c>
      <c r="M32" s="1">
        <v>7</v>
      </c>
      <c r="N32" s="5" t="s">
        <v>981</v>
      </c>
      <c r="O32" s="1">
        <v>6</v>
      </c>
      <c r="P32" s="5" t="s">
        <v>982</v>
      </c>
      <c r="Q32" s="1">
        <v>0</v>
      </c>
      <c r="R32" s="1">
        <v>1</v>
      </c>
      <c r="S32" s="1" t="s">
        <v>194</v>
      </c>
      <c r="T32" s="1">
        <v>1</v>
      </c>
      <c r="U32" s="1">
        <v>2</v>
      </c>
      <c r="V32" s="1">
        <v>0</v>
      </c>
      <c r="W32" s="1">
        <v>0</v>
      </c>
      <c r="Y32" s="1">
        <v>1</v>
      </c>
      <c r="AA32" s="1">
        <v>1</v>
      </c>
    </row>
    <row r="33" spans="1:27" ht="12.75" customHeight="1" x14ac:dyDescent="0.15">
      <c r="A33" s="5">
        <v>386</v>
      </c>
      <c r="B33" s="5" t="s">
        <v>984</v>
      </c>
      <c r="C33" s="1">
        <v>18</v>
      </c>
      <c r="D33" s="5" t="s">
        <v>983</v>
      </c>
      <c r="E33" s="1">
        <v>0</v>
      </c>
      <c r="F33" s="5" t="s">
        <v>983</v>
      </c>
      <c r="G33" s="1">
        <v>0</v>
      </c>
      <c r="H33" s="5" t="s">
        <v>983</v>
      </c>
      <c r="I33" s="1">
        <v>16</v>
      </c>
      <c r="J33" s="5" t="s">
        <v>981</v>
      </c>
      <c r="K33" s="1">
        <v>0</v>
      </c>
      <c r="L33" s="5" t="s">
        <v>983</v>
      </c>
      <c r="M33" s="1">
        <v>0</v>
      </c>
      <c r="N33" s="5" t="s">
        <v>983</v>
      </c>
      <c r="O33" s="1">
        <v>0</v>
      </c>
      <c r="P33" s="5" t="s">
        <v>983</v>
      </c>
      <c r="Q33" s="1">
        <v>1</v>
      </c>
      <c r="R33" s="1">
        <v>0</v>
      </c>
      <c r="S33" s="1" t="s">
        <v>194</v>
      </c>
      <c r="T33" s="1">
        <v>3</v>
      </c>
      <c r="U33" s="1">
        <v>2</v>
      </c>
      <c r="V33" s="1">
        <v>0</v>
      </c>
      <c r="W33" s="1">
        <v>1</v>
      </c>
      <c r="Y33" s="1">
        <v>3</v>
      </c>
      <c r="AA33" s="1">
        <v>3</v>
      </c>
    </row>
    <row r="34" spans="1:27" ht="12.75" customHeight="1" x14ac:dyDescent="0.15">
      <c r="A34" s="5">
        <v>144</v>
      </c>
      <c r="B34" s="5" t="s">
        <v>984</v>
      </c>
      <c r="C34" s="1">
        <v>35</v>
      </c>
      <c r="D34" s="5" t="s">
        <v>981</v>
      </c>
      <c r="E34" s="1">
        <v>4</v>
      </c>
      <c r="F34" s="5" t="s">
        <v>982</v>
      </c>
      <c r="G34" s="1">
        <v>3</v>
      </c>
      <c r="H34" s="5" t="s">
        <v>982</v>
      </c>
      <c r="I34" s="1">
        <v>8</v>
      </c>
      <c r="J34" s="5" t="s">
        <v>981</v>
      </c>
      <c r="K34" s="1">
        <v>5</v>
      </c>
      <c r="L34" s="5" t="s">
        <v>982</v>
      </c>
      <c r="M34" s="1">
        <v>7</v>
      </c>
      <c r="N34" s="5" t="s">
        <v>981</v>
      </c>
      <c r="O34" s="1">
        <v>3</v>
      </c>
      <c r="P34" s="5" t="s">
        <v>982</v>
      </c>
      <c r="Q34" s="1">
        <v>0</v>
      </c>
      <c r="R34" s="1">
        <v>0</v>
      </c>
      <c r="S34" s="1" t="s">
        <v>194</v>
      </c>
      <c r="T34" s="1">
        <v>1</v>
      </c>
      <c r="U34" s="1">
        <v>2</v>
      </c>
      <c r="V34" s="1">
        <v>0</v>
      </c>
      <c r="W34" s="1">
        <v>0</v>
      </c>
      <c r="Y34" s="1">
        <v>3</v>
      </c>
      <c r="AA34" s="1">
        <v>3</v>
      </c>
    </row>
    <row r="35" spans="1:27" ht="12.75" customHeight="1" x14ac:dyDescent="0.15">
      <c r="A35" s="5">
        <v>240</v>
      </c>
      <c r="B35" s="5" t="s">
        <v>238</v>
      </c>
      <c r="C35" s="1">
        <v>14</v>
      </c>
      <c r="D35" s="5" t="s">
        <v>983</v>
      </c>
      <c r="E35" s="1">
        <v>5</v>
      </c>
      <c r="F35" s="5" t="s">
        <v>981</v>
      </c>
      <c r="G35" s="1">
        <v>4</v>
      </c>
      <c r="H35" s="5" t="s">
        <v>982</v>
      </c>
      <c r="I35" s="1">
        <v>4</v>
      </c>
      <c r="J35" s="5" t="s">
        <v>982</v>
      </c>
      <c r="K35" s="1">
        <v>2</v>
      </c>
      <c r="L35" s="5" t="s">
        <v>983</v>
      </c>
      <c r="M35" s="1">
        <v>0</v>
      </c>
      <c r="N35" s="5" t="s">
        <v>983</v>
      </c>
      <c r="O35" s="1">
        <v>0</v>
      </c>
      <c r="P35" s="5" t="s">
        <v>983</v>
      </c>
      <c r="Q35" s="1">
        <v>0</v>
      </c>
      <c r="R35" s="1">
        <v>0</v>
      </c>
      <c r="S35" s="1" t="s">
        <v>194</v>
      </c>
      <c r="T35" s="1">
        <v>3</v>
      </c>
      <c r="U35" s="1">
        <v>2</v>
      </c>
      <c r="V35" s="1">
        <v>0</v>
      </c>
      <c r="W35" s="1">
        <v>0</v>
      </c>
      <c r="Y35" s="1">
        <v>6</v>
      </c>
      <c r="AA35" s="1">
        <v>2</v>
      </c>
    </row>
    <row r="36" spans="1:27" ht="12.75" customHeight="1" x14ac:dyDescent="0.15">
      <c r="A36" s="5">
        <v>419</v>
      </c>
      <c r="B36" s="5" t="s">
        <v>984</v>
      </c>
      <c r="C36" s="1">
        <v>21</v>
      </c>
      <c r="D36" s="5" t="s">
        <v>982</v>
      </c>
      <c r="E36" s="1">
        <v>5</v>
      </c>
      <c r="F36" s="5" t="s">
        <v>981</v>
      </c>
      <c r="G36" s="1">
        <v>6</v>
      </c>
      <c r="H36" s="5" t="s">
        <v>981</v>
      </c>
      <c r="I36" s="1">
        <v>1</v>
      </c>
      <c r="J36" s="5" t="s">
        <v>982</v>
      </c>
      <c r="K36" s="1">
        <v>1</v>
      </c>
      <c r="L36" s="5" t="s">
        <v>983</v>
      </c>
      <c r="M36" s="1">
        <v>4</v>
      </c>
      <c r="N36" s="5" t="s">
        <v>982</v>
      </c>
      <c r="O36" s="1">
        <v>0</v>
      </c>
      <c r="P36" s="5" t="s">
        <v>983</v>
      </c>
      <c r="Q36" s="1">
        <v>0</v>
      </c>
      <c r="R36" s="1">
        <v>0</v>
      </c>
      <c r="S36" s="1" t="s">
        <v>194</v>
      </c>
      <c r="T36" s="1">
        <v>3</v>
      </c>
      <c r="U36" s="1">
        <v>2</v>
      </c>
      <c r="V36" s="1">
        <v>0</v>
      </c>
      <c r="W36" s="1">
        <v>0</v>
      </c>
      <c r="Y36" s="1">
        <v>13</v>
      </c>
      <c r="AA36" s="1">
        <v>4</v>
      </c>
    </row>
    <row r="37" spans="1:27" ht="12.75" customHeight="1" x14ac:dyDescent="0.15">
      <c r="A37" s="5">
        <v>7</v>
      </c>
      <c r="B37" s="5" t="s">
        <v>238</v>
      </c>
      <c r="C37" s="1">
        <v>22</v>
      </c>
      <c r="D37" s="5" t="s">
        <v>982</v>
      </c>
      <c r="E37" s="1">
        <v>0</v>
      </c>
      <c r="F37" s="5" t="s">
        <v>983</v>
      </c>
      <c r="G37" s="1">
        <v>5</v>
      </c>
      <c r="H37" s="5" t="s">
        <v>982</v>
      </c>
      <c r="I37" s="1">
        <v>2</v>
      </c>
      <c r="J37" s="5" t="s">
        <v>982</v>
      </c>
      <c r="K37" s="1">
        <v>2</v>
      </c>
      <c r="L37" s="5" t="s">
        <v>983</v>
      </c>
      <c r="M37" s="1">
        <v>0</v>
      </c>
      <c r="N37" s="5" t="s">
        <v>983</v>
      </c>
      <c r="O37" s="1">
        <v>0</v>
      </c>
      <c r="P37" s="5" t="s">
        <v>983</v>
      </c>
      <c r="Q37" s="1">
        <v>1</v>
      </c>
      <c r="R37" s="1">
        <v>0</v>
      </c>
      <c r="S37" s="1" t="s">
        <v>194</v>
      </c>
      <c r="T37" s="1">
        <v>5</v>
      </c>
      <c r="U37" s="1">
        <v>2</v>
      </c>
      <c r="V37" s="1">
        <v>0</v>
      </c>
      <c r="W37" s="1">
        <v>0</v>
      </c>
      <c r="Y37" s="1">
        <v>34</v>
      </c>
      <c r="AA37" s="1">
        <v>2</v>
      </c>
    </row>
    <row r="38" spans="1:27" ht="12.75" customHeight="1" x14ac:dyDescent="0.15">
      <c r="A38" s="5">
        <v>316</v>
      </c>
      <c r="B38" s="5" t="s">
        <v>238</v>
      </c>
      <c r="C38" s="1">
        <v>23</v>
      </c>
      <c r="D38" s="5" t="s">
        <v>982</v>
      </c>
      <c r="E38" s="1">
        <v>3</v>
      </c>
      <c r="F38" s="5" t="s">
        <v>982</v>
      </c>
      <c r="G38" s="1">
        <v>8</v>
      </c>
      <c r="H38" s="5" t="s">
        <v>981</v>
      </c>
      <c r="I38" s="1">
        <v>16</v>
      </c>
      <c r="J38" s="5" t="s">
        <v>981</v>
      </c>
      <c r="K38" s="1">
        <v>2</v>
      </c>
      <c r="L38" s="5" t="s">
        <v>983</v>
      </c>
      <c r="M38" s="1">
        <v>6</v>
      </c>
      <c r="N38" s="5" t="s">
        <v>981</v>
      </c>
      <c r="O38" s="1">
        <v>0</v>
      </c>
      <c r="P38" s="5" t="s">
        <v>983</v>
      </c>
      <c r="Q38" s="1">
        <v>0</v>
      </c>
      <c r="R38" s="1">
        <v>0</v>
      </c>
      <c r="S38" s="1">
        <v>0</v>
      </c>
      <c r="T38" s="1">
        <v>2</v>
      </c>
      <c r="U38" s="1">
        <v>3</v>
      </c>
      <c r="V38" s="1">
        <v>0</v>
      </c>
      <c r="W38" s="1">
        <v>0</v>
      </c>
      <c r="Y38" s="1">
        <v>6</v>
      </c>
      <c r="AA38" s="1">
        <v>2</v>
      </c>
    </row>
    <row r="39" spans="1:27" ht="12.75" customHeight="1" x14ac:dyDescent="0.15">
      <c r="A39" s="5">
        <v>12</v>
      </c>
      <c r="B39" s="5" t="s">
        <v>238</v>
      </c>
      <c r="C39" s="1">
        <v>13</v>
      </c>
      <c r="D39" s="5" t="s">
        <v>983</v>
      </c>
      <c r="E39" s="1">
        <v>1</v>
      </c>
      <c r="F39" s="5" t="s">
        <v>983</v>
      </c>
      <c r="G39" s="1">
        <v>1</v>
      </c>
      <c r="H39" s="5" t="s">
        <v>983</v>
      </c>
      <c r="I39" s="1">
        <v>0</v>
      </c>
      <c r="J39" s="5" t="s">
        <v>983</v>
      </c>
      <c r="K39" s="1">
        <v>0</v>
      </c>
      <c r="L39" s="5" t="s">
        <v>983</v>
      </c>
      <c r="M39" s="1">
        <v>0</v>
      </c>
      <c r="N39" s="5" t="s">
        <v>983</v>
      </c>
      <c r="O39" s="1">
        <v>0</v>
      </c>
      <c r="P39" s="5" t="s">
        <v>983</v>
      </c>
      <c r="Q39" s="1">
        <v>1</v>
      </c>
      <c r="R39" s="1">
        <v>0</v>
      </c>
      <c r="S39" s="1">
        <v>1</v>
      </c>
      <c r="T39" s="1">
        <v>3</v>
      </c>
      <c r="U39" s="1">
        <v>3</v>
      </c>
      <c r="V39" s="1">
        <v>0</v>
      </c>
      <c r="W39" s="1">
        <v>0</v>
      </c>
      <c r="X39" s="1">
        <v>14</v>
      </c>
      <c r="Y39" s="1">
        <v>3</v>
      </c>
      <c r="Z39" s="1">
        <v>0</v>
      </c>
      <c r="AA39" s="1">
        <v>3</v>
      </c>
    </row>
    <row r="40" spans="1:27" ht="12.75" customHeight="1" x14ac:dyDescent="0.15">
      <c r="A40" s="5">
        <v>197</v>
      </c>
      <c r="B40" s="5" t="s">
        <v>238</v>
      </c>
      <c r="C40" s="1">
        <v>18</v>
      </c>
      <c r="D40" s="5" t="s">
        <v>983</v>
      </c>
      <c r="E40" s="1">
        <v>4</v>
      </c>
      <c r="F40" s="5" t="s">
        <v>982</v>
      </c>
      <c r="G40" s="1">
        <v>0</v>
      </c>
      <c r="H40" s="5" t="s">
        <v>983</v>
      </c>
      <c r="I40" s="1">
        <v>2</v>
      </c>
      <c r="J40" s="5" t="s">
        <v>982</v>
      </c>
      <c r="K40" s="1">
        <v>0</v>
      </c>
      <c r="L40" s="5" t="s">
        <v>983</v>
      </c>
      <c r="M40" s="1">
        <v>0</v>
      </c>
      <c r="N40" s="5" t="s">
        <v>983</v>
      </c>
      <c r="O40" s="1">
        <v>0</v>
      </c>
      <c r="P40" s="5" t="s">
        <v>983</v>
      </c>
      <c r="Q40" s="1">
        <v>1</v>
      </c>
      <c r="R40" s="1">
        <v>0</v>
      </c>
      <c r="S40" s="1">
        <v>1</v>
      </c>
      <c r="T40" s="1">
        <v>2</v>
      </c>
      <c r="U40" s="1">
        <v>3</v>
      </c>
      <c r="V40" s="1">
        <v>0</v>
      </c>
      <c r="W40" s="1">
        <v>1</v>
      </c>
      <c r="X40" s="1"/>
      <c r="Y40" s="1">
        <v>14</v>
      </c>
      <c r="Z40" s="1">
        <v>0</v>
      </c>
      <c r="AA40" s="1">
        <v>1</v>
      </c>
    </row>
    <row r="41" spans="1:27" ht="12.75" customHeight="1" x14ac:dyDescent="0.15">
      <c r="A41" s="5">
        <v>465</v>
      </c>
      <c r="B41" s="5" t="s">
        <v>238</v>
      </c>
      <c r="C41" s="1">
        <v>23</v>
      </c>
      <c r="D41" s="5" t="s">
        <v>982</v>
      </c>
      <c r="E41" s="1">
        <v>2</v>
      </c>
      <c r="F41" s="5" t="s">
        <v>982</v>
      </c>
      <c r="G41" s="1">
        <v>1</v>
      </c>
      <c r="H41" s="5" t="s">
        <v>983</v>
      </c>
      <c r="I41" s="1">
        <v>8</v>
      </c>
      <c r="J41" s="5" t="s">
        <v>981</v>
      </c>
      <c r="K41" s="1">
        <v>0</v>
      </c>
      <c r="L41" s="5" t="s">
        <v>983</v>
      </c>
      <c r="M41" s="1">
        <v>3</v>
      </c>
      <c r="N41" s="5" t="s">
        <v>982</v>
      </c>
      <c r="O41" s="1">
        <v>0</v>
      </c>
      <c r="P41" s="5" t="s">
        <v>983</v>
      </c>
      <c r="Q41" s="1">
        <v>1</v>
      </c>
      <c r="R41" s="1">
        <v>0</v>
      </c>
      <c r="S41" s="1">
        <v>1</v>
      </c>
      <c r="T41" s="1">
        <v>5</v>
      </c>
      <c r="U41" s="1">
        <v>3</v>
      </c>
      <c r="V41" s="1">
        <v>0</v>
      </c>
      <c r="W41" s="1">
        <v>1</v>
      </c>
      <c r="X41" s="1">
        <v>18</v>
      </c>
      <c r="Y41" s="1">
        <v>31</v>
      </c>
      <c r="Z41" s="1">
        <v>0</v>
      </c>
      <c r="AA41" s="1">
        <v>3</v>
      </c>
    </row>
    <row r="42" spans="1:27" ht="12.75" customHeight="1" x14ac:dyDescent="0.15">
      <c r="A42" s="5">
        <v>235</v>
      </c>
      <c r="B42" s="5" t="s">
        <v>238</v>
      </c>
      <c r="C42" s="1">
        <v>18</v>
      </c>
      <c r="D42" s="5" t="s">
        <v>983</v>
      </c>
      <c r="E42" s="1">
        <v>6</v>
      </c>
      <c r="F42" s="5" t="s">
        <v>981</v>
      </c>
      <c r="G42" s="1">
        <v>2</v>
      </c>
      <c r="H42" s="5" t="s">
        <v>982</v>
      </c>
      <c r="I42" s="1">
        <v>16</v>
      </c>
      <c r="J42" s="5" t="s">
        <v>981</v>
      </c>
      <c r="K42" s="1">
        <v>0</v>
      </c>
      <c r="L42" s="5" t="s">
        <v>983</v>
      </c>
      <c r="M42" s="1">
        <v>4</v>
      </c>
      <c r="N42" s="5" t="s">
        <v>982</v>
      </c>
      <c r="O42" s="1">
        <v>0</v>
      </c>
      <c r="P42" s="5" t="s">
        <v>983</v>
      </c>
      <c r="Q42" s="1">
        <v>1</v>
      </c>
      <c r="R42" s="1">
        <v>0</v>
      </c>
      <c r="S42" s="1">
        <v>1</v>
      </c>
      <c r="T42" s="1">
        <v>5</v>
      </c>
      <c r="U42" s="1">
        <v>3</v>
      </c>
      <c r="V42" s="1">
        <v>0</v>
      </c>
      <c r="W42" s="1">
        <v>1</v>
      </c>
      <c r="X42" s="1">
        <v>8</v>
      </c>
      <c r="Y42" s="1">
        <v>34</v>
      </c>
      <c r="Z42" s="1">
        <v>0</v>
      </c>
      <c r="AA42" s="1">
        <v>1</v>
      </c>
    </row>
    <row r="43" spans="1:27" ht="12.75" customHeight="1" x14ac:dyDescent="0.15">
      <c r="A43" s="5">
        <v>169</v>
      </c>
      <c r="B43" s="5" t="s">
        <v>238</v>
      </c>
      <c r="C43" s="1">
        <v>15</v>
      </c>
      <c r="D43" s="5" t="s">
        <v>983</v>
      </c>
      <c r="E43" s="1">
        <v>2</v>
      </c>
      <c r="F43" s="5" t="s">
        <v>982</v>
      </c>
      <c r="G43" s="1">
        <v>2</v>
      </c>
      <c r="H43" s="5" t="s">
        <v>982</v>
      </c>
      <c r="I43" s="1">
        <v>6</v>
      </c>
      <c r="J43" s="5" t="s">
        <v>981</v>
      </c>
      <c r="K43" s="1">
        <v>2</v>
      </c>
      <c r="L43" s="5" t="s">
        <v>983</v>
      </c>
      <c r="M43" s="1">
        <v>0</v>
      </c>
      <c r="N43" s="5" t="s">
        <v>983</v>
      </c>
      <c r="O43" s="1">
        <v>0</v>
      </c>
      <c r="P43" s="5" t="s">
        <v>983</v>
      </c>
      <c r="Q43" s="1">
        <v>1</v>
      </c>
      <c r="R43" s="1">
        <v>0</v>
      </c>
      <c r="S43" s="1">
        <v>1</v>
      </c>
      <c r="T43" s="1">
        <v>2</v>
      </c>
      <c r="U43" s="1">
        <v>3</v>
      </c>
      <c r="V43" s="1">
        <v>0</v>
      </c>
      <c r="W43" s="1">
        <v>0</v>
      </c>
      <c r="X43" s="1">
        <v>16</v>
      </c>
      <c r="Y43" s="1">
        <v>11</v>
      </c>
      <c r="Z43" s="1">
        <v>300000</v>
      </c>
      <c r="AA43" s="1">
        <v>5</v>
      </c>
    </row>
    <row r="44" spans="1:27" ht="12.75" customHeight="1" x14ac:dyDescent="0.15">
      <c r="A44" s="5">
        <v>469</v>
      </c>
      <c r="B44" s="5" t="s">
        <v>984</v>
      </c>
      <c r="C44" s="1">
        <v>30</v>
      </c>
      <c r="D44" s="5" t="s">
        <v>981</v>
      </c>
      <c r="E44" s="1">
        <v>3</v>
      </c>
      <c r="F44" s="5" t="s">
        <v>982</v>
      </c>
      <c r="G44" s="1">
        <v>1</v>
      </c>
      <c r="H44" s="5" t="s">
        <v>983</v>
      </c>
      <c r="I44" s="1">
        <v>16</v>
      </c>
      <c r="J44" s="5" t="s">
        <v>981</v>
      </c>
      <c r="K44" s="1">
        <v>0</v>
      </c>
      <c r="L44" s="5" t="s">
        <v>983</v>
      </c>
      <c r="M44" s="1">
        <v>0</v>
      </c>
      <c r="N44" s="5" t="s">
        <v>983</v>
      </c>
      <c r="O44" s="1">
        <v>0</v>
      </c>
      <c r="P44" s="5" t="s">
        <v>983</v>
      </c>
      <c r="Q44" s="1">
        <v>1</v>
      </c>
      <c r="R44" s="1">
        <v>0</v>
      </c>
      <c r="S44" s="1">
        <v>1</v>
      </c>
      <c r="T44" s="1">
        <v>4</v>
      </c>
      <c r="U44" s="1">
        <v>3</v>
      </c>
      <c r="V44" s="1">
        <v>0</v>
      </c>
      <c r="W44" s="1">
        <v>0</v>
      </c>
      <c r="Y44" s="1">
        <v>1</v>
      </c>
      <c r="AA44" s="1">
        <v>1</v>
      </c>
    </row>
    <row r="45" spans="1:27" ht="12.75" customHeight="1" x14ac:dyDescent="0.15">
      <c r="A45" s="5">
        <v>266</v>
      </c>
      <c r="B45" s="5" t="s">
        <v>238</v>
      </c>
      <c r="C45" s="1">
        <v>19</v>
      </c>
      <c r="D45" s="5" t="s">
        <v>982</v>
      </c>
      <c r="E45" s="1">
        <v>3</v>
      </c>
      <c r="F45" s="5" t="s">
        <v>982</v>
      </c>
      <c r="G45" s="1">
        <v>2</v>
      </c>
      <c r="H45" s="5" t="s">
        <v>982</v>
      </c>
      <c r="I45" s="1">
        <v>0</v>
      </c>
      <c r="J45" s="5" t="s">
        <v>983</v>
      </c>
      <c r="K45" s="1">
        <v>0</v>
      </c>
      <c r="L45" s="5" t="s">
        <v>983</v>
      </c>
      <c r="M45" s="1">
        <v>0</v>
      </c>
      <c r="N45" s="5" t="s">
        <v>983</v>
      </c>
      <c r="O45" s="1">
        <v>0</v>
      </c>
      <c r="P45" s="5" t="s">
        <v>983</v>
      </c>
      <c r="Q45" s="1">
        <v>1</v>
      </c>
      <c r="R45" s="1">
        <v>0</v>
      </c>
      <c r="S45" s="1">
        <v>1</v>
      </c>
      <c r="T45" s="1">
        <v>3</v>
      </c>
      <c r="U45" s="1">
        <v>3</v>
      </c>
      <c r="V45" s="1">
        <v>0</v>
      </c>
      <c r="W45" s="1">
        <v>0</v>
      </c>
      <c r="Y45" s="1">
        <v>1</v>
      </c>
      <c r="AA45" s="1">
        <v>4</v>
      </c>
    </row>
    <row r="46" spans="1:27" ht="12.75" customHeight="1" x14ac:dyDescent="0.15">
      <c r="A46" s="5">
        <v>290</v>
      </c>
      <c r="B46" s="5" t="s">
        <v>238</v>
      </c>
      <c r="C46" s="1">
        <v>19</v>
      </c>
      <c r="D46" s="5" t="s">
        <v>982</v>
      </c>
      <c r="E46" s="1">
        <v>5</v>
      </c>
      <c r="F46" s="5" t="s">
        <v>981</v>
      </c>
      <c r="G46" s="1">
        <v>5</v>
      </c>
      <c r="H46" s="5" t="s">
        <v>982</v>
      </c>
      <c r="I46" s="1">
        <v>12</v>
      </c>
      <c r="J46" s="5" t="s">
        <v>981</v>
      </c>
      <c r="K46" s="1">
        <v>0</v>
      </c>
      <c r="L46" s="5" t="s">
        <v>983</v>
      </c>
      <c r="M46" s="1">
        <v>3</v>
      </c>
      <c r="N46" s="5" t="s">
        <v>982</v>
      </c>
      <c r="O46" s="1">
        <v>0</v>
      </c>
      <c r="P46" s="5" t="s">
        <v>983</v>
      </c>
      <c r="Q46" s="1">
        <v>1</v>
      </c>
      <c r="R46" s="1">
        <v>0</v>
      </c>
      <c r="S46" s="1">
        <v>1</v>
      </c>
      <c r="T46" s="1">
        <v>5</v>
      </c>
      <c r="U46" s="1">
        <v>3</v>
      </c>
      <c r="V46" s="1">
        <v>0</v>
      </c>
      <c r="W46" s="1">
        <v>1</v>
      </c>
      <c r="Y46" s="1">
        <v>6</v>
      </c>
      <c r="AA46" s="1">
        <v>4</v>
      </c>
    </row>
    <row r="47" spans="1:27" ht="12.75" customHeight="1" x14ac:dyDescent="0.15">
      <c r="A47" s="5">
        <v>241</v>
      </c>
      <c r="B47" s="5" t="s">
        <v>238</v>
      </c>
      <c r="C47" s="1">
        <v>27</v>
      </c>
      <c r="D47" s="5" t="s">
        <v>981</v>
      </c>
      <c r="E47" s="1">
        <v>6</v>
      </c>
      <c r="F47" s="5" t="s">
        <v>981</v>
      </c>
      <c r="G47" s="1">
        <v>4</v>
      </c>
      <c r="H47" s="5" t="s">
        <v>982</v>
      </c>
      <c r="I47" s="1">
        <v>7</v>
      </c>
      <c r="J47" s="5" t="s">
        <v>981</v>
      </c>
      <c r="K47" s="1">
        <v>2</v>
      </c>
      <c r="L47" s="5" t="s">
        <v>983</v>
      </c>
      <c r="M47" s="1">
        <v>1</v>
      </c>
      <c r="N47" s="5" t="s">
        <v>983</v>
      </c>
      <c r="O47" s="1">
        <v>0</v>
      </c>
      <c r="P47" s="5" t="s">
        <v>983</v>
      </c>
      <c r="Q47" s="1">
        <v>1</v>
      </c>
      <c r="R47" s="1">
        <v>0</v>
      </c>
      <c r="S47" s="1">
        <v>1</v>
      </c>
      <c r="T47" s="1">
        <v>3</v>
      </c>
      <c r="U47" s="1">
        <v>3</v>
      </c>
      <c r="V47" s="1">
        <v>0</v>
      </c>
      <c r="W47" s="1">
        <v>0</v>
      </c>
      <c r="Y47" s="1">
        <v>6</v>
      </c>
      <c r="AA47" s="1">
        <v>2</v>
      </c>
    </row>
    <row r="48" spans="1:27" ht="12.75" customHeight="1" x14ac:dyDescent="0.15">
      <c r="A48" s="5">
        <v>472</v>
      </c>
      <c r="B48" s="5" t="s">
        <v>984</v>
      </c>
      <c r="C48" s="1">
        <v>13</v>
      </c>
      <c r="D48" s="5" t="s">
        <v>983</v>
      </c>
      <c r="E48" s="1">
        <v>1</v>
      </c>
      <c r="F48" s="5" t="s">
        <v>983</v>
      </c>
      <c r="G48" s="1">
        <v>10</v>
      </c>
      <c r="H48" s="5" t="s">
        <v>981</v>
      </c>
      <c r="I48" s="1">
        <v>8</v>
      </c>
      <c r="J48" s="5" t="s">
        <v>981</v>
      </c>
      <c r="K48" s="1">
        <v>9</v>
      </c>
      <c r="L48" s="5" t="s">
        <v>981</v>
      </c>
      <c r="M48" s="1">
        <v>10</v>
      </c>
      <c r="N48" s="5" t="s">
        <v>981</v>
      </c>
      <c r="O48" s="1">
        <v>5</v>
      </c>
      <c r="P48" s="5" t="s">
        <v>982</v>
      </c>
      <c r="Q48" s="1">
        <v>1</v>
      </c>
      <c r="R48" s="1">
        <v>0</v>
      </c>
      <c r="S48" s="1">
        <v>1</v>
      </c>
      <c r="T48" s="1">
        <v>3</v>
      </c>
      <c r="U48" s="1">
        <v>3</v>
      </c>
      <c r="V48" s="1">
        <v>0</v>
      </c>
      <c r="W48" s="1">
        <v>0</v>
      </c>
      <c r="Y48" s="1">
        <v>7</v>
      </c>
      <c r="AA48" s="1">
        <v>4</v>
      </c>
    </row>
    <row r="49" spans="1:27" ht="12.75" customHeight="1" x14ac:dyDescent="0.15">
      <c r="A49" s="5">
        <v>422</v>
      </c>
      <c r="B49" s="5" t="s">
        <v>238</v>
      </c>
      <c r="C49" s="1">
        <v>22</v>
      </c>
      <c r="D49" s="5" t="s">
        <v>982</v>
      </c>
      <c r="E49" s="1">
        <v>5</v>
      </c>
      <c r="F49" s="5" t="s">
        <v>981</v>
      </c>
      <c r="G49" s="1">
        <v>0</v>
      </c>
      <c r="H49" s="5" t="s">
        <v>983</v>
      </c>
      <c r="I49" s="1">
        <v>6</v>
      </c>
      <c r="J49" s="5" t="s">
        <v>981</v>
      </c>
      <c r="K49" s="1">
        <v>3</v>
      </c>
      <c r="L49" s="5" t="s">
        <v>982</v>
      </c>
      <c r="M49" s="1">
        <v>4</v>
      </c>
      <c r="N49" s="5" t="s">
        <v>982</v>
      </c>
      <c r="O49" s="1">
        <v>0</v>
      </c>
      <c r="P49" s="5" t="s">
        <v>983</v>
      </c>
      <c r="Q49" s="1">
        <v>1</v>
      </c>
      <c r="R49" s="1">
        <v>0</v>
      </c>
      <c r="S49" s="1">
        <v>1</v>
      </c>
      <c r="T49" s="1">
        <v>5</v>
      </c>
      <c r="U49" s="1">
        <v>3</v>
      </c>
      <c r="V49" s="1">
        <v>0</v>
      </c>
      <c r="W49" s="1">
        <v>0</v>
      </c>
      <c r="Y49" s="1">
        <v>10</v>
      </c>
      <c r="AA49" s="1">
        <v>2</v>
      </c>
    </row>
    <row r="50" spans="1:27" ht="12.75" customHeight="1" x14ac:dyDescent="0.15">
      <c r="A50" s="5">
        <v>17</v>
      </c>
      <c r="B50" s="5" t="s">
        <v>238</v>
      </c>
      <c r="C50" s="1">
        <v>22</v>
      </c>
      <c r="D50" s="5" t="s">
        <v>982</v>
      </c>
      <c r="E50" s="1">
        <v>3</v>
      </c>
      <c r="F50" s="5" t="s">
        <v>982</v>
      </c>
      <c r="G50" s="1">
        <v>2</v>
      </c>
      <c r="H50" s="5" t="s">
        <v>982</v>
      </c>
      <c r="I50" s="1">
        <v>3</v>
      </c>
      <c r="J50" s="5" t="s">
        <v>982</v>
      </c>
      <c r="K50" s="1">
        <v>3</v>
      </c>
      <c r="L50" s="5" t="s">
        <v>982</v>
      </c>
      <c r="M50" s="1">
        <v>3</v>
      </c>
      <c r="N50" s="5" t="s">
        <v>982</v>
      </c>
      <c r="O50" s="1">
        <v>0</v>
      </c>
      <c r="P50" s="5" t="s">
        <v>983</v>
      </c>
      <c r="Q50" s="1">
        <v>0</v>
      </c>
      <c r="R50" s="1">
        <v>0</v>
      </c>
      <c r="S50" s="1">
        <v>1</v>
      </c>
      <c r="T50" s="1">
        <v>5</v>
      </c>
      <c r="U50" s="1">
        <v>3</v>
      </c>
      <c r="V50" s="1">
        <v>0</v>
      </c>
      <c r="W50" s="1">
        <v>0</v>
      </c>
      <c r="Y50" s="1">
        <v>24</v>
      </c>
      <c r="AA50" s="1">
        <v>6</v>
      </c>
    </row>
    <row r="51" spans="1:27" ht="12.75" customHeight="1" x14ac:dyDescent="0.15">
      <c r="A51" s="5">
        <v>171</v>
      </c>
      <c r="B51" s="5" t="s">
        <v>238</v>
      </c>
      <c r="C51" s="1">
        <v>26</v>
      </c>
      <c r="D51" s="5" t="s">
        <v>981</v>
      </c>
      <c r="E51" s="1">
        <v>5</v>
      </c>
      <c r="F51" s="5" t="s">
        <v>981</v>
      </c>
      <c r="G51" s="1">
        <v>2</v>
      </c>
      <c r="H51" s="5" t="s">
        <v>982</v>
      </c>
      <c r="I51" s="1">
        <v>3</v>
      </c>
      <c r="J51" s="5" t="s">
        <v>982</v>
      </c>
      <c r="K51" s="1">
        <v>6</v>
      </c>
      <c r="L51" s="5" t="s">
        <v>981</v>
      </c>
      <c r="M51" s="1">
        <v>4</v>
      </c>
      <c r="N51" s="5" t="s">
        <v>982</v>
      </c>
      <c r="O51" s="1">
        <v>0</v>
      </c>
      <c r="P51" s="5" t="s">
        <v>983</v>
      </c>
      <c r="Q51" s="1">
        <v>0</v>
      </c>
      <c r="R51" s="1">
        <v>0</v>
      </c>
      <c r="S51" s="1">
        <v>1</v>
      </c>
      <c r="T51" s="1">
        <v>3</v>
      </c>
      <c r="U51" s="1">
        <v>3</v>
      </c>
      <c r="V51" s="1">
        <v>0</v>
      </c>
      <c r="W51" s="1">
        <v>0</v>
      </c>
      <c r="Y51" s="1">
        <v>24</v>
      </c>
      <c r="AA51" s="1">
        <v>3</v>
      </c>
    </row>
    <row r="52" spans="1:27" ht="12.75" customHeight="1" x14ac:dyDescent="0.15">
      <c r="A52" s="5">
        <v>299</v>
      </c>
      <c r="B52" s="5" t="s">
        <v>238</v>
      </c>
      <c r="C52" s="1">
        <v>17</v>
      </c>
      <c r="D52" s="5" t="s">
        <v>983</v>
      </c>
      <c r="E52" s="1">
        <v>1</v>
      </c>
      <c r="F52" s="5" t="s">
        <v>983</v>
      </c>
      <c r="G52" s="1">
        <v>0</v>
      </c>
      <c r="H52" s="5" t="s">
        <v>983</v>
      </c>
      <c r="I52" s="1">
        <v>2</v>
      </c>
      <c r="J52" s="5" t="s">
        <v>982</v>
      </c>
      <c r="K52" s="1">
        <v>0</v>
      </c>
      <c r="L52" s="5" t="s">
        <v>983</v>
      </c>
      <c r="M52" s="1">
        <v>2</v>
      </c>
      <c r="N52" s="5" t="s">
        <v>983</v>
      </c>
      <c r="O52" s="1">
        <v>0</v>
      </c>
      <c r="P52" s="5" t="s">
        <v>983</v>
      </c>
      <c r="Q52" s="1">
        <v>1</v>
      </c>
      <c r="R52" s="1">
        <v>0</v>
      </c>
      <c r="S52" s="1">
        <v>1</v>
      </c>
      <c r="T52" s="1">
        <v>3</v>
      </c>
      <c r="U52" s="1">
        <v>3</v>
      </c>
      <c r="V52" s="1">
        <v>0</v>
      </c>
      <c r="W52" s="1">
        <v>1</v>
      </c>
      <c r="Y52" s="1">
        <v>34</v>
      </c>
      <c r="AA52" s="1">
        <v>1</v>
      </c>
    </row>
    <row r="53" spans="1:27" ht="12.75" customHeight="1" x14ac:dyDescent="0.15">
      <c r="A53" s="5">
        <v>276</v>
      </c>
      <c r="B53" s="5" t="s">
        <v>238</v>
      </c>
      <c r="C53" s="1">
        <v>24</v>
      </c>
      <c r="D53" s="5" t="s">
        <v>981</v>
      </c>
      <c r="E53" s="1">
        <v>6</v>
      </c>
      <c r="F53" s="5" t="s">
        <v>981</v>
      </c>
      <c r="G53" s="1">
        <v>6</v>
      </c>
      <c r="H53" s="5" t="s">
        <v>981</v>
      </c>
      <c r="I53" s="1">
        <v>8</v>
      </c>
      <c r="J53" s="5" t="s">
        <v>981</v>
      </c>
      <c r="K53" s="1">
        <v>6</v>
      </c>
      <c r="L53" s="5" t="s">
        <v>981</v>
      </c>
      <c r="M53" s="1">
        <v>6</v>
      </c>
      <c r="N53" s="5" t="s">
        <v>981</v>
      </c>
      <c r="O53" s="1">
        <v>0</v>
      </c>
      <c r="P53" s="5" t="s">
        <v>983</v>
      </c>
      <c r="Q53" s="1">
        <v>1</v>
      </c>
      <c r="R53" s="1">
        <v>0</v>
      </c>
      <c r="S53" s="1">
        <v>1</v>
      </c>
      <c r="T53" s="1">
        <v>4</v>
      </c>
      <c r="U53" s="1">
        <v>3</v>
      </c>
      <c r="V53" s="1">
        <v>0</v>
      </c>
      <c r="W53" s="1">
        <v>0</v>
      </c>
      <c r="Y53" s="1">
        <v>34</v>
      </c>
      <c r="AA53" s="1">
        <v>2</v>
      </c>
    </row>
    <row r="54" spans="1:27" ht="12.75" customHeight="1" x14ac:dyDescent="0.15">
      <c r="A54" s="5">
        <v>420</v>
      </c>
      <c r="B54" s="5" t="s">
        <v>238</v>
      </c>
      <c r="C54" s="1">
        <v>25</v>
      </c>
      <c r="D54" s="5" t="s">
        <v>981</v>
      </c>
      <c r="E54" s="1">
        <v>6</v>
      </c>
      <c r="F54" s="5" t="s">
        <v>981</v>
      </c>
      <c r="G54" s="1">
        <v>6</v>
      </c>
      <c r="H54" s="5" t="s">
        <v>981</v>
      </c>
      <c r="I54" s="1">
        <v>8</v>
      </c>
      <c r="J54" s="5" t="s">
        <v>981</v>
      </c>
      <c r="K54" s="1">
        <v>6</v>
      </c>
      <c r="L54" s="5" t="s">
        <v>981</v>
      </c>
      <c r="M54" s="1">
        <v>6</v>
      </c>
      <c r="N54" s="5" t="s">
        <v>981</v>
      </c>
      <c r="O54" s="1">
        <v>0</v>
      </c>
      <c r="P54" s="5" t="s">
        <v>983</v>
      </c>
      <c r="Q54" s="1">
        <v>1</v>
      </c>
      <c r="R54" s="1">
        <v>0</v>
      </c>
      <c r="S54" s="1" t="s">
        <v>194</v>
      </c>
      <c r="T54" s="1" t="s">
        <v>194</v>
      </c>
      <c r="U54" s="1">
        <v>3</v>
      </c>
      <c r="V54" s="1">
        <v>0</v>
      </c>
      <c r="W54" s="1">
        <v>0</v>
      </c>
      <c r="Y54" s="1">
        <v>13</v>
      </c>
      <c r="AA54" s="1">
        <v>4</v>
      </c>
    </row>
    <row r="55" spans="1:27" ht="12.75" customHeight="1" x14ac:dyDescent="0.15">
      <c r="A55" s="5">
        <v>398</v>
      </c>
      <c r="B55" s="5" t="s">
        <v>984</v>
      </c>
      <c r="C55" s="1">
        <v>29</v>
      </c>
      <c r="D55" s="5" t="s">
        <v>981</v>
      </c>
      <c r="E55" s="1">
        <v>6</v>
      </c>
      <c r="F55" s="5" t="s">
        <v>981</v>
      </c>
      <c r="G55" s="1">
        <v>8</v>
      </c>
      <c r="H55" s="5" t="s">
        <v>981</v>
      </c>
      <c r="I55" s="1">
        <v>5</v>
      </c>
      <c r="J55" s="5" t="s">
        <v>981</v>
      </c>
      <c r="K55" s="1">
        <v>7</v>
      </c>
      <c r="L55" s="5" t="s">
        <v>981</v>
      </c>
      <c r="M55" s="1">
        <v>9</v>
      </c>
      <c r="N55" s="5" t="s">
        <v>981</v>
      </c>
      <c r="O55" s="1">
        <v>0</v>
      </c>
      <c r="P55" s="5" t="s">
        <v>983</v>
      </c>
      <c r="Q55" s="1">
        <v>1</v>
      </c>
      <c r="R55" s="1">
        <v>0</v>
      </c>
      <c r="S55" s="1" t="s">
        <v>194</v>
      </c>
      <c r="T55" s="1" t="s">
        <v>194</v>
      </c>
      <c r="U55" s="1">
        <v>3</v>
      </c>
      <c r="V55" s="1">
        <v>0</v>
      </c>
      <c r="W55" s="1">
        <v>1</v>
      </c>
      <c r="Y55" s="1">
        <v>1</v>
      </c>
      <c r="AA55" s="1">
        <v>2</v>
      </c>
    </row>
    <row r="56" spans="1:27" ht="12.75" customHeight="1" x14ac:dyDescent="0.15">
      <c r="A56" s="5">
        <v>363</v>
      </c>
      <c r="B56" s="5" t="s">
        <v>238</v>
      </c>
      <c r="C56" s="1">
        <v>37</v>
      </c>
      <c r="D56" s="5" t="s">
        <v>981</v>
      </c>
      <c r="E56" s="1">
        <v>9</v>
      </c>
      <c r="F56" s="5" t="s">
        <v>981</v>
      </c>
      <c r="G56" s="1">
        <v>9</v>
      </c>
      <c r="H56" s="5" t="s">
        <v>981</v>
      </c>
      <c r="I56" s="1">
        <v>4</v>
      </c>
      <c r="J56" s="5" t="s">
        <v>982</v>
      </c>
      <c r="K56" s="1">
        <v>9</v>
      </c>
      <c r="L56" s="5" t="s">
        <v>981</v>
      </c>
      <c r="M56" s="1">
        <v>9</v>
      </c>
      <c r="N56" s="5" t="s">
        <v>981</v>
      </c>
      <c r="O56" s="1">
        <v>0</v>
      </c>
      <c r="P56" s="5" t="s">
        <v>983</v>
      </c>
      <c r="Q56" s="1">
        <v>0</v>
      </c>
      <c r="R56" s="1">
        <v>0</v>
      </c>
      <c r="S56" s="1" t="s">
        <v>194</v>
      </c>
      <c r="T56" s="1" t="s">
        <v>194</v>
      </c>
      <c r="U56" s="1">
        <v>3</v>
      </c>
      <c r="V56" s="1">
        <v>0</v>
      </c>
      <c r="W56" s="1">
        <v>0</v>
      </c>
      <c r="Y56" s="1">
        <v>25</v>
      </c>
      <c r="AA56" s="1">
        <v>3</v>
      </c>
    </row>
    <row r="57" spans="1:27" ht="12.75" customHeight="1" x14ac:dyDescent="0.15">
      <c r="A57" s="5">
        <v>106</v>
      </c>
      <c r="B57" s="5" t="s">
        <v>984</v>
      </c>
      <c r="C57" s="1">
        <v>36</v>
      </c>
      <c r="D57" s="5" t="s">
        <v>981</v>
      </c>
      <c r="E57" s="1">
        <v>1</v>
      </c>
      <c r="F57" s="5" t="s">
        <v>983</v>
      </c>
      <c r="G57" s="1">
        <v>8</v>
      </c>
      <c r="H57" s="5" t="s">
        <v>981</v>
      </c>
      <c r="I57" s="1">
        <v>1</v>
      </c>
      <c r="J57" s="5" t="s">
        <v>982</v>
      </c>
      <c r="K57" s="1">
        <v>7</v>
      </c>
      <c r="L57" s="5" t="s">
        <v>981</v>
      </c>
      <c r="M57" s="1">
        <v>7</v>
      </c>
      <c r="N57" s="5" t="s">
        <v>981</v>
      </c>
      <c r="O57" s="1">
        <v>1</v>
      </c>
      <c r="P57" s="5" t="s">
        <v>982</v>
      </c>
      <c r="Q57" s="1">
        <v>0</v>
      </c>
      <c r="R57" s="1">
        <v>0</v>
      </c>
      <c r="S57" s="1" t="s">
        <v>194</v>
      </c>
      <c r="T57" s="1">
        <v>3</v>
      </c>
      <c r="U57" s="1">
        <v>3</v>
      </c>
      <c r="V57" s="1">
        <v>0</v>
      </c>
      <c r="W57" s="1">
        <v>1</v>
      </c>
      <c r="X57" s="1">
        <v>8</v>
      </c>
      <c r="Y57" s="1">
        <v>11</v>
      </c>
      <c r="Z57" s="1">
        <v>650000</v>
      </c>
      <c r="AA57" s="1">
        <v>3</v>
      </c>
    </row>
    <row r="58" spans="1:27" ht="12.75" customHeight="1" x14ac:dyDescent="0.15">
      <c r="A58" s="5">
        <v>13</v>
      </c>
      <c r="B58" s="5" t="s">
        <v>238</v>
      </c>
      <c r="C58" s="1">
        <v>21</v>
      </c>
      <c r="D58" s="5" t="s">
        <v>982</v>
      </c>
      <c r="E58" s="1">
        <v>3</v>
      </c>
      <c r="F58" s="5" t="s">
        <v>982</v>
      </c>
      <c r="G58" s="1">
        <v>0</v>
      </c>
      <c r="H58" s="5" t="s">
        <v>983</v>
      </c>
      <c r="I58" s="1">
        <v>6</v>
      </c>
      <c r="J58" s="5" t="s">
        <v>981</v>
      </c>
      <c r="K58" s="1">
        <v>2</v>
      </c>
      <c r="L58" s="5" t="s">
        <v>983</v>
      </c>
      <c r="M58" s="1">
        <v>0</v>
      </c>
      <c r="N58" s="5" t="s">
        <v>983</v>
      </c>
      <c r="O58" s="1">
        <v>0</v>
      </c>
      <c r="P58" s="5" t="s">
        <v>983</v>
      </c>
      <c r="Q58" s="1">
        <v>1</v>
      </c>
      <c r="R58" s="1">
        <v>0</v>
      </c>
      <c r="S58" s="1" t="s">
        <v>194</v>
      </c>
      <c r="T58" s="1">
        <v>5</v>
      </c>
      <c r="U58" s="1">
        <v>3</v>
      </c>
      <c r="V58" s="1">
        <v>0</v>
      </c>
      <c r="W58" s="1">
        <v>1</v>
      </c>
      <c r="Y58" s="1">
        <v>11</v>
      </c>
      <c r="AA58" s="1">
        <v>2</v>
      </c>
    </row>
    <row r="59" spans="1:27" ht="12.75" customHeight="1" x14ac:dyDescent="0.15">
      <c r="A59" s="5">
        <v>172</v>
      </c>
      <c r="B59" s="5" t="s">
        <v>238</v>
      </c>
      <c r="C59" s="1">
        <v>32</v>
      </c>
      <c r="D59" s="5" t="s">
        <v>981</v>
      </c>
      <c r="E59" s="1">
        <v>9</v>
      </c>
      <c r="F59" s="5" t="s">
        <v>981</v>
      </c>
      <c r="G59" s="1">
        <v>6</v>
      </c>
      <c r="H59" s="5" t="s">
        <v>981</v>
      </c>
      <c r="I59" s="1">
        <v>16</v>
      </c>
      <c r="J59" s="5" t="s">
        <v>981</v>
      </c>
      <c r="K59" s="1">
        <v>0</v>
      </c>
      <c r="L59" s="5" t="s">
        <v>983</v>
      </c>
      <c r="M59" s="1">
        <v>7</v>
      </c>
      <c r="N59" s="5" t="s">
        <v>981</v>
      </c>
      <c r="O59" s="1">
        <v>0</v>
      </c>
      <c r="P59" s="5" t="s">
        <v>983</v>
      </c>
      <c r="Q59" s="1">
        <v>0</v>
      </c>
      <c r="R59" s="1">
        <v>0</v>
      </c>
      <c r="S59" s="1" t="s">
        <v>194</v>
      </c>
      <c r="T59" s="1">
        <v>3</v>
      </c>
      <c r="U59" s="1">
        <v>3</v>
      </c>
      <c r="V59" s="1">
        <v>0</v>
      </c>
      <c r="W59" s="1">
        <v>1</v>
      </c>
      <c r="Y59" s="1">
        <v>30</v>
      </c>
      <c r="AA59" s="1">
        <v>3</v>
      </c>
    </row>
    <row r="60" spans="1:27" ht="12.75" customHeight="1" x14ac:dyDescent="0.15">
      <c r="A60" s="5">
        <v>403</v>
      </c>
      <c r="B60" s="5" t="s">
        <v>984</v>
      </c>
      <c r="C60" s="1">
        <v>25</v>
      </c>
      <c r="D60" s="5" t="s">
        <v>981</v>
      </c>
      <c r="E60" s="1">
        <v>4</v>
      </c>
      <c r="F60" s="5" t="s">
        <v>982</v>
      </c>
      <c r="G60" s="1">
        <v>10</v>
      </c>
      <c r="H60" s="5" t="s">
        <v>981</v>
      </c>
      <c r="I60" s="1">
        <v>7</v>
      </c>
      <c r="J60" s="5" t="s">
        <v>981</v>
      </c>
      <c r="K60" s="1">
        <v>9</v>
      </c>
      <c r="L60" s="5" t="s">
        <v>981</v>
      </c>
      <c r="M60" s="1">
        <v>10</v>
      </c>
      <c r="N60" s="5" t="s">
        <v>981</v>
      </c>
      <c r="O60" s="1">
        <v>3</v>
      </c>
      <c r="P60" s="5" t="s">
        <v>982</v>
      </c>
      <c r="Q60" s="1">
        <v>0</v>
      </c>
      <c r="R60" s="1">
        <v>0</v>
      </c>
      <c r="S60" s="1" t="s">
        <v>194</v>
      </c>
      <c r="T60" s="1">
        <v>5</v>
      </c>
      <c r="U60" s="1">
        <v>3</v>
      </c>
      <c r="V60" s="1">
        <v>0</v>
      </c>
      <c r="W60" s="1">
        <v>1</v>
      </c>
      <c r="Y60" s="1">
        <v>32</v>
      </c>
      <c r="AA60" s="1">
        <v>2</v>
      </c>
    </row>
    <row r="61" spans="1:27" ht="12.75" customHeight="1" x14ac:dyDescent="0.15">
      <c r="A61" s="5">
        <v>100</v>
      </c>
      <c r="B61" s="5" t="s">
        <v>238</v>
      </c>
      <c r="C61" s="1">
        <v>30</v>
      </c>
      <c r="D61" s="5" t="s">
        <v>981</v>
      </c>
      <c r="E61" s="1">
        <v>6</v>
      </c>
      <c r="F61" s="5" t="s">
        <v>981</v>
      </c>
      <c r="G61" s="1">
        <v>2</v>
      </c>
      <c r="H61" s="5" t="s">
        <v>982</v>
      </c>
      <c r="I61" s="1">
        <v>8</v>
      </c>
      <c r="J61" s="5" t="s">
        <v>981</v>
      </c>
      <c r="K61" s="1">
        <v>3</v>
      </c>
      <c r="L61" s="5" t="s">
        <v>982</v>
      </c>
      <c r="M61" s="1">
        <v>0</v>
      </c>
      <c r="N61" s="5" t="s">
        <v>983</v>
      </c>
      <c r="O61" s="1">
        <v>0</v>
      </c>
      <c r="P61" s="5" t="s">
        <v>983</v>
      </c>
      <c r="Q61" s="1">
        <v>1</v>
      </c>
      <c r="R61" s="1">
        <v>0</v>
      </c>
      <c r="S61" s="1">
        <v>1</v>
      </c>
      <c r="T61" s="1">
        <v>5</v>
      </c>
      <c r="U61" s="1">
        <v>4</v>
      </c>
      <c r="V61" s="1">
        <v>0</v>
      </c>
      <c r="W61" s="1">
        <v>0</v>
      </c>
      <c r="X61" s="1">
        <v>16</v>
      </c>
      <c r="Y61" s="1">
        <v>7</v>
      </c>
      <c r="Z61" s="1">
        <v>1400</v>
      </c>
      <c r="AA61" s="1">
        <v>1</v>
      </c>
    </row>
    <row r="62" spans="1:27" ht="12.75" customHeight="1" x14ac:dyDescent="0.15">
      <c r="A62" s="5">
        <v>90</v>
      </c>
      <c r="B62" s="5" t="s">
        <v>238</v>
      </c>
      <c r="C62" s="1">
        <v>27</v>
      </c>
      <c r="D62" s="5" t="s">
        <v>981</v>
      </c>
      <c r="E62" s="1">
        <v>1</v>
      </c>
      <c r="F62" s="5" t="s">
        <v>983</v>
      </c>
      <c r="G62" s="1">
        <v>5</v>
      </c>
      <c r="H62" s="5" t="s">
        <v>982</v>
      </c>
      <c r="I62" s="1">
        <v>12</v>
      </c>
      <c r="J62" s="5" t="s">
        <v>981</v>
      </c>
      <c r="K62" s="1">
        <v>2</v>
      </c>
      <c r="L62" s="5" t="s">
        <v>983</v>
      </c>
      <c r="M62" s="1">
        <v>2</v>
      </c>
      <c r="N62" s="5" t="s">
        <v>983</v>
      </c>
      <c r="O62" s="1">
        <v>0</v>
      </c>
      <c r="P62" s="5" t="s">
        <v>983</v>
      </c>
      <c r="Q62" s="1">
        <v>1</v>
      </c>
      <c r="R62" s="1">
        <v>0</v>
      </c>
      <c r="S62" s="1">
        <v>1</v>
      </c>
      <c r="T62" s="1">
        <v>3</v>
      </c>
      <c r="U62" s="1">
        <v>4</v>
      </c>
      <c r="V62" s="1">
        <v>0</v>
      </c>
      <c r="W62" s="1">
        <v>1</v>
      </c>
      <c r="X62" s="1">
        <v>17</v>
      </c>
      <c r="Y62" s="1">
        <v>34</v>
      </c>
      <c r="Z62" s="1">
        <v>850000</v>
      </c>
      <c r="AA62" s="1">
        <v>3</v>
      </c>
    </row>
    <row r="63" spans="1:27" ht="12.75" customHeight="1" x14ac:dyDescent="0.15">
      <c r="A63" s="5">
        <v>496</v>
      </c>
      <c r="B63" s="5" t="s">
        <v>238</v>
      </c>
      <c r="C63" s="1">
        <v>26</v>
      </c>
      <c r="D63" s="5" t="s">
        <v>981</v>
      </c>
      <c r="E63" s="1">
        <v>9</v>
      </c>
      <c r="F63" s="5" t="s">
        <v>981</v>
      </c>
      <c r="G63" s="1">
        <v>8</v>
      </c>
      <c r="H63" s="5" t="s">
        <v>981</v>
      </c>
      <c r="I63" s="1">
        <v>12</v>
      </c>
      <c r="J63" s="5" t="s">
        <v>981</v>
      </c>
      <c r="K63" s="1">
        <v>12</v>
      </c>
      <c r="L63" s="5" t="s">
        <v>981</v>
      </c>
      <c r="M63" s="1">
        <v>9</v>
      </c>
      <c r="N63" s="5" t="s">
        <v>981</v>
      </c>
      <c r="O63" s="1">
        <v>2</v>
      </c>
      <c r="P63" s="5" t="s">
        <v>982</v>
      </c>
      <c r="Q63" s="1">
        <v>1</v>
      </c>
      <c r="R63" s="1">
        <v>0</v>
      </c>
      <c r="S63" s="1">
        <v>1</v>
      </c>
      <c r="T63" s="1">
        <v>5</v>
      </c>
      <c r="U63" s="1">
        <v>4</v>
      </c>
      <c r="V63" s="1">
        <v>0</v>
      </c>
      <c r="W63" s="1">
        <v>1</v>
      </c>
      <c r="Y63" s="1">
        <v>1</v>
      </c>
      <c r="AA63" s="1">
        <v>2</v>
      </c>
    </row>
    <row r="64" spans="1:27" ht="12.75" customHeight="1" x14ac:dyDescent="0.15">
      <c r="A64" s="5">
        <v>410</v>
      </c>
      <c r="B64" s="5" t="s">
        <v>238</v>
      </c>
      <c r="C64" s="1">
        <v>27</v>
      </c>
      <c r="D64" s="5" t="s">
        <v>981</v>
      </c>
      <c r="E64" s="1">
        <v>6</v>
      </c>
      <c r="F64" s="5" t="s">
        <v>981</v>
      </c>
      <c r="G64" s="1">
        <v>0</v>
      </c>
      <c r="H64" s="5" t="s">
        <v>983</v>
      </c>
      <c r="I64" s="1">
        <v>10</v>
      </c>
      <c r="J64" s="5" t="s">
        <v>981</v>
      </c>
      <c r="K64" s="1">
        <v>3</v>
      </c>
      <c r="L64" s="5" t="s">
        <v>982</v>
      </c>
      <c r="M64" s="1">
        <v>7</v>
      </c>
      <c r="N64" s="5" t="s">
        <v>981</v>
      </c>
      <c r="O64" s="1">
        <v>0</v>
      </c>
      <c r="P64" s="5" t="s">
        <v>983</v>
      </c>
      <c r="Q64" s="1">
        <v>0</v>
      </c>
      <c r="R64" s="1">
        <v>1</v>
      </c>
      <c r="S64" s="1">
        <v>1</v>
      </c>
      <c r="T64" s="1">
        <v>5</v>
      </c>
      <c r="U64" s="1">
        <v>4</v>
      </c>
      <c r="V64" s="1">
        <v>0</v>
      </c>
      <c r="W64" s="1">
        <v>1</v>
      </c>
      <c r="Y64" s="1">
        <v>28</v>
      </c>
      <c r="AA64" s="1">
        <v>3</v>
      </c>
    </row>
    <row r="65" spans="1:27" ht="12.75" customHeight="1" x14ac:dyDescent="0.15">
      <c r="A65" s="5">
        <v>208</v>
      </c>
      <c r="B65" s="5" t="s">
        <v>238</v>
      </c>
      <c r="C65" s="1">
        <v>18</v>
      </c>
      <c r="D65" s="5" t="s">
        <v>983</v>
      </c>
      <c r="E65" s="1">
        <v>3</v>
      </c>
      <c r="F65" s="5" t="s">
        <v>982</v>
      </c>
      <c r="G65" s="1">
        <v>1</v>
      </c>
      <c r="H65" s="5" t="s">
        <v>983</v>
      </c>
      <c r="I65" s="1">
        <v>5</v>
      </c>
      <c r="J65" s="5" t="s">
        <v>981</v>
      </c>
      <c r="K65" s="1">
        <v>0</v>
      </c>
      <c r="L65" s="5" t="s">
        <v>983</v>
      </c>
      <c r="M65" s="1">
        <v>2</v>
      </c>
      <c r="N65" s="5" t="s">
        <v>983</v>
      </c>
      <c r="O65" s="1">
        <v>0</v>
      </c>
      <c r="P65" s="5" t="s">
        <v>983</v>
      </c>
      <c r="Q65" s="1">
        <v>0</v>
      </c>
      <c r="R65" s="1">
        <v>0</v>
      </c>
      <c r="S65" s="1">
        <v>1</v>
      </c>
      <c r="T65" s="1">
        <v>5</v>
      </c>
      <c r="U65" s="1">
        <v>4</v>
      </c>
      <c r="V65" s="1">
        <v>0</v>
      </c>
      <c r="W65" s="1">
        <v>0</v>
      </c>
      <c r="Y65" s="1">
        <v>31</v>
      </c>
      <c r="AA65" s="1">
        <v>8</v>
      </c>
    </row>
    <row r="66" spans="1:27" ht="12.75" customHeight="1" x14ac:dyDescent="0.15">
      <c r="A66" s="5">
        <v>46</v>
      </c>
      <c r="B66" s="5" t="s">
        <v>238</v>
      </c>
      <c r="C66" s="1">
        <v>19</v>
      </c>
      <c r="D66" s="5" t="s">
        <v>982</v>
      </c>
      <c r="E66" s="1">
        <v>1</v>
      </c>
      <c r="F66" s="5" t="s">
        <v>983</v>
      </c>
      <c r="G66" s="1">
        <v>5</v>
      </c>
      <c r="H66" s="5" t="s">
        <v>982</v>
      </c>
      <c r="I66" s="1">
        <v>0</v>
      </c>
      <c r="J66" s="5" t="s">
        <v>983</v>
      </c>
      <c r="K66" s="1">
        <v>0</v>
      </c>
      <c r="L66" s="5" t="s">
        <v>983</v>
      </c>
      <c r="M66" s="1">
        <v>0</v>
      </c>
      <c r="N66" s="5" t="s">
        <v>983</v>
      </c>
      <c r="O66" s="1">
        <v>0</v>
      </c>
      <c r="P66" s="5" t="s">
        <v>983</v>
      </c>
      <c r="Q66" s="1">
        <v>0</v>
      </c>
      <c r="R66" s="1">
        <v>0</v>
      </c>
      <c r="S66" s="1" t="s">
        <v>194</v>
      </c>
      <c r="T66" s="1" t="s">
        <v>194</v>
      </c>
      <c r="U66" s="1">
        <v>4</v>
      </c>
      <c r="V66" s="1">
        <v>0</v>
      </c>
      <c r="W66" s="1">
        <v>1</v>
      </c>
      <c r="Y66" s="1">
        <v>3</v>
      </c>
      <c r="AA66" s="1">
        <v>2</v>
      </c>
    </row>
    <row r="67" spans="1:27" ht="12.75" customHeight="1" x14ac:dyDescent="0.15">
      <c r="A67" s="5">
        <v>139</v>
      </c>
      <c r="B67" s="5" t="s">
        <v>238</v>
      </c>
      <c r="C67" s="1">
        <v>15</v>
      </c>
      <c r="D67" s="5" t="s">
        <v>983</v>
      </c>
      <c r="E67" s="1">
        <v>1</v>
      </c>
      <c r="F67" s="5" t="s">
        <v>983</v>
      </c>
      <c r="G67" s="1">
        <v>2</v>
      </c>
      <c r="H67" s="5" t="s">
        <v>982</v>
      </c>
      <c r="I67" s="1">
        <v>16</v>
      </c>
      <c r="J67" s="5" t="s">
        <v>981</v>
      </c>
      <c r="K67" s="1">
        <v>0</v>
      </c>
      <c r="L67" s="5" t="s">
        <v>983</v>
      </c>
      <c r="M67" s="1">
        <v>0</v>
      </c>
      <c r="N67" s="5" t="s">
        <v>983</v>
      </c>
      <c r="O67" s="1">
        <v>0</v>
      </c>
      <c r="P67" s="5" t="s">
        <v>983</v>
      </c>
      <c r="Q67" s="1">
        <v>0</v>
      </c>
      <c r="R67" s="1">
        <v>0</v>
      </c>
      <c r="S67" s="1" t="s">
        <v>194</v>
      </c>
      <c r="T67" s="1">
        <v>5</v>
      </c>
      <c r="U67" s="1">
        <v>4</v>
      </c>
      <c r="V67" s="1">
        <v>0</v>
      </c>
      <c r="W67" s="1">
        <v>0</v>
      </c>
      <c r="Y67" s="1">
        <v>2</v>
      </c>
      <c r="AA67" s="1">
        <v>3</v>
      </c>
    </row>
    <row r="68" spans="1:27" ht="12.75" customHeight="1" x14ac:dyDescent="0.15">
      <c r="A68" s="5">
        <v>438</v>
      </c>
      <c r="B68" s="5" t="s">
        <v>238</v>
      </c>
      <c r="C68" s="1">
        <v>22</v>
      </c>
      <c r="D68" s="5" t="s">
        <v>982</v>
      </c>
      <c r="E68" s="1">
        <v>6</v>
      </c>
      <c r="F68" s="5" t="s">
        <v>981</v>
      </c>
      <c r="G68" s="1">
        <v>6</v>
      </c>
      <c r="H68" s="5" t="s">
        <v>981</v>
      </c>
      <c r="I68" s="1">
        <v>8</v>
      </c>
      <c r="J68" s="5" t="s">
        <v>981</v>
      </c>
      <c r="K68" s="1">
        <v>6</v>
      </c>
      <c r="L68" s="5" t="s">
        <v>981</v>
      </c>
      <c r="M68" s="1">
        <v>6</v>
      </c>
      <c r="N68" s="5" t="s">
        <v>981</v>
      </c>
      <c r="O68" s="1">
        <v>0</v>
      </c>
      <c r="P68" s="5" t="s">
        <v>983</v>
      </c>
      <c r="Q68" s="1">
        <v>1</v>
      </c>
      <c r="R68" s="1">
        <v>0</v>
      </c>
      <c r="S68" s="1" t="s">
        <v>194</v>
      </c>
      <c r="T68" s="1">
        <v>5</v>
      </c>
      <c r="U68" s="1">
        <v>4</v>
      </c>
      <c r="V68" s="1">
        <v>0</v>
      </c>
      <c r="W68" s="1">
        <v>1</v>
      </c>
      <c r="Y68" s="1">
        <v>3</v>
      </c>
      <c r="AA68" s="1">
        <v>3</v>
      </c>
    </row>
    <row r="69" spans="1:27" ht="12.75" customHeight="1" x14ac:dyDescent="0.15">
      <c r="A69" s="5">
        <v>145</v>
      </c>
      <c r="B69" s="5" t="s">
        <v>238</v>
      </c>
      <c r="C69" s="1">
        <v>31</v>
      </c>
      <c r="D69" s="5" t="s">
        <v>981</v>
      </c>
      <c r="E69" s="1">
        <v>5</v>
      </c>
      <c r="F69" s="5" t="s">
        <v>981</v>
      </c>
      <c r="G69" s="1">
        <v>6</v>
      </c>
      <c r="H69" s="5" t="s">
        <v>981</v>
      </c>
      <c r="I69" s="1">
        <v>2</v>
      </c>
      <c r="J69" s="5" t="s">
        <v>982</v>
      </c>
      <c r="K69" s="1">
        <v>0</v>
      </c>
      <c r="L69" s="5" t="s">
        <v>983</v>
      </c>
      <c r="M69" s="1">
        <v>12</v>
      </c>
      <c r="N69" s="5" t="s">
        <v>981</v>
      </c>
      <c r="O69" s="1">
        <v>1</v>
      </c>
      <c r="P69" s="5" t="s">
        <v>982</v>
      </c>
      <c r="Q69" s="1">
        <v>0</v>
      </c>
      <c r="R69" s="1">
        <v>0</v>
      </c>
      <c r="S69" s="1" t="s">
        <v>194</v>
      </c>
      <c r="T69" s="1">
        <v>3</v>
      </c>
      <c r="U69" s="1">
        <v>4</v>
      </c>
      <c r="V69" s="1">
        <v>0</v>
      </c>
      <c r="W69" s="1">
        <v>0</v>
      </c>
      <c r="Y69" s="1">
        <v>3</v>
      </c>
      <c r="AA69" s="1">
        <v>2</v>
      </c>
    </row>
    <row r="70" spans="1:27" ht="12.75" customHeight="1" x14ac:dyDescent="0.15">
      <c r="A70" s="5">
        <v>462</v>
      </c>
      <c r="B70" s="5" t="s">
        <v>238</v>
      </c>
      <c r="C70" s="1">
        <v>18</v>
      </c>
      <c r="D70" s="5" t="s">
        <v>983</v>
      </c>
      <c r="E70" s="1">
        <v>2</v>
      </c>
      <c r="F70" s="5" t="s">
        <v>982</v>
      </c>
      <c r="G70" s="1">
        <v>3</v>
      </c>
      <c r="H70" s="5" t="s">
        <v>982</v>
      </c>
      <c r="I70" s="1">
        <v>2</v>
      </c>
      <c r="J70" s="5" t="s">
        <v>982</v>
      </c>
      <c r="K70" s="1">
        <v>1</v>
      </c>
      <c r="L70" s="5" t="s">
        <v>983</v>
      </c>
      <c r="M70" s="1">
        <v>0</v>
      </c>
      <c r="N70" s="5" t="s">
        <v>983</v>
      </c>
      <c r="O70" s="1">
        <v>0</v>
      </c>
      <c r="P70" s="5" t="s">
        <v>983</v>
      </c>
      <c r="Q70" s="1">
        <v>0</v>
      </c>
      <c r="R70" s="1">
        <v>0</v>
      </c>
      <c r="S70" s="1" t="s">
        <v>194</v>
      </c>
      <c r="T70" s="1">
        <v>4</v>
      </c>
      <c r="U70" s="1">
        <v>4</v>
      </c>
      <c r="V70" s="1">
        <v>0</v>
      </c>
      <c r="W70" s="1">
        <v>1</v>
      </c>
      <c r="Y70" s="1">
        <v>33</v>
      </c>
      <c r="AA70" s="1">
        <v>3</v>
      </c>
    </row>
    <row r="71" spans="1:27" ht="12.75" customHeight="1" x14ac:dyDescent="0.15">
      <c r="A71" s="5">
        <v>254</v>
      </c>
      <c r="B71" s="5" t="s">
        <v>238</v>
      </c>
      <c r="C71" s="1">
        <v>21</v>
      </c>
      <c r="D71" s="5" t="s">
        <v>982</v>
      </c>
      <c r="E71" s="1">
        <v>2</v>
      </c>
      <c r="F71" s="5" t="s">
        <v>982</v>
      </c>
      <c r="G71" s="1">
        <v>6</v>
      </c>
      <c r="H71" s="5" t="s">
        <v>981</v>
      </c>
      <c r="I71" s="1">
        <v>8</v>
      </c>
      <c r="J71" s="5" t="s">
        <v>981</v>
      </c>
      <c r="K71" s="1">
        <v>0</v>
      </c>
      <c r="L71" s="5" t="s">
        <v>983</v>
      </c>
      <c r="M71" s="1">
        <v>0</v>
      </c>
      <c r="N71" s="5" t="s">
        <v>983</v>
      </c>
      <c r="O71" s="1">
        <v>0</v>
      </c>
      <c r="P71" s="5" t="s">
        <v>983</v>
      </c>
      <c r="Q71" s="1">
        <v>1</v>
      </c>
      <c r="R71" s="1">
        <v>0</v>
      </c>
      <c r="S71" s="1">
        <v>1</v>
      </c>
      <c r="T71" s="1">
        <v>5</v>
      </c>
      <c r="U71" s="1">
        <v>5</v>
      </c>
      <c r="V71" s="1">
        <v>0</v>
      </c>
      <c r="W71" s="1">
        <v>1</v>
      </c>
      <c r="X71" s="1">
        <v>3</v>
      </c>
      <c r="Y71" s="1">
        <v>4</v>
      </c>
      <c r="Z71" s="1">
        <v>0</v>
      </c>
      <c r="AA71" s="1">
        <v>2</v>
      </c>
    </row>
    <row r="72" spans="1:27" ht="12.75" customHeight="1" x14ac:dyDescent="0.15">
      <c r="A72" s="5">
        <v>234</v>
      </c>
      <c r="B72" s="5" t="s">
        <v>238</v>
      </c>
      <c r="C72" s="1">
        <v>16</v>
      </c>
      <c r="D72" s="5" t="s">
        <v>983</v>
      </c>
      <c r="E72" s="1">
        <v>0</v>
      </c>
      <c r="F72" s="5" t="s">
        <v>983</v>
      </c>
      <c r="G72" s="1">
        <v>0</v>
      </c>
      <c r="H72" s="5" t="s">
        <v>983</v>
      </c>
      <c r="I72" s="1">
        <v>0</v>
      </c>
      <c r="J72" s="5" t="s">
        <v>983</v>
      </c>
      <c r="K72" s="1">
        <v>1</v>
      </c>
      <c r="L72" s="5" t="s">
        <v>983</v>
      </c>
      <c r="M72" s="1">
        <v>0</v>
      </c>
      <c r="N72" s="5" t="s">
        <v>983</v>
      </c>
      <c r="O72" s="1">
        <v>0</v>
      </c>
      <c r="P72" s="5" t="s">
        <v>983</v>
      </c>
      <c r="Q72" s="1">
        <v>0</v>
      </c>
      <c r="R72" s="1">
        <v>0</v>
      </c>
      <c r="S72" s="1">
        <v>1</v>
      </c>
      <c r="T72" s="1">
        <v>5</v>
      </c>
      <c r="U72" s="1">
        <v>5</v>
      </c>
      <c r="V72" s="1">
        <v>0</v>
      </c>
      <c r="W72" s="1">
        <v>1</v>
      </c>
      <c r="X72" s="1">
        <v>8</v>
      </c>
      <c r="Y72" s="1">
        <v>34</v>
      </c>
      <c r="Z72" s="1">
        <v>0</v>
      </c>
      <c r="AA72" s="1">
        <v>1</v>
      </c>
    </row>
    <row r="73" spans="1:27" ht="12.75" customHeight="1" x14ac:dyDescent="0.15">
      <c r="A73" s="5">
        <v>396</v>
      </c>
      <c r="B73" s="5" t="s">
        <v>238</v>
      </c>
      <c r="C73" s="1">
        <v>15</v>
      </c>
      <c r="D73" s="5" t="s">
        <v>983</v>
      </c>
      <c r="E73" s="1">
        <v>3</v>
      </c>
      <c r="F73" s="5" t="s">
        <v>982</v>
      </c>
      <c r="G73" s="1">
        <v>3</v>
      </c>
      <c r="H73" s="5" t="s">
        <v>982</v>
      </c>
      <c r="I73" s="1">
        <v>15</v>
      </c>
      <c r="J73" s="5" t="s">
        <v>981</v>
      </c>
      <c r="K73" s="1">
        <v>0</v>
      </c>
      <c r="L73" s="5" t="s">
        <v>983</v>
      </c>
      <c r="M73" s="1">
        <v>0</v>
      </c>
      <c r="N73" s="5" t="s">
        <v>983</v>
      </c>
      <c r="O73" s="1">
        <v>0</v>
      </c>
      <c r="P73" s="5" t="s">
        <v>983</v>
      </c>
      <c r="Q73" s="1">
        <v>1</v>
      </c>
      <c r="R73" s="1">
        <v>0</v>
      </c>
      <c r="S73" s="1">
        <v>1</v>
      </c>
      <c r="T73" s="1">
        <v>5</v>
      </c>
      <c r="U73" s="1">
        <v>5</v>
      </c>
      <c r="V73" s="1">
        <v>0</v>
      </c>
      <c r="W73" s="1">
        <v>1</v>
      </c>
      <c r="Y73" s="1">
        <v>2</v>
      </c>
      <c r="AA73" s="1">
        <v>3</v>
      </c>
    </row>
    <row r="74" spans="1:27" ht="12.75" customHeight="1" x14ac:dyDescent="0.15">
      <c r="A74" s="5">
        <v>358</v>
      </c>
      <c r="B74" s="5" t="s">
        <v>238</v>
      </c>
      <c r="C74" s="1">
        <v>29</v>
      </c>
      <c r="D74" s="5" t="s">
        <v>981</v>
      </c>
      <c r="E74" s="1">
        <v>6</v>
      </c>
      <c r="F74" s="5" t="s">
        <v>981</v>
      </c>
      <c r="G74" s="1">
        <v>6</v>
      </c>
      <c r="H74" s="5" t="s">
        <v>981</v>
      </c>
      <c r="I74" s="1">
        <v>8</v>
      </c>
      <c r="J74" s="5" t="s">
        <v>981</v>
      </c>
      <c r="K74" s="1">
        <v>6</v>
      </c>
      <c r="L74" s="5" t="s">
        <v>981</v>
      </c>
      <c r="M74" s="1">
        <v>6</v>
      </c>
      <c r="N74" s="5" t="s">
        <v>981</v>
      </c>
      <c r="O74" s="1">
        <v>3</v>
      </c>
      <c r="P74" s="5" t="s">
        <v>982</v>
      </c>
      <c r="Q74" s="1">
        <v>1</v>
      </c>
      <c r="R74" s="1">
        <v>0</v>
      </c>
      <c r="S74" s="1">
        <v>1</v>
      </c>
      <c r="T74" s="1">
        <v>5</v>
      </c>
      <c r="U74" s="1">
        <v>5</v>
      </c>
      <c r="V74" s="1">
        <v>0</v>
      </c>
      <c r="W74" s="1">
        <v>0</v>
      </c>
      <c r="Y74" s="1">
        <v>5</v>
      </c>
      <c r="AA74" s="1">
        <v>8</v>
      </c>
    </row>
    <row r="75" spans="1:27" ht="12.75" customHeight="1" x14ac:dyDescent="0.15">
      <c r="A75" s="5">
        <v>148</v>
      </c>
      <c r="B75" s="5" t="s">
        <v>238</v>
      </c>
      <c r="C75" s="1">
        <v>20</v>
      </c>
      <c r="D75" s="5" t="s">
        <v>982</v>
      </c>
      <c r="E75" s="1">
        <v>4</v>
      </c>
      <c r="F75" s="5" t="s">
        <v>982</v>
      </c>
      <c r="G75" s="1">
        <v>6</v>
      </c>
      <c r="H75" s="5" t="s">
        <v>981</v>
      </c>
      <c r="I75" s="1">
        <v>8</v>
      </c>
      <c r="J75" s="5" t="s">
        <v>981</v>
      </c>
      <c r="K75" s="1">
        <v>5</v>
      </c>
      <c r="L75" s="5" t="s">
        <v>982</v>
      </c>
      <c r="M75" s="1">
        <v>1</v>
      </c>
      <c r="N75" s="5" t="s">
        <v>983</v>
      </c>
      <c r="O75" s="1">
        <v>0</v>
      </c>
      <c r="P75" s="5" t="s">
        <v>983</v>
      </c>
      <c r="Q75" s="1">
        <v>1</v>
      </c>
      <c r="R75" s="1">
        <v>0</v>
      </c>
      <c r="S75" s="1">
        <v>1</v>
      </c>
      <c r="T75" s="1">
        <v>5</v>
      </c>
      <c r="U75" s="1">
        <v>5</v>
      </c>
      <c r="V75" s="1">
        <v>0</v>
      </c>
      <c r="W75" s="1">
        <v>1</v>
      </c>
      <c r="Y75" s="1">
        <v>11</v>
      </c>
      <c r="AA75" s="1">
        <v>3</v>
      </c>
    </row>
    <row r="76" spans="1:27" ht="12.75" customHeight="1" x14ac:dyDescent="0.15">
      <c r="A76" s="5">
        <v>21</v>
      </c>
      <c r="B76" s="5" t="s">
        <v>238</v>
      </c>
      <c r="C76" s="1">
        <v>33</v>
      </c>
      <c r="D76" s="5" t="s">
        <v>981</v>
      </c>
      <c r="E76" s="1">
        <v>9</v>
      </c>
      <c r="F76" s="5" t="s">
        <v>981</v>
      </c>
      <c r="G76" s="1">
        <v>5</v>
      </c>
      <c r="H76" s="5" t="s">
        <v>982</v>
      </c>
      <c r="I76" s="1">
        <v>7</v>
      </c>
      <c r="J76" s="5" t="s">
        <v>981</v>
      </c>
      <c r="K76" s="1">
        <v>6</v>
      </c>
      <c r="L76" s="5" t="s">
        <v>981</v>
      </c>
      <c r="M76" s="1">
        <v>6</v>
      </c>
      <c r="N76" s="5" t="s">
        <v>981</v>
      </c>
      <c r="O76" s="1">
        <v>0</v>
      </c>
      <c r="P76" s="5" t="s">
        <v>983</v>
      </c>
      <c r="Q76" s="1">
        <v>1</v>
      </c>
      <c r="R76" s="1">
        <v>0</v>
      </c>
      <c r="S76" s="1">
        <v>1</v>
      </c>
      <c r="T76" s="1">
        <v>5</v>
      </c>
      <c r="U76" s="1">
        <v>5</v>
      </c>
      <c r="V76" s="1">
        <v>0</v>
      </c>
      <c r="W76" s="1">
        <v>0</v>
      </c>
      <c r="Y76" s="1">
        <v>11</v>
      </c>
      <c r="AA76" s="1">
        <v>3</v>
      </c>
    </row>
    <row r="77" spans="1:27" ht="12.75" customHeight="1" x14ac:dyDescent="0.15">
      <c r="A77" s="5">
        <v>37</v>
      </c>
      <c r="B77" s="5" t="s">
        <v>238</v>
      </c>
      <c r="C77" s="1">
        <v>23</v>
      </c>
      <c r="D77" s="5" t="s">
        <v>982</v>
      </c>
      <c r="E77" s="1">
        <v>5</v>
      </c>
      <c r="F77" s="5" t="s">
        <v>981</v>
      </c>
      <c r="G77" s="1">
        <v>2</v>
      </c>
      <c r="H77" s="5" t="s">
        <v>982</v>
      </c>
      <c r="I77" s="1">
        <v>3</v>
      </c>
      <c r="J77" s="5" t="s">
        <v>982</v>
      </c>
      <c r="K77" s="1">
        <v>0</v>
      </c>
      <c r="L77" s="5" t="s">
        <v>983</v>
      </c>
      <c r="M77" s="1">
        <v>2</v>
      </c>
      <c r="N77" s="5" t="s">
        <v>983</v>
      </c>
      <c r="O77" s="1">
        <v>0</v>
      </c>
      <c r="P77" s="5" t="s">
        <v>983</v>
      </c>
      <c r="Q77" s="1">
        <v>0</v>
      </c>
      <c r="R77" s="1">
        <v>0</v>
      </c>
      <c r="S77" s="1">
        <v>1</v>
      </c>
      <c r="T77" s="1">
        <v>5</v>
      </c>
      <c r="U77" s="1">
        <v>5</v>
      </c>
      <c r="V77" s="1">
        <v>0</v>
      </c>
      <c r="W77" s="1">
        <v>0</v>
      </c>
      <c r="Y77" s="1">
        <v>11</v>
      </c>
      <c r="AA77" s="1">
        <v>5</v>
      </c>
    </row>
    <row r="78" spans="1:27" ht="12.75" customHeight="1" x14ac:dyDescent="0.15">
      <c r="A78" s="5">
        <v>77</v>
      </c>
      <c r="B78" s="5" t="s">
        <v>238</v>
      </c>
      <c r="C78" s="1">
        <v>12</v>
      </c>
      <c r="D78" s="5" t="s">
        <v>983</v>
      </c>
      <c r="E78" s="1">
        <v>6</v>
      </c>
      <c r="F78" s="5" t="s">
        <v>981</v>
      </c>
      <c r="G78" s="1">
        <v>0</v>
      </c>
      <c r="H78" s="5" t="s">
        <v>983</v>
      </c>
      <c r="I78" s="1">
        <v>16</v>
      </c>
      <c r="J78" s="5" t="s">
        <v>981</v>
      </c>
      <c r="K78" s="1">
        <v>0</v>
      </c>
      <c r="L78" s="5" t="s">
        <v>983</v>
      </c>
      <c r="M78" s="1">
        <v>0</v>
      </c>
      <c r="N78" s="5" t="s">
        <v>983</v>
      </c>
      <c r="O78" s="1">
        <v>0</v>
      </c>
      <c r="P78" s="5" t="s">
        <v>983</v>
      </c>
      <c r="Q78" s="1">
        <v>1</v>
      </c>
      <c r="R78" s="1">
        <v>0</v>
      </c>
      <c r="S78" s="1">
        <v>1</v>
      </c>
      <c r="T78" s="1">
        <v>5</v>
      </c>
      <c r="U78" s="1">
        <v>5</v>
      </c>
      <c r="V78" s="1">
        <v>0</v>
      </c>
      <c r="W78" s="1">
        <v>0</v>
      </c>
      <c r="Y78" s="1">
        <v>24</v>
      </c>
      <c r="AA78" s="1">
        <v>7</v>
      </c>
    </row>
    <row r="79" spans="1:27" ht="12.75" customHeight="1" x14ac:dyDescent="0.15">
      <c r="A79" s="5">
        <v>282</v>
      </c>
      <c r="B79" s="5" t="s">
        <v>238</v>
      </c>
      <c r="C79" s="1">
        <v>18</v>
      </c>
      <c r="D79" s="5" t="s">
        <v>983</v>
      </c>
      <c r="E79" s="1">
        <v>1</v>
      </c>
      <c r="F79" s="5" t="s">
        <v>983</v>
      </c>
      <c r="G79" s="1">
        <v>0</v>
      </c>
      <c r="H79" s="5" t="s">
        <v>983</v>
      </c>
      <c r="I79" s="1">
        <v>16</v>
      </c>
      <c r="J79" s="5" t="s">
        <v>981</v>
      </c>
      <c r="K79" s="1">
        <v>0</v>
      </c>
      <c r="L79" s="5" t="s">
        <v>983</v>
      </c>
      <c r="M79" s="1">
        <v>0</v>
      </c>
      <c r="N79" s="5" t="s">
        <v>983</v>
      </c>
      <c r="O79" s="1">
        <v>0</v>
      </c>
      <c r="P79" s="5" t="s">
        <v>983</v>
      </c>
      <c r="Q79" s="1">
        <v>1</v>
      </c>
      <c r="R79" s="1">
        <v>0</v>
      </c>
      <c r="S79" s="1">
        <v>1</v>
      </c>
      <c r="T79" s="1">
        <v>5</v>
      </c>
      <c r="U79" s="1">
        <v>5</v>
      </c>
      <c r="V79" s="1">
        <v>0</v>
      </c>
      <c r="W79" s="1">
        <v>0</v>
      </c>
      <c r="Y79" s="1">
        <v>34</v>
      </c>
      <c r="AA79" s="1">
        <v>1</v>
      </c>
    </row>
    <row r="80" spans="1:27" ht="12.75" customHeight="1" x14ac:dyDescent="0.15">
      <c r="A80" s="5">
        <v>273</v>
      </c>
      <c r="B80" s="5" t="s">
        <v>238</v>
      </c>
      <c r="C80" s="1">
        <v>45</v>
      </c>
      <c r="D80" s="5" t="s">
        <v>981</v>
      </c>
      <c r="E80" s="1">
        <v>2</v>
      </c>
      <c r="F80" s="5" t="s">
        <v>982</v>
      </c>
      <c r="G80" s="1">
        <v>4</v>
      </c>
      <c r="H80" s="5" t="s">
        <v>982</v>
      </c>
      <c r="I80" s="1">
        <v>13</v>
      </c>
      <c r="J80" s="5" t="s">
        <v>981</v>
      </c>
      <c r="K80" s="1">
        <v>1</v>
      </c>
      <c r="L80" s="5" t="s">
        <v>983</v>
      </c>
      <c r="M80" s="1">
        <v>1</v>
      </c>
      <c r="N80" s="5" t="s">
        <v>983</v>
      </c>
      <c r="O80" s="1">
        <v>0</v>
      </c>
      <c r="P80" s="5" t="s">
        <v>983</v>
      </c>
      <c r="Q80" s="1">
        <v>0</v>
      </c>
      <c r="R80" s="1">
        <v>0</v>
      </c>
      <c r="S80" s="1" t="s">
        <v>194</v>
      </c>
      <c r="T80" s="1">
        <v>5</v>
      </c>
      <c r="U80" s="1">
        <v>5</v>
      </c>
      <c r="V80" s="1">
        <v>0</v>
      </c>
      <c r="W80" s="1">
        <v>0</v>
      </c>
      <c r="X80" s="1"/>
      <c r="Y80" s="1">
        <v>2</v>
      </c>
      <c r="Z80" s="1">
        <v>0</v>
      </c>
      <c r="AA80" s="1">
        <v>2</v>
      </c>
    </row>
    <row r="81" spans="1:27" ht="12.75" customHeight="1" x14ac:dyDescent="0.15">
      <c r="A81" s="5">
        <v>466</v>
      </c>
      <c r="B81" s="5" t="s">
        <v>984</v>
      </c>
      <c r="C81" s="1">
        <v>32</v>
      </c>
      <c r="D81" s="5" t="s">
        <v>981</v>
      </c>
      <c r="E81" s="1">
        <v>4</v>
      </c>
      <c r="F81" s="5" t="s">
        <v>982</v>
      </c>
      <c r="G81" s="1">
        <v>0</v>
      </c>
      <c r="H81" s="5" t="s">
        <v>983</v>
      </c>
      <c r="I81" s="1">
        <v>8</v>
      </c>
      <c r="J81" s="5" t="s">
        <v>981</v>
      </c>
      <c r="K81" s="1">
        <v>6</v>
      </c>
      <c r="L81" s="5" t="s">
        <v>981</v>
      </c>
      <c r="M81" s="1">
        <v>7</v>
      </c>
      <c r="N81" s="5" t="s">
        <v>981</v>
      </c>
      <c r="O81" s="1">
        <v>2</v>
      </c>
      <c r="P81" s="5" t="s">
        <v>982</v>
      </c>
      <c r="Q81" s="1">
        <v>0</v>
      </c>
      <c r="R81" s="1">
        <v>0</v>
      </c>
      <c r="S81" s="1" t="s">
        <v>194</v>
      </c>
      <c r="T81" s="1">
        <v>5</v>
      </c>
      <c r="U81" s="1">
        <v>5</v>
      </c>
      <c r="V81" s="1">
        <v>0</v>
      </c>
      <c r="W81" s="1">
        <v>0</v>
      </c>
      <c r="Y81" s="1">
        <v>10</v>
      </c>
      <c r="AA81" s="1">
        <v>4</v>
      </c>
    </row>
    <row r="82" spans="1:27" ht="12.75" customHeight="1" x14ac:dyDescent="0.15">
      <c r="A82" s="5">
        <v>467</v>
      </c>
      <c r="B82" s="5" t="s">
        <v>238</v>
      </c>
      <c r="C82" s="1">
        <v>36</v>
      </c>
      <c r="D82" s="5" t="s">
        <v>981</v>
      </c>
      <c r="E82" s="1">
        <v>12</v>
      </c>
      <c r="F82" s="5" t="s">
        <v>981</v>
      </c>
      <c r="G82" s="1">
        <v>0</v>
      </c>
      <c r="H82" s="5" t="s">
        <v>983</v>
      </c>
      <c r="I82" s="1">
        <v>16</v>
      </c>
      <c r="J82" s="5" t="s">
        <v>981</v>
      </c>
      <c r="K82" s="1">
        <v>0</v>
      </c>
      <c r="L82" s="5" t="s">
        <v>983</v>
      </c>
      <c r="M82" s="1">
        <v>12</v>
      </c>
      <c r="N82" s="5" t="s">
        <v>981</v>
      </c>
      <c r="O82" s="1">
        <v>3</v>
      </c>
      <c r="P82" s="5" t="s">
        <v>982</v>
      </c>
      <c r="Q82" s="1">
        <v>0</v>
      </c>
      <c r="R82" s="1">
        <v>0</v>
      </c>
      <c r="S82" s="1" t="s">
        <v>194</v>
      </c>
      <c r="T82" s="1">
        <v>5</v>
      </c>
      <c r="U82" s="1">
        <v>5</v>
      </c>
      <c r="V82" s="1">
        <v>0</v>
      </c>
      <c r="W82" s="1">
        <v>0</v>
      </c>
      <c r="Y82" s="1">
        <v>10</v>
      </c>
      <c r="AA82" s="1">
        <v>4</v>
      </c>
    </row>
    <row r="83" spans="1:27" ht="12.75" customHeight="1" x14ac:dyDescent="0.15">
      <c r="A83" s="5">
        <v>10</v>
      </c>
      <c r="B83" s="5" t="s">
        <v>238</v>
      </c>
      <c r="C83" s="1">
        <v>12</v>
      </c>
      <c r="D83" s="5" t="s">
        <v>983</v>
      </c>
      <c r="E83" s="1">
        <v>2</v>
      </c>
      <c r="F83" s="5" t="s">
        <v>982</v>
      </c>
      <c r="G83" s="1">
        <v>1</v>
      </c>
      <c r="H83" s="5" t="s">
        <v>983</v>
      </c>
      <c r="I83" s="1">
        <v>0</v>
      </c>
      <c r="J83" s="5" t="s">
        <v>983</v>
      </c>
      <c r="K83" s="1">
        <v>1</v>
      </c>
      <c r="L83" s="5" t="s">
        <v>983</v>
      </c>
      <c r="M83" s="1">
        <v>0</v>
      </c>
      <c r="N83" s="5" t="s">
        <v>983</v>
      </c>
      <c r="O83" s="1">
        <v>0</v>
      </c>
      <c r="P83" s="5" t="s">
        <v>983</v>
      </c>
      <c r="Q83" s="1">
        <v>0</v>
      </c>
      <c r="R83" s="1">
        <v>0</v>
      </c>
      <c r="S83" s="1" t="s">
        <v>194</v>
      </c>
      <c r="T83" s="1">
        <v>5</v>
      </c>
      <c r="U83" s="1">
        <v>5</v>
      </c>
      <c r="V83" s="1">
        <v>0</v>
      </c>
      <c r="W83" s="1">
        <v>1</v>
      </c>
      <c r="Y83" s="1">
        <v>11</v>
      </c>
      <c r="AA83" s="1">
        <v>2</v>
      </c>
    </row>
    <row r="84" spans="1:27" ht="12.75" customHeight="1" x14ac:dyDescent="0.15">
      <c r="A84" s="5">
        <v>36</v>
      </c>
      <c r="B84" s="5" t="s">
        <v>238</v>
      </c>
      <c r="C84" s="1">
        <v>24</v>
      </c>
      <c r="D84" s="5" t="s">
        <v>981</v>
      </c>
      <c r="E84" s="1">
        <v>6</v>
      </c>
      <c r="F84" s="5" t="s">
        <v>981</v>
      </c>
      <c r="G84" s="1">
        <v>9</v>
      </c>
      <c r="H84" s="5" t="s">
        <v>981</v>
      </c>
      <c r="I84" s="1">
        <v>16</v>
      </c>
      <c r="J84" s="5" t="s">
        <v>981</v>
      </c>
      <c r="K84" s="1">
        <v>2</v>
      </c>
      <c r="L84" s="5" t="s">
        <v>983</v>
      </c>
      <c r="M84" s="1">
        <v>5</v>
      </c>
      <c r="N84" s="5" t="s">
        <v>982</v>
      </c>
      <c r="O84" s="1">
        <v>0</v>
      </c>
      <c r="P84" s="5" t="s">
        <v>983</v>
      </c>
      <c r="Q84" s="1">
        <v>0</v>
      </c>
      <c r="R84" s="1">
        <v>0</v>
      </c>
      <c r="S84" s="1" t="s">
        <v>194</v>
      </c>
      <c r="T84" s="1">
        <v>5</v>
      </c>
      <c r="U84" s="1">
        <v>5</v>
      </c>
      <c r="V84" s="1">
        <v>0</v>
      </c>
      <c r="W84" s="1">
        <v>0</v>
      </c>
      <c r="Y84" s="1">
        <v>11</v>
      </c>
      <c r="AA84" s="1">
        <v>5</v>
      </c>
    </row>
    <row r="85" spans="1:27" ht="12.75" customHeight="1" x14ac:dyDescent="0.15">
      <c r="A85" s="5">
        <v>351</v>
      </c>
      <c r="B85" s="5" t="s">
        <v>984</v>
      </c>
      <c r="C85" s="1">
        <v>47</v>
      </c>
      <c r="D85" s="5" t="s">
        <v>981</v>
      </c>
      <c r="E85" s="1">
        <v>12</v>
      </c>
      <c r="F85" s="5" t="s">
        <v>981</v>
      </c>
      <c r="G85" s="1">
        <v>12</v>
      </c>
      <c r="H85" s="5" t="s">
        <v>981</v>
      </c>
      <c r="I85" s="1">
        <v>0</v>
      </c>
      <c r="J85" s="5" t="s">
        <v>983</v>
      </c>
      <c r="K85" s="1">
        <v>12</v>
      </c>
      <c r="L85" s="5" t="s">
        <v>981</v>
      </c>
      <c r="M85" s="1">
        <v>12</v>
      </c>
      <c r="N85" s="5" t="s">
        <v>981</v>
      </c>
      <c r="O85" s="1">
        <v>0</v>
      </c>
      <c r="P85" s="5" t="s">
        <v>983</v>
      </c>
      <c r="Q85" s="1">
        <v>1</v>
      </c>
      <c r="R85" s="1">
        <v>1</v>
      </c>
      <c r="S85" s="1">
        <v>0</v>
      </c>
      <c r="T85" s="1" t="s">
        <v>194</v>
      </c>
      <c r="U85" s="1" t="s">
        <v>194</v>
      </c>
      <c r="V85" s="1">
        <v>0</v>
      </c>
      <c r="W85" s="1">
        <v>1</v>
      </c>
      <c r="Y85" s="1">
        <v>24</v>
      </c>
      <c r="AA85" s="1">
        <v>3</v>
      </c>
    </row>
    <row r="86" spans="1:27" ht="12.75" customHeight="1" x14ac:dyDescent="0.15">
      <c r="A86" s="5">
        <v>245</v>
      </c>
      <c r="B86" s="5" t="s">
        <v>238</v>
      </c>
      <c r="C86" s="1">
        <v>12</v>
      </c>
      <c r="D86" s="5" t="s">
        <v>983</v>
      </c>
      <c r="E86" s="1">
        <v>8</v>
      </c>
      <c r="F86" s="5" t="s">
        <v>981</v>
      </c>
      <c r="G86" s="1">
        <v>6</v>
      </c>
      <c r="H86" s="5" t="s">
        <v>981</v>
      </c>
      <c r="I86" s="1">
        <v>0</v>
      </c>
      <c r="J86" s="5" t="s">
        <v>983</v>
      </c>
      <c r="K86" s="1">
        <v>6</v>
      </c>
      <c r="L86" s="5" t="s">
        <v>981</v>
      </c>
      <c r="M86" s="1">
        <v>6</v>
      </c>
      <c r="N86" s="5" t="s">
        <v>981</v>
      </c>
      <c r="O86" s="1">
        <v>0</v>
      </c>
      <c r="P86" s="5" t="s">
        <v>983</v>
      </c>
      <c r="Q86" s="1">
        <v>1</v>
      </c>
      <c r="R86" s="1">
        <v>0</v>
      </c>
      <c r="S86" s="1">
        <v>1</v>
      </c>
      <c r="T86" s="1" t="s">
        <v>194</v>
      </c>
      <c r="U86" s="1" t="s">
        <v>194</v>
      </c>
      <c r="V86" s="1">
        <v>0</v>
      </c>
      <c r="W86" s="1">
        <v>1</v>
      </c>
      <c r="Y86" s="1">
        <v>29</v>
      </c>
      <c r="AA86" s="1">
        <v>4</v>
      </c>
    </row>
    <row r="87" spans="1:27" ht="12.75" customHeight="1" x14ac:dyDescent="0.15">
      <c r="A87" s="5">
        <v>277</v>
      </c>
      <c r="B87" s="5" t="s">
        <v>238</v>
      </c>
      <c r="C87" s="1">
        <v>14</v>
      </c>
      <c r="D87" s="5" t="s">
        <v>983</v>
      </c>
      <c r="E87" s="1">
        <v>3</v>
      </c>
      <c r="F87" s="5" t="s">
        <v>982</v>
      </c>
      <c r="G87" s="1">
        <v>1</v>
      </c>
      <c r="H87" s="5" t="s">
        <v>983</v>
      </c>
      <c r="I87" s="1">
        <v>5</v>
      </c>
      <c r="J87" s="5" t="s">
        <v>981</v>
      </c>
      <c r="K87" s="1">
        <v>0</v>
      </c>
      <c r="L87" s="5" t="s">
        <v>983</v>
      </c>
      <c r="M87" s="1">
        <v>3</v>
      </c>
      <c r="N87" s="5" t="s">
        <v>982</v>
      </c>
      <c r="O87" s="1">
        <v>0</v>
      </c>
      <c r="P87" s="5" t="s">
        <v>983</v>
      </c>
      <c r="Q87" s="1">
        <v>1</v>
      </c>
      <c r="R87" s="1">
        <v>0</v>
      </c>
      <c r="S87" s="1">
        <v>1</v>
      </c>
      <c r="T87" s="1" t="s">
        <v>194</v>
      </c>
      <c r="U87" s="1" t="s">
        <v>194</v>
      </c>
      <c r="V87" s="1">
        <v>0</v>
      </c>
      <c r="W87" s="1">
        <v>0</v>
      </c>
      <c r="Y87" s="1">
        <v>18</v>
      </c>
      <c r="AA87" s="1">
        <v>2</v>
      </c>
    </row>
    <row r="88" spans="1:27" ht="12.75" customHeight="1" x14ac:dyDescent="0.15">
      <c r="A88" s="5">
        <v>258</v>
      </c>
      <c r="B88" s="5" t="s">
        <v>238</v>
      </c>
      <c r="C88" s="1">
        <v>13</v>
      </c>
      <c r="D88" s="5" t="s">
        <v>983</v>
      </c>
      <c r="E88" s="1">
        <v>6</v>
      </c>
      <c r="F88" s="5" t="s">
        <v>981</v>
      </c>
      <c r="G88" s="1">
        <v>4</v>
      </c>
      <c r="H88" s="5" t="s">
        <v>982</v>
      </c>
      <c r="I88" s="1">
        <v>8</v>
      </c>
      <c r="J88" s="5" t="s">
        <v>981</v>
      </c>
      <c r="K88" s="1">
        <v>2</v>
      </c>
      <c r="L88" s="5" t="s">
        <v>983</v>
      </c>
      <c r="M88" s="1">
        <v>3</v>
      </c>
      <c r="N88" s="5" t="s">
        <v>982</v>
      </c>
      <c r="O88" s="1">
        <v>0</v>
      </c>
      <c r="P88" s="5" t="s">
        <v>983</v>
      </c>
      <c r="Q88" s="1">
        <v>0</v>
      </c>
      <c r="R88" s="1">
        <v>0</v>
      </c>
      <c r="S88" s="1" t="s">
        <v>194</v>
      </c>
      <c r="T88" s="1" t="s">
        <v>194</v>
      </c>
      <c r="U88" s="1" t="s">
        <v>194</v>
      </c>
      <c r="V88" s="1">
        <v>0</v>
      </c>
      <c r="W88" s="1">
        <v>0</v>
      </c>
      <c r="Y88" s="1">
        <v>29</v>
      </c>
      <c r="AA88" s="1">
        <v>3</v>
      </c>
    </row>
    <row r="89" spans="1:27" ht="12.75" customHeight="1" x14ac:dyDescent="0.15">
      <c r="A89" s="5">
        <v>357</v>
      </c>
      <c r="B89" s="5" t="s">
        <v>238</v>
      </c>
      <c r="C89" s="1">
        <v>28</v>
      </c>
      <c r="D89" s="5" t="s">
        <v>981</v>
      </c>
      <c r="E89" s="1">
        <v>6</v>
      </c>
      <c r="F89" s="5" t="s">
        <v>981</v>
      </c>
      <c r="G89" s="1">
        <v>6</v>
      </c>
      <c r="H89" s="5" t="s">
        <v>981</v>
      </c>
      <c r="I89" s="1">
        <v>8</v>
      </c>
      <c r="J89" s="5" t="s">
        <v>981</v>
      </c>
      <c r="K89" s="1">
        <v>6</v>
      </c>
      <c r="L89" s="5" t="s">
        <v>981</v>
      </c>
      <c r="M89" s="1">
        <v>6</v>
      </c>
      <c r="N89" s="5" t="s">
        <v>981</v>
      </c>
      <c r="O89" s="1">
        <v>0</v>
      </c>
      <c r="P89" s="5" t="s">
        <v>983</v>
      </c>
      <c r="Q89" s="1">
        <v>0</v>
      </c>
      <c r="R89" s="1">
        <v>0</v>
      </c>
      <c r="S89" s="1" t="s">
        <v>194</v>
      </c>
      <c r="T89" s="1" t="s">
        <v>194</v>
      </c>
      <c r="U89" s="1" t="s">
        <v>194</v>
      </c>
      <c r="V89" s="1">
        <v>0</v>
      </c>
      <c r="W89" s="1">
        <v>0</v>
      </c>
      <c r="Y89" s="1">
        <v>5</v>
      </c>
      <c r="AA89" s="1">
        <v>8</v>
      </c>
    </row>
    <row r="90" spans="1:27" ht="12.75" customHeight="1" x14ac:dyDescent="0.15">
      <c r="A90" s="5">
        <v>335</v>
      </c>
      <c r="B90" s="5" t="s">
        <v>238</v>
      </c>
      <c r="C90" s="1">
        <v>19</v>
      </c>
      <c r="D90" s="5" t="s">
        <v>982</v>
      </c>
      <c r="E90" s="1">
        <v>3</v>
      </c>
      <c r="F90" s="5" t="s">
        <v>982</v>
      </c>
      <c r="G90" s="1">
        <v>5</v>
      </c>
      <c r="H90" s="5" t="s">
        <v>982</v>
      </c>
      <c r="I90" s="1">
        <v>0</v>
      </c>
      <c r="J90" s="5" t="s">
        <v>983</v>
      </c>
      <c r="K90" s="1">
        <v>6</v>
      </c>
      <c r="L90" s="5" t="s">
        <v>981</v>
      </c>
      <c r="M90" s="1">
        <v>6</v>
      </c>
      <c r="N90" s="5" t="s">
        <v>981</v>
      </c>
      <c r="O90" s="1">
        <v>0</v>
      </c>
      <c r="P90" s="5" t="s">
        <v>983</v>
      </c>
      <c r="Q90" s="1">
        <v>0</v>
      </c>
      <c r="R90" s="1">
        <v>0</v>
      </c>
      <c r="S90" s="1" t="s">
        <v>194</v>
      </c>
      <c r="T90" s="1">
        <v>3</v>
      </c>
      <c r="U90" s="1">
        <v>1</v>
      </c>
      <c r="V90" s="1">
        <v>20</v>
      </c>
      <c r="W90" s="1">
        <v>0</v>
      </c>
      <c r="X90" s="1">
        <v>5</v>
      </c>
      <c r="Y90" s="1">
        <v>3</v>
      </c>
      <c r="Z90" s="1">
        <v>0</v>
      </c>
      <c r="AA90" s="1">
        <v>4</v>
      </c>
    </row>
    <row r="91" spans="1:27" ht="12.75" customHeight="1" x14ac:dyDescent="0.15">
      <c r="A91" s="5">
        <v>464</v>
      </c>
      <c r="B91" s="5" t="s">
        <v>238</v>
      </c>
      <c r="C91" s="1">
        <v>43</v>
      </c>
      <c r="D91" s="5" t="s">
        <v>981</v>
      </c>
      <c r="E91" s="1">
        <v>7</v>
      </c>
      <c r="F91" s="5" t="s">
        <v>981</v>
      </c>
      <c r="G91" s="1">
        <v>5</v>
      </c>
      <c r="H91" s="5" t="s">
        <v>982</v>
      </c>
      <c r="I91" s="1">
        <v>16</v>
      </c>
      <c r="J91" s="5" t="s">
        <v>981</v>
      </c>
      <c r="K91" s="1">
        <v>4</v>
      </c>
      <c r="L91" s="5" t="s">
        <v>982</v>
      </c>
      <c r="M91" s="1">
        <v>9</v>
      </c>
      <c r="N91" s="5" t="s">
        <v>981</v>
      </c>
      <c r="O91" s="1">
        <v>0</v>
      </c>
      <c r="P91" s="5" t="s">
        <v>983</v>
      </c>
      <c r="Q91" s="1">
        <v>1</v>
      </c>
      <c r="R91" s="1">
        <v>0</v>
      </c>
      <c r="S91" s="1">
        <v>1</v>
      </c>
      <c r="T91" s="1">
        <v>5</v>
      </c>
      <c r="U91" s="1">
        <v>5</v>
      </c>
      <c r="V91" s="1">
        <v>21</v>
      </c>
      <c r="W91" s="1">
        <v>1</v>
      </c>
      <c r="X91" s="1">
        <v>5</v>
      </c>
      <c r="Y91" s="1">
        <v>24</v>
      </c>
      <c r="Z91" s="1">
        <v>0</v>
      </c>
      <c r="AA91" s="1">
        <v>4</v>
      </c>
    </row>
    <row r="92" spans="1:27" ht="12.75" customHeight="1" x14ac:dyDescent="0.15">
      <c r="A92" s="5">
        <v>182</v>
      </c>
      <c r="B92" s="5" t="s">
        <v>238</v>
      </c>
      <c r="C92" s="1">
        <v>19</v>
      </c>
      <c r="D92" s="5" t="s">
        <v>982</v>
      </c>
      <c r="E92" s="1">
        <v>8</v>
      </c>
      <c r="F92" s="5" t="s">
        <v>981</v>
      </c>
      <c r="G92" s="1">
        <v>6</v>
      </c>
      <c r="H92" s="5" t="s">
        <v>981</v>
      </c>
      <c r="I92" s="1">
        <v>3</v>
      </c>
      <c r="J92" s="5" t="s">
        <v>982</v>
      </c>
      <c r="K92" s="1">
        <v>3</v>
      </c>
      <c r="L92" s="5" t="s">
        <v>982</v>
      </c>
      <c r="M92" s="1">
        <v>0</v>
      </c>
      <c r="N92" s="5" t="s">
        <v>983</v>
      </c>
      <c r="O92" s="1">
        <v>0</v>
      </c>
      <c r="P92" s="5" t="s">
        <v>983</v>
      </c>
      <c r="Q92" s="1">
        <v>1</v>
      </c>
      <c r="R92" s="1">
        <v>0</v>
      </c>
      <c r="S92" s="1">
        <v>1</v>
      </c>
      <c r="T92" s="1">
        <v>1</v>
      </c>
      <c r="U92" s="1">
        <v>2</v>
      </c>
      <c r="V92" s="1">
        <v>22</v>
      </c>
      <c r="W92" s="1">
        <v>0</v>
      </c>
      <c r="X92" s="1">
        <v>17</v>
      </c>
      <c r="Y92" s="1">
        <v>6</v>
      </c>
      <c r="Z92" s="1">
        <v>200000</v>
      </c>
      <c r="AA92" s="1">
        <v>2</v>
      </c>
    </row>
    <row r="93" spans="1:27" ht="12.75" customHeight="1" x14ac:dyDescent="0.15">
      <c r="A93" s="5">
        <v>285</v>
      </c>
      <c r="B93" s="5" t="s">
        <v>984</v>
      </c>
      <c r="C93" s="1">
        <v>13</v>
      </c>
      <c r="D93" s="5" t="s">
        <v>983</v>
      </c>
      <c r="E93" s="1">
        <v>4</v>
      </c>
      <c r="F93" s="5" t="s">
        <v>982</v>
      </c>
      <c r="G93" s="1">
        <v>0</v>
      </c>
      <c r="H93" s="5" t="s">
        <v>983</v>
      </c>
      <c r="I93" s="1">
        <v>4</v>
      </c>
      <c r="J93" s="5" t="s">
        <v>982</v>
      </c>
      <c r="K93" s="1">
        <v>2</v>
      </c>
      <c r="L93" s="5" t="s">
        <v>983</v>
      </c>
      <c r="M93" s="1">
        <v>2</v>
      </c>
      <c r="N93" s="5" t="s">
        <v>983</v>
      </c>
      <c r="O93" s="1">
        <v>0</v>
      </c>
      <c r="P93" s="5" t="s">
        <v>983</v>
      </c>
      <c r="Q93" s="1">
        <v>0</v>
      </c>
      <c r="R93" s="1">
        <v>0</v>
      </c>
      <c r="S93" s="1">
        <v>1</v>
      </c>
      <c r="T93" s="1">
        <v>4</v>
      </c>
      <c r="U93" s="1">
        <v>4</v>
      </c>
      <c r="V93" s="1">
        <v>24</v>
      </c>
      <c r="W93" s="1">
        <v>0</v>
      </c>
      <c r="X93" s="1">
        <v>16</v>
      </c>
      <c r="Y93" s="1">
        <v>34</v>
      </c>
      <c r="Z93" s="1">
        <v>450000</v>
      </c>
      <c r="AA93" s="1">
        <v>6</v>
      </c>
    </row>
    <row r="94" spans="1:27" ht="12.75" customHeight="1" x14ac:dyDescent="0.15">
      <c r="A94" s="5">
        <v>312</v>
      </c>
      <c r="B94" s="5" t="s">
        <v>984</v>
      </c>
      <c r="C94" s="1">
        <v>25</v>
      </c>
      <c r="D94" s="5" t="s">
        <v>981</v>
      </c>
      <c r="E94" s="1">
        <v>6</v>
      </c>
      <c r="F94" s="5" t="s">
        <v>981</v>
      </c>
      <c r="G94" s="1">
        <v>7</v>
      </c>
      <c r="H94" s="5" t="s">
        <v>981</v>
      </c>
      <c r="I94" s="1">
        <v>5</v>
      </c>
      <c r="J94" s="5" t="s">
        <v>981</v>
      </c>
      <c r="K94" s="1">
        <v>4</v>
      </c>
      <c r="L94" s="5" t="s">
        <v>982</v>
      </c>
      <c r="M94" s="1">
        <v>6</v>
      </c>
      <c r="N94" s="5" t="s">
        <v>981</v>
      </c>
      <c r="O94" s="1">
        <v>4</v>
      </c>
      <c r="P94" s="5" t="s">
        <v>982</v>
      </c>
      <c r="Q94" s="1">
        <v>0</v>
      </c>
      <c r="R94" s="1">
        <v>0</v>
      </c>
      <c r="S94" s="1" t="s">
        <v>194</v>
      </c>
      <c r="T94" s="1" t="s">
        <v>194</v>
      </c>
      <c r="U94" s="1">
        <v>1</v>
      </c>
      <c r="V94" s="1">
        <v>25</v>
      </c>
      <c r="W94" s="1">
        <v>1</v>
      </c>
      <c r="X94" s="1">
        <v>2</v>
      </c>
      <c r="Y94" s="1">
        <v>3</v>
      </c>
      <c r="Z94" s="1">
        <v>410000</v>
      </c>
      <c r="AA94" s="1">
        <v>3</v>
      </c>
    </row>
    <row r="95" spans="1:27" ht="12.75" customHeight="1" x14ac:dyDescent="0.15">
      <c r="A95" s="5">
        <v>409</v>
      </c>
      <c r="B95" s="5" t="s">
        <v>238</v>
      </c>
      <c r="C95" s="1">
        <v>16</v>
      </c>
      <c r="D95" s="5" t="s">
        <v>983</v>
      </c>
      <c r="E95" s="1">
        <v>5</v>
      </c>
      <c r="F95" s="5" t="s">
        <v>981</v>
      </c>
      <c r="G95" s="1">
        <v>5</v>
      </c>
      <c r="H95" s="5" t="s">
        <v>982</v>
      </c>
      <c r="I95" s="1">
        <v>8</v>
      </c>
      <c r="J95" s="5" t="s">
        <v>981</v>
      </c>
      <c r="K95" s="1">
        <v>2</v>
      </c>
      <c r="L95" s="5" t="s">
        <v>983</v>
      </c>
      <c r="M95" s="1">
        <v>2</v>
      </c>
      <c r="N95" s="5" t="s">
        <v>983</v>
      </c>
      <c r="O95" s="1">
        <v>1</v>
      </c>
      <c r="P95" s="5" t="s">
        <v>982</v>
      </c>
      <c r="Q95" s="1">
        <v>0</v>
      </c>
      <c r="R95" s="1">
        <v>1</v>
      </c>
      <c r="S95" s="1" t="s">
        <v>194</v>
      </c>
      <c r="T95" s="1">
        <v>3</v>
      </c>
      <c r="U95" s="1">
        <v>3</v>
      </c>
      <c r="V95" s="1">
        <v>25</v>
      </c>
      <c r="W95" s="1">
        <v>0</v>
      </c>
      <c r="X95" s="1">
        <v>18</v>
      </c>
      <c r="Y95" s="1">
        <v>24</v>
      </c>
      <c r="Z95" s="1">
        <v>450000</v>
      </c>
      <c r="AA95" s="1">
        <v>2</v>
      </c>
    </row>
    <row r="96" spans="1:27" ht="12.75" customHeight="1" x14ac:dyDescent="0.15">
      <c r="A96" s="5">
        <v>488</v>
      </c>
      <c r="B96" s="5" t="s">
        <v>238</v>
      </c>
      <c r="C96" s="1">
        <v>19</v>
      </c>
      <c r="D96" s="5" t="s">
        <v>982</v>
      </c>
      <c r="E96" s="1">
        <v>2</v>
      </c>
      <c r="F96" s="5" t="s">
        <v>982</v>
      </c>
      <c r="G96" s="1">
        <v>2</v>
      </c>
      <c r="H96" s="5" t="s">
        <v>982</v>
      </c>
      <c r="I96" s="1">
        <v>16</v>
      </c>
      <c r="J96" s="5" t="s">
        <v>981</v>
      </c>
      <c r="K96" s="1">
        <v>0</v>
      </c>
      <c r="L96" s="5" t="s">
        <v>983</v>
      </c>
      <c r="M96" s="1">
        <v>0</v>
      </c>
      <c r="N96" s="5" t="s">
        <v>983</v>
      </c>
      <c r="O96" s="1">
        <v>0</v>
      </c>
      <c r="P96" s="5" t="s">
        <v>983</v>
      </c>
      <c r="Q96" s="1">
        <v>0</v>
      </c>
      <c r="R96" s="1">
        <v>0</v>
      </c>
      <c r="S96" s="1" t="s">
        <v>194</v>
      </c>
      <c r="T96" s="1">
        <v>4</v>
      </c>
      <c r="U96" s="1">
        <v>4</v>
      </c>
      <c r="V96" s="1">
        <v>25</v>
      </c>
      <c r="W96" s="1">
        <v>0</v>
      </c>
      <c r="X96" s="1">
        <v>6</v>
      </c>
      <c r="Y96" s="1">
        <v>9</v>
      </c>
      <c r="Z96" s="1">
        <v>100000</v>
      </c>
      <c r="AA96" s="1">
        <v>2</v>
      </c>
    </row>
    <row r="97" spans="1:27" ht="12.75" customHeight="1" x14ac:dyDescent="0.15">
      <c r="A97" s="5">
        <v>414</v>
      </c>
      <c r="B97" s="5" t="s">
        <v>984</v>
      </c>
      <c r="C97" s="1">
        <v>12</v>
      </c>
      <c r="D97" s="5" t="s">
        <v>983</v>
      </c>
      <c r="E97" s="1">
        <v>0</v>
      </c>
      <c r="F97" s="5" t="s">
        <v>983</v>
      </c>
      <c r="G97" s="1">
        <v>0</v>
      </c>
      <c r="H97" s="5" t="s">
        <v>983</v>
      </c>
      <c r="I97" s="1">
        <v>16</v>
      </c>
      <c r="J97" s="5" t="s">
        <v>981</v>
      </c>
      <c r="K97" s="1">
        <v>0</v>
      </c>
      <c r="L97" s="5" t="s">
        <v>983</v>
      </c>
      <c r="M97" s="1">
        <v>0</v>
      </c>
      <c r="N97" s="5" t="s">
        <v>983</v>
      </c>
      <c r="O97" s="1">
        <v>0</v>
      </c>
      <c r="P97" s="5" t="s">
        <v>983</v>
      </c>
      <c r="Q97" s="1">
        <v>0</v>
      </c>
      <c r="R97" s="1">
        <v>0</v>
      </c>
      <c r="S97" s="1" t="s">
        <v>194</v>
      </c>
      <c r="T97" s="1" t="s">
        <v>194</v>
      </c>
      <c r="U97" s="1" t="s">
        <v>194</v>
      </c>
      <c r="V97" s="1">
        <v>25</v>
      </c>
      <c r="W97" s="1">
        <v>1</v>
      </c>
      <c r="X97" s="1">
        <v>2</v>
      </c>
      <c r="Y97" s="1">
        <v>34</v>
      </c>
      <c r="Z97" s="1">
        <v>1200000</v>
      </c>
      <c r="AA97" s="1">
        <v>1</v>
      </c>
    </row>
    <row r="98" spans="1:27" ht="12.75" customHeight="1" x14ac:dyDescent="0.15">
      <c r="A98" s="5">
        <v>325</v>
      </c>
      <c r="B98" s="5" t="s">
        <v>238</v>
      </c>
      <c r="C98" s="1">
        <v>13</v>
      </c>
      <c r="D98" s="5" t="s">
        <v>983</v>
      </c>
      <c r="E98" s="1">
        <v>4</v>
      </c>
      <c r="F98" s="5" t="s">
        <v>982</v>
      </c>
      <c r="G98" s="1">
        <v>4</v>
      </c>
      <c r="H98" s="5" t="s">
        <v>982</v>
      </c>
      <c r="I98" s="1">
        <v>6</v>
      </c>
      <c r="J98" s="5" t="s">
        <v>981</v>
      </c>
      <c r="K98" s="1">
        <v>1</v>
      </c>
      <c r="L98" s="5" t="s">
        <v>983</v>
      </c>
      <c r="M98" s="1">
        <v>0</v>
      </c>
      <c r="N98" s="5" t="s">
        <v>983</v>
      </c>
      <c r="O98" s="1">
        <v>0</v>
      </c>
      <c r="P98" s="5" t="s">
        <v>983</v>
      </c>
      <c r="Q98" s="1">
        <v>1</v>
      </c>
      <c r="R98" s="1">
        <v>1</v>
      </c>
      <c r="S98" s="1">
        <v>1</v>
      </c>
      <c r="T98" s="1" t="s">
        <v>194</v>
      </c>
      <c r="U98" s="1">
        <v>1</v>
      </c>
      <c r="V98" s="1">
        <v>26</v>
      </c>
      <c r="W98" s="1">
        <v>0</v>
      </c>
      <c r="X98" s="1">
        <v>15</v>
      </c>
      <c r="Y98" s="1">
        <v>24</v>
      </c>
      <c r="Z98" s="1">
        <v>350000</v>
      </c>
      <c r="AA98" s="1">
        <v>2</v>
      </c>
    </row>
    <row r="99" spans="1:27" ht="12.75" customHeight="1" x14ac:dyDescent="0.15">
      <c r="A99" s="5">
        <v>344</v>
      </c>
      <c r="B99" s="5" t="s">
        <v>238</v>
      </c>
      <c r="C99" s="1">
        <v>12</v>
      </c>
      <c r="D99" s="5" t="s">
        <v>983</v>
      </c>
      <c r="E99" s="1">
        <v>2</v>
      </c>
      <c r="F99" s="5" t="s">
        <v>982</v>
      </c>
      <c r="G99" s="1">
        <v>0</v>
      </c>
      <c r="H99" s="5" t="s">
        <v>983</v>
      </c>
      <c r="I99" s="1">
        <v>8</v>
      </c>
      <c r="J99" s="5" t="s">
        <v>981</v>
      </c>
      <c r="K99" s="1">
        <v>0</v>
      </c>
      <c r="L99" s="5" t="s">
        <v>983</v>
      </c>
      <c r="M99" s="1">
        <v>0</v>
      </c>
      <c r="N99" s="5" t="s">
        <v>983</v>
      </c>
      <c r="O99" s="1">
        <v>0</v>
      </c>
      <c r="P99" s="5" t="s">
        <v>983</v>
      </c>
      <c r="Q99" s="1">
        <v>1</v>
      </c>
      <c r="R99" s="1">
        <v>1</v>
      </c>
      <c r="S99" s="1" t="s">
        <v>194</v>
      </c>
      <c r="T99" s="1">
        <v>2</v>
      </c>
      <c r="U99" s="1">
        <v>1</v>
      </c>
      <c r="V99" s="1">
        <v>26</v>
      </c>
      <c r="W99" s="1">
        <v>0</v>
      </c>
      <c r="X99" s="1">
        <v>18</v>
      </c>
      <c r="Y99" s="1">
        <v>2</v>
      </c>
      <c r="Z99" s="1">
        <v>550000</v>
      </c>
      <c r="AA99" s="1">
        <v>2</v>
      </c>
    </row>
    <row r="100" spans="1:27" ht="12.75" customHeight="1" x14ac:dyDescent="0.15">
      <c r="A100" s="5">
        <v>226</v>
      </c>
      <c r="B100" s="5" t="s">
        <v>238</v>
      </c>
      <c r="C100" s="1">
        <v>20</v>
      </c>
      <c r="D100" s="5" t="s">
        <v>982</v>
      </c>
      <c r="E100" s="1">
        <v>6</v>
      </c>
      <c r="F100" s="5" t="s">
        <v>981</v>
      </c>
      <c r="G100" s="1">
        <v>6</v>
      </c>
      <c r="H100" s="5" t="s">
        <v>981</v>
      </c>
      <c r="I100" s="1">
        <v>6</v>
      </c>
      <c r="J100" s="5" t="s">
        <v>981</v>
      </c>
      <c r="K100" s="1">
        <v>9</v>
      </c>
      <c r="L100" s="5" t="s">
        <v>981</v>
      </c>
      <c r="M100" s="1">
        <v>8</v>
      </c>
      <c r="N100" s="5" t="s">
        <v>981</v>
      </c>
      <c r="O100" s="1">
        <v>0</v>
      </c>
      <c r="P100" s="5" t="s">
        <v>983</v>
      </c>
      <c r="Q100" s="1">
        <v>1</v>
      </c>
      <c r="R100" s="1">
        <v>0</v>
      </c>
      <c r="S100" s="1">
        <v>1</v>
      </c>
      <c r="T100" s="1" t="s">
        <v>194</v>
      </c>
      <c r="U100" s="1">
        <v>2</v>
      </c>
      <c r="V100" s="1">
        <v>26</v>
      </c>
      <c r="W100" s="1">
        <v>0</v>
      </c>
      <c r="X100" s="1">
        <v>14</v>
      </c>
      <c r="Y100" s="1">
        <v>2</v>
      </c>
      <c r="Z100" s="1">
        <v>600000</v>
      </c>
      <c r="AA100" s="1">
        <v>2</v>
      </c>
    </row>
    <row r="101" spans="1:27" ht="12.75" customHeight="1" x14ac:dyDescent="0.15">
      <c r="A101" s="5">
        <v>191</v>
      </c>
      <c r="B101" s="5" t="s">
        <v>238</v>
      </c>
      <c r="C101" s="1">
        <v>18</v>
      </c>
      <c r="D101" s="5" t="s">
        <v>983</v>
      </c>
      <c r="E101" s="1">
        <v>6</v>
      </c>
      <c r="F101" s="5" t="s">
        <v>981</v>
      </c>
      <c r="G101" s="1">
        <v>7</v>
      </c>
      <c r="H101" s="5" t="s">
        <v>981</v>
      </c>
      <c r="I101" s="1">
        <v>6</v>
      </c>
      <c r="J101" s="5" t="s">
        <v>981</v>
      </c>
      <c r="K101" s="1">
        <v>9</v>
      </c>
      <c r="L101" s="5" t="s">
        <v>981</v>
      </c>
      <c r="M101" s="1">
        <v>9</v>
      </c>
      <c r="N101" s="5" t="s">
        <v>981</v>
      </c>
      <c r="O101" s="1">
        <v>1</v>
      </c>
      <c r="P101" s="5" t="s">
        <v>982</v>
      </c>
      <c r="Q101" s="1">
        <v>1</v>
      </c>
      <c r="R101" s="1">
        <v>0</v>
      </c>
      <c r="S101" s="1" t="s">
        <v>194</v>
      </c>
      <c r="T101" s="1" t="s">
        <v>194</v>
      </c>
      <c r="U101" s="1">
        <v>2</v>
      </c>
      <c r="V101" s="1">
        <v>26</v>
      </c>
      <c r="W101" s="1">
        <v>0</v>
      </c>
      <c r="X101" s="1">
        <v>14</v>
      </c>
      <c r="Y101" s="1">
        <v>14</v>
      </c>
      <c r="Z101" s="1">
        <v>300000</v>
      </c>
      <c r="AA101" s="1">
        <v>6</v>
      </c>
    </row>
    <row r="102" spans="1:27" ht="12.75" customHeight="1" x14ac:dyDescent="0.15">
      <c r="A102" s="5">
        <v>443</v>
      </c>
      <c r="B102" s="5" t="s">
        <v>238</v>
      </c>
      <c r="C102" s="1">
        <v>22</v>
      </c>
      <c r="D102" s="5" t="s">
        <v>982</v>
      </c>
      <c r="E102" s="1">
        <v>6</v>
      </c>
      <c r="F102" s="5" t="s">
        <v>981</v>
      </c>
      <c r="G102" s="1">
        <v>6</v>
      </c>
      <c r="H102" s="5" t="s">
        <v>981</v>
      </c>
      <c r="I102" s="1">
        <v>8</v>
      </c>
      <c r="J102" s="5" t="s">
        <v>981</v>
      </c>
      <c r="K102" s="1">
        <v>7</v>
      </c>
      <c r="L102" s="5" t="s">
        <v>981</v>
      </c>
      <c r="M102" s="1">
        <v>7</v>
      </c>
      <c r="N102" s="5" t="s">
        <v>981</v>
      </c>
      <c r="O102" s="1">
        <v>0</v>
      </c>
      <c r="P102" s="5" t="s">
        <v>983</v>
      </c>
      <c r="Q102" s="1">
        <v>1</v>
      </c>
      <c r="R102" s="1">
        <v>0</v>
      </c>
      <c r="S102" s="1" t="s">
        <v>194</v>
      </c>
      <c r="T102" s="1">
        <v>3</v>
      </c>
      <c r="U102" s="1">
        <v>3</v>
      </c>
      <c r="V102" s="1">
        <v>26</v>
      </c>
      <c r="W102" s="1">
        <v>0</v>
      </c>
      <c r="X102" s="1">
        <v>2</v>
      </c>
      <c r="Y102" s="1">
        <v>24</v>
      </c>
      <c r="Z102" s="1">
        <v>0</v>
      </c>
      <c r="AA102" s="1">
        <v>1</v>
      </c>
    </row>
    <row r="103" spans="1:27" ht="12.75" customHeight="1" x14ac:dyDescent="0.15">
      <c r="A103" s="5">
        <v>354</v>
      </c>
      <c r="B103" s="5" t="s">
        <v>238</v>
      </c>
      <c r="C103" s="1">
        <v>24</v>
      </c>
      <c r="D103" s="5" t="s">
        <v>981</v>
      </c>
      <c r="E103" s="1">
        <v>2</v>
      </c>
      <c r="F103" s="5" t="s">
        <v>982</v>
      </c>
      <c r="G103" s="1">
        <v>8</v>
      </c>
      <c r="H103" s="5" t="s">
        <v>981</v>
      </c>
      <c r="I103" s="1">
        <v>11</v>
      </c>
      <c r="J103" s="5" t="s">
        <v>981</v>
      </c>
      <c r="K103" s="1">
        <v>1</v>
      </c>
      <c r="L103" s="5" t="s">
        <v>983</v>
      </c>
      <c r="M103" s="1">
        <v>12</v>
      </c>
      <c r="N103" s="5" t="s">
        <v>981</v>
      </c>
      <c r="O103" s="1">
        <v>0</v>
      </c>
      <c r="P103" s="5" t="s">
        <v>983</v>
      </c>
      <c r="Q103" s="1">
        <v>1</v>
      </c>
      <c r="R103" s="1">
        <v>1</v>
      </c>
      <c r="S103" s="1">
        <v>1</v>
      </c>
      <c r="T103" s="1">
        <v>5</v>
      </c>
      <c r="U103" s="1">
        <v>5</v>
      </c>
      <c r="V103" s="1">
        <v>26</v>
      </c>
      <c r="W103" s="1">
        <v>0</v>
      </c>
      <c r="X103" s="1">
        <v>15</v>
      </c>
      <c r="Y103" s="1">
        <v>34</v>
      </c>
      <c r="Z103" s="1">
        <v>60000</v>
      </c>
      <c r="AA103" s="1">
        <v>4</v>
      </c>
    </row>
    <row r="104" spans="1:27" ht="12.75" customHeight="1" x14ac:dyDescent="0.15">
      <c r="A104" s="5">
        <v>121</v>
      </c>
      <c r="B104" s="5" t="s">
        <v>238</v>
      </c>
      <c r="C104" s="1">
        <v>18</v>
      </c>
      <c r="D104" s="5" t="s">
        <v>983</v>
      </c>
      <c r="E104" s="1">
        <v>4</v>
      </c>
      <c r="F104" s="5" t="s">
        <v>982</v>
      </c>
      <c r="G104" s="1">
        <v>2</v>
      </c>
      <c r="H104" s="5" t="s">
        <v>982</v>
      </c>
      <c r="I104" s="1">
        <v>5</v>
      </c>
      <c r="J104" s="5" t="s">
        <v>981</v>
      </c>
      <c r="K104" s="1">
        <v>0</v>
      </c>
      <c r="L104" s="5" t="s">
        <v>983</v>
      </c>
      <c r="M104" s="1">
        <v>4</v>
      </c>
      <c r="N104" s="5" t="s">
        <v>982</v>
      </c>
      <c r="O104" s="1">
        <v>0</v>
      </c>
      <c r="P104" s="5" t="s">
        <v>983</v>
      </c>
      <c r="Q104" s="1">
        <v>0</v>
      </c>
      <c r="R104" s="1">
        <v>0</v>
      </c>
      <c r="S104" s="1" t="s">
        <v>194</v>
      </c>
      <c r="T104" s="1">
        <v>5</v>
      </c>
      <c r="U104" s="1">
        <v>5</v>
      </c>
      <c r="V104" s="1">
        <v>26</v>
      </c>
      <c r="W104" s="1">
        <v>0</v>
      </c>
      <c r="X104" s="1">
        <v>16</v>
      </c>
      <c r="Y104" s="1">
        <v>3</v>
      </c>
      <c r="Z104" s="1">
        <v>450000</v>
      </c>
      <c r="AA104" s="1">
        <v>2</v>
      </c>
    </row>
    <row r="105" spans="1:27" ht="12.75" customHeight="1" x14ac:dyDescent="0.15">
      <c r="A105" s="5">
        <v>137</v>
      </c>
      <c r="B105" s="5" t="s">
        <v>238</v>
      </c>
      <c r="C105" s="1">
        <v>39</v>
      </c>
      <c r="D105" s="5" t="s">
        <v>981</v>
      </c>
      <c r="E105" s="1">
        <v>0</v>
      </c>
      <c r="F105" s="5" t="s">
        <v>983</v>
      </c>
      <c r="G105" s="1">
        <v>0</v>
      </c>
      <c r="H105" s="5" t="s">
        <v>983</v>
      </c>
      <c r="I105" s="1">
        <v>16</v>
      </c>
      <c r="J105" s="5" t="s">
        <v>981</v>
      </c>
      <c r="K105" s="1">
        <v>0</v>
      </c>
      <c r="L105" s="5" t="s">
        <v>983</v>
      </c>
      <c r="M105" s="1">
        <v>0</v>
      </c>
      <c r="N105" s="5" t="s">
        <v>983</v>
      </c>
      <c r="O105" s="1">
        <v>0</v>
      </c>
      <c r="P105" s="5" t="s">
        <v>983</v>
      </c>
      <c r="Q105" s="1">
        <v>0</v>
      </c>
      <c r="R105" s="1">
        <v>0</v>
      </c>
      <c r="S105" s="1">
        <v>1</v>
      </c>
      <c r="T105" s="1">
        <v>3</v>
      </c>
      <c r="U105" s="1">
        <v>5</v>
      </c>
      <c r="V105" s="1">
        <v>27</v>
      </c>
      <c r="W105" s="1">
        <v>1</v>
      </c>
      <c r="X105" s="1">
        <v>18</v>
      </c>
      <c r="Y105" s="1">
        <v>24</v>
      </c>
      <c r="Z105" s="1">
        <v>900000</v>
      </c>
      <c r="AA105" s="1">
        <v>4</v>
      </c>
    </row>
    <row r="106" spans="1:27" ht="12.75" customHeight="1" x14ac:dyDescent="0.15">
      <c r="A106" s="5">
        <v>193</v>
      </c>
      <c r="B106" s="5" t="s">
        <v>984</v>
      </c>
      <c r="C106" s="1">
        <v>15</v>
      </c>
      <c r="D106" s="5" t="s">
        <v>983</v>
      </c>
      <c r="E106" s="1">
        <v>3</v>
      </c>
      <c r="F106" s="5" t="s">
        <v>982</v>
      </c>
      <c r="G106" s="1">
        <v>5</v>
      </c>
      <c r="H106" s="5" t="s">
        <v>982</v>
      </c>
      <c r="I106" s="1">
        <v>3</v>
      </c>
      <c r="J106" s="5" t="s">
        <v>982</v>
      </c>
      <c r="K106" s="1">
        <v>1</v>
      </c>
      <c r="L106" s="5" t="s">
        <v>983</v>
      </c>
      <c r="M106" s="1">
        <v>0</v>
      </c>
      <c r="N106" s="5" t="s">
        <v>983</v>
      </c>
      <c r="O106" s="1">
        <v>1</v>
      </c>
      <c r="P106" s="5" t="s">
        <v>982</v>
      </c>
      <c r="Q106" s="1">
        <v>0</v>
      </c>
      <c r="R106" s="1">
        <v>0</v>
      </c>
      <c r="S106" s="1">
        <v>1</v>
      </c>
      <c r="T106" s="1" t="s">
        <v>194</v>
      </c>
      <c r="U106" s="1">
        <v>2</v>
      </c>
      <c r="V106" s="1">
        <v>28</v>
      </c>
      <c r="W106" s="1">
        <v>1</v>
      </c>
      <c r="X106" s="1">
        <v>17</v>
      </c>
      <c r="Y106" s="1">
        <v>2</v>
      </c>
      <c r="Z106" s="1">
        <v>0</v>
      </c>
      <c r="AA106" s="1">
        <v>2</v>
      </c>
    </row>
    <row r="107" spans="1:27" ht="12.75" customHeight="1" x14ac:dyDescent="0.15">
      <c r="A107" s="5">
        <v>252</v>
      </c>
      <c r="B107" s="5" t="s">
        <v>238</v>
      </c>
      <c r="C107" s="1">
        <v>19</v>
      </c>
      <c r="D107" s="5" t="s">
        <v>982</v>
      </c>
      <c r="E107" s="1">
        <v>4</v>
      </c>
      <c r="F107" s="5" t="s">
        <v>982</v>
      </c>
      <c r="G107" s="1">
        <v>1</v>
      </c>
      <c r="H107" s="5" t="s">
        <v>983</v>
      </c>
      <c r="I107" s="1">
        <v>12</v>
      </c>
      <c r="J107" s="5" t="s">
        <v>981</v>
      </c>
      <c r="K107" s="1">
        <v>0</v>
      </c>
      <c r="L107" s="5" t="s">
        <v>983</v>
      </c>
      <c r="M107" s="1">
        <v>0</v>
      </c>
      <c r="N107" s="5" t="s">
        <v>983</v>
      </c>
      <c r="O107" s="1">
        <v>0</v>
      </c>
      <c r="P107" s="5" t="s">
        <v>983</v>
      </c>
      <c r="Q107" s="1">
        <v>0</v>
      </c>
      <c r="R107" s="1">
        <v>0</v>
      </c>
      <c r="S107" s="1" t="s">
        <v>194</v>
      </c>
      <c r="T107" s="1">
        <v>5</v>
      </c>
      <c r="U107" s="1">
        <v>3</v>
      </c>
      <c r="V107" s="1">
        <v>28</v>
      </c>
      <c r="W107" s="1">
        <v>0</v>
      </c>
      <c r="X107" s="1">
        <v>14</v>
      </c>
      <c r="Y107" s="1">
        <v>14</v>
      </c>
      <c r="Z107" s="1">
        <v>100000</v>
      </c>
      <c r="AA107" s="1">
        <v>2</v>
      </c>
    </row>
    <row r="108" spans="1:27" ht="12.75" customHeight="1" x14ac:dyDescent="0.15">
      <c r="A108" s="5">
        <v>55</v>
      </c>
      <c r="B108" s="5" t="s">
        <v>238</v>
      </c>
      <c r="C108" s="1">
        <v>23</v>
      </c>
      <c r="D108" s="5" t="s">
        <v>982</v>
      </c>
      <c r="E108" s="1">
        <v>5</v>
      </c>
      <c r="F108" s="5" t="s">
        <v>981</v>
      </c>
      <c r="G108" s="1">
        <v>6</v>
      </c>
      <c r="H108" s="5" t="s">
        <v>981</v>
      </c>
      <c r="I108" s="1">
        <v>16</v>
      </c>
      <c r="J108" s="5" t="s">
        <v>981</v>
      </c>
      <c r="K108" s="1">
        <v>0</v>
      </c>
      <c r="L108" s="5" t="s">
        <v>983</v>
      </c>
      <c r="M108" s="1">
        <v>2</v>
      </c>
      <c r="N108" s="5" t="s">
        <v>983</v>
      </c>
      <c r="O108" s="1">
        <v>0</v>
      </c>
      <c r="P108" s="5" t="s">
        <v>983</v>
      </c>
      <c r="Q108" s="1">
        <v>0</v>
      </c>
      <c r="R108" s="1">
        <v>0</v>
      </c>
      <c r="S108" s="1" t="s">
        <v>194</v>
      </c>
      <c r="T108" s="1">
        <v>4</v>
      </c>
      <c r="U108" s="1">
        <v>3</v>
      </c>
      <c r="V108" s="1">
        <v>28</v>
      </c>
      <c r="W108" s="1">
        <v>0</v>
      </c>
      <c r="X108" s="1">
        <v>17</v>
      </c>
      <c r="Y108" s="1">
        <v>3</v>
      </c>
      <c r="Z108" s="1">
        <v>240000</v>
      </c>
      <c r="AA108" s="1">
        <v>3</v>
      </c>
    </row>
    <row r="109" spans="1:27" ht="12.75" customHeight="1" x14ac:dyDescent="0.15">
      <c r="A109" s="5">
        <v>478</v>
      </c>
      <c r="B109" s="5" t="s">
        <v>238</v>
      </c>
      <c r="C109" s="1">
        <v>17</v>
      </c>
      <c r="D109" s="5" t="s">
        <v>983</v>
      </c>
      <c r="E109" s="1">
        <v>4</v>
      </c>
      <c r="F109" s="5" t="s">
        <v>982</v>
      </c>
      <c r="G109" s="1">
        <v>3</v>
      </c>
      <c r="H109" s="5" t="s">
        <v>982</v>
      </c>
      <c r="I109" s="1">
        <v>7</v>
      </c>
      <c r="J109" s="5" t="s">
        <v>981</v>
      </c>
      <c r="K109" s="1">
        <v>0</v>
      </c>
      <c r="L109" s="5" t="s">
        <v>983</v>
      </c>
      <c r="M109" s="1">
        <v>1</v>
      </c>
      <c r="N109" s="5" t="s">
        <v>983</v>
      </c>
      <c r="O109" s="1">
        <v>0</v>
      </c>
      <c r="P109" s="5" t="s">
        <v>983</v>
      </c>
      <c r="Q109" s="1">
        <v>1</v>
      </c>
      <c r="R109" s="1">
        <v>0</v>
      </c>
      <c r="S109" s="1">
        <v>1</v>
      </c>
      <c r="T109" s="1" t="s">
        <v>194</v>
      </c>
      <c r="U109" s="1">
        <v>5</v>
      </c>
      <c r="V109" s="1">
        <v>28</v>
      </c>
      <c r="W109" s="1">
        <v>0</v>
      </c>
      <c r="X109" s="1">
        <v>3</v>
      </c>
      <c r="Y109" s="1">
        <v>2</v>
      </c>
      <c r="Z109" s="1">
        <v>300000</v>
      </c>
      <c r="AA109" s="1">
        <v>3</v>
      </c>
    </row>
    <row r="110" spans="1:27" ht="12.75" customHeight="1" x14ac:dyDescent="0.15">
      <c r="A110" s="5">
        <v>189</v>
      </c>
      <c r="B110" s="5" t="s">
        <v>984</v>
      </c>
      <c r="C110" s="1">
        <v>18</v>
      </c>
      <c r="D110" s="5" t="s">
        <v>983</v>
      </c>
      <c r="E110" s="1">
        <v>6</v>
      </c>
      <c r="F110" s="5" t="s">
        <v>981</v>
      </c>
      <c r="G110" s="1">
        <v>4</v>
      </c>
      <c r="H110" s="5" t="s">
        <v>982</v>
      </c>
      <c r="I110" s="1">
        <v>4</v>
      </c>
      <c r="J110" s="5" t="s">
        <v>982</v>
      </c>
      <c r="K110" s="1">
        <v>9</v>
      </c>
      <c r="L110" s="5" t="s">
        <v>981</v>
      </c>
      <c r="M110" s="1">
        <v>9</v>
      </c>
      <c r="N110" s="5" t="s">
        <v>981</v>
      </c>
      <c r="O110" s="1">
        <v>0</v>
      </c>
      <c r="P110" s="5" t="s">
        <v>983</v>
      </c>
      <c r="Q110" s="1">
        <v>1</v>
      </c>
      <c r="R110" s="1">
        <v>0</v>
      </c>
      <c r="S110" s="1">
        <v>1</v>
      </c>
      <c r="T110" s="1">
        <v>3</v>
      </c>
      <c r="U110" s="1">
        <v>1</v>
      </c>
      <c r="V110" s="1">
        <v>29</v>
      </c>
      <c r="W110" s="1">
        <v>0</v>
      </c>
      <c r="X110" s="1">
        <v>15</v>
      </c>
      <c r="Y110" s="1">
        <v>2</v>
      </c>
      <c r="Z110" s="1">
        <v>250000</v>
      </c>
      <c r="AA110" s="1">
        <v>2</v>
      </c>
    </row>
    <row r="111" spans="1:27" ht="12.75" customHeight="1" x14ac:dyDescent="0.15">
      <c r="A111" s="5">
        <v>320</v>
      </c>
      <c r="B111" s="5" t="s">
        <v>238</v>
      </c>
      <c r="C111" s="1">
        <v>15</v>
      </c>
      <c r="D111" s="5" t="s">
        <v>983</v>
      </c>
      <c r="E111" s="1">
        <v>0</v>
      </c>
      <c r="F111" s="5" t="s">
        <v>983</v>
      </c>
      <c r="G111" s="1">
        <v>1</v>
      </c>
      <c r="H111" s="5" t="s">
        <v>983</v>
      </c>
      <c r="I111" s="1">
        <v>0</v>
      </c>
      <c r="J111" s="5" t="s">
        <v>983</v>
      </c>
      <c r="K111" s="1">
        <v>3</v>
      </c>
      <c r="L111" s="5" t="s">
        <v>982</v>
      </c>
      <c r="M111" s="1">
        <v>0</v>
      </c>
      <c r="N111" s="5" t="s">
        <v>983</v>
      </c>
      <c r="O111" s="1">
        <v>0</v>
      </c>
      <c r="P111" s="5" t="s">
        <v>983</v>
      </c>
      <c r="Q111" s="1">
        <v>1</v>
      </c>
      <c r="R111" s="1">
        <v>1</v>
      </c>
      <c r="S111" s="1" t="s">
        <v>194</v>
      </c>
      <c r="T111" s="1" t="s">
        <v>194</v>
      </c>
      <c r="U111" s="1">
        <v>1</v>
      </c>
      <c r="V111" s="1">
        <v>29</v>
      </c>
      <c r="W111" s="1">
        <v>0</v>
      </c>
      <c r="X111" s="1">
        <v>2</v>
      </c>
      <c r="Y111" s="1">
        <v>2</v>
      </c>
      <c r="Z111" s="1">
        <v>650000</v>
      </c>
      <c r="AA111" s="1">
        <v>1</v>
      </c>
    </row>
    <row r="112" spans="1:27" ht="12.75" customHeight="1" x14ac:dyDescent="0.15">
      <c r="A112" s="5">
        <v>45</v>
      </c>
      <c r="B112" s="5" t="s">
        <v>238</v>
      </c>
      <c r="C112" s="1">
        <v>29</v>
      </c>
      <c r="D112" s="5" t="s">
        <v>981</v>
      </c>
      <c r="E112" s="1">
        <v>6</v>
      </c>
      <c r="F112" s="5" t="s">
        <v>981</v>
      </c>
      <c r="G112" s="1">
        <v>8</v>
      </c>
      <c r="H112" s="5" t="s">
        <v>981</v>
      </c>
      <c r="I112" s="1">
        <v>8</v>
      </c>
      <c r="J112" s="5" t="s">
        <v>981</v>
      </c>
      <c r="K112" s="1">
        <v>6</v>
      </c>
      <c r="L112" s="5" t="s">
        <v>981</v>
      </c>
      <c r="M112" s="1">
        <v>6</v>
      </c>
      <c r="N112" s="5" t="s">
        <v>981</v>
      </c>
      <c r="O112" s="1">
        <v>2</v>
      </c>
      <c r="P112" s="5" t="s">
        <v>982</v>
      </c>
      <c r="Q112" s="1">
        <v>0</v>
      </c>
      <c r="R112" s="1">
        <v>0</v>
      </c>
      <c r="S112" s="1" t="s">
        <v>194</v>
      </c>
      <c r="T112" s="1" t="s">
        <v>194</v>
      </c>
      <c r="U112" s="1">
        <v>2</v>
      </c>
      <c r="V112" s="1">
        <v>29</v>
      </c>
      <c r="W112" s="1">
        <v>0</v>
      </c>
      <c r="X112" s="1">
        <v>14</v>
      </c>
      <c r="Y112" s="1">
        <v>1</v>
      </c>
      <c r="Z112" s="1">
        <v>420000</v>
      </c>
      <c r="AA112" s="1">
        <v>2</v>
      </c>
    </row>
    <row r="113" spans="1:27" ht="12.75" customHeight="1" x14ac:dyDescent="0.15">
      <c r="A113" s="5">
        <v>91</v>
      </c>
      <c r="B113" s="5" t="s">
        <v>238</v>
      </c>
      <c r="C113" s="1">
        <v>21</v>
      </c>
      <c r="D113" s="5" t="s">
        <v>982</v>
      </c>
      <c r="E113" s="1">
        <v>10</v>
      </c>
      <c r="F113" s="5" t="s">
        <v>981</v>
      </c>
      <c r="G113" s="1">
        <v>10</v>
      </c>
      <c r="H113" s="5" t="s">
        <v>981</v>
      </c>
      <c r="I113" s="1">
        <v>5</v>
      </c>
      <c r="J113" s="5" t="s">
        <v>981</v>
      </c>
      <c r="K113" s="1">
        <v>9</v>
      </c>
      <c r="L113" s="5" t="s">
        <v>981</v>
      </c>
      <c r="M113" s="1">
        <v>9</v>
      </c>
      <c r="N113" s="5" t="s">
        <v>981</v>
      </c>
      <c r="O113" s="1">
        <v>1</v>
      </c>
      <c r="P113" s="5" t="s">
        <v>982</v>
      </c>
      <c r="Q113" s="1">
        <v>1</v>
      </c>
      <c r="R113" s="1">
        <v>0</v>
      </c>
      <c r="S113" s="1" t="s">
        <v>194</v>
      </c>
      <c r="T113" s="1">
        <v>4</v>
      </c>
      <c r="U113" s="1">
        <v>3</v>
      </c>
      <c r="V113" s="1">
        <v>29</v>
      </c>
      <c r="W113" s="1">
        <v>1</v>
      </c>
      <c r="X113" s="1">
        <v>14</v>
      </c>
      <c r="Y113" s="1">
        <v>11</v>
      </c>
      <c r="Z113" s="1">
        <v>0</v>
      </c>
      <c r="AA113" s="1">
        <v>2</v>
      </c>
    </row>
    <row r="114" spans="1:27" ht="12.75" customHeight="1" x14ac:dyDescent="0.15">
      <c r="A114" s="5">
        <v>310</v>
      </c>
      <c r="B114" s="5" t="s">
        <v>238</v>
      </c>
      <c r="C114" s="1">
        <v>24</v>
      </c>
      <c r="D114" s="5" t="s">
        <v>981</v>
      </c>
      <c r="E114" s="1">
        <v>8</v>
      </c>
      <c r="F114" s="5" t="s">
        <v>981</v>
      </c>
      <c r="G114" s="1">
        <v>9</v>
      </c>
      <c r="H114" s="5" t="s">
        <v>981</v>
      </c>
      <c r="I114" s="1">
        <v>7</v>
      </c>
      <c r="J114" s="5" t="s">
        <v>981</v>
      </c>
      <c r="K114" s="1">
        <v>7</v>
      </c>
      <c r="L114" s="5" t="s">
        <v>981</v>
      </c>
      <c r="M114" s="1">
        <v>6</v>
      </c>
      <c r="N114" s="5" t="s">
        <v>981</v>
      </c>
      <c r="O114" s="1">
        <v>0</v>
      </c>
      <c r="P114" s="5" t="s">
        <v>983</v>
      </c>
      <c r="Q114" s="1">
        <v>0</v>
      </c>
      <c r="R114" s="1">
        <v>0</v>
      </c>
      <c r="S114" s="1" t="s">
        <v>194</v>
      </c>
      <c r="T114" s="1">
        <v>5</v>
      </c>
      <c r="U114" s="1">
        <v>3</v>
      </c>
      <c r="V114" s="1">
        <v>29</v>
      </c>
      <c r="W114" s="1">
        <v>0</v>
      </c>
      <c r="X114" s="1">
        <v>16</v>
      </c>
      <c r="Y114" s="1">
        <v>34</v>
      </c>
      <c r="Z114" s="1">
        <v>250000</v>
      </c>
      <c r="AA114" s="1">
        <v>3</v>
      </c>
    </row>
    <row r="115" spans="1:27" ht="12.75" customHeight="1" x14ac:dyDescent="0.15">
      <c r="A115" s="5">
        <v>174</v>
      </c>
      <c r="B115" s="5" t="s">
        <v>984</v>
      </c>
      <c r="C115" s="1">
        <v>21</v>
      </c>
      <c r="D115" s="5" t="s">
        <v>982</v>
      </c>
      <c r="E115" s="1">
        <v>4</v>
      </c>
      <c r="F115" s="5" t="s">
        <v>982</v>
      </c>
      <c r="G115" s="1">
        <v>5</v>
      </c>
      <c r="H115" s="5" t="s">
        <v>982</v>
      </c>
      <c r="I115" s="1">
        <v>3</v>
      </c>
      <c r="J115" s="5" t="s">
        <v>982</v>
      </c>
      <c r="K115" s="1">
        <v>0</v>
      </c>
      <c r="L115" s="5" t="s">
        <v>983</v>
      </c>
      <c r="M115" s="1">
        <v>6</v>
      </c>
      <c r="N115" s="5" t="s">
        <v>981</v>
      </c>
      <c r="O115" s="1">
        <v>0</v>
      </c>
      <c r="P115" s="5" t="s">
        <v>983</v>
      </c>
      <c r="Q115" s="1">
        <v>1</v>
      </c>
      <c r="R115" s="1">
        <v>0</v>
      </c>
      <c r="S115" s="1">
        <v>1</v>
      </c>
      <c r="T115" s="1">
        <v>5</v>
      </c>
      <c r="U115" s="1">
        <v>4</v>
      </c>
      <c r="V115" s="1">
        <v>29</v>
      </c>
      <c r="W115" s="1">
        <v>0</v>
      </c>
      <c r="X115" s="1">
        <v>4</v>
      </c>
      <c r="Y115" s="1">
        <v>2</v>
      </c>
      <c r="Z115" s="1">
        <v>50000</v>
      </c>
      <c r="AA115" s="1">
        <v>3</v>
      </c>
    </row>
    <row r="116" spans="1:27" ht="12.75" customHeight="1" x14ac:dyDescent="0.15">
      <c r="A116" s="5">
        <v>249</v>
      </c>
      <c r="B116" s="5" t="s">
        <v>984</v>
      </c>
      <c r="C116" s="1">
        <v>14</v>
      </c>
      <c r="D116" s="5" t="s">
        <v>983</v>
      </c>
      <c r="E116" s="1">
        <v>1</v>
      </c>
      <c r="F116" s="5" t="s">
        <v>983</v>
      </c>
      <c r="G116" s="1">
        <v>8</v>
      </c>
      <c r="H116" s="5" t="s">
        <v>981</v>
      </c>
      <c r="I116" s="1">
        <v>2</v>
      </c>
      <c r="J116" s="5" t="s">
        <v>982</v>
      </c>
      <c r="K116" s="1">
        <v>0</v>
      </c>
      <c r="L116" s="5" t="s">
        <v>983</v>
      </c>
      <c r="M116" s="1">
        <v>0</v>
      </c>
      <c r="N116" s="5" t="s">
        <v>983</v>
      </c>
      <c r="O116" s="1">
        <v>1</v>
      </c>
      <c r="P116" s="5" t="s">
        <v>982</v>
      </c>
      <c r="Q116" s="1">
        <v>1</v>
      </c>
      <c r="R116" s="1">
        <v>0</v>
      </c>
      <c r="S116" s="1">
        <v>1</v>
      </c>
      <c r="T116" s="1">
        <v>5</v>
      </c>
      <c r="U116" s="1">
        <v>5</v>
      </c>
      <c r="V116" s="1">
        <v>29</v>
      </c>
      <c r="W116" s="1">
        <v>0</v>
      </c>
      <c r="X116" s="1">
        <v>14</v>
      </c>
      <c r="Y116" s="1">
        <v>34</v>
      </c>
      <c r="Z116" s="1">
        <v>0</v>
      </c>
      <c r="AA116" s="1">
        <v>2</v>
      </c>
    </row>
    <row r="117" spans="1:27" ht="12.75" customHeight="1" x14ac:dyDescent="0.15">
      <c r="A117" s="5">
        <v>96</v>
      </c>
      <c r="B117" s="5" t="s">
        <v>238</v>
      </c>
      <c r="C117" s="1">
        <v>18</v>
      </c>
      <c r="D117" s="5" t="s">
        <v>983</v>
      </c>
      <c r="E117" s="1">
        <v>0</v>
      </c>
      <c r="F117" s="5" t="s">
        <v>983</v>
      </c>
      <c r="G117" s="1">
        <v>0</v>
      </c>
      <c r="H117" s="5" t="s">
        <v>983</v>
      </c>
      <c r="I117" s="1">
        <v>16</v>
      </c>
      <c r="J117" s="5" t="s">
        <v>981</v>
      </c>
      <c r="K117" s="1">
        <v>0</v>
      </c>
      <c r="L117" s="5" t="s">
        <v>983</v>
      </c>
      <c r="M117" s="1">
        <v>0</v>
      </c>
      <c r="N117" s="5" t="s">
        <v>983</v>
      </c>
      <c r="O117" s="1">
        <v>0</v>
      </c>
      <c r="P117" s="5" t="s">
        <v>983</v>
      </c>
      <c r="Q117" s="1">
        <v>1</v>
      </c>
      <c r="R117" s="1">
        <v>0</v>
      </c>
      <c r="S117" s="1">
        <v>1</v>
      </c>
      <c r="T117" s="1">
        <v>5</v>
      </c>
      <c r="U117" s="1">
        <v>5</v>
      </c>
      <c r="V117" s="1">
        <v>29</v>
      </c>
      <c r="W117" s="1">
        <v>0</v>
      </c>
      <c r="X117" s="1">
        <v>8</v>
      </c>
      <c r="Y117" s="1">
        <v>1</v>
      </c>
      <c r="Z117" s="1">
        <v>380000</v>
      </c>
      <c r="AA117" s="1">
        <v>3</v>
      </c>
    </row>
    <row r="118" spans="1:27" ht="12.75" customHeight="1" x14ac:dyDescent="0.15">
      <c r="A118" s="5">
        <v>274</v>
      </c>
      <c r="B118" s="5" t="s">
        <v>984</v>
      </c>
      <c r="C118" s="1">
        <v>36</v>
      </c>
      <c r="D118" s="5" t="s">
        <v>981</v>
      </c>
      <c r="E118" s="1">
        <v>4</v>
      </c>
      <c r="F118" s="5" t="s">
        <v>982</v>
      </c>
      <c r="G118" s="1">
        <v>2</v>
      </c>
      <c r="H118" s="5" t="s">
        <v>982</v>
      </c>
      <c r="I118" s="1">
        <v>4</v>
      </c>
      <c r="J118" s="5" t="s">
        <v>982</v>
      </c>
      <c r="K118" s="1">
        <v>1</v>
      </c>
      <c r="L118" s="5" t="s">
        <v>983</v>
      </c>
      <c r="M118" s="1">
        <v>4</v>
      </c>
      <c r="N118" s="5" t="s">
        <v>982</v>
      </c>
      <c r="O118" s="1">
        <v>0</v>
      </c>
      <c r="P118" s="5" t="s">
        <v>983</v>
      </c>
      <c r="Q118" s="1">
        <v>0</v>
      </c>
      <c r="R118" s="1">
        <v>0</v>
      </c>
      <c r="S118" s="1" t="s">
        <v>194</v>
      </c>
      <c r="T118" s="1">
        <v>5</v>
      </c>
      <c r="U118" s="1">
        <v>5</v>
      </c>
      <c r="V118" s="1">
        <v>29</v>
      </c>
      <c r="W118" s="1">
        <v>1</v>
      </c>
      <c r="X118" s="1">
        <v>17</v>
      </c>
      <c r="Y118" s="1">
        <v>6</v>
      </c>
      <c r="Z118" s="1">
        <v>410000</v>
      </c>
      <c r="AA118" s="1">
        <v>3</v>
      </c>
    </row>
    <row r="119" spans="1:27" ht="12.75" customHeight="1" x14ac:dyDescent="0.15">
      <c r="A119" s="5">
        <v>283</v>
      </c>
      <c r="B119" s="5" t="s">
        <v>238</v>
      </c>
      <c r="C119" s="1">
        <v>36</v>
      </c>
      <c r="D119" s="5" t="s">
        <v>981</v>
      </c>
      <c r="E119" s="1">
        <v>9</v>
      </c>
      <c r="F119" s="5" t="s">
        <v>981</v>
      </c>
      <c r="G119" s="1">
        <v>8</v>
      </c>
      <c r="H119" s="5" t="s">
        <v>981</v>
      </c>
      <c r="I119" s="1">
        <v>7</v>
      </c>
      <c r="J119" s="5" t="s">
        <v>981</v>
      </c>
      <c r="K119" s="1">
        <v>4</v>
      </c>
      <c r="L119" s="5" t="s">
        <v>982</v>
      </c>
      <c r="M119" s="1">
        <v>4</v>
      </c>
      <c r="N119" s="5" t="s">
        <v>982</v>
      </c>
      <c r="O119" s="1">
        <v>1</v>
      </c>
      <c r="P119" s="5" t="s">
        <v>982</v>
      </c>
      <c r="Q119" s="1">
        <v>1</v>
      </c>
      <c r="R119" s="1">
        <v>0</v>
      </c>
      <c r="S119" s="1" t="s">
        <v>194</v>
      </c>
      <c r="T119" s="1">
        <v>4</v>
      </c>
      <c r="U119" s="1">
        <v>5</v>
      </c>
      <c r="V119" s="1">
        <v>29</v>
      </c>
      <c r="W119" s="1">
        <v>0</v>
      </c>
      <c r="X119" s="1">
        <v>6</v>
      </c>
      <c r="Y119" s="1">
        <v>34</v>
      </c>
      <c r="Z119" s="1">
        <v>1000000</v>
      </c>
      <c r="AA119" s="1">
        <v>4</v>
      </c>
    </row>
    <row r="120" spans="1:27" ht="12.75" customHeight="1" x14ac:dyDescent="0.15">
      <c r="A120" s="5">
        <v>477</v>
      </c>
      <c r="B120" s="5" t="s">
        <v>238</v>
      </c>
      <c r="C120" s="1">
        <v>21</v>
      </c>
      <c r="D120" s="5" t="s">
        <v>982</v>
      </c>
      <c r="E120" s="1">
        <v>0</v>
      </c>
      <c r="F120" s="5" t="s">
        <v>983</v>
      </c>
      <c r="G120" s="1">
        <v>0</v>
      </c>
      <c r="H120" s="5" t="s">
        <v>983</v>
      </c>
      <c r="I120" s="1">
        <v>16</v>
      </c>
      <c r="J120" s="5" t="s">
        <v>981</v>
      </c>
      <c r="K120" s="1">
        <v>0</v>
      </c>
      <c r="L120" s="5" t="s">
        <v>983</v>
      </c>
      <c r="M120" s="1">
        <v>0</v>
      </c>
      <c r="N120" s="5" t="s">
        <v>983</v>
      </c>
      <c r="O120" s="1">
        <v>0</v>
      </c>
      <c r="P120" s="5" t="s">
        <v>983</v>
      </c>
      <c r="Q120" s="1">
        <v>0</v>
      </c>
      <c r="R120" s="1">
        <v>0</v>
      </c>
      <c r="S120" s="1" t="s">
        <v>194</v>
      </c>
      <c r="T120" s="1">
        <v>2</v>
      </c>
      <c r="U120" s="1">
        <v>2</v>
      </c>
      <c r="V120" s="1">
        <v>30</v>
      </c>
      <c r="W120" s="1">
        <v>0</v>
      </c>
      <c r="X120" s="1">
        <v>2</v>
      </c>
      <c r="Y120" s="1">
        <v>15</v>
      </c>
      <c r="Z120" s="1">
        <v>300000</v>
      </c>
      <c r="AA120" s="1">
        <v>4</v>
      </c>
    </row>
    <row r="121" spans="1:27" ht="12.75" customHeight="1" x14ac:dyDescent="0.15">
      <c r="A121" s="5">
        <v>31</v>
      </c>
      <c r="B121" s="5" t="s">
        <v>238</v>
      </c>
      <c r="C121" s="1">
        <v>12</v>
      </c>
      <c r="D121" s="5" t="s">
        <v>983</v>
      </c>
      <c r="E121" s="1">
        <v>0</v>
      </c>
      <c r="F121" s="5" t="s">
        <v>983</v>
      </c>
      <c r="G121" s="1">
        <v>8</v>
      </c>
      <c r="H121" s="5" t="s">
        <v>981</v>
      </c>
      <c r="I121" s="1">
        <v>0</v>
      </c>
      <c r="J121" s="5" t="s">
        <v>983</v>
      </c>
      <c r="K121" s="1">
        <v>1</v>
      </c>
      <c r="L121" s="5" t="s">
        <v>983</v>
      </c>
      <c r="M121" s="1">
        <v>2</v>
      </c>
      <c r="N121" s="5" t="s">
        <v>983</v>
      </c>
      <c r="O121" s="1">
        <v>0</v>
      </c>
      <c r="P121" s="5" t="s">
        <v>983</v>
      </c>
      <c r="Q121" s="1">
        <v>0</v>
      </c>
      <c r="R121" s="1">
        <v>0</v>
      </c>
      <c r="S121" s="1" t="s">
        <v>194</v>
      </c>
      <c r="T121" s="1">
        <v>2</v>
      </c>
      <c r="U121" s="1">
        <v>2</v>
      </c>
      <c r="V121" s="1">
        <v>30</v>
      </c>
      <c r="W121" s="1">
        <v>0</v>
      </c>
      <c r="X121" s="1">
        <v>14</v>
      </c>
      <c r="Y121" s="1">
        <v>24</v>
      </c>
      <c r="Z121" s="1">
        <v>500000</v>
      </c>
      <c r="AA121" s="1">
        <v>5</v>
      </c>
    </row>
    <row r="122" spans="1:27" ht="12.75" customHeight="1" x14ac:dyDescent="0.15">
      <c r="A122" s="5">
        <v>445</v>
      </c>
      <c r="B122" s="5" t="s">
        <v>984</v>
      </c>
      <c r="C122" s="1">
        <v>29</v>
      </c>
      <c r="D122" s="5" t="s">
        <v>981</v>
      </c>
      <c r="E122" s="1">
        <v>3</v>
      </c>
      <c r="F122" s="5" t="s">
        <v>982</v>
      </c>
      <c r="G122" s="1">
        <v>5</v>
      </c>
      <c r="H122" s="5" t="s">
        <v>982</v>
      </c>
      <c r="I122" s="1">
        <v>8</v>
      </c>
      <c r="J122" s="5" t="s">
        <v>981</v>
      </c>
      <c r="K122" s="1">
        <v>8</v>
      </c>
      <c r="L122" s="5" t="s">
        <v>981</v>
      </c>
      <c r="M122" s="1">
        <v>0</v>
      </c>
      <c r="N122" s="5" t="s">
        <v>983</v>
      </c>
      <c r="O122" s="1">
        <v>0</v>
      </c>
      <c r="P122" s="5" t="s">
        <v>983</v>
      </c>
      <c r="Q122" s="1">
        <v>1</v>
      </c>
      <c r="R122" s="1">
        <v>0</v>
      </c>
      <c r="S122" s="1">
        <v>1</v>
      </c>
      <c r="T122" s="1">
        <v>4</v>
      </c>
      <c r="U122" s="1">
        <v>3</v>
      </c>
      <c r="V122" s="1">
        <v>30</v>
      </c>
      <c r="W122" s="1">
        <v>1</v>
      </c>
      <c r="X122" s="1">
        <v>10</v>
      </c>
      <c r="Y122" s="1">
        <v>8</v>
      </c>
      <c r="Z122" s="1">
        <v>0</v>
      </c>
      <c r="AA122" s="1">
        <v>3</v>
      </c>
    </row>
    <row r="123" spans="1:27" ht="12.75" customHeight="1" x14ac:dyDescent="0.15">
      <c r="A123" s="5">
        <v>313</v>
      </c>
      <c r="B123" s="5" t="s">
        <v>238</v>
      </c>
      <c r="C123" s="1">
        <v>36</v>
      </c>
      <c r="D123" s="5" t="s">
        <v>981</v>
      </c>
      <c r="E123" s="1">
        <v>5</v>
      </c>
      <c r="F123" s="5" t="s">
        <v>981</v>
      </c>
      <c r="G123" s="1">
        <v>8</v>
      </c>
      <c r="H123" s="5" t="s">
        <v>981</v>
      </c>
      <c r="I123" s="1">
        <v>16</v>
      </c>
      <c r="J123" s="5" t="s">
        <v>981</v>
      </c>
      <c r="K123" s="1">
        <v>1</v>
      </c>
      <c r="L123" s="5" t="s">
        <v>983</v>
      </c>
      <c r="M123" s="1">
        <v>9</v>
      </c>
      <c r="N123" s="5" t="s">
        <v>981</v>
      </c>
      <c r="O123" s="1">
        <v>0</v>
      </c>
      <c r="P123" s="5" t="s">
        <v>983</v>
      </c>
      <c r="Q123" s="1">
        <v>0</v>
      </c>
      <c r="R123" s="1">
        <v>0</v>
      </c>
      <c r="S123" s="1" t="s">
        <v>194</v>
      </c>
      <c r="T123" s="1">
        <v>5</v>
      </c>
      <c r="U123" s="1">
        <v>3</v>
      </c>
      <c r="V123" s="1">
        <v>30</v>
      </c>
      <c r="W123" s="1">
        <v>1</v>
      </c>
      <c r="X123" s="1"/>
      <c r="Y123" s="1">
        <v>24</v>
      </c>
      <c r="Z123" s="1">
        <v>100000</v>
      </c>
      <c r="AA123" s="1">
        <v>4</v>
      </c>
    </row>
    <row r="124" spans="1:27" ht="12.75" customHeight="1" x14ac:dyDescent="0.15">
      <c r="A124" s="5">
        <v>278</v>
      </c>
      <c r="B124" s="5" t="s">
        <v>238</v>
      </c>
      <c r="C124" s="1">
        <v>12</v>
      </c>
      <c r="D124" s="5" t="s">
        <v>983</v>
      </c>
      <c r="E124" s="1">
        <v>0</v>
      </c>
      <c r="F124" s="5" t="s">
        <v>983</v>
      </c>
      <c r="G124" s="1">
        <v>0</v>
      </c>
      <c r="H124" s="5" t="s">
        <v>983</v>
      </c>
      <c r="I124" s="1">
        <v>16</v>
      </c>
      <c r="J124" s="5" t="s">
        <v>981</v>
      </c>
      <c r="K124" s="1">
        <v>0</v>
      </c>
      <c r="L124" s="5" t="s">
        <v>983</v>
      </c>
      <c r="M124" s="1">
        <v>0</v>
      </c>
      <c r="N124" s="5" t="s">
        <v>983</v>
      </c>
      <c r="O124" s="1">
        <v>0</v>
      </c>
      <c r="P124" s="5" t="s">
        <v>983</v>
      </c>
      <c r="Q124" s="1">
        <v>0</v>
      </c>
      <c r="R124" s="1">
        <v>0</v>
      </c>
      <c r="S124" s="1" t="s">
        <v>194</v>
      </c>
      <c r="T124" s="1">
        <v>3</v>
      </c>
      <c r="U124" s="1">
        <v>3</v>
      </c>
      <c r="V124" s="1">
        <v>30</v>
      </c>
      <c r="W124" s="1">
        <v>1</v>
      </c>
      <c r="X124" s="1">
        <v>17</v>
      </c>
      <c r="Y124" s="1">
        <v>24</v>
      </c>
      <c r="Z124" s="1">
        <v>400000</v>
      </c>
      <c r="AA124" s="1">
        <v>4</v>
      </c>
    </row>
    <row r="125" spans="1:27" ht="12.75" customHeight="1" x14ac:dyDescent="0.15">
      <c r="A125" s="5">
        <v>209</v>
      </c>
      <c r="B125" s="5" t="s">
        <v>238</v>
      </c>
      <c r="C125" s="1">
        <v>24</v>
      </c>
      <c r="D125" s="5" t="s">
        <v>981</v>
      </c>
      <c r="E125" s="1">
        <v>5</v>
      </c>
      <c r="F125" s="5" t="s">
        <v>981</v>
      </c>
      <c r="G125" s="1">
        <v>2</v>
      </c>
      <c r="H125" s="5" t="s">
        <v>982</v>
      </c>
      <c r="I125" s="1">
        <v>16</v>
      </c>
      <c r="J125" s="5" t="s">
        <v>981</v>
      </c>
      <c r="K125" s="1">
        <v>0</v>
      </c>
      <c r="L125" s="5" t="s">
        <v>983</v>
      </c>
      <c r="M125" s="1">
        <v>3</v>
      </c>
      <c r="N125" s="5" t="s">
        <v>982</v>
      </c>
      <c r="O125" s="1">
        <v>0</v>
      </c>
      <c r="P125" s="5" t="s">
        <v>983</v>
      </c>
      <c r="Q125" s="1">
        <v>0</v>
      </c>
      <c r="R125" s="1">
        <v>0</v>
      </c>
      <c r="S125" s="1" t="s">
        <v>194</v>
      </c>
      <c r="T125" s="1">
        <v>3</v>
      </c>
      <c r="U125" s="1">
        <v>3</v>
      </c>
      <c r="V125" s="1">
        <v>30</v>
      </c>
      <c r="W125" s="1">
        <v>0</v>
      </c>
      <c r="X125" s="1">
        <v>16</v>
      </c>
      <c r="Y125" s="1">
        <v>1</v>
      </c>
      <c r="Z125" s="1">
        <v>600000</v>
      </c>
      <c r="AA125" s="1">
        <v>1</v>
      </c>
    </row>
    <row r="126" spans="1:27" ht="12.75" customHeight="1" x14ac:dyDescent="0.15">
      <c r="A126" s="5">
        <v>350</v>
      </c>
      <c r="B126" s="5" t="s">
        <v>238</v>
      </c>
      <c r="C126" s="1">
        <v>22</v>
      </c>
      <c r="D126" s="5" t="s">
        <v>982</v>
      </c>
      <c r="E126" s="1">
        <v>2</v>
      </c>
      <c r="F126" s="5" t="s">
        <v>982</v>
      </c>
      <c r="G126" s="1">
        <v>4</v>
      </c>
      <c r="H126" s="5" t="s">
        <v>982</v>
      </c>
      <c r="I126" s="1">
        <v>2</v>
      </c>
      <c r="J126" s="5" t="s">
        <v>982</v>
      </c>
      <c r="K126" s="1">
        <v>3</v>
      </c>
      <c r="L126" s="5" t="s">
        <v>982</v>
      </c>
      <c r="M126" s="1">
        <v>0</v>
      </c>
      <c r="N126" s="5" t="s">
        <v>983</v>
      </c>
      <c r="O126" s="1">
        <v>0</v>
      </c>
      <c r="P126" s="5" t="s">
        <v>983</v>
      </c>
      <c r="Q126" s="1">
        <v>1</v>
      </c>
      <c r="R126" s="1">
        <v>1</v>
      </c>
      <c r="S126" s="1">
        <v>1</v>
      </c>
      <c r="T126" s="1">
        <v>5</v>
      </c>
      <c r="U126" s="1">
        <v>4</v>
      </c>
      <c r="V126" s="1">
        <v>30</v>
      </c>
      <c r="W126" s="1">
        <v>0</v>
      </c>
      <c r="X126" s="1">
        <v>13</v>
      </c>
      <c r="Y126" s="1">
        <v>8</v>
      </c>
      <c r="Z126" s="1">
        <v>100000</v>
      </c>
      <c r="AA126" s="1">
        <v>1</v>
      </c>
    </row>
    <row r="127" spans="1:27" ht="12.75" customHeight="1" x14ac:dyDescent="0.15">
      <c r="A127" s="5">
        <v>284</v>
      </c>
      <c r="B127" s="5" t="s">
        <v>238</v>
      </c>
      <c r="C127" s="1">
        <v>20</v>
      </c>
      <c r="D127" s="5" t="s">
        <v>982</v>
      </c>
      <c r="E127" s="1">
        <v>2</v>
      </c>
      <c r="F127" s="5" t="s">
        <v>982</v>
      </c>
      <c r="G127" s="1">
        <v>4</v>
      </c>
      <c r="H127" s="5" t="s">
        <v>982</v>
      </c>
      <c r="I127" s="1">
        <v>16</v>
      </c>
      <c r="J127" s="5" t="s">
        <v>981</v>
      </c>
      <c r="K127" s="1">
        <v>0</v>
      </c>
      <c r="L127" s="5" t="s">
        <v>983</v>
      </c>
      <c r="M127" s="1">
        <v>0</v>
      </c>
      <c r="N127" s="5" t="s">
        <v>983</v>
      </c>
      <c r="O127" s="1">
        <v>0</v>
      </c>
      <c r="P127" s="5" t="s">
        <v>983</v>
      </c>
      <c r="Q127" s="1">
        <v>0</v>
      </c>
      <c r="R127" s="1">
        <v>0</v>
      </c>
      <c r="S127" s="1" t="s">
        <v>194</v>
      </c>
      <c r="T127" s="1">
        <v>4</v>
      </c>
      <c r="U127" s="1">
        <v>4</v>
      </c>
      <c r="V127" s="1">
        <v>30</v>
      </c>
      <c r="W127" s="1">
        <v>1</v>
      </c>
      <c r="X127" s="1">
        <v>4</v>
      </c>
      <c r="Y127" s="1">
        <v>24</v>
      </c>
      <c r="Z127" s="1">
        <v>500000</v>
      </c>
      <c r="AA127" s="1">
        <v>1</v>
      </c>
    </row>
    <row r="128" spans="1:27" ht="12.75" customHeight="1" x14ac:dyDescent="0.15">
      <c r="A128" s="5">
        <v>327</v>
      </c>
      <c r="B128" s="5" t="s">
        <v>238</v>
      </c>
      <c r="C128" s="1">
        <v>20</v>
      </c>
      <c r="D128" s="5" t="s">
        <v>982</v>
      </c>
      <c r="E128" s="1">
        <v>4</v>
      </c>
      <c r="F128" s="5" t="s">
        <v>982</v>
      </c>
      <c r="G128" s="1">
        <v>3</v>
      </c>
      <c r="H128" s="5" t="s">
        <v>982</v>
      </c>
      <c r="I128" s="1">
        <v>16</v>
      </c>
      <c r="J128" s="5" t="s">
        <v>981</v>
      </c>
      <c r="K128" s="1">
        <v>0</v>
      </c>
      <c r="L128" s="5" t="s">
        <v>983</v>
      </c>
      <c r="M128" s="1">
        <v>0</v>
      </c>
      <c r="N128" s="5" t="s">
        <v>983</v>
      </c>
      <c r="O128" s="1">
        <v>0</v>
      </c>
      <c r="P128" s="5" t="s">
        <v>983</v>
      </c>
      <c r="Q128" s="1">
        <v>0</v>
      </c>
      <c r="R128" s="1">
        <v>0</v>
      </c>
      <c r="S128" s="1" t="s">
        <v>194</v>
      </c>
      <c r="T128" s="1" t="s">
        <v>194</v>
      </c>
      <c r="U128" s="1" t="s">
        <v>194</v>
      </c>
      <c r="V128" s="1">
        <v>30</v>
      </c>
      <c r="W128" s="1">
        <v>0</v>
      </c>
      <c r="X128" s="1">
        <v>4</v>
      </c>
      <c r="Y128" s="1">
        <v>34</v>
      </c>
      <c r="Z128" s="1">
        <v>250000</v>
      </c>
      <c r="AA128" s="1">
        <v>1</v>
      </c>
    </row>
    <row r="129" spans="1:27" ht="12.75" customHeight="1" x14ac:dyDescent="0.15">
      <c r="A129" s="5">
        <v>382</v>
      </c>
      <c r="B129" s="5" t="s">
        <v>984</v>
      </c>
      <c r="C129" s="1">
        <v>12</v>
      </c>
      <c r="D129" s="5" t="s">
        <v>983</v>
      </c>
      <c r="E129" s="1">
        <v>12</v>
      </c>
      <c r="F129" s="5" t="s">
        <v>981</v>
      </c>
      <c r="G129" s="1">
        <v>12</v>
      </c>
      <c r="H129" s="5" t="s">
        <v>981</v>
      </c>
      <c r="I129" s="1">
        <v>0</v>
      </c>
      <c r="J129" s="5" t="s">
        <v>983</v>
      </c>
      <c r="K129" s="1">
        <v>12</v>
      </c>
      <c r="L129" s="5" t="s">
        <v>981</v>
      </c>
      <c r="M129" s="1">
        <v>12</v>
      </c>
      <c r="N129" s="5" t="s">
        <v>981</v>
      </c>
      <c r="O129" s="1">
        <v>0</v>
      </c>
      <c r="P129" s="5" t="s">
        <v>983</v>
      </c>
      <c r="Q129" s="1">
        <v>0</v>
      </c>
      <c r="R129" s="1">
        <v>0</v>
      </c>
      <c r="S129" s="1" t="s">
        <v>194</v>
      </c>
      <c r="T129" s="1" t="s">
        <v>194</v>
      </c>
      <c r="U129" s="1" t="s">
        <v>194</v>
      </c>
      <c r="V129" s="1">
        <v>30</v>
      </c>
      <c r="W129" s="1">
        <v>1</v>
      </c>
      <c r="X129" s="1">
        <v>13</v>
      </c>
      <c r="Y129" s="1">
        <v>2</v>
      </c>
      <c r="Z129" s="1">
        <v>350000</v>
      </c>
      <c r="AA129" s="1">
        <v>3</v>
      </c>
    </row>
    <row r="130" spans="1:27" ht="12.75" customHeight="1" x14ac:dyDescent="0.15">
      <c r="A130" s="5">
        <v>457</v>
      </c>
      <c r="B130" s="5" t="s">
        <v>238</v>
      </c>
      <c r="C130" s="1">
        <v>18</v>
      </c>
      <c r="D130" s="5" t="s">
        <v>983</v>
      </c>
      <c r="E130" s="1">
        <v>1</v>
      </c>
      <c r="F130" s="5" t="s">
        <v>983</v>
      </c>
      <c r="G130" s="1">
        <v>1</v>
      </c>
      <c r="H130" s="5" t="s">
        <v>983</v>
      </c>
      <c r="I130" s="1">
        <v>8</v>
      </c>
      <c r="J130" s="5" t="s">
        <v>981</v>
      </c>
      <c r="K130" s="1">
        <v>0</v>
      </c>
      <c r="L130" s="5" t="s">
        <v>983</v>
      </c>
      <c r="M130" s="1">
        <v>3</v>
      </c>
      <c r="N130" s="5" t="s">
        <v>982</v>
      </c>
      <c r="O130" s="1">
        <v>0</v>
      </c>
      <c r="P130" s="5" t="s">
        <v>983</v>
      </c>
      <c r="Q130" s="1">
        <v>1</v>
      </c>
      <c r="R130" s="1">
        <v>0</v>
      </c>
      <c r="S130" s="1">
        <v>1</v>
      </c>
      <c r="T130" s="1">
        <v>2</v>
      </c>
      <c r="U130" s="1">
        <v>1</v>
      </c>
      <c r="V130" s="1">
        <v>31</v>
      </c>
      <c r="W130" s="1">
        <v>0</v>
      </c>
      <c r="X130" s="1">
        <v>6</v>
      </c>
      <c r="Y130" s="1">
        <v>5</v>
      </c>
      <c r="Z130" s="1">
        <v>150000</v>
      </c>
      <c r="AA130" s="1">
        <v>1</v>
      </c>
    </row>
    <row r="131" spans="1:27" ht="12.75" customHeight="1" x14ac:dyDescent="0.15">
      <c r="A131" s="5">
        <v>214</v>
      </c>
      <c r="B131" s="5" t="s">
        <v>984</v>
      </c>
      <c r="C131" s="1">
        <v>15</v>
      </c>
      <c r="D131" s="5" t="s">
        <v>983</v>
      </c>
      <c r="E131" s="1">
        <v>9</v>
      </c>
      <c r="F131" s="5" t="s">
        <v>981</v>
      </c>
      <c r="G131" s="1">
        <v>3</v>
      </c>
      <c r="H131" s="5" t="s">
        <v>982</v>
      </c>
      <c r="I131" s="1">
        <v>3</v>
      </c>
      <c r="J131" s="5" t="s">
        <v>982</v>
      </c>
      <c r="K131" s="1">
        <v>12</v>
      </c>
      <c r="L131" s="5" t="s">
        <v>981</v>
      </c>
      <c r="M131" s="1">
        <v>12</v>
      </c>
      <c r="N131" s="5" t="s">
        <v>981</v>
      </c>
      <c r="O131" s="1">
        <v>0</v>
      </c>
      <c r="P131" s="5" t="s">
        <v>983</v>
      </c>
      <c r="Q131" s="1">
        <v>0</v>
      </c>
      <c r="R131" s="1">
        <v>1</v>
      </c>
      <c r="S131" s="1" t="s">
        <v>194</v>
      </c>
      <c r="T131" s="1" t="s">
        <v>194</v>
      </c>
      <c r="U131" s="1">
        <v>1</v>
      </c>
      <c r="V131" s="1">
        <v>31</v>
      </c>
      <c r="W131" s="1">
        <v>1</v>
      </c>
      <c r="X131" s="1">
        <v>14</v>
      </c>
      <c r="Y131" s="1">
        <v>15</v>
      </c>
      <c r="Z131" s="1">
        <v>100000</v>
      </c>
      <c r="AA131" s="1">
        <v>4</v>
      </c>
    </row>
    <row r="132" spans="1:27" ht="12.75" customHeight="1" x14ac:dyDescent="0.15">
      <c r="A132" s="5">
        <v>287</v>
      </c>
      <c r="B132" s="5" t="s">
        <v>984</v>
      </c>
      <c r="C132" s="1">
        <v>24</v>
      </c>
      <c r="D132" s="5" t="s">
        <v>981</v>
      </c>
      <c r="E132" s="1">
        <v>7</v>
      </c>
      <c r="F132" s="5" t="s">
        <v>981</v>
      </c>
      <c r="G132" s="1">
        <v>8</v>
      </c>
      <c r="H132" s="5" t="s">
        <v>981</v>
      </c>
      <c r="I132" s="1">
        <v>5</v>
      </c>
      <c r="J132" s="5" t="s">
        <v>981</v>
      </c>
      <c r="K132" s="1">
        <v>0</v>
      </c>
      <c r="L132" s="5" t="s">
        <v>983</v>
      </c>
      <c r="M132" s="1">
        <v>10</v>
      </c>
      <c r="N132" s="5" t="s">
        <v>981</v>
      </c>
      <c r="O132" s="1">
        <v>0</v>
      </c>
      <c r="P132" s="5" t="s">
        <v>983</v>
      </c>
      <c r="Q132" s="1">
        <v>1</v>
      </c>
      <c r="R132" s="1">
        <v>0</v>
      </c>
      <c r="S132" s="1">
        <v>1</v>
      </c>
      <c r="T132" s="1" t="s">
        <v>194</v>
      </c>
      <c r="U132" s="1">
        <v>2</v>
      </c>
      <c r="V132" s="1">
        <v>31</v>
      </c>
      <c r="W132" s="1">
        <v>0</v>
      </c>
      <c r="X132" s="1">
        <v>18</v>
      </c>
      <c r="Y132" s="1">
        <v>6</v>
      </c>
      <c r="Z132" s="1">
        <v>350000</v>
      </c>
      <c r="AA132" s="1">
        <v>2</v>
      </c>
    </row>
    <row r="133" spans="1:27" ht="12.75" customHeight="1" x14ac:dyDescent="0.15">
      <c r="A133" s="5">
        <v>397</v>
      </c>
      <c r="B133" s="5" t="s">
        <v>238</v>
      </c>
      <c r="C133" s="1">
        <v>31</v>
      </c>
      <c r="D133" s="5" t="s">
        <v>981</v>
      </c>
      <c r="E133" s="1">
        <v>3</v>
      </c>
      <c r="F133" s="5" t="s">
        <v>982</v>
      </c>
      <c r="G133" s="1">
        <v>0</v>
      </c>
      <c r="H133" s="5" t="s">
        <v>983</v>
      </c>
      <c r="I133" s="1">
        <v>10</v>
      </c>
      <c r="J133" s="5" t="s">
        <v>981</v>
      </c>
      <c r="K133" s="1">
        <v>0</v>
      </c>
      <c r="L133" s="5" t="s">
        <v>983</v>
      </c>
      <c r="M133" s="1">
        <v>0</v>
      </c>
      <c r="N133" s="5" t="s">
        <v>983</v>
      </c>
      <c r="O133" s="1">
        <v>0</v>
      </c>
      <c r="P133" s="5" t="s">
        <v>983</v>
      </c>
      <c r="Q133" s="1">
        <v>1</v>
      </c>
      <c r="R133" s="1">
        <v>0</v>
      </c>
      <c r="S133" s="1">
        <v>1</v>
      </c>
      <c r="T133" s="1" t="s">
        <v>194</v>
      </c>
      <c r="U133" s="1">
        <v>2</v>
      </c>
      <c r="V133" s="1">
        <v>31</v>
      </c>
      <c r="W133" s="1">
        <v>1</v>
      </c>
      <c r="X133" s="1">
        <v>6</v>
      </c>
      <c r="Y133" s="1">
        <v>6</v>
      </c>
      <c r="Z133" s="1">
        <v>500000</v>
      </c>
      <c r="AA133" s="1">
        <v>2</v>
      </c>
    </row>
    <row r="134" spans="1:27" ht="12.75" customHeight="1" x14ac:dyDescent="0.15">
      <c r="A134" s="5">
        <v>388</v>
      </c>
      <c r="B134" s="5" t="s">
        <v>238</v>
      </c>
      <c r="C134" s="1">
        <v>20</v>
      </c>
      <c r="D134" s="5" t="s">
        <v>982</v>
      </c>
      <c r="E134" s="1">
        <v>4</v>
      </c>
      <c r="F134" s="5" t="s">
        <v>982</v>
      </c>
      <c r="G134" s="1">
        <v>2</v>
      </c>
      <c r="H134" s="5" t="s">
        <v>982</v>
      </c>
      <c r="I134" s="1">
        <v>4</v>
      </c>
      <c r="J134" s="5" t="s">
        <v>982</v>
      </c>
      <c r="K134" s="1">
        <v>5</v>
      </c>
      <c r="L134" s="5" t="s">
        <v>982</v>
      </c>
      <c r="M134" s="1">
        <v>6</v>
      </c>
      <c r="N134" s="5" t="s">
        <v>981</v>
      </c>
      <c r="O134" s="1">
        <v>0</v>
      </c>
      <c r="P134" s="5" t="s">
        <v>983</v>
      </c>
      <c r="Q134" s="1">
        <v>1</v>
      </c>
      <c r="R134" s="1">
        <v>0</v>
      </c>
      <c r="S134" s="1">
        <v>1</v>
      </c>
      <c r="T134" s="1">
        <v>5</v>
      </c>
      <c r="U134" s="1">
        <v>2</v>
      </c>
      <c r="V134" s="1">
        <v>31</v>
      </c>
      <c r="W134" s="1">
        <v>0</v>
      </c>
      <c r="X134" s="1">
        <v>17</v>
      </c>
      <c r="Y134" s="1">
        <v>24</v>
      </c>
      <c r="Z134" s="1">
        <v>500000</v>
      </c>
      <c r="AA134" s="1">
        <v>3</v>
      </c>
    </row>
    <row r="135" spans="1:27" ht="12.75" customHeight="1" x14ac:dyDescent="0.15">
      <c r="A135" s="5">
        <v>165</v>
      </c>
      <c r="B135" s="5" t="s">
        <v>238</v>
      </c>
      <c r="C135" s="1">
        <v>17</v>
      </c>
      <c r="D135" s="5" t="s">
        <v>983</v>
      </c>
      <c r="E135" s="1">
        <v>3</v>
      </c>
      <c r="F135" s="5" t="s">
        <v>982</v>
      </c>
      <c r="G135" s="1">
        <v>6</v>
      </c>
      <c r="H135" s="5" t="s">
        <v>981</v>
      </c>
      <c r="I135" s="1">
        <v>6</v>
      </c>
      <c r="J135" s="5" t="s">
        <v>981</v>
      </c>
      <c r="K135" s="1">
        <v>4</v>
      </c>
      <c r="L135" s="5" t="s">
        <v>982</v>
      </c>
      <c r="M135" s="1">
        <v>5</v>
      </c>
      <c r="N135" s="5" t="s">
        <v>982</v>
      </c>
      <c r="O135" s="1">
        <v>3</v>
      </c>
      <c r="P135" s="5" t="s">
        <v>982</v>
      </c>
      <c r="Q135" s="1">
        <v>1</v>
      </c>
      <c r="R135" s="1">
        <v>0</v>
      </c>
      <c r="S135" s="1">
        <v>1</v>
      </c>
      <c r="T135" s="1">
        <v>3</v>
      </c>
      <c r="U135" s="1">
        <v>2</v>
      </c>
      <c r="V135" s="1">
        <v>31</v>
      </c>
      <c r="W135" s="1">
        <v>0</v>
      </c>
      <c r="X135" s="1">
        <v>18</v>
      </c>
      <c r="Y135" s="1">
        <v>25</v>
      </c>
      <c r="Z135" s="1">
        <v>700000</v>
      </c>
      <c r="AA135" s="1">
        <v>1</v>
      </c>
    </row>
    <row r="136" spans="1:27" ht="12.75" customHeight="1" x14ac:dyDescent="0.15">
      <c r="A136" s="5">
        <v>83</v>
      </c>
      <c r="B136" s="5" t="s">
        <v>238</v>
      </c>
      <c r="C136" s="1">
        <v>13</v>
      </c>
      <c r="D136" s="5" t="s">
        <v>983</v>
      </c>
      <c r="E136" s="1">
        <v>6</v>
      </c>
      <c r="F136" s="5" t="s">
        <v>981</v>
      </c>
      <c r="G136" s="1">
        <v>6</v>
      </c>
      <c r="H136" s="5" t="s">
        <v>981</v>
      </c>
      <c r="I136" s="1">
        <v>8</v>
      </c>
      <c r="J136" s="5" t="s">
        <v>981</v>
      </c>
      <c r="K136" s="1">
        <v>6</v>
      </c>
      <c r="L136" s="5" t="s">
        <v>981</v>
      </c>
      <c r="M136" s="1">
        <v>6</v>
      </c>
      <c r="N136" s="5" t="s">
        <v>981</v>
      </c>
      <c r="O136" s="1">
        <v>0</v>
      </c>
      <c r="P136" s="5" t="s">
        <v>983</v>
      </c>
      <c r="Q136" s="1">
        <v>0</v>
      </c>
      <c r="R136" s="1">
        <v>0</v>
      </c>
      <c r="S136" s="1">
        <v>0</v>
      </c>
      <c r="T136" s="1">
        <v>2</v>
      </c>
      <c r="U136" s="1">
        <v>3</v>
      </c>
      <c r="V136" s="1">
        <v>31</v>
      </c>
      <c r="W136" s="1">
        <v>0</v>
      </c>
      <c r="X136" s="1">
        <v>16</v>
      </c>
      <c r="Y136" s="1">
        <v>28</v>
      </c>
      <c r="Z136" s="1">
        <v>650000</v>
      </c>
      <c r="AA136" s="1">
        <v>4</v>
      </c>
    </row>
    <row r="137" spans="1:27" ht="12.75" customHeight="1" x14ac:dyDescent="0.15">
      <c r="A137" s="5">
        <v>160</v>
      </c>
      <c r="B137" s="5" t="s">
        <v>238</v>
      </c>
      <c r="C137" s="1">
        <v>32</v>
      </c>
      <c r="D137" s="5" t="s">
        <v>981</v>
      </c>
      <c r="E137" s="1">
        <v>6</v>
      </c>
      <c r="F137" s="5" t="s">
        <v>981</v>
      </c>
      <c r="G137" s="1">
        <v>5</v>
      </c>
      <c r="H137" s="5" t="s">
        <v>982</v>
      </c>
      <c r="I137" s="1">
        <v>3</v>
      </c>
      <c r="J137" s="5" t="s">
        <v>982</v>
      </c>
      <c r="K137" s="1">
        <v>7</v>
      </c>
      <c r="L137" s="5" t="s">
        <v>981</v>
      </c>
      <c r="M137" s="1">
        <v>7</v>
      </c>
      <c r="N137" s="5" t="s">
        <v>981</v>
      </c>
      <c r="O137" s="1">
        <v>0</v>
      </c>
      <c r="P137" s="5" t="s">
        <v>983</v>
      </c>
      <c r="Q137" s="1">
        <v>1</v>
      </c>
      <c r="R137" s="1">
        <v>0</v>
      </c>
      <c r="S137" s="1">
        <v>1</v>
      </c>
      <c r="T137" s="1" t="s">
        <v>194</v>
      </c>
      <c r="U137" s="1">
        <v>3</v>
      </c>
      <c r="V137" s="1">
        <v>31</v>
      </c>
      <c r="W137" s="1">
        <v>0</v>
      </c>
      <c r="X137" s="1">
        <v>16</v>
      </c>
      <c r="Y137" s="1">
        <v>5</v>
      </c>
      <c r="Z137" s="1">
        <v>700000</v>
      </c>
      <c r="AA137" s="1">
        <v>4</v>
      </c>
    </row>
    <row r="138" spans="1:27" ht="12.75" customHeight="1" x14ac:dyDescent="0.15">
      <c r="A138" s="5">
        <v>281</v>
      </c>
      <c r="B138" s="5" t="s">
        <v>238</v>
      </c>
      <c r="C138" s="1">
        <v>12</v>
      </c>
      <c r="D138" s="5" t="s">
        <v>983</v>
      </c>
      <c r="E138" s="1">
        <v>3</v>
      </c>
      <c r="F138" s="5" t="s">
        <v>982</v>
      </c>
      <c r="G138" s="1">
        <v>0</v>
      </c>
      <c r="H138" s="5" t="s">
        <v>983</v>
      </c>
      <c r="I138" s="1">
        <v>6</v>
      </c>
      <c r="J138" s="5" t="s">
        <v>981</v>
      </c>
      <c r="K138" s="1">
        <v>0</v>
      </c>
      <c r="L138" s="5" t="s">
        <v>983</v>
      </c>
      <c r="M138" s="1">
        <v>3</v>
      </c>
      <c r="N138" s="5" t="s">
        <v>982</v>
      </c>
      <c r="O138" s="1">
        <v>0</v>
      </c>
      <c r="P138" s="5" t="s">
        <v>983</v>
      </c>
      <c r="Q138" s="1">
        <v>1</v>
      </c>
      <c r="R138" s="1">
        <v>0</v>
      </c>
      <c r="S138" s="1">
        <v>1</v>
      </c>
      <c r="T138" s="1" t="s">
        <v>194</v>
      </c>
      <c r="U138" s="1">
        <v>4</v>
      </c>
      <c r="V138" s="1">
        <v>31</v>
      </c>
      <c r="W138" s="1">
        <v>0</v>
      </c>
      <c r="X138" s="1">
        <v>16</v>
      </c>
      <c r="Y138" s="1">
        <v>33</v>
      </c>
      <c r="Z138" s="1">
        <v>150000</v>
      </c>
      <c r="AA138" s="1">
        <v>1</v>
      </c>
    </row>
    <row r="139" spans="1:27" ht="12.75" customHeight="1" x14ac:dyDescent="0.15">
      <c r="A139" s="5">
        <v>319</v>
      </c>
      <c r="B139" s="5" t="s">
        <v>238</v>
      </c>
      <c r="C139" s="1">
        <v>22</v>
      </c>
      <c r="D139" s="5" t="s">
        <v>982</v>
      </c>
      <c r="E139" s="1">
        <v>6</v>
      </c>
      <c r="F139" s="5" t="s">
        <v>981</v>
      </c>
      <c r="G139" s="1">
        <v>6</v>
      </c>
      <c r="H139" s="5" t="s">
        <v>981</v>
      </c>
      <c r="I139" s="1">
        <v>6</v>
      </c>
      <c r="J139" s="5" t="s">
        <v>981</v>
      </c>
      <c r="K139" s="1">
        <v>3</v>
      </c>
      <c r="L139" s="5" t="s">
        <v>982</v>
      </c>
      <c r="M139" s="1">
        <v>3</v>
      </c>
      <c r="N139" s="5" t="s">
        <v>982</v>
      </c>
      <c r="O139" s="1">
        <v>0</v>
      </c>
      <c r="P139" s="5" t="s">
        <v>983</v>
      </c>
      <c r="Q139" s="1">
        <v>1</v>
      </c>
      <c r="R139" s="1">
        <v>1</v>
      </c>
      <c r="S139" s="1">
        <v>1</v>
      </c>
      <c r="T139" s="1" t="s">
        <v>194</v>
      </c>
      <c r="U139" s="1">
        <v>2</v>
      </c>
      <c r="V139" s="1">
        <v>32</v>
      </c>
      <c r="W139" s="1">
        <v>0</v>
      </c>
      <c r="X139" s="1">
        <v>14</v>
      </c>
      <c r="Y139" s="1">
        <v>8</v>
      </c>
      <c r="Z139" s="1">
        <v>520000</v>
      </c>
      <c r="AA139" s="1">
        <v>2</v>
      </c>
    </row>
    <row r="140" spans="1:27" ht="12.75" customHeight="1" x14ac:dyDescent="0.15">
      <c r="A140" s="5">
        <v>168</v>
      </c>
      <c r="B140" s="5" t="s">
        <v>984</v>
      </c>
      <c r="C140" s="1">
        <v>14</v>
      </c>
      <c r="D140" s="5" t="s">
        <v>983</v>
      </c>
      <c r="E140" s="1">
        <v>3</v>
      </c>
      <c r="F140" s="5" t="s">
        <v>982</v>
      </c>
      <c r="G140" s="1">
        <v>1</v>
      </c>
      <c r="H140" s="5" t="s">
        <v>983</v>
      </c>
      <c r="I140" s="1">
        <v>8</v>
      </c>
      <c r="J140" s="5" t="s">
        <v>981</v>
      </c>
      <c r="K140" s="1">
        <v>4</v>
      </c>
      <c r="L140" s="5" t="s">
        <v>982</v>
      </c>
      <c r="M140" s="1">
        <v>1</v>
      </c>
      <c r="N140" s="5" t="s">
        <v>983</v>
      </c>
      <c r="O140" s="1">
        <v>2</v>
      </c>
      <c r="P140" s="5" t="s">
        <v>982</v>
      </c>
      <c r="Q140" s="1">
        <v>0</v>
      </c>
      <c r="R140" s="1">
        <v>0</v>
      </c>
      <c r="S140" s="1">
        <v>1</v>
      </c>
      <c r="T140" s="1">
        <v>3</v>
      </c>
      <c r="U140" s="1">
        <v>2</v>
      </c>
      <c r="V140" s="1">
        <v>32</v>
      </c>
      <c r="W140" s="1">
        <v>0</v>
      </c>
      <c r="X140" s="1">
        <v>14</v>
      </c>
      <c r="Y140" s="1">
        <v>2</v>
      </c>
      <c r="Z140" s="1">
        <v>450000</v>
      </c>
      <c r="AA140" s="1">
        <v>2</v>
      </c>
    </row>
    <row r="141" spans="1:27" ht="12.75" customHeight="1" x14ac:dyDescent="0.15">
      <c r="A141" s="5">
        <v>502</v>
      </c>
      <c r="B141" s="5" t="s">
        <v>238</v>
      </c>
      <c r="C141" s="1">
        <v>16</v>
      </c>
      <c r="D141" s="5" t="s">
        <v>983</v>
      </c>
      <c r="E141" s="1">
        <v>3</v>
      </c>
      <c r="F141" s="5" t="s">
        <v>982</v>
      </c>
      <c r="G141" s="1">
        <v>7</v>
      </c>
      <c r="H141" s="5" t="s">
        <v>981</v>
      </c>
      <c r="I141" s="1">
        <v>10</v>
      </c>
      <c r="J141" s="5" t="s">
        <v>981</v>
      </c>
      <c r="K141" s="1">
        <v>0</v>
      </c>
      <c r="L141" s="5" t="s">
        <v>983</v>
      </c>
      <c r="M141" s="1">
        <v>1</v>
      </c>
      <c r="N141" s="5" t="s">
        <v>983</v>
      </c>
      <c r="O141" s="1">
        <v>0</v>
      </c>
      <c r="P141" s="5" t="s">
        <v>983</v>
      </c>
      <c r="Q141" s="1">
        <v>1</v>
      </c>
      <c r="R141" s="1">
        <v>1</v>
      </c>
      <c r="S141" s="1" t="s">
        <v>194</v>
      </c>
      <c r="T141" s="1" t="s">
        <v>194</v>
      </c>
      <c r="U141" s="1">
        <v>2</v>
      </c>
      <c r="V141" s="1">
        <v>32</v>
      </c>
      <c r="W141" s="1">
        <v>0</v>
      </c>
      <c r="X141" s="1">
        <v>14</v>
      </c>
      <c r="Y141" s="1">
        <v>30</v>
      </c>
      <c r="Z141" s="1">
        <v>300000</v>
      </c>
      <c r="AA141" s="1">
        <v>2</v>
      </c>
    </row>
    <row r="142" spans="1:27" ht="12.75" customHeight="1" x14ac:dyDescent="0.15">
      <c r="A142" s="5">
        <v>345</v>
      </c>
      <c r="B142" s="5" t="s">
        <v>238</v>
      </c>
      <c r="C142" s="1">
        <v>17</v>
      </c>
      <c r="D142" s="5" t="s">
        <v>983</v>
      </c>
      <c r="E142" s="1">
        <v>2</v>
      </c>
      <c r="F142" s="5" t="s">
        <v>982</v>
      </c>
      <c r="G142" s="1">
        <v>1</v>
      </c>
      <c r="H142" s="5" t="s">
        <v>983</v>
      </c>
      <c r="I142" s="1">
        <v>16</v>
      </c>
      <c r="J142" s="5" t="s">
        <v>981</v>
      </c>
      <c r="K142" s="1">
        <v>0</v>
      </c>
      <c r="L142" s="5" t="s">
        <v>983</v>
      </c>
      <c r="M142" s="1">
        <v>0</v>
      </c>
      <c r="N142" s="5" t="s">
        <v>983</v>
      </c>
      <c r="O142" s="1">
        <v>0</v>
      </c>
      <c r="P142" s="5" t="s">
        <v>983</v>
      </c>
      <c r="Q142" s="1">
        <v>0</v>
      </c>
      <c r="R142" s="1">
        <v>0</v>
      </c>
      <c r="S142" s="1" t="s">
        <v>194</v>
      </c>
      <c r="T142" s="1" t="s">
        <v>194</v>
      </c>
      <c r="U142" s="1">
        <v>2</v>
      </c>
      <c r="V142" s="1">
        <v>32</v>
      </c>
      <c r="W142" s="1">
        <v>0</v>
      </c>
      <c r="X142" s="1">
        <v>14</v>
      </c>
      <c r="Y142" s="1">
        <v>34</v>
      </c>
      <c r="Z142" s="1">
        <v>560000</v>
      </c>
      <c r="AA142" s="1">
        <v>3</v>
      </c>
    </row>
    <row r="143" spans="1:27" ht="12.75" customHeight="1" x14ac:dyDescent="0.15">
      <c r="A143" s="5">
        <v>437</v>
      </c>
      <c r="B143" s="5" t="s">
        <v>238</v>
      </c>
      <c r="C143" s="1">
        <v>23</v>
      </c>
      <c r="D143" s="5" t="s">
        <v>982</v>
      </c>
      <c r="E143" s="1">
        <v>12</v>
      </c>
      <c r="F143" s="5" t="s">
        <v>981</v>
      </c>
      <c r="G143" s="1">
        <v>6</v>
      </c>
      <c r="H143" s="5" t="s">
        <v>981</v>
      </c>
      <c r="I143" s="1">
        <v>11</v>
      </c>
      <c r="J143" s="5" t="s">
        <v>981</v>
      </c>
      <c r="K143" s="1">
        <v>1</v>
      </c>
      <c r="L143" s="5" t="s">
        <v>983</v>
      </c>
      <c r="M143" s="1">
        <v>11</v>
      </c>
      <c r="N143" s="5" t="s">
        <v>981</v>
      </c>
      <c r="O143" s="1">
        <v>0</v>
      </c>
      <c r="P143" s="5" t="s">
        <v>983</v>
      </c>
      <c r="Q143" s="1">
        <v>1</v>
      </c>
      <c r="R143" s="1">
        <v>0</v>
      </c>
      <c r="S143" s="1">
        <v>1</v>
      </c>
      <c r="T143" s="1">
        <v>3</v>
      </c>
      <c r="U143" s="1">
        <v>3</v>
      </c>
      <c r="V143" s="1">
        <v>32</v>
      </c>
      <c r="W143" s="1">
        <v>0</v>
      </c>
      <c r="X143" s="1">
        <v>16</v>
      </c>
      <c r="Y143" s="1">
        <v>34</v>
      </c>
      <c r="Z143" s="1">
        <v>750000</v>
      </c>
      <c r="AA143" s="1">
        <v>4</v>
      </c>
    </row>
    <row r="144" spans="1:27" ht="12.75" customHeight="1" x14ac:dyDescent="0.15">
      <c r="A144" s="5">
        <v>204</v>
      </c>
      <c r="B144" s="5" t="s">
        <v>984</v>
      </c>
      <c r="C144" s="1">
        <v>25</v>
      </c>
      <c r="D144" s="5" t="s">
        <v>981</v>
      </c>
      <c r="E144" s="1">
        <v>4</v>
      </c>
      <c r="F144" s="5" t="s">
        <v>982</v>
      </c>
      <c r="G144" s="1">
        <v>4</v>
      </c>
      <c r="H144" s="5" t="s">
        <v>982</v>
      </c>
      <c r="I144" s="1">
        <v>4</v>
      </c>
      <c r="J144" s="5" t="s">
        <v>982</v>
      </c>
      <c r="K144" s="1">
        <v>1</v>
      </c>
      <c r="L144" s="5" t="s">
        <v>983</v>
      </c>
      <c r="M144" s="1">
        <v>5</v>
      </c>
      <c r="N144" s="5" t="s">
        <v>982</v>
      </c>
      <c r="O144" s="1">
        <v>0</v>
      </c>
      <c r="P144" s="5" t="s">
        <v>983</v>
      </c>
      <c r="Q144" s="1">
        <v>0</v>
      </c>
      <c r="R144" s="1">
        <v>0</v>
      </c>
      <c r="S144" s="1" t="s">
        <v>194</v>
      </c>
      <c r="T144" s="1" t="s">
        <v>194</v>
      </c>
      <c r="U144" s="1">
        <v>3</v>
      </c>
      <c r="V144" s="1">
        <v>32</v>
      </c>
      <c r="W144" s="1">
        <v>0</v>
      </c>
      <c r="X144" s="1">
        <v>14</v>
      </c>
      <c r="Y144" s="1">
        <v>22</v>
      </c>
      <c r="Z144" s="1">
        <v>400000</v>
      </c>
      <c r="AA144" s="1">
        <v>3</v>
      </c>
    </row>
    <row r="145" spans="1:27" ht="12.75" customHeight="1" x14ac:dyDescent="0.15">
      <c r="A145" s="5">
        <v>383</v>
      </c>
      <c r="B145" s="5" t="s">
        <v>238</v>
      </c>
      <c r="C145" s="1">
        <v>35</v>
      </c>
      <c r="D145" s="5" t="s">
        <v>981</v>
      </c>
      <c r="E145" s="1">
        <v>6</v>
      </c>
      <c r="F145" s="5" t="s">
        <v>981</v>
      </c>
      <c r="G145" s="1">
        <v>6</v>
      </c>
      <c r="H145" s="5" t="s">
        <v>981</v>
      </c>
      <c r="I145" s="1">
        <v>8</v>
      </c>
      <c r="J145" s="5" t="s">
        <v>981</v>
      </c>
      <c r="K145" s="1">
        <v>6</v>
      </c>
      <c r="L145" s="5" t="s">
        <v>981</v>
      </c>
      <c r="M145" s="1">
        <v>6</v>
      </c>
      <c r="N145" s="5" t="s">
        <v>981</v>
      </c>
      <c r="O145" s="1">
        <v>1</v>
      </c>
      <c r="P145" s="5" t="s">
        <v>982</v>
      </c>
      <c r="Q145" s="1">
        <v>0</v>
      </c>
      <c r="R145" s="1">
        <v>0</v>
      </c>
      <c r="S145" s="1" t="s">
        <v>194</v>
      </c>
      <c r="T145" s="1">
        <v>5</v>
      </c>
      <c r="U145" s="1">
        <v>5</v>
      </c>
      <c r="V145" s="1">
        <v>32</v>
      </c>
      <c r="W145" s="1">
        <v>1</v>
      </c>
      <c r="X145" s="1">
        <v>4</v>
      </c>
      <c r="Y145" s="1">
        <v>34</v>
      </c>
      <c r="Z145" s="1">
        <v>103000</v>
      </c>
      <c r="AA145" s="1">
        <v>2</v>
      </c>
    </row>
    <row r="146" spans="1:27" ht="12.75" customHeight="1" x14ac:dyDescent="0.15">
      <c r="A146" s="5">
        <v>167</v>
      </c>
      <c r="B146" s="5" t="s">
        <v>238</v>
      </c>
      <c r="C146" s="1">
        <v>33</v>
      </c>
      <c r="D146" s="5" t="s">
        <v>981</v>
      </c>
      <c r="E146" s="1">
        <v>8</v>
      </c>
      <c r="F146" s="5" t="s">
        <v>981</v>
      </c>
      <c r="G146" s="1">
        <v>5</v>
      </c>
      <c r="H146" s="5" t="s">
        <v>982</v>
      </c>
      <c r="I146" s="1">
        <v>8</v>
      </c>
      <c r="J146" s="5" t="s">
        <v>981</v>
      </c>
      <c r="K146" s="1">
        <v>4</v>
      </c>
      <c r="L146" s="5" t="s">
        <v>982</v>
      </c>
      <c r="M146" s="1">
        <v>0</v>
      </c>
      <c r="N146" s="5" t="s">
        <v>983</v>
      </c>
      <c r="O146" s="1">
        <v>0</v>
      </c>
      <c r="P146" s="5" t="s">
        <v>983</v>
      </c>
      <c r="Q146" s="1">
        <v>0</v>
      </c>
      <c r="R146" s="1">
        <v>0</v>
      </c>
      <c r="S146" s="1">
        <v>1</v>
      </c>
      <c r="T146" s="1" t="s">
        <v>194</v>
      </c>
      <c r="U146" s="1" t="s">
        <v>194</v>
      </c>
      <c r="V146" s="1">
        <v>32</v>
      </c>
      <c r="W146" s="1">
        <v>0</v>
      </c>
      <c r="X146" s="1">
        <v>14</v>
      </c>
      <c r="Y146" s="1">
        <v>2</v>
      </c>
      <c r="Z146" s="1">
        <v>450000</v>
      </c>
      <c r="AA146" s="1">
        <v>2</v>
      </c>
    </row>
    <row r="147" spans="1:27" ht="12.75" customHeight="1" x14ac:dyDescent="0.15">
      <c r="A147" s="5">
        <v>428</v>
      </c>
      <c r="B147" s="5" t="s">
        <v>238</v>
      </c>
      <c r="C147" s="1">
        <v>16</v>
      </c>
      <c r="D147" s="5" t="s">
        <v>983</v>
      </c>
      <c r="E147" s="1">
        <v>7</v>
      </c>
      <c r="F147" s="5" t="s">
        <v>981</v>
      </c>
      <c r="G147" s="1">
        <v>4</v>
      </c>
      <c r="H147" s="5" t="s">
        <v>982</v>
      </c>
      <c r="I147" s="1">
        <v>8</v>
      </c>
      <c r="J147" s="5" t="s">
        <v>981</v>
      </c>
      <c r="K147" s="1">
        <v>0</v>
      </c>
      <c r="L147" s="5" t="s">
        <v>983</v>
      </c>
      <c r="M147" s="1">
        <v>1</v>
      </c>
      <c r="N147" s="5" t="s">
        <v>983</v>
      </c>
      <c r="O147" s="1">
        <v>0</v>
      </c>
      <c r="P147" s="5" t="s">
        <v>983</v>
      </c>
      <c r="Q147" s="1">
        <v>1</v>
      </c>
      <c r="R147" s="1">
        <v>0</v>
      </c>
      <c r="S147" s="1" t="s">
        <v>194</v>
      </c>
      <c r="T147" s="1" t="s">
        <v>194</v>
      </c>
      <c r="U147" s="1" t="s">
        <v>194</v>
      </c>
      <c r="V147" s="1">
        <v>32</v>
      </c>
      <c r="W147" s="1">
        <v>0</v>
      </c>
      <c r="X147" s="1">
        <v>14</v>
      </c>
      <c r="Y147" s="1">
        <v>34</v>
      </c>
      <c r="Z147" s="1">
        <v>500000</v>
      </c>
      <c r="AA147" s="1">
        <v>4</v>
      </c>
    </row>
    <row r="148" spans="1:27" ht="12.75" customHeight="1" x14ac:dyDescent="0.15">
      <c r="A148" s="5">
        <v>326</v>
      </c>
      <c r="B148" s="5" t="s">
        <v>238</v>
      </c>
      <c r="C148" s="1">
        <v>19</v>
      </c>
      <c r="D148" s="5" t="s">
        <v>982</v>
      </c>
      <c r="E148" s="1">
        <v>8</v>
      </c>
      <c r="F148" s="5" t="s">
        <v>981</v>
      </c>
      <c r="G148" s="1">
        <v>4</v>
      </c>
      <c r="H148" s="5" t="s">
        <v>982</v>
      </c>
      <c r="I148" s="1">
        <v>6</v>
      </c>
      <c r="J148" s="5" t="s">
        <v>981</v>
      </c>
      <c r="K148" s="1">
        <v>5</v>
      </c>
      <c r="L148" s="5" t="s">
        <v>982</v>
      </c>
      <c r="M148" s="1">
        <v>6</v>
      </c>
      <c r="N148" s="5" t="s">
        <v>981</v>
      </c>
      <c r="O148" s="1">
        <v>0</v>
      </c>
      <c r="P148" s="5" t="s">
        <v>983</v>
      </c>
      <c r="Q148" s="1">
        <v>1</v>
      </c>
      <c r="R148" s="1">
        <v>0</v>
      </c>
      <c r="S148" s="1">
        <v>1</v>
      </c>
      <c r="T148" s="1">
        <v>1</v>
      </c>
      <c r="U148" s="1">
        <v>1</v>
      </c>
      <c r="V148" s="1">
        <v>33</v>
      </c>
      <c r="W148" s="1">
        <v>1</v>
      </c>
      <c r="X148" s="1">
        <v>18</v>
      </c>
      <c r="Y148" s="1">
        <v>34</v>
      </c>
      <c r="Z148" s="1">
        <v>0</v>
      </c>
      <c r="AA148" s="1">
        <v>1</v>
      </c>
    </row>
    <row r="149" spans="1:27" ht="12.75" customHeight="1" x14ac:dyDescent="0.15">
      <c r="A149" s="5">
        <v>123</v>
      </c>
      <c r="B149" s="5" t="s">
        <v>238</v>
      </c>
      <c r="C149" s="1">
        <v>12</v>
      </c>
      <c r="D149" s="5" t="s">
        <v>983</v>
      </c>
      <c r="E149" s="1">
        <v>3</v>
      </c>
      <c r="F149" s="5" t="s">
        <v>982</v>
      </c>
      <c r="G149" s="1">
        <v>0</v>
      </c>
      <c r="H149" s="5" t="s">
        <v>983</v>
      </c>
      <c r="I149" s="1">
        <v>4</v>
      </c>
      <c r="J149" s="5" t="s">
        <v>982</v>
      </c>
      <c r="K149" s="1">
        <v>0</v>
      </c>
      <c r="L149" s="5" t="s">
        <v>983</v>
      </c>
      <c r="M149" s="1">
        <v>0</v>
      </c>
      <c r="N149" s="5" t="s">
        <v>983</v>
      </c>
      <c r="O149" s="1">
        <v>0</v>
      </c>
      <c r="P149" s="5" t="s">
        <v>983</v>
      </c>
      <c r="Q149" s="1">
        <v>0</v>
      </c>
      <c r="R149" s="1">
        <v>0</v>
      </c>
      <c r="S149" s="1" t="s">
        <v>194</v>
      </c>
      <c r="T149" s="1" t="s">
        <v>194</v>
      </c>
      <c r="U149" s="1">
        <v>1</v>
      </c>
      <c r="V149" s="1">
        <v>33</v>
      </c>
      <c r="W149" s="1">
        <v>0</v>
      </c>
      <c r="X149" s="1">
        <v>18</v>
      </c>
      <c r="Y149" s="1">
        <v>34</v>
      </c>
      <c r="Z149" s="1">
        <v>800000</v>
      </c>
      <c r="AA149" s="1">
        <v>2</v>
      </c>
    </row>
    <row r="150" spans="1:27" ht="12.75" customHeight="1" x14ac:dyDescent="0.15">
      <c r="A150" s="5">
        <v>406</v>
      </c>
      <c r="B150" s="5" t="s">
        <v>984</v>
      </c>
      <c r="C150" s="1">
        <v>33</v>
      </c>
      <c r="D150" s="5" t="s">
        <v>981</v>
      </c>
      <c r="E150" s="1">
        <v>4</v>
      </c>
      <c r="F150" s="5" t="s">
        <v>982</v>
      </c>
      <c r="G150" s="1">
        <v>3</v>
      </c>
      <c r="H150" s="5" t="s">
        <v>982</v>
      </c>
      <c r="I150" s="1">
        <v>12</v>
      </c>
      <c r="J150" s="5" t="s">
        <v>981</v>
      </c>
      <c r="K150" s="1">
        <v>5</v>
      </c>
      <c r="L150" s="5" t="s">
        <v>982</v>
      </c>
      <c r="M150" s="1">
        <v>4</v>
      </c>
      <c r="N150" s="5" t="s">
        <v>982</v>
      </c>
      <c r="O150" s="1">
        <v>4</v>
      </c>
      <c r="P150" s="5" t="s">
        <v>982</v>
      </c>
      <c r="Q150" s="1">
        <v>0</v>
      </c>
      <c r="R150" s="1">
        <v>0</v>
      </c>
      <c r="S150" s="1" t="s">
        <v>194</v>
      </c>
      <c r="T150" s="1">
        <v>2</v>
      </c>
      <c r="U150" s="1">
        <v>1</v>
      </c>
      <c r="V150" s="1">
        <v>33</v>
      </c>
      <c r="W150" s="1">
        <v>0</v>
      </c>
      <c r="X150" s="1">
        <v>16</v>
      </c>
      <c r="Y150" s="1">
        <v>34</v>
      </c>
      <c r="Z150" s="1">
        <v>120000</v>
      </c>
      <c r="AA150" s="1">
        <v>2</v>
      </c>
    </row>
    <row r="151" spans="1:27" ht="12.75" customHeight="1" x14ac:dyDescent="0.15">
      <c r="A151" s="5">
        <v>318</v>
      </c>
      <c r="B151" s="5" t="s">
        <v>984</v>
      </c>
      <c r="C151" s="1">
        <v>25</v>
      </c>
      <c r="D151" s="5" t="s">
        <v>981</v>
      </c>
      <c r="E151" s="1">
        <v>3</v>
      </c>
      <c r="F151" s="5" t="s">
        <v>982</v>
      </c>
      <c r="G151" s="1">
        <v>3</v>
      </c>
      <c r="H151" s="5" t="s">
        <v>982</v>
      </c>
      <c r="I151" s="1">
        <v>3</v>
      </c>
      <c r="J151" s="5" t="s">
        <v>982</v>
      </c>
      <c r="K151" s="1">
        <v>4</v>
      </c>
      <c r="L151" s="5" t="s">
        <v>982</v>
      </c>
      <c r="M151" s="1">
        <v>3</v>
      </c>
      <c r="N151" s="5" t="s">
        <v>982</v>
      </c>
      <c r="O151" s="1">
        <v>1</v>
      </c>
      <c r="P151" s="5" t="s">
        <v>982</v>
      </c>
      <c r="Q151" s="1">
        <v>1</v>
      </c>
      <c r="R151" s="1">
        <v>0</v>
      </c>
      <c r="S151" s="1">
        <v>1</v>
      </c>
      <c r="T151" s="1">
        <v>2</v>
      </c>
      <c r="U151" s="1">
        <v>2</v>
      </c>
      <c r="V151" s="1">
        <v>33</v>
      </c>
      <c r="W151" s="1">
        <v>0</v>
      </c>
      <c r="X151" s="1">
        <v>18</v>
      </c>
      <c r="Y151" s="1">
        <v>31</v>
      </c>
      <c r="Z151" s="1">
        <v>500000</v>
      </c>
      <c r="AA151" s="1">
        <v>4</v>
      </c>
    </row>
    <row r="152" spans="1:27" ht="12.75" customHeight="1" x14ac:dyDescent="0.15">
      <c r="A152" s="5">
        <v>436</v>
      </c>
      <c r="B152" s="5" t="s">
        <v>238</v>
      </c>
      <c r="C152" s="1">
        <v>16</v>
      </c>
      <c r="D152" s="5" t="s">
        <v>983</v>
      </c>
      <c r="E152" s="1">
        <v>3</v>
      </c>
      <c r="F152" s="5" t="s">
        <v>982</v>
      </c>
      <c r="G152" s="1">
        <v>5</v>
      </c>
      <c r="H152" s="5" t="s">
        <v>982</v>
      </c>
      <c r="I152" s="1">
        <v>4</v>
      </c>
      <c r="J152" s="5" t="s">
        <v>982</v>
      </c>
      <c r="K152" s="1">
        <v>1</v>
      </c>
      <c r="L152" s="5" t="s">
        <v>983</v>
      </c>
      <c r="M152" s="1">
        <v>0</v>
      </c>
      <c r="N152" s="5" t="s">
        <v>983</v>
      </c>
      <c r="O152" s="1">
        <v>0</v>
      </c>
      <c r="P152" s="5" t="s">
        <v>983</v>
      </c>
      <c r="Q152" s="1">
        <v>1</v>
      </c>
      <c r="R152" s="1">
        <v>0</v>
      </c>
      <c r="S152" s="1" t="s">
        <v>194</v>
      </c>
      <c r="T152" s="1" t="s">
        <v>194</v>
      </c>
      <c r="U152" s="1">
        <v>2</v>
      </c>
      <c r="V152" s="1">
        <v>33</v>
      </c>
      <c r="W152" s="1">
        <v>0</v>
      </c>
      <c r="X152" s="1">
        <v>10</v>
      </c>
      <c r="Y152" s="1">
        <v>34</v>
      </c>
      <c r="Z152" s="1">
        <v>400000</v>
      </c>
      <c r="AA152" s="1">
        <v>7</v>
      </c>
    </row>
    <row r="153" spans="1:27" ht="12.75" customHeight="1" x14ac:dyDescent="0.15">
      <c r="A153" s="5">
        <v>69</v>
      </c>
      <c r="B153" s="5" t="s">
        <v>238</v>
      </c>
      <c r="C153" s="1">
        <v>38</v>
      </c>
      <c r="D153" s="5" t="s">
        <v>981</v>
      </c>
      <c r="E153" s="1">
        <v>6</v>
      </c>
      <c r="F153" s="5" t="s">
        <v>981</v>
      </c>
      <c r="G153" s="1">
        <v>6</v>
      </c>
      <c r="H153" s="5" t="s">
        <v>981</v>
      </c>
      <c r="I153" s="1">
        <v>9</v>
      </c>
      <c r="J153" s="5" t="s">
        <v>981</v>
      </c>
      <c r="K153" s="1">
        <v>6</v>
      </c>
      <c r="L153" s="5" t="s">
        <v>981</v>
      </c>
      <c r="M153" s="1">
        <v>6</v>
      </c>
      <c r="N153" s="5" t="s">
        <v>981</v>
      </c>
      <c r="O153" s="1">
        <v>16</v>
      </c>
      <c r="P153" s="5" t="s">
        <v>981</v>
      </c>
      <c r="Q153" s="1">
        <v>1</v>
      </c>
      <c r="R153" s="1">
        <v>0</v>
      </c>
      <c r="S153" s="1">
        <v>1</v>
      </c>
      <c r="T153" s="1">
        <v>3</v>
      </c>
      <c r="U153" s="1">
        <v>3</v>
      </c>
      <c r="V153" s="1">
        <v>33</v>
      </c>
      <c r="W153" s="1">
        <v>1</v>
      </c>
      <c r="X153" s="1">
        <v>14</v>
      </c>
      <c r="Y153" s="1">
        <v>9</v>
      </c>
      <c r="Z153" s="1">
        <v>200000</v>
      </c>
      <c r="AA153" s="1">
        <v>4</v>
      </c>
    </row>
    <row r="154" spans="1:27" ht="12.75" customHeight="1" x14ac:dyDescent="0.15">
      <c r="A154" s="5">
        <v>492</v>
      </c>
      <c r="B154" s="5" t="s">
        <v>238</v>
      </c>
      <c r="C154" s="1">
        <v>16</v>
      </c>
      <c r="D154" s="5" t="s">
        <v>983</v>
      </c>
      <c r="E154" s="1">
        <v>0</v>
      </c>
      <c r="F154" s="5" t="s">
        <v>983</v>
      </c>
      <c r="G154" s="1">
        <v>0</v>
      </c>
      <c r="H154" s="5" t="s">
        <v>983</v>
      </c>
      <c r="I154" s="1">
        <v>4</v>
      </c>
      <c r="J154" s="5" t="s">
        <v>982</v>
      </c>
      <c r="K154" s="1">
        <v>0</v>
      </c>
      <c r="L154" s="5" t="s">
        <v>983</v>
      </c>
      <c r="M154" s="1">
        <v>0</v>
      </c>
      <c r="N154" s="5" t="s">
        <v>983</v>
      </c>
      <c r="O154" s="1">
        <v>0</v>
      </c>
      <c r="P154" s="5" t="s">
        <v>983</v>
      </c>
      <c r="Q154" s="1">
        <v>1</v>
      </c>
      <c r="R154" s="1">
        <v>0</v>
      </c>
      <c r="S154" s="1">
        <v>1</v>
      </c>
      <c r="T154" s="1">
        <v>3</v>
      </c>
      <c r="U154" s="1">
        <v>3</v>
      </c>
      <c r="V154" s="1">
        <v>33</v>
      </c>
      <c r="W154" s="1">
        <v>0</v>
      </c>
      <c r="X154" s="1">
        <v>14</v>
      </c>
      <c r="Y154" s="1">
        <v>2</v>
      </c>
      <c r="Z154" s="1">
        <v>300000</v>
      </c>
      <c r="AA154" s="1">
        <v>4</v>
      </c>
    </row>
    <row r="155" spans="1:27" ht="12.75" customHeight="1" x14ac:dyDescent="0.15">
      <c r="A155" s="5">
        <v>493</v>
      </c>
      <c r="B155" s="5" t="s">
        <v>984</v>
      </c>
      <c r="C155" s="1">
        <v>26</v>
      </c>
      <c r="D155" s="5" t="s">
        <v>981</v>
      </c>
      <c r="E155" s="1">
        <v>5</v>
      </c>
      <c r="F155" s="5" t="s">
        <v>981</v>
      </c>
      <c r="G155" s="1">
        <v>3</v>
      </c>
      <c r="H155" s="5" t="s">
        <v>982</v>
      </c>
      <c r="I155" s="1">
        <v>5</v>
      </c>
      <c r="J155" s="5" t="s">
        <v>981</v>
      </c>
      <c r="K155" s="1">
        <v>9</v>
      </c>
      <c r="L155" s="5" t="s">
        <v>981</v>
      </c>
      <c r="M155" s="1">
        <v>10</v>
      </c>
      <c r="N155" s="5" t="s">
        <v>981</v>
      </c>
      <c r="O155" s="1">
        <v>0</v>
      </c>
      <c r="P155" s="5" t="s">
        <v>983</v>
      </c>
      <c r="Q155" s="1">
        <v>1</v>
      </c>
      <c r="R155" s="1">
        <v>0</v>
      </c>
      <c r="S155" s="1">
        <v>1</v>
      </c>
      <c r="T155" s="1">
        <v>3</v>
      </c>
      <c r="U155" s="1">
        <v>3</v>
      </c>
      <c r="V155" s="1">
        <v>33</v>
      </c>
      <c r="W155" s="1">
        <v>0</v>
      </c>
      <c r="X155" s="1">
        <v>14</v>
      </c>
      <c r="Y155" s="1">
        <v>2</v>
      </c>
      <c r="Z155" s="1">
        <v>300000</v>
      </c>
      <c r="AA155" s="1">
        <v>4</v>
      </c>
    </row>
    <row r="156" spans="1:27" ht="12.75" customHeight="1" x14ac:dyDescent="0.15">
      <c r="A156" s="5">
        <v>146</v>
      </c>
      <c r="B156" s="5" t="s">
        <v>238</v>
      </c>
      <c r="C156" s="1">
        <v>13</v>
      </c>
      <c r="D156" s="5" t="s">
        <v>983</v>
      </c>
      <c r="E156" s="1">
        <v>3</v>
      </c>
      <c r="F156" s="5" t="s">
        <v>982</v>
      </c>
      <c r="G156" s="1">
        <v>3</v>
      </c>
      <c r="H156" s="5" t="s">
        <v>982</v>
      </c>
      <c r="I156" s="1">
        <v>0</v>
      </c>
      <c r="J156" s="5" t="s">
        <v>983</v>
      </c>
      <c r="K156" s="1">
        <v>1</v>
      </c>
      <c r="L156" s="5" t="s">
        <v>983</v>
      </c>
      <c r="M156" s="1">
        <v>0</v>
      </c>
      <c r="N156" s="5" t="s">
        <v>983</v>
      </c>
      <c r="O156" s="1">
        <v>0</v>
      </c>
      <c r="P156" s="5" t="s">
        <v>983</v>
      </c>
      <c r="Q156" s="1">
        <v>1</v>
      </c>
      <c r="R156" s="1">
        <v>0</v>
      </c>
      <c r="S156" s="1">
        <v>1</v>
      </c>
      <c r="T156" s="1">
        <v>3</v>
      </c>
      <c r="U156" s="1">
        <v>3</v>
      </c>
      <c r="V156" s="1">
        <v>33</v>
      </c>
      <c r="W156" s="1">
        <v>1</v>
      </c>
      <c r="X156" s="1">
        <v>18</v>
      </c>
      <c r="Y156" s="1">
        <v>6</v>
      </c>
      <c r="Z156" s="1">
        <v>2000000</v>
      </c>
      <c r="AA156" s="1">
        <v>3</v>
      </c>
    </row>
    <row r="157" spans="1:27" ht="12.75" customHeight="1" x14ac:dyDescent="0.15">
      <c r="A157" s="5">
        <v>366</v>
      </c>
      <c r="B157" s="5" t="s">
        <v>984</v>
      </c>
      <c r="C157" s="1">
        <v>28</v>
      </c>
      <c r="D157" s="5" t="s">
        <v>981</v>
      </c>
      <c r="E157" s="1">
        <v>4</v>
      </c>
      <c r="F157" s="5" t="s">
        <v>982</v>
      </c>
      <c r="G157" s="1">
        <v>4</v>
      </c>
      <c r="H157" s="5" t="s">
        <v>982</v>
      </c>
      <c r="I157" s="1">
        <v>5</v>
      </c>
      <c r="J157" s="5" t="s">
        <v>981</v>
      </c>
      <c r="K157" s="1">
        <v>4</v>
      </c>
      <c r="L157" s="5" t="s">
        <v>982</v>
      </c>
      <c r="M157" s="1">
        <v>3</v>
      </c>
      <c r="N157" s="5" t="s">
        <v>982</v>
      </c>
      <c r="O157" s="1">
        <v>2</v>
      </c>
      <c r="P157" s="5" t="s">
        <v>982</v>
      </c>
      <c r="Q157" s="1">
        <v>0</v>
      </c>
      <c r="R157" s="1">
        <v>0</v>
      </c>
      <c r="S157" s="1" t="s">
        <v>194</v>
      </c>
      <c r="T157" s="1">
        <v>5</v>
      </c>
      <c r="U157" s="1">
        <v>3</v>
      </c>
      <c r="V157" s="1">
        <v>33</v>
      </c>
      <c r="W157" s="1">
        <v>1</v>
      </c>
      <c r="X157" s="1">
        <v>16</v>
      </c>
      <c r="Y157" s="1">
        <v>2</v>
      </c>
      <c r="Z157" s="1">
        <v>0</v>
      </c>
      <c r="AA157" s="1">
        <v>1</v>
      </c>
    </row>
    <row r="158" spans="1:27" ht="12.75" customHeight="1" x14ac:dyDescent="0.15">
      <c r="A158" s="5">
        <v>450</v>
      </c>
      <c r="B158" s="5" t="s">
        <v>984</v>
      </c>
      <c r="C158" s="1">
        <v>13</v>
      </c>
      <c r="D158" s="5" t="s">
        <v>983</v>
      </c>
      <c r="E158" s="1">
        <v>9</v>
      </c>
      <c r="F158" s="5" t="s">
        <v>981</v>
      </c>
      <c r="G158" s="1">
        <v>9</v>
      </c>
      <c r="H158" s="5" t="s">
        <v>981</v>
      </c>
      <c r="I158" s="1">
        <v>4</v>
      </c>
      <c r="J158" s="5" t="s">
        <v>982</v>
      </c>
      <c r="K158" s="1">
        <v>9</v>
      </c>
      <c r="L158" s="5" t="s">
        <v>981</v>
      </c>
      <c r="M158" s="1">
        <v>9</v>
      </c>
      <c r="N158" s="5" t="s">
        <v>981</v>
      </c>
      <c r="O158" s="1">
        <v>3</v>
      </c>
      <c r="P158" s="5" t="s">
        <v>982</v>
      </c>
      <c r="Q158" s="1">
        <v>1</v>
      </c>
      <c r="R158" s="1">
        <v>1</v>
      </c>
      <c r="S158" s="1" t="s">
        <v>194</v>
      </c>
      <c r="T158" s="1">
        <v>4</v>
      </c>
      <c r="U158" s="1">
        <v>3</v>
      </c>
      <c r="V158" s="1">
        <v>33</v>
      </c>
      <c r="W158" s="1">
        <v>0</v>
      </c>
      <c r="X158" s="1">
        <v>2</v>
      </c>
      <c r="Y158" s="1">
        <v>10</v>
      </c>
      <c r="Z158" s="1">
        <v>150000</v>
      </c>
      <c r="AA158" s="1">
        <v>3</v>
      </c>
    </row>
    <row r="159" spans="1:27" ht="12.75" customHeight="1" x14ac:dyDescent="0.15">
      <c r="A159" s="5">
        <v>305</v>
      </c>
      <c r="B159" s="5" t="s">
        <v>238</v>
      </c>
      <c r="C159" s="1">
        <v>28</v>
      </c>
      <c r="D159" s="5" t="s">
        <v>981</v>
      </c>
      <c r="E159" s="1">
        <v>8</v>
      </c>
      <c r="F159" s="5" t="s">
        <v>981</v>
      </c>
      <c r="G159" s="1">
        <v>8</v>
      </c>
      <c r="H159" s="5" t="s">
        <v>981</v>
      </c>
      <c r="I159" s="1">
        <v>4</v>
      </c>
      <c r="J159" s="5" t="s">
        <v>982</v>
      </c>
      <c r="K159" s="1">
        <v>9</v>
      </c>
      <c r="L159" s="5" t="s">
        <v>981</v>
      </c>
      <c r="M159" s="1">
        <v>9</v>
      </c>
      <c r="N159" s="5" t="s">
        <v>981</v>
      </c>
      <c r="O159" s="1">
        <v>0</v>
      </c>
      <c r="P159" s="5" t="s">
        <v>983</v>
      </c>
      <c r="Q159" s="1">
        <v>1</v>
      </c>
      <c r="R159" s="1">
        <v>0</v>
      </c>
      <c r="S159" s="1" t="s">
        <v>194</v>
      </c>
      <c r="T159" s="1">
        <v>2</v>
      </c>
      <c r="U159" s="1">
        <v>3</v>
      </c>
      <c r="V159" s="1">
        <v>33</v>
      </c>
      <c r="W159" s="1">
        <v>0</v>
      </c>
      <c r="X159" s="1">
        <v>16</v>
      </c>
      <c r="Y159" s="1">
        <v>7</v>
      </c>
      <c r="Z159" s="1">
        <v>360000</v>
      </c>
      <c r="AA159" s="1">
        <v>4</v>
      </c>
    </row>
    <row r="160" spans="1:27" ht="12.75" customHeight="1" x14ac:dyDescent="0.15">
      <c r="A160" s="5">
        <v>268</v>
      </c>
      <c r="B160" s="5" t="s">
        <v>238</v>
      </c>
      <c r="C160" s="1">
        <v>15</v>
      </c>
      <c r="D160" s="5" t="s">
        <v>983</v>
      </c>
      <c r="E160" s="1">
        <v>3</v>
      </c>
      <c r="F160" s="5" t="s">
        <v>982</v>
      </c>
      <c r="G160" s="1">
        <v>2</v>
      </c>
      <c r="H160" s="5" t="s">
        <v>982</v>
      </c>
      <c r="I160" s="1">
        <v>15</v>
      </c>
      <c r="J160" s="5" t="s">
        <v>981</v>
      </c>
      <c r="K160" s="1">
        <v>0</v>
      </c>
      <c r="L160" s="5" t="s">
        <v>983</v>
      </c>
      <c r="M160" s="1">
        <v>0</v>
      </c>
      <c r="N160" s="5" t="s">
        <v>983</v>
      </c>
      <c r="O160" s="1">
        <v>0</v>
      </c>
      <c r="P160" s="5" t="s">
        <v>983</v>
      </c>
      <c r="Q160" s="1">
        <v>1</v>
      </c>
      <c r="R160" s="1">
        <v>0</v>
      </c>
      <c r="S160" s="1">
        <v>1</v>
      </c>
      <c r="T160" s="1" t="s">
        <v>194</v>
      </c>
      <c r="U160" s="1">
        <v>5</v>
      </c>
      <c r="V160" s="1">
        <v>33</v>
      </c>
      <c r="W160" s="1">
        <v>0</v>
      </c>
      <c r="X160" s="1">
        <v>14</v>
      </c>
      <c r="Y160" s="1">
        <v>1</v>
      </c>
      <c r="Z160" s="1">
        <v>100000</v>
      </c>
      <c r="AA160" s="1">
        <v>3</v>
      </c>
    </row>
    <row r="161" spans="1:27" ht="12.75" customHeight="1" x14ac:dyDescent="0.15">
      <c r="A161" s="5">
        <v>184</v>
      </c>
      <c r="B161" s="5" t="s">
        <v>238</v>
      </c>
      <c r="C161" s="1">
        <v>14</v>
      </c>
      <c r="D161" s="5" t="s">
        <v>983</v>
      </c>
      <c r="E161" s="1">
        <v>1</v>
      </c>
      <c r="F161" s="5" t="s">
        <v>983</v>
      </c>
      <c r="G161" s="1">
        <v>7</v>
      </c>
      <c r="H161" s="5" t="s">
        <v>981</v>
      </c>
      <c r="I161" s="1">
        <v>0</v>
      </c>
      <c r="J161" s="5" t="s">
        <v>983</v>
      </c>
      <c r="K161" s="1">
        <v>10</v>
      </c>
      <c r="L161" s="5" t="s">
        <v>981</v>
      </c>
      <c r="M161" s="1">
        <v>1</v>
      </c>
      <c r="N161" s="5" t="s">
        <v>983</v>
      </c>
      <c r="O161" s="1">
        <v>1</v>
      </c>
      <c r="P161" s="5" t="s">
        <v>982</v>
      </c>
      <c r="Q161" s="1">
        <v>0</v>
      </c>
      <c r="R161" s="1">
        <v>0</v>
      </c>
      <c r="S161" s="1" t="s">
        <v>194</v>
      </c>
      <c r="T161" s="1">
        <v>5</v>
      </c>
      <c r="U161" s="1">
        <v>5</v>
      </c>
      <c r="V161" s="1">
        <v>33</v>
      </c>
      <c r="W161" s="1">
        <v>0</v>
      </c>
      <c r="X161" s="1">
        <v>14</v>
      </c>
      <c r="Y161" s="1">
        <v>1</v>
      </c>
      <c r="Z161" s="1">
        <v>80000</v>
      </c>
      <c r="AA161" s="1">
        <v>4</v>
      </c>
    </row>
    <row r="162" spans="1:27" ht="12.75" customHeight="1" x14ac:dyDescent="0.15">
      <c r="A162" s="5">
        <v>267</v>
      </c>
      <c r="B162" s="5" t="s">
        <v>238</v>
      </c>
      <c r="C162" s="1">
        <v>22</v>
      </c>
      <c r="D162" s="5" t="s">
        <v>982</v>
      </c>
      <c r="E162" s="1">
        <v>7</v>
      </c>
      <c r="F162" s="5" t="s">
        <v>981</v>
      </c>
      <c r="G162" s="1">
        <v>7</v>
      </c>
      <c r="H162" s="5" t="s">
        <v>981</v>
      </c>
      <c r="I162" s="1">
        <v>8</v>
      </c>
      <c r="J162" s="5" t="s">
        <v>981</v>
      </c>
      <c r="K162" s="1">
        <v>7</v>
      </c>
      <c r="L162" s="5" t="s">
        <v>981</v>
      </c>
      <c r="M162" s="1">
        <v>8</v>
      </c>
      <c r="N162" s="5" t="s">
        <v>981</v>
      </c>
      <c r="O162" s="1">
        <v>2</v>
      </c>
      <c r="P162" s="5" t="s">
        <v>982</v>
      </c>
      <c r="Q162" s="1">
        <v>0</v>
      </c>
      <c r="R162" s="1">
        <v>0</v>
      </c>
      <c r="S162" s="1" t="s">
        <v>194</v>
      </c>
      <c r="T162" s="1" t="s">
        <v>194</v>
      </c>
      <c r="U162" s="1" t="s">
        <v>194</v>
      </c>
      <c r="V162" s="1">
        <v>33</v>
      </c>
      <c r="W162" s="1">
        <v>0</v>
      </c>
      <c r="X162" s="1">
        <v>14</v>
      </c>
      <c r="Y162" s="1">
        <v>1</v>
      </c>
      <c r="Z162" s="1">
        <v>100000</v>
      </c>
      <c r="AA162" s="1">
        <v>3</v>
      </c>
    </row>
    <row r="163" spans="1:27" ht="12.75" customHeight="1" x14ac:dyDescent="0.15">
      <c r="A163" s="5">
        <v>405</v>
      </c>
      <c r="B163" s="5" t="s">
        <v>984</v>
      </c>
      <c r="C163" s="1">
        <v>26</v>
      </c>
      <c r="D163" s="5" t="s">
        <v>981</v>
      </c>
      <c r="E163" s="1">
        <v>9</v>
      </c>
      <c r="F163" s="5" t="s">
        <v>981</v>
      </c>
      <c r="G163" s="1">
        <v>9</v>
      </c>
      <c r="H163" s="5" t="s">
        <v>981</v>
      </c>
      <c r="I163" s="1">
        <v>3</v>
      </c>
      <c r="J163" s="5" t="s">
        <v>982</v>
      </c>
      <c r="K163" s="1">
        <v>9</v>
      </c>
      <c r="L163" s="5" t="s">
        <v>981</v>
      </c>
      <c r="M163" s="1">
        <v>9</v>
      </c>
      <c r="N163" s="5" t="s">
        <v>981</v>
      </c>
      <c r="O163" s="1">
        <v>0</v>
      </c>
      <c r="P163" s="5" t="s">
        <v>983</v>
      </c>
      <c r="Q163" s="1">
        <v>0</v>
      </c>
      <c r="R163" s="1">
        <v>0</v>
      </c>
      <c r="S163" s="1" t="s">
        <v>194</v>
      </c>
      <c r="T163" s="1" t="s">
        <v>194</v>
      </c>
      <c r="U163" s="1" t="s">
        <v>194</v>
      </c>
      <c r="V163" s="1">
        <v>33</v>
      </c>
      <c r="W163" s="1">
        <v>0</v>
      </c>
      <c r="X163" s="1">
        <v>16</v>
      </c>
      <c r="Y163" s="1">
        <v>34</v>
      </c>
      <c r="Z163" s="1">
        <v>120000</v>
      </c>
      <c r="AA163" s="1">
        <v>2</v>
      </c>
    </row>
    <row r="164" spans="1:27" ht="12.75" customHeight="1" x14ac:dyDescent="0.15">
      <c r="A164" s="5">
        <v>306</v>
      </c>
      <c r="B164" s="5" t="s">
        <v>984</v>
      </c>
      <c r="C164" s="1">
        <v>32</v>
      </c>
      <c r="D164" s="5" t="s">
        <v>981</v>
      </c>
      <c r="E164" s="1">
        <v>3</v>
      </c>
      <c r="F164" s="5" t="s">
        <v>982</v>
      </c>
      <c r="G164" s="1">
        <v>3</v>
      </c>
      <c r="H164" s="5" t="s">
        <v>982</v>
      </c>
      <c r="I164" s="1">
        <v>12</v>
      </c>
      <c r="J164" s="5" t="s">
        <v>981</v>
      </c>
      <c r="K164" s="1">
        <v>3</v>
      </c>
      <c r="L164" s="5" t="s">
        <v>982</v>
      </c>
      <c r="M164" s="1">
        <v>3</v>
      </c>
      <c r="N164" s="5" t="s">
        <v>982</v>
      </c>
      <c r="O164" s="1">
        <v>7</v>
      </c>
      <c r="P164" s="5" t="s">
        <v>982</v>
      </c>
      <c r="Q164" s="1">
        <v>0</v>
      </c>
      <c r="R164" s="1">
        <v>0</v>
      </c>
      <c r="S164" s="1" t="s">
        <v>194</v>
      </c>
      <c r="T164" s="1">
        <v>3</v>
      </c>
      <c r="U164" s="1" t="s">
        <v>194</v>
      </c>
      <c r="V164" s="1">
        <v>33</v>
      </c>
      <c r="W164" s="1">
        <v>0</v>
      </c>
      <c r="X164" s="1">
        <v>16</v>
      </c>
      <c r="Y164" s="1">
        <v>7</v>
      </c>
      <c r="Z164" s="1">
        <v>360000</v>
      </c>
      <c r="AA164" s="1">
        <v>4</v>
      </c>
    </row>
    <row r="165" spans="1:27" ht="12.75" customHeight="1" x14ac:dyDescent="0.15">
      <c r="A165" s="5">
        <v>498</v>
      </c>
      <c r="B165" s="5" t="s">
        <v>238</v>
      </c>
      <c r="C165" s="1">
        <v>15</v>
      </c>
      <c r="D165" s="5" t="s">
        <v>983</v>
      </c>
      <c r="E165" s="1">
        <v>3</v>
      </c>
      <c r="F165" s="5" t="s">
        <v>982</v>
      </c>
      <c r="G165" s="1">
        <v>6</v>
      </c>
      <c r="H165" s="5" t="s">
        <v>981</v>
      </c>
      <c r="I165" s="1">
        <v>7</v>
      </c>
      <c r="J165" s="5" t="s">
        <v>981</v>
      </c>
      <c r="K165" s="1">
        <v>0</v>
      </c>
      <c r="L165" s="5" t="s">
        <v>983</v>
      </c>
      <c r="M165" s="1">
        <v>12</v>
      </c>
      <c r="N165" s="5" t="s">
        <v>981</v>
      </c>
      <c r="O165" s="1">
        <v>0</v>
      </c>
      <c r="P165" s="5" t="s">
        <v>983</v>
      </c>
      <c r="Q165" s="1">
        <v>1</v>
      </c>
      <c r="R165" s="1">
        <v>0</v>
      </c>
      <c r="S165" s="1" t="s">
        <v>194</v>
      </c>
      <c r="T165" s="1">
        <v>2</v>
      </c>
      <c r="U165" s="1">
        <v>1</v>
      </c>
      <c r="V165" s="1">
        <v>34</v>
      </c>
      <c r="W165" s="1">
        <v>0</v>
      </c>
      <c r="X165" s="1">
        <v>17</v>
      </c>
      <c r="Y165" s="1">
        <v>11</v>
      </c>
      <c r="Z165" s="1">
        <v>27000</v>
      </c>
      <c r="AA165" s="1">
        <v>2</v>
      </c>
    </row>
    <row r="166" spans="1:27" ht="12.75" customHeight="1" x14ac:dyDescent="0.15">
      <c r="A166" s="5">
        <v>51</v>
      </c>
      <c r="B166" s="5" t="s">
        <v>238</v>
      </c>
      <c r="C166" s="1">
        <v>15</v>
      </c>
      <c r="D166" s="5" t="s">
        <v>983</v>
      </c>
      <c r="E166" s="1">
        <v>3</v>
      </c>
      <c r="F166" s="5" t="s">
        <v>982</v>
      </c>
      <c r="G166" s="1">
        <v>3</v>
      </c>
      <c r="H166" s="5" t="s">
        <v>982</v>
      </c>
      <c r="I166" s="1">
        <v>0</v>
      </c>
      <c r="J166" s="5" t="s">
        <v>983</v>
      </c>
      <c r="K166" s="1">
        <v>0</v>
      </c>
      <c r="L166" s="5" t="s">
        <v>983</v>
      </c>
      <c r="M166" s="1">
        <v>0</v>
      </c>
      <c r="N166" s="5" t="s">
        <v>983</v>
      </c>
      <c r="O166" s="1">
        <v>0</v>
      </c>
      <c r="P166" s="5" t="s">
        <v>983</v>
      </c>
      <c r="Q166" s="1">
        <v>1</v>
      </c>
      <c r="R166" s="1">
        <v>0</v>
      </c>
      <c r="S166" s="1">
        <v>1</v>
      </c>
      <c r="T166" s="1" t="s">
        <v>194</v>
      </c>
      <c r="U166" s="1">
        <v>2</v>
      </c>
      <c r="V166" s="1">
        <v>34</v>
      </c>
      <c r="W166" s="1">
        <v>1</v>
      </c>
      <c r="X166" s="1">
        <v>10</v>
      </c>
      <c r="Y166" s="1">
        <v>34</v>
      </c>
      <c r="Z166" s="1">
        <v>0</v>
      </c>
      <c r="AA166" s="1">
        <v>3</v>
      </c>
    </row>
    <row r="167" spans="1:27" ht="12.75" customHeight="1" x14ac:dyDescent="0.15">
      <c r="A167" s="5">
        <v>411</v>
      </c>
      <c r="B167" s="5" t="s">
        <v>238</v>
      </c>
      <c r="C167" s="1">
        <v>12</v>
      </c>
      <c r="D167" s="5" t="s">
        <v>983</v>
      </c>
      <c r="E167" s="1">
        <v>0</v>
      </c>
      <c r="F167" s="5" t="s">
        <v>983</v>
      </c>
      <c r="G167" s="1">
        <v>0</v>
      </c>
      <c r="H167" s="5" t="s">
        <v>983</v>
      </c>
      <c r="I167" s="1">
        <v>16</v>
      </c>
      <c r="J167" s="5" t="s">
        <v>981</v>
      </c>
      <c r="K167" s="1">
        <v>0</v>
      </c>
      <c r="L167" s="5" t="s">
        <v>983</v>
      </c>
      <c r="M167" s="1">
        <v>0</v>
      </c>
      <c r="N167" s="5" t="s">
        <v>983</v>
      </c>
      <c r="O167" s="1">
        <v>0</v>
      </c>
      <c r="P167" s="5" t="s">
        <v>983</v>
      </c>
      <c r="Q167" s="1">
        <v>1</v>
      </c>
      <c r="R167" s="1">
        <v>0</v>
      </c>
      <c r="S167" s="1">
        <v>1</v>
      </c>
      <c r="T167" s="1">
        <v>2</v>
      </c>
      <c r="U167" s="1">
        <v>2</v>
      </c>
      <c r="V167" s="1">
        <v>34</v>
      </c>
      <c r="W167" s="1">
        <v>0</v>
      </c>
      <c r="X167" s="1">
        <v>4</v>
      </c>
      <c r="Y167" s="1">
        <v>34</v>
      </c>
      <c r="Z167" s="1">
        <v>500000</v>
      </c>
      <c r="AA167" s="1">
        <v>1</v>
      </c>
    </row>
    <row r="168" spans="1:27" ht="12.75" customHeight="1" x14ac:dyDescent="0.15">
      <c r="A168" s="5">
        <v>486</v>
      </c>
      <c r="B168" s="5" t="s">
        <v>238</v>
      </c>
      <c r="C168" s="1">
        <v>13</v>
      </c>
      <c r="D168" s="5" t="s">
        <v>983</v>
      </c>
      <c r="E168" s="1">
        <v>3</v>
      </c>
      <c r="F168" s="5" t="s">
        <v>982</v>
      </c>
      <c r="G168" s="1">
        <v>5</v>
      </c>
      <c r="H168" s="5" t="s">
        <v>982</v>
      </c>
      <c r="I168" s="1">
        <v>7</v>
      </c>
      <c r="J168" s="5" t="s">
        <v>981</v>
      </c>
      <c r="K168" s="1">
        <v>4</v>
      </c>
      <c r="L168" s="5" t="s">
        <v>982</v>
      </c>
      <c r="M168" s="1">
        <v>3</v>
      </c>
      <c r="N168" s="5" t="s">
        <v>982</v>
      </c>
      <c r="O168" s="1">
        <v>0</v>
      </c>
      <c r="P168" s="5" t="s">
        <v>983</v>
      </c>
      <c r="Q168" s="1">
        <v>1</v>
      </c>
      <c r="R168" s="1">
        <v>0</v>
      </c>
      <c r="S168" s="1" t="s">
        <v>194</v>
      </c>
      <c r="T168" s="1" t="s">
        <v>194</v>
      </c>
      <c r="U168" s="1">
        <v>2</v>
      </c>
      <c r="V168" s="1">
        <v>34</v>
      </c>
      <c r="W168" s="1">
        <v>0</v>
      </c>
      <c r="X168" s="1">
        <v>18</v>
      </c>
      <c r="Y168" s="1">
        <v>3</v>
      </c>
      <c r="Z168" s="1">
        <v>60000</v>
      </c>
      <c r="AA168" s="1">
        <v>3</v>
      </c>
    </row>
    <row r="169" spans="1:27" ht="12.75" customHeight="1" x14ac:dyDescent="0.15">
      <c r="A169" s="5">
        <v>368</v>
      </c>
      <c r="B169" s="5" t="s">
        <v>238</v>
      </c>
      <c r="C169" s="1">
        <v>24</v>
      </c>
      <c r="D169" s="5" t="s">
        <v>981</v>
      </c>
      <c r="E169" s="1">
        <v>7</v>
      </c>
      <c r="F169" s="5" t="s">
        <v>981</v>
      </c>
      <c r="G169" s="1">
        <v>8</v>
      </c>
      <c r="H169" s="5" t="s">
        <v>981</v>
      </c>
      <c r="I169" s="1">
        <v>7</v>
      </c>
      <c r="J169" s="5" t="s">
        <v>981</v>
      </c>
      <c r="K169" s="1">
        <v>0</v>
      </c>
      <c r="L169" s="5" t="s">
        <v>983</v>
      </c>
      <c r="M169" s="1">
        <v>6</v>
      </c>
      <c r="N169" s="5" t="s">
        <v>981</v>
      </c>
      <c r="O169" s="1">
        <v>2</v>
      </c>
      <c r="P169" s="5" t="s">
        <v>982</v>
      </c>
      <c r="Q169" s="1">
        <v>0</v>
      </c>
      <c r="R169" s="1">
        <v>0</v>
      </c>
      <c r="S169" s="1" t="s">
        <v>194</v>
      </c>
      <c r="T169" s="1" t="s">
        <v>194</v>
      </c>
      <c r="U169" s="1">
        <v>2</v>
      </c>
      <c r="V169" s="1">
        <v>34</v>
      </c>
      <c r="W169" s="1">
        <v>0</v>
      </c>
      <c r="X169" s="1">
        <v>17</v>
      </c>
      <c r="Y169" s="1">
        <v>2</v>
      </c>
      <c r="Z169" s="1">
        <v>0</v>
      </c>
      <c r="AA169" s="1">
        <v>4</v>
      </c>
    </row>
    <row r="170" spans="1:27" ht="12.75" customHeight="1" x14ac:dyDescent="0.15">
      <c r="A170" s="5">
        <v>308</v>
      </c>
      <c r="B170" s="5" t="s">
        <v>984</v>
      </c>
      <c r="C170" s="1">
        <v>25</v>
      </c>
      <c r="D170" s="5" t="s">
        <v>981</v>
      </c>
      <c r="E170" s="1">
        <v>9</v>
      </c>
      <c r="F170" s="5" t="s">
        <v>981</v>
      </c>
      <c r="G170" s="1">
        <v>9</v>
      </c>
      <c r="H170" s="5" t="s">
        <v>981</v>
      </c>
      <c r="I170" s="1">
        <v>4</v>
      </c>
      <c r="J170" s="5" t="s">
        <v>982</v>
      </c>
      <c r="K170" s="1">
        <v>9</v>
      </c>
      <c r="L170" s="5" t="s">
        <v>981</v>
      </c>
      <c r="M170" s="1">
        <v>9</v>
      </c>
      <c r="N170" s="5" t="s">
        <v>981</v>
      </c>
      <c r="O170" s="1">
        <v>0</v>
      </c>
      <c r="P170" s="5" t="s">
        <v>983</v>
      </c>
      <c r="Q170" s="1">
        <v>0</v>
      </c>
      <c r="R170" s="1">
        <v>0</v>
      </c>
      <c r="S170" s="1" t="s">
        <v>194</v>
      </c>
      <c r="T170" s="1" t="s">
        <v>194</v>
      </c>
      <c r="U170" s="1">
        <v>2</v>
      </c>
      <c r="V170" s="1">
        <v>34</v>
      </c>
      <c r="W170" s="1">
        <v>0</v>
      </c>
      <c r="X170" s="1">
        <v>15</v>
      </c>
      <c r="Y170" s="1">
        <v>30</v>
      </c>
      <c r="Z170" s="1">
        <v>450000</v>
      </c>
      <c r="AA170" s="1">
        <v>2</v>
      </c>
    </row>
    <row r="171" spans="1:27" ht="12.75" customHeight="1" x14ac:dyDescent="0.15">
      <c r="A171" s="5">
        <v>122</v>
      </c>
      <c r="B171" s="5" t="s">
        <v>984</v>
      </c>
      <c r="C171" s="1">
        <v>22</v>
      </c>
      <c r="D171" s="5" t="s">
        <v>982</v>
      </c>
      <c r="E171" s="1">
        <v>3</v>
      </c>
      <c r="F171" s="5" t="s">
        <v>982</v>
      </c>
      <c r="G171" s="1">
        <v>7</v>
      </c>
      <c r="H171" s="5" t="s">
        <v>981</v>
      </c>
      <c r="I171" s="1">
        <v>3</v>
      </c>
      <c r="J171" s="5" t="s">
        <v>982</v>
      </c>
      <c r="K171" s="1">
        <v>9</v>
      </c>
      <c r="L171" s="5" t="s">
        <v>981</v>
      </c>
      <c r="M171" s="1">
        <v>4</v>
      </c>
      <c r="N171" s="5" t="s">
        <v>982</v>
      </c>
      <c r="O171" s="1">
        <v>0</v>
      </c>
      <c r="P171" s="5" t="s">
        <v>983</v>
      </c>
      <c r="Q171" s="1">
        <v>0</v>
      </c>
      <c r="R171" s="1">
        <v>0</v>
      </c>
      <c r="S171" s="1" t="s">
        <v>194</v>
      </c>
      <c r="T171" s="1">
        <v>2</v>
      </c>
      <c r="U171" s="1">
        <v>2</v>
      </c>
      <c r="V171" s="1">
        <v>34</v>
      </c>
      <c r="W171" s="1">
        <v>0</v>
      </c>
      <c r="X171" s="1">
        <v>14</v>
      </c>
      <c r="Y171" s="1">
        <v>34</v>
      </c>
      <c r="Z171" s="1">
        <v>190000</v>
      </c>
      <c r="AA171" s="1">
        <v>4</v>
      </c>
    </row>
    <row r="172" spans="1:27" ht="12.75" customHeight="1" x14ac:dyDescent="0.15">
      <c r="A172" s="5">
        <v>340</v>
      </c>
      <c r="B172" s="5" t="s">
        <v>238</v>
      </c>
      <c r="C172" s="1">
        <v>21</v>
      </c>
      <c r="D172" s="5" t="s">
        <v>982</v>
      </c>
      <c r="E172" s="1">
        <v>6</v>
      </c>
      <c r="F172" s="5" t="s">
        <v>981</v>
      </c>
      <c r="G172" s="1">
        <v>5</v>
      </c>
      <c r="H172" s="5" t="s">
        <v>982</v>
      </c>
      <c r="I172" s="1">
        <v>5</v>
      </c>
      <c r="J172" s="5" t="s">
        <v>981</v>
      </c>
      <c r="K172" s="1">
        <v>1</v>
      </c>
      <c r="L172" s="5" t="s">
        <v>983</v>
      </c>
      <c r="M172" s="1">
        <v>6</v>
      </c>
      <c r="N172" s="5" t="s">
        <v>981</v>
      </c>
      <c r="O172" s="1">
        <v>0</v>
      </c>
      <c r="P172" s="5" t="s">
        <v>983</v>
      </c>
      <c r="Q172" s="1">
        <v>0</v>
      </c>
      <c r="R172" s="1">
        <v>0</v>
      </c>
      <c r="S172" s="1" t="s">
        <v>194</v>
      </c>
      <c r="T172" s="1">
        <v>2</v>
      </c>
      <c r="U172" s="1">
        <v>2</v>
      </c>
      <c r="V172" s="1">
        <v>34</v>
      </c>
      <c r="W172" s="1">
        <v>1</v>
      </c>
      <c r="X172" s="1">
        <v>2</v>
      </c>
      <c r="Y172" s="1">
        <v>3</v>
      </c>
      <c r="Z172" s="1">
        <v>300000</v>
      </c>
      <c r="AA172" s="1">
        <v>2</v>
      </c>
    </row>
    <row r="173" spans="1:27" ht="12.75" customHeight="1" x14ac:dyDescent="0.15">
      <c r="A173" s="5">
        <v>28</v>
      </c>
      <c r="B173" s="5" t="s">
        <v>238</v>
      </c>
      <c r="C173" s="1">
        <v>45</v>
      </c>
      <c r="D173" s="5" t="s">
        <v>981</v>
      </c>
      <c r="E173" s="1">
        <v>6</v>
      </c>
      <c r="F173" s="5" t="s">
        <v>981</v>
      </c>
      <c r="G173" s="1">
        <v>9</v>
      </c>
      <c r="H173" s="5" t="s">
        <v>981</v>
      </c>
      <c r="I173" s="1">
        <v>5</v>
      </c>
      <c r="J173" s="5" t="s">
        <v>981</v>
      </c>
      <c r="K173" s="1">
        <v>3</v>
      </c>
      <c r="L173" s="5" t="s">
        <v>982</v>
      </c>
      <c r="M173" s="1">
        <v>10</v>
      </c>
      <c r="N173" s="5" t="s">
        <v>981</v>
      </c>
      <c r="O173" s="1">
        <v>1</v>
      </c>
      <c r="P173" s="5" t="s">
        <v>982</v>
      </c>
      <c r="Q173" s="1">
        <v>1</v>
      </c>
      <c r="R173" s="1">
        <v>0</v>
      </c>
      <c r="S173" s="1">
        <v>1</v>
      </c>
      <c r="T173" s="1">
        <v>5</v>
      </c>
      <c r="U173" s="1">
        <v>3</v>
      </c>
      <c r="V173" s="1">
        <v>34</v>
      </c>
      <c r="W173" s="1">
        <v>1</v>
      </c>
      <c r="X173" s="1">
        <v>14</v>
      </c>
      <c r="Y173" s="1">
        <v>29</v>
      </c>
      <c r="Z173" s="1">
        <v>0</v>
      </c>
      <c r="AA173" s="1">
        <v>5</v>
      </c>
    </row>
    <row r="174" spans="1:27" ht="12.75" customHeight="1" x14ac:dyDescent="0.15">
      <c r="A174" s="5">
        <v>190</v>
      </c>
      <c r="B174" s="5" t="s">
        <v>238</v>
      </c>
      <c r="C174" s="1">
        <v>29</v>
      </c>
      <c r="D174" s="5" t="s">
        <v>981</v>
      </c>
      <c r="E174" s="1">
        <v>7</v>
      </c>
      <c r="F174" s="5" t="s">
        <v>981</v>
      </c>
      <c r="G174" s="1">
        <v>1</v>
      </c>
      <c r="H174" s="5" t="s">
        <v>983</v>
      </c>
      <c r="I174" s="1">
        <v>4</v>
      </c>
      <c r="J174" s="5" t="s">
        <v>982</v>
      </c>
      <c r="K174" s="1">
        <v>6</v>
      </c>
      <c r="L174" s="5" t="s">
        <v>981</v>
      </c>
      <c r="M174" s="1">
        <v>12</v>
      </c>
      <c r="N174" s="5" t="s">
        <v>981</v>
      </c>
      <c r="O174" s="1">
        <v>0</v>
      </c>
      <c r="P174" s="5" t="s">
        <v>983</v>
      </c>
      <c r="Q174" s="1">
        <v>0</v>
      </c>
      <c r="R174" s="1">
        <v>0</v>
      </c>
      <c r="S174" s="1" t="s">
        <v>194</v>
      </c>
      <c r="T174" s="1">
        <v>5</v>
      </c>
      <c r="U174" s="1">
        <v>3</v>
      </c>
      <c r="V174" s="1">
        <v>34</v>
      </c>
      <c r="W174" s="1">
        <v>0</v>
      </c>
      <c r="X174" s="1">
        <v>16</v>
      </c>
      <c r="Y174" s="1">
        <v>4</v>
      </c>
      <c r="Z174" s="1">
        <v>0</v>
      </c>
      <c r="AA174" s="1">
        <v>2</v>
      </c>
    </row>
    <row r="175" spans="1:27" ht="12.75" customHeight="1" x14ac:dyDescent="0.15">
      <c r="A175" s="5">
        <v>156</v>
      </c>
      <c r="B175" s="5" t="s">
        <v>238</v>
      </c>
      <c r="C175" s="1">
        <v>25</v>
      </c>
      <c r="D175" s="5" t="s">
        <v>981</v>
      </c>
      <c r="E175" s="1">
        <v>2</v>
      </c>
      <c r="F175" s="5" t="s">
        <v>982</v>
      </c>
      <c r="G175" s="1">
        <v>1</v>
      </c>
      <c r="H175" s="5" t="s">
        <v>983</v>
      </c>
      <c r="I175" s="1">
        <v>8</v>
      </c>
      <c r="J175" s="5" t="s">
        <v>981</v>
      </c>
      <c r="K175" s="1">
        <v>0</v>
      </c>
      <c r="L175" s="5" t="s">
        <v>983</v>
      </c>
      <c r="M175" s="1">
        <v>2</v>
      </c>
      <c r="N175" s="5" t="s">
        <v>983</v>
      </c>
      <c r="O175" s="1">
        <v>0</v>
      </c>
      <c r="P175" s="5" t="s">
        <v>983</v>
      </c>
      <c r="Q175" s="1">
        <v>0</v>
      </c>
      <c r="R175" s="1">
        <v>0</v>
      </c>
      <c r="S175" s="1" t="s">
        <v>194</v>
      </c>
      <c r="T175" s="1">
        <v>3</v>
      </c>
      <c r="U175" s="1">
        <v>3</v>
      </c>
      <c r="V175" s="1">
        <v>34</v>
      </c>
      <c r="W175" s="1">
        <v>1</v>
      </c>
      <c r="X175" s="1">
        <v>14</v>
      </c>
      <c r="Y175" s="1">
        <v>18</v>
      </c>
      <c r="Z175" s="1">
        <v>47000</v>
      </c>
      <c r="AA175" s="1">
        <v>1</v>
      </c>
    </row>
    <row r="176" spans="1:27" ht="12.75" customHeight="1" x14ac:dyDescent="0.15">
      <c r="A176" s="5">
        <v>64</v>
      </c>
      <c r="B176" s="5" t="s">
        <v>238</v>
      </c>
      <c r="C176" s="1">
        <v>21</v>
      </c>
      <c r="D176" s="5" t="s">
        <v>982</v>
      </c>
      <c r="E176" s="1">
        <v>9</v>
      </c>
      <c r="F176" s="5" t="s">
        <v>981</v>
      </c>
      <c r="G176" s="1">
        <v>9</v>
      </c>
      <c r="H176" s="5" t="s">
        <v>981</v>
      </c>
      <c r="I176" s="1">
        <v>7</v>
      </c>
      <c r="J176" s="5" t="s">
        <v>981</v>
      </c>
      <c r="K176" s="1">
        <v>9</v>
      </c>
      <c r="L176" s="5" t="s">
        <v>981</v>
      </c>
      <c r="M176" s="1">
        <v>8</v>
      </c>
      <c r="N176" s="5" t="s">
        <v>981</v>
      </c>
      <c r="O176" s="1">
        <v>0</v>
      </c>
      <c r="P176" s="5" t="s">
        <v>983</v>
      </c>
      <c r="Q176" s="1">
        <v>0</v>
      </c>
      <c r="R176" s="1">
        <v>0</v>
      </c>
      <c r="S176" s="1" t="s">
        <v>194</v>
      </c>
      <c r="T176" s="1">
        <v>3</v>
      </c>
      <c r="U176" s="1">
        <v>3</v>
      </c>
      <c r="V176" s="1">
        <v>34</v>
      </c>
      <c r="W176" s="1">
        <v>0</v>
      </c>
      <c r="X176" s="1">
        <v>14</v>
      </c>
      <c r="Y176" s="1">
        <v>34</v>
      </c>
      <c r="Z176" s="1">
        <v>500000</v>
      </c>
      <c r="AA176" s="1">
        <v>2</v>
      </c>
    </row>
    <row r="177" spans="1:27" ht="12.75" customHeight="1" x14ac:dyDescent="0.15">
      <c r="A177" s="5">
        <v>463</v>
      </c>
      <c r="B177" s="5" t="s">
        <v>984</v>
      </c>
      <c r="C177" s="1">
        <v>20</v>
      </c>
      <c r="D177" s="5" t="s">
        <v>982</v>
      </c>
      <c r="E177" s="1">
        <v>4</v>
      </c>
      <c r="F177" s="5" t="s">
        <v>982</v>
      </c>
      <c r="G177" s="1">
        <v>0</v>
      </c>
      <c r="H177" s="5" t="s">
        <v>983</v>
      </c>
      <c r="I177" s="1">
        <v>8</v>
      </c>
      <c r="J177" s="5" t="s">
        <v>981</v>
      </c>
      <c r="K177" s="1">
        <v>0</v>
      </c>
      <c r="L177" s="5" t="s">
        <v>983</v>
      </c>
      <c r="M177" s="1">
        <v>0</v>
      </c>
      <c r="N177" s="5" t="s">
        <v>983</v>
      </c>
      <c r="O177" s="1">
        <v>0</v>
      </c>
      <c r="P177" s="5" t="s">
        <v>983</v>
      </c>
      <c r="Q177" s="1">
        <v>1</v>
      </c>
      <c r="R177" s="1">
        <v>0</v>
      </c>
      <c r="S177" s="1">
        <v>1</v>
      </c>
      <c r="T177" s="1">
        <v>4</v>
      </c>
      <c r="U177" s="1">
        <v>4</v>
      </c>
      <c r="V177" s="1">
        <v>34</v>
      </c>
      <c r="W177" s="1">
        <v>0</v>
      </c>
      <c r="X177" s="1">
        <v>14</v>
      </c>
      <c r="Y177" s="1">
        <v>24</v>
      </c>
      <c r="Z177" s="1">
        <v>450000</v>
      </c>
      <c r="AA177" s="1">
        <v>3</v>
      </c>
    </row>
    <row r="178" spans="1:27" ht="12.75" customHeight="1" x14ac:dyDescent="0.15">
      <c r="A178" s="5">
        <v>105</v>
      </c>
      <c r="B178" s="5" t="s">
        <v>238</v>
      </c>
      <c r="C178" s="1">
        <v>36</v>
      </c>
      <c r="D178" s="5" t="s">
        <v>981</v>
      </c>
      <c r="E178" s="1">
        <v>0</v>
      </c>
      <c r="F178" s="5" t="s">
        <v>983</v>
      </c>
      <c r="G178" s="1">
        <v>4</v>
      </c>
      <c r="H178" s="5" t="s">
        <v>982</v>
      </c>
      <c r="I178" s="1">
        <v>8</v>
      </c>
      <c r="J178" s="5" t="s">
        <v>981</v>
      </c>
      <c r="K178" s="1">
        <v>0</v>
      </c>
      <c r="L178" s="5" t="s">
        <v>983</v>
      </c>
      <c r="M178" s="1">
        <v>8</v>
      </c>
      <c r="N178" s="5" t="s">
        <v>981</v>
      </c>
      <c r="O178" s="1">
        <v>0</v>
      </c>
      <c r="P178" s="5" t="s">
        <v>983</v>
      </c>
      <c r="Q178" s="1">
        <v>1</v>
      </c>
      <c r="R178" s="1">
        <v>0</v>
      </c>
      <c r="S178" s="1">
        <v>1</v>
      </c>
      <c r="T178" s="1">
        <v>5</v>
      </c>
      <c r="U178" s="1">
        <v>4</v>
      </c>
      <c r="V178" s="1">
        <v>34</v>
      </c>
      <c r="W178" s="1">
        <v>0</v>
      </c>
      <c r="X178" s="1">
        <v>14</v>
      </c>
      <c r="Y178" s="1">
        <v>24</v>
      </c>
      <c r="Z178" s="1">
        <v>2000000</v>
      </c>
      <c r="AA178" s="1">
        <v>4</v>
      </c>
    </row>
    <row r="179" spans="1:27" ht="12.75" customHeight="1" x14ac:dyDescent="0.15">
      <c r="A179" s="5">
        <v>155</v>
      </c>
      <c r="B179" s="5" t="s">
        <v>984</v>
      </c>
      <c r="C179" s="1">
        <v>35</v>
      </c>
      <c r="D179" s="5" t="s">
        <v>981</v>
      </c>
      <c r="E179" s="1">
        <v>2</v>
      </c>
      <c r="F179" s="5" t="s">
        <v>982</v>
      </c>
      <c r="G179" s="1">
        <v>12</v>
      </c>
      <c r="H179" s="5" t="s">
        <v>981</v>
      </c>
      <c r="I179" s="1">
        <v>14</v>
      </c>
      <c r="J179" s="5" t="s">
        <v>981</v>
      </c>
      <c r="K179" s="1">
        <v>9</v>
      </c>
      <c r="L179" s="5" t="s">
        <v>981</v>
      </c>
      <c r="M179" s="1">
        <v>4</v>
      </c>
      <c r="N179" s="5" t="s">
        <v>982</v>
      </c>
      <c r="O179" s="1">
        <v>0</v>
      </c>
      <c r="P179" s="5" t="s">
        <v>983</v>
      </c>
      <c r="Q179" s="1">
        <v>1</v>
      </c>
      <c r="R179" s="1">
        <v>0</v>
      </c>
      <c r="S179" s="1" t="s">
        <v>194</v>
      </c>
      <c r="T179" s="1">
        <v>4</v>
      </c>
      <c r="U179" s="1">
        <v>4</v>
      </c>
      <c r="V179" s="1">
        <v>34</v>
      </c>
      <c r="W179" s="1">
        <v>1</v>
      </c>
      <c r="X179" s="1">
        <v>14</v>
      </c>
      <c r="Y179" s="1">
        <v>18</v>
      </c>
      <c r="Z179" s="1">
        <v>47000</v>
      </c>
      <c r="AA179" s="1">
        <v>1</v>
      </c>
    </row>
    <row r="180" spans="1:27" ht="12.75" customHeight="1" x14ac:dyDescent="0.15">
      <c r="A180" s="5">
        <v>150</v>
      </c>
      <c r="B180" s="5" t="s">
        <v>238</v>
      </c>
      <c r="C180" s="1">
        <v>23</v>
      </c>
      <c r="D180" s="5" t="s">
        <v>982</v>
      </c>
      <c r="E180" s="1">
        <v>6</v>
      </c>
      <c r="F180" s="5" t="s">
        <v>981</v>
      </c>
      <c r="G180" s="1">
        <v>6</v>
      </c>
      <c r="H180" s="5" t="s">
        <v>981</v>
      </c>
      <c r="I180" s="1">
        <v>0</v>
      </c>
      <c r="J180" s="5" t="s">
        <v>983</v>
      </c>
      <c r="K180" s="1">
        <v>4</v>
      </c>
      <c r="L180" s="5" t="s">
        <v>982</v>
      </c>
      <c r="M180" s="1">
        <v>4</v>
      </c>
      <c r="N180" s="5" t="s">
        <v>982</v>
      </c>
      <c r="O180" s="1">
        <v>0</v>
      </c>
      <c r="P180" s="5" t="s">
        <v>983</v>
      </c>
      <c r="Q180" s="1">
        <v>0</v>
      </c>
      <c r="R180" s="1">
        <v>0</v>
      </c>
      <c r="S180" s="1" t="s">
        <v>194</v>
      </c>
      <c r="T180" s="1">
        <v>5</v>
      </c>
      <c r="U180" s="1">
        <v>4</v>
      </c>
      <c r="V180" s="1">
        <v>34</v>
      </c>
      <c r="W180" s="1">
        <v>0</v>
      </c>
      <c r="X180" s="1">
        <v>18</v>
      </c>
      <c r="Y180" s="1">
        <v>34</v>
      </c>
      <c r="Z180" s="1">
        <v>700000</v>
      </c>
      <c r="AA180" s="1">
        <v>3</v>
      </c>
    </row>
    <row r="181" spans="1:27" ht="12.75" customHeight="1" x14ac:dyDescent="0.15">
      <c r="A181" s="5">
        <v>149</v>
      </c>
      <c r="B181" s="5" t="s">
        <v>238</v>
      </c>
      <c r="C181" s="1">
        <v>12</v>
      </c>
      <c r="D181" s="5" t="s">
        <v>983</v>
      </c>
      <c r="E181" s="1">
        <v>3</v>
      </c>
      <c r="F181" s="5" t="s">
        <v>982</v>
      </c>
      <c r="G181" s="1">
        <v>3</v>
      </c>
      <c r="H181" s="5" t="s">
        <v>982</v>
      </c>
      <c r="I181" s="1">
        <v>12</v>
      </c>
      <c r="J181" s="5" t="s">
        <v>981</v>
      </c>
      <c r="K181" s="1">
        <v>3</v>
      </c>
      <c r="L181" s="5" t="s">
        <v>982</v>
      </c>
      <c r="M181" s="1">
        <v>3</v>
      </c>
      <c r="N181" s="5" t="s">
        <v>982</v>
      </c>
      <c r="O181" s="1">
        <v>0</v>
      </c>
      <c r="P181" s="5" t="s">
        <v>983</v>
      </c>
      <c r="Q181" s="1">
        <v>1</v>
      </c>
      <c r="R181" s="1">
        <v>0</v>
      </c>
      <c r="S181" s="1">
        <v>1</v>
      </c>
      <c r="T181" s="1" t="s">
        <v>194</v>
      </c>
      <c r="U181" s="1" t="s">
        <v>194</v>
      </c>
      <c r="V181" s="1">
        <v>34</v>
      </c>
      <c r="W181" s="1">
        <v>0</v>
      </c>
      <c r="X181" s="1">
        <v>18</v>
      </c>
      <c r="Y181" s="1">
        <v>34</v>
      </c>
      <c r="Z181" s="1">
        <v>700000</v>
      </c>
      <c r="AA181" s="1">
        <v>3</v>
      </c>
    </row>
    <row r="182" spans="1:27" ht="12.75" customHeight="1" x14ac:dyDescent="0.15">
      <c r="A182" s="5">
        <v>143</v>
      </c>
      <c r="B182" s="5" t="s">
        <v>238</v>
      </c>
      <c r="C182" s="1">
        <v>17</v>
      </c>
      <c r="D182" s="5" t="s">
        <v>983</v>
      </c>
      <c r="E182" s="1">
        <v>3</v>
      </c>
      <c r="F182" s="5" t="s">
        <v>982</v>
      </c>
      <c r="G182" s="1">
        <v>6</v>
      </c>
      <c r="H182" s="5" t="s">
        <v>981</v>
      </c>
      <c r="I182" s="1">
        <v>3</v>
      </c>
      <c r="J182" s="5" t="s">
        <v>982</v>
      </c>
      <c r="K182" s="1">
        <v>0</v>
      </c>
      <c r="L182" s="5" t="s">
        <v>983</v>
      </c>
      <c r="M182" s="1">
        <v>0</v>
      </c>
      <c r="N182" s="5" t="s">
        <v>983</v>
      </c>
      <c r="O182" s="1">
        <v>0</v>
      </c>
      <c r="P182" s="5" t="s">
        <v>983</v>
      </c>
      <c r="Q182" s="1">
        <v>1</v>
      </c>
      <c r="R182" s="1">
        <v>0</v>
      </c>
      <c r="S182" s="1">
        <v>1</v>
      </c>
      <c r="T182" s="1" t="s">
        <v>194</v>
      </c>
      <c r="U182" s="1" t="s">
        <v>194</v>
      </c>
      <c r="V182" s="1">
        <v>34</v>
      </c>
      <c r="W182" s="1">
        <v>1</v>
      </c>
      <c r="X182" s="1">
        <v>14</v>
      </c>
      <c r="Y182" s="1">
        <v>2</v>
      </c>
      <c r="Z182" s="1">
        <v>800000</v>
      </c>
      <c r="AA182" s="1">
        <v>5</v>
      </c>
    </row>
    <row r="183" spans="1:27" ht="12.75" customHeight="1" x14ac:dyDescent="0.15">
      <c r="A183" s="5">
        <v>161</v>
      </c>
      <c r="B183" s="5" t="s">
        <v>238</v>
      </c>
      <c r="C183" s="1">
        <v>30</v>
      </c>
      <c r="D183" s="5" t="s">
        <v>981</v>
      </c>
      <c r="E183" s="1">
        <v>3</v>
      </c>
      <c r="F183" s="5" t="s">
        <v>982</v>
      </c>
      <c r="G183" s="1">
        <v>3</v>
      </c>
      <c r="H183" s="5" t="s">
        <v>982</v>
      </c>
      <c r="I183" s="1">
        <v>12</v>
      </c>
      <c r="J183" s="5" t="s">
        <v>981</v>
      </c>
      <c r="K183" s="1">
        <v>3</v>
      </c>
      <c r="L183" s="5" t="s">
        <v>982</v>
      </c>
      <c r="M183" s="1">
        <v>3</v>
      </c>
      <c r="N183" s="5" t="s">
        <v>982</v>
      </c>
      <c r="O183" s="1">
        <v>0</v>
      </c>
      <c r="P183" s="5" t="s">
        <v>983</v>
      </c>
      <c r="Q183" s="1">
        <v>1</v>
      </c>
      <c r="R183" s="1">
        <v>0</v>
      </c>
      <c r="S183" s="1" t="s">
        <v>194</v>
      </c>
      <c r="T183" s="1" t="s">
        <v>194</v>
      </c>
      <c r="U183" s="1" t="s">
        <v>194</v>
      </c>
      <c r="V183" s="1">
        <v>34</v>
      </c>
      <c r="W183" s="1">
        <v>0</v>
      </c>
      <c r="X183" s="1">
        <v>16</v>
      </c>
      <c r="Y183" s="1">
        <v>11</v>
      </c>
      <c r="Z183" s="1">
        <v>0</v>
      </c>
      <c r="AA183" s="1">
        <v>3</v>
      </c>
    </row>
    <row r="184" spans="1:27" ht="12.75" customHeight="1" x14ac:dyDescent="0.15">
      <c r="A184" s="5">
        <v>53</v>
      </c>
      <c r="B184" s="5" t="s">
        <v>238</v>
      </c>
      <c r="C184" s="1">
        <v>26</v>
      </c>
      <c r="D184" s="5" t="s">
        <v>981</v>
      </c>
      <c r="E184" s="1">
        <v>9</v>
      </c>
      <c r="F184" s="5" t="s">
        <v>981</v>
      </c>
      <c r="G184" s="1">
        <v>9</v>
      </c>
      <c r="H184" s="5" t="s">
        <v>981</v>
      </c>
      <c r="I184" s="1">
        <v>0</v>
      </c>
      <c r="J184" s="5" t="s">
        <v>983</v>
      </c>
      <c r="K184" s="1">
        <v>0</v>
      </c>
      <c r="L184" s="5" t="s">
        <v>983</v>
      </c>
      <c r="M184" s="1">
        <v>3</v>
      </c>
      <c r="N184" s="5" t="s">
        <v>982</v>
      </c>
      <c r="O184" s="1">
        <v>0</v>
      </c>
      <c r="P184" s="5" t="s">
        <v>983</v>
      </c>
      <c r="Q184" s="1">
        <v>1</v>
      </c>
      <c r="R184" s="1">
        <v>0</v>
      </c>
      <c r="S184" s="1">
        <v>1</v>
      </c>
      <c r="T184" s="1" t="s">
        <v>194</v>
      </c>
      <c r="U184" s="1">
        <v>1</v>
      </c>
      <c r="V184" s="1">
        <v>35</v>
      </c>
      <c r="W184" s="1">
        <v>0</v>
      </c>
      <c r="X184" s="1">
        <v>14</v>
      </c>
      <c r="Y184" s="1">
        <v>8</v>
      </c>
      <c r="Z184" s="1">
        <v>400000</v>
      </c>
      <c r="AA184" s="1">
        <v>3</v>
      </c>
    </row>
    <row r="185" spans="1:27" ht="12.75" customHeight="1" x14ac:dyDescent="0.15">
      <c r="A185" s="5">
        <v>117</v>
      </c>
      <c r="B185" s="5" t="s">
        <v>984</v>
      </c>
      <c r="C185" s="1">
        <v>12</v>
      </c>
      <c r="D185" s="5" t="s">
        <v>983</v>
      </c>
      <c r="E185" s="1">
        <v>0</v>
      </c>
      <c r="F185" s="5" t="s">
        <v>983</v>
      </c>
      <c r="G185" s="1">
        <v>0</v>
      </c>
      <c r="H185" s="5" t="s">
        <v>983</v>
      </c>
      <c r="I185" s="1">
        <v>4</v>
      </c>
      <c r="J185" s="5" t="s">
        <v>982</v>
      </c>
      <c r="K185" s="1">
        <v>0</v>
      </c>
      <c r="L185" s="5" t="s">
        <v>983</v>
      </c>
      <c r="M185" s="1">
        <v>0</v>
      </c>
      <c r="N185" s="5" t="s">
        <v>983</v>
      </c>
      <c r="O185" s="1">
        <v>0</v>
      </c>
      <c r="P185" s="5" t="s">
        <v>983</v>
      </c>
      <c r="Q185" s="1">
        <v>1</v>
      </c>
      <c r="R185" s="1">
        <v>0</v>
      </c>
      <c r="S185" s="1">
        <v>1</v>
      </c>
      <c r="T185" s="1">
        <v>2</v>
      </c>
      <c r="U185" s="1">
        <v>1</v>
      </c>
      <c r="V185" s="1">
        <v>35</v>
      </c>
      <c r="W185" s="1">
        <v>0</v>
      </c>
      <c r="X185" s="1">
        <v>18</v>
      </c>
      <c r="Y185" s="1">
        <v>33</v>
      </c>
      <c r="Z185" s="1">
        <v>300000</v>
      </c>
      <c r="AA185" s="1">
        <v>3</v>
      </c>
    </row>
    <row r="186" spans="1:27" ht="12.75" customHeight="1" x14ac:dyDescent="0.15">
      <c r="A186" s="5">
        <v>215</v>
      </c>
      <c r="B186" s="5" t="s">
        <v>238</v>
      </c>
      <c r="C186" s="1">
        <v>22</v>
      </c>
      <c r="D186" s="5" t="s">
        <v>982</v>
      </c>
      <c r="E186" s="1">
        <v>7</v>
      </c>
      <c r="F186" s="5" t="s">
        <v>981</v>
      </c>
      <c r="G186" s="1">
        <v>4</v>
      </c>
      <c r="H186" s="5" t="s">
        <v>982</v>
      </c>
      <c r="I186" s="1">
        <v>4</v>
      </c>
      <c r="J186" s="5" t="s">
        <v>982</v>
      </c>
      <c r="K186" s="1">
        <v>2</v>
      </c>
      <c r="L186" s="5" t="s">
        <v>983</v>
      </c>
      <c r="M186" s="1">
        <v>1</v>
      </c>
      <c r="N186" s="5" t="s">
        <v>983</v>
      </c>
      <c r="O186" s="1">
        <v>0</v>
      </c>
      <c r="P186" s="5" t="s">
        <v>983</v>
      </c>
      <c r="Q186" s="1">
        <v>1</v>
      </c>
      <c r="R186" s="1">
        <v>0</v>
      </c>
      <c r="S186" s="1">
        <v>1</v>
      </c>
      <c r="T186" s="1">
        <v>3</v>
      </c>
      <c r="U186" s="1">
        <v>2</v>
      </c>
      <c r="V186" s="1">
        <v>35</v>
      </c>
      <c r="W186" s="1">
        <v>0</v>
      </c>
      <c r="X186" s="1">
        <v>18</v>
      </c>
      <c r="Y186" s="1">
        <v>2</v>
      </c>
      <c r="Z186" s="1">
        <v>0</v>
      </c>
      <c r="AA186" s="1">
        <v>3</v>
      </c>
    </row>
    <row r="187" spans="1:27" ht="12.75" customHeight="1" x14ac:dyDescent="0.15">
      <c r="A187" s="5">
        <v>292</v>
      </c>
      <c r="B187" s="5" t="s">
        <v>238</v>
      </c>
      <c r="C187" s="1">
        <v>19</v>
      </c>
      <c r="D187" s="5" t="s">
        <v>982</v>
      </c>
      <c r="E187" s="1">
        <v>7</v>
      </c>
      <c r="F187" s="5" t="s">
        <v>981</v>
      </c>
      <c r="G187" s="1">
        <v>6</v>
      </c>
      <c r="H187" s="5" t="s">
        <v>981</v>
      </c>
      <c r="I187" s="1">
        <v>3</v>
      </c>
      <c r="J187" s="5" t="s">
        <v>982</v>
      </c>
      <c r="K187" s="1">
        <v>0</v>
      </c>
      <c r="L187" s="5" t="s">
        <v>983</v>
      </c>
      <c r="M187" s="1">
        <v>5</v>
      </c>
      <c r="N187" s="5" t="s">
        <v>982</v>
      </c>
      <c r="O187" s="1">
        <v>0</v>
      </c>
      <c r="P187" s="5" t="s">
        <v>983</v>
      </c>
      <c r="Q187" s="1">
        <v>1</v>
      </c>
      <c r="R187" s="1">
        <v>0</v>
      </c>
      <c r="S187" s="1" t="s">
        <v>194</v>
      </c>
      <c r="T187" s="1" t="s">
        <v>194</v>
      </c>
      <c r="U187" s="1">
        <v>2</v>
      </c>
      <c r="V187" s="1">
        <v>35</v>
      </c>
      <c r="W187" s="1">
        <v>1</v>
      </c>
      <c r="X187" s="1">
        <v>2</v>
      </c>
      <c r="Y187" s="1">
        <v>34</v>
      </c>
      <c r="Z187" s="1">
        <v>0</v>
      </c>
      <c r="AA187" s="1">
        <v>6</v>
      </c>
    </row>
    <row r="188" spans="1:27" ht="12.75" customHeight="1" x14ac:dyDescent="0.15">
      <c r="A188" s="5">
        <v>275</v>
      </c>
      <c r="B188" s="5" t="s">
        <v>238</v>
      </c>
      <c r="C188" s="1">
        <v>22</v>
      </c>
      <c r="D188" s="5" t="s">
        <v>982</v>
      </c>
      <c r="E188" s="1">
        <v>3</v>
      </c>
      <c r="F188" s="5" t="s">
        <v>982</v>
      </c>
      <c r="G188" s="1">
        <v>5</v>
      </c>
      <c r="H188" s="5" t="s">
        <v>982</v>
      </c>
      <c r="I188" s="1">
        <v>0</v>
      </c>
      <c r="J188" s="5" t="s">
        <v>983</v>
      </c>
      <c r="K188" s="1">
        <v>2</v>
      </c>
      <c r="L188" s="5" t="s">
        <v>983</v>
      </c>
      <c r="M188" s="1">
        <v>6</v>
      </c>
      <c r="N188" s="5" t="s">
        <v>981</v>
      </c>
      <c r="O188" s="1">
        <v>0</v>
      </c>
      <c r="P188" s="5" t="s">
        <v>983</v>
      </c>
      <c r="Q188" s="1">
        <v>0</v>
      </c>
      <c r="R188" s="1">
        <v>0</v>
      </c>
      <c r="S188" s="1" t="s">
        <v>194</v>
      </c>
      <c r="T188" s="1" t="s">
        <v>194</v>
      </c>
      <c r="U188" s="1">
        <v>2</v>
      </c>
      <c r="V188" s="1">
        <v>35</v>
      </c>
      <c r="W188" s="1">
        <v>0</v>
      </c>
      <c r="X188" s="1">
        <v>16</v>
      </c>
      <c r="Y188" s="1">
        <v>1</v>
      </c>
      <c r="Z188" s="1">
        <v>250000</v>
      </c>
      <c r="AA188" s="1">
        <v>1</v>
      </c>
    </row>
    <row r="189" spans="1:27" ht="12.75" customHeight="1" x14ac:dyDescent="0.15">
      <c r="A189" s="5">
        <v>118</v>
      </c>
      <c r="B189" s="5" t="s">
        <v>238</v>
      </c>
      <c r="C189" s="1">
        <v>30</v>
      </c>
      <c r="D189" s="5" t="s">
        <v>981</v>
      </c>
      <c r="E189" s="1">
        <v>2</v>
      </c>
      <c r="F189" s="5" t="s">
        <v>982</v>
      </c>
      <c r="G189" s="1">
        <v>7</v>
      </c>
      <c r="H189" s="5" t="s">
        <v>981</v>
      </c>
      <c r="I189" s="1">
        <v>16</v>
      </c>
      <c r="J189" s="5" t="s">
        <v>981</v>
      </c>
      <c r="K189" s="1">
        <v>0</v>
      </c>
      <c r="L189" s="5" t="s">
        <v>983</v>
      </c>
      <c r="M189" s="1">
        <v>0</v>
      </c>
      <c r="N189" s="5" t="s">
        <v>983</v>
      </c>
      <c r="O189" s="1">
        <v>0</v>
      </c>
      <c r="P189" s="5" t="s">
        <v>983</v>
      </c>
      <c r="Q189" s="1">
        <v>1</v>
      </c>
      <c r="R189" s="1">
        <v>0</v>
      </c>
      <c r="S189" s="1" t="s">
        <v>194</v>
      </c>
      <c r="T189" s="1">
        <v>1</v>
      </c>
      <c r="U189" s="1">
        <v>2</v>
      </c>
      <c r="V189" s="1">
        <v>35</v>
      </c>
      <c r="W189" s="1">
        <v>0</v>
      </c>
      <c r="X189" s="1">
        <v>18</v>
      </c>
      <c r="Y189" s="1">
        <v>33</v>
      </c>
      <c r="Z189" s="1">
        <v>300000</v>
      </c>
      <c r="AA189" s="1">
        <v>3</v>
      </c>
    </row>
    <row r="190" spans="1:27" ht="12.75" customHeight="1" x14ac:dyDescent="0.15">
      <c r="A190" s="5">
        <v>107</v>
      </c>
      <c r="B190" s="5" t="s">
        <v>984</v>
      </c>
      <c r="C190" s="1">
        <v>21</v>
      </c>
      <c r="D190" s="5" t="s">
        <v>982</v>
      </c>
      <c r="E190" s="1">
        <v>7</v>
      </c>
      <c r="F190" s="5" t="s">
        <v>981</v>
      </c>
      <c r="G190" s="1">
        <v>2</v>
      </c>
      <c r="H190" s="5" t="s">
        <v>982</v>
      </c>
      <c r="I190" s="1">
        <v>3</v>
      </c>
      <c r="J190" s="5" t="s">
        <v>982</v>
      </c>
      <c r="K190" s="1">
        <v>2</v>
      </c>
      <c r="L190" s="5" t="s">
        <v>983</v>
      </c>
      <c r="M190" s="1">
        <v>3</v>
      </c>
      <c r="N190" s="5" t="s">
        <v>982</v>
      </c>
      <c r="O190" s="1">
        <v>0</v>
      </c>
      <c r="P190" s="5" t="s">
        <v>983</v>
      </c>
      <c r="Q190" s="1">
        <v>1</v>
      </c>
      <c r="R190" s="1">
        <v>0</v>
      </c>
      <c r="S190" s="1" t="s">
        <v>194</v>
      </c>
      <c r="T190" s="1">
        <v>2</v>
      </c>
      <c r="U190" s="1">
        <v>2</v>
      </c>
      <c r="V190" s="1">
        <v>35</v>
      </c>
      <c r="W190" s="1">
        <v>1</v>
      </c>
      <c r="X190" s="1">
        <v>14</v>
      </c>
      <c r="Y190" s="1">
        <v>7</v>
      </c>
      <c r="Z190" s="1">
        <v>380000</v>
      </c>
      <c r="AA190" s="1">
        <v>4</v>
      </c>
    </row>
    <row r="191" spans="1:27" ht="12.75" customHeight="1" x14ac:dyDescent="0.15">
      <c r="A191" s="5">
        <v>323</v>
      </c>
      <c r="B191" s="5" t="s">
        <v>984</v>
      </c>
      <c r="C191" s="1">
        <v>20</v>
      </c>
      <c r="D191" s="5" t="s">
        <v>982</v>
      </c>
      <c r="E191" s="1">
        <v>4</v>
      </c>
      <c r="F191" s="5" t="s">
        <v>982</v>
      </c>
      <c r="G191" s="1">
        <v>0</v>
      </c>
      <c r="H191" s="5" t="s">
        <v>983</v>
      </c>
      <c r="I191" s="1">
        <v>8</v>
      </c>
      <c r="J191" s="5" t="s">
        <v>981</v>
      </c>
      <c r="K191" s="1">
        <v>3</v>
      </c>
      <c r="L191" s="5" t="s">
        <v>982</v>
      </c>
      <c r="M191" s="1">
        <v>1</v>
      </c>
      <c r="N191" s="5" t="s">
        <v>983</v>
      </c>
      <c r="O191" s="1">
        <v>0</v>
      </c>
      <c r="P191" s="5" t="s">
        <v>983</v>
      </c>
      <c r="Q191" s="1">
        <v>0</v>
      </c>
      <c r="R191" s="1">
        <v>0</v>
      </c>
      <c r="S191" s="1" t="s">
        <v>194</v>
      </c>
      <c r="T191" s="1">
        <v>4</v>
      </c>
      <c r="U191" s="1">
        <v>2</v>
      </c>
      <c r="V191" s="1">
        <v>35</v>
      </c>
      <c r="W191" s="1">
        <v>1</v>
      </c>
      <c r="X191" s="1">
        <v>18</v>
      </c>
      <c r="Y191" s="1">
        <v>3</v>
      </c>
      <c r="Z191" s="1">
        <v>900000</v>
      </c>
      <c r="AA191" s="1">
        <v>5</v>
      </c>
    </row>
    <row r="192" spans="1:27" ht="12.75" customHeight="1" x14ac:dyDescent="0.15">
      <c r="A192" s="5">
        <v>314</v>
      </c>
      <c r="B192" s="5" t="s">
        <v>238</v>
      </c>
      <c r="C192" s="1">
        <v>27</v>
      </c>
      <c r="D192" s="5" t="s">
        <v>981</v>
      </c>
      <c r="E192" s="1">
        <v>6</v>
      </c>
      <c r="F192" s="5" t="s">
        <v>981</v>
      </c>
      <c r="G192" s="1">
        <v>6</v>
      </c>
      <c r="H192" s="5" t="s">
        <v>981</v>
      </c>
      <c r="I192" s="1">
        <v>4</v>
      </c>
      <c r="J192" s="5" t="s">
        <v>982</v>
      </c>
      <c r="K192" s="1">
        <v>9</v>
      </c>
      <c r="L192" s="5" t="s">
        <v>981</v>
      </c>
      <c r="M192" s="1">
        <v>9</v>
      </c>
      <c r="N192" s="5" t="s">
        <v>981</v>
      </c>
      <c r="O192" s="1">
        <v>0</v>
      </c>
      <c r="P192" s="5" t="s">
        <v>983</v>
      </c>
      <c r="Q192" s="1">
        <v>1</v>
      </c>
      <c r="R192" s="1">
        <v>0</v>
      </c>
      <c r="S192" s="1">
        <v>1</v>
      </c>
      <c r="T192" s="1">
        <v>3</v>
      </c>
      <c r="U192" s="1">
        <v>3</v>
      </c>
      <c r="V192" s="1">
        <v>35</v>
      </c>
      <c r="W192" s="1">
        <v>0</v>
      </c>
      <c r="X192" s="1">
        <v>12</v>
      </c>
      <c r="Y192" s="1">
        <v>6</v>
      </c>
      <c r="Z192" s="1">
        <v>400000</v>
      </c>
      <c r="AA192" s="1">
        <v>4</v>
      </c>
    </row>
    <row r="193" spans="1:27" ht="12.75" customHeight="1" x14ac:dyDescent="0.15">
      <c r="A193" s="5">
        <v>108</v>
      </c>
      <c r="B193" s="5" t="s">
        <v>238</v>
      </c>
      <c r="C193" s="1">
        <v>19</v>
      </c>
      <c r="D193" s="5" t="s">
        <v>982</v>
      </c>
      <c r="E193" s="1">
        <v>1</v>
      </c>
      <c r="F193" s="5" t="s">
        <v>983</v>
      </c>
      <c r="G193" s="1">
        <v>0</v>
      </c>
      <c r="H193" s="5" t="s">
        <v>983</v>
      </c>
      <c r="I193" s="1">
        <v>16</v>
      </c>
      <c r="J193" s="5" t="s">
        <v>981</v>
      </c>
      <c r="K193" s="1">
        <v>0</v>
      </c>
      <c r="L193" s="5" t="s">
        <v>983</v>
      </c>
      <c r="M193" s="1">
        <v>0</v>
      </c>
      <c r="N193" s="5" t="s">
        <v>983</v>
      </c>
      <c r="O193" s="1">
        <v>0</v>
      </c>
      <c r="P193" s="5" t="s">
        <v>983</v>
      </c>
      <c r="Q193" s="1">
        <v>1</v>
      </c>
      <c r="R193" s="1">
        <v>0</v>
      </c>
      <c r="S193" s="1" t="s">
        <v>194</v>
      </c>
      <c r="T193" s="1">
        <v>4</v>
      </c>
      <c r="U193" s="1">
        <v>3</v>
      </c>
      <c r="V193" s="1">
        <v>35</v>
      </c>
      <c r="W193" s="1">
        <v>1</v>
      </c>
      <c r="X193" s="1">
        <v>14</v>
      </c>
      <c r="Y193" s="1">
        <v>7</v>
      </c>
      <c r="Z193" s="1">
        <v>380000</v>
      </c>
      <c r="AA193" s="1">
        <v>4</v>
      </c>
    </row>
    <row r="194" spans="1:27" ht="12.75" customHeight="1" x14ac:dyDescent="0.15">
      <c r="A194" s="5">
        <v>336</v>
      </c>
      <c r="B194" s="5" t="s">
        <v>238</v>
      </c>
      <c r="C194" s="1">
        <v>33</v>
      </c>
      <c r="D194" s="5" t="s">
        <v>981</v>
      </c>
      <c r="E194" s="1">
        <v>4</v>
      </c>
      <c r="F194" s="5" t="s">
        <v>982</v>
      </c>
      <c r="G194" s="1">
        <v>4</v>
      </c>
      <c r="H194" s="5" t="s">
        <v>982</v>
      </c>
      <c r="I194" s="1">
        <v>10</v>
      </c>
      <c r="J194" s="5" t="s">
        <v>981</v>
      </c>
      <c r="K194" s="1">
        <v>1</v>
      </c>
      <c r="L194" s="5" t="s">
        <v>983</v>
      </c>
      <c r="M194" s="1">
        <v>4</v>
      </c>
      <c r="N194" s="5" t="s">
        <v>982</v>
      </c>
      <c r="O194" s="1">
        <v>0</v>
      </c>
      <c r="P194" s="5" t="s">
        <v>983</v>
      </c>
      <c r="Q194" s="1">
        <v>1</v>
      </c>
      <c r="R194" s="1">
        <v>0</v>
      </c>
      <c r="S194" s="1">
        <v>1</v>
      </c>
      <c r="T194" s="1" t="s">
        <v>194</v>
      </c>
      <c r="U194" s="1">
        <v>4</v>
      </c>
      <c r="V194" s="1">
        <v>35</v>
      </c>
      <c r="W194" s="1">
        <v>1</v>
      </c>
      <c r="X194" s="1"/>
      <c r="Y194" s="1">
        <v>2</v>
      </c>
      <c r="Z194" s="1">
        <v>1200000</v>
      </c>
      <c r="AA194" s="1">
        <v>4</v>
      </c>
    </row>
    <row r="195" spans="1:27" ht="12.75" customHeight="1" x14ac:dyDescent="0.15">
      <c r="A195" s="5">
        <v>272</v>
      </c>
      <c r="B195" s="5" t="s">
        <v>984</v>
      </c>
      <c r="C195" s="1">
        <v>23</v>
      </c>
      <c r="D195" s="5" t="s">
        <v>982</v>
      </c>
      <c r="E195" s="1">
        <v>5</v>
      </c>
      <c r="F195" s="5" t="s">
        <v>981</v>
      </c>
      <c r="G195" s="1">
        <v>1</v>
      </c>
      <c r="H195" s="5" t="s">
        <v>983</v>
      </c>
      <c r="I195" s="1">
        <v>8</v>
      </c>
      <c r="J195" s="5" t="s">
        <v>981</v>
      </c>
      <c r="K195" s="1">
        <v>0</v>
      </c>
      <c r="L195" s="5" t="s">
        <v>983</v>
      </c>
      <c r="M195" s="1">
        <v>0</v>
      </c>
      <c r="N195" s="5" t="s">
        <v>983</v>
      </c>
      <c r="O195" s="1">
        <v>0</v>
      </c>
      <c r="P195" s="5" t="s">
        <v>983</v>
      </c>
      <c r="Q195" s="1">
        <v>0</v>
      </c>
      <c r="R195" s="1">
        <v>0</v>
      </c>
      <c r="S195" s="1" t="s">
        <v>194</v>
      </c>
      <c r="T195" s="1">
        <v>5</v>
      </c>
      <c r="U195" s="1">
        <v>4</v>
      </c>
      <c r="V195" s="1">
        <v>35</v>
      </c>
      <c r="W195" s="1">
        <v>0</v>
      </c>
      <c r="X195" s="1">
        <v>3</v>
      </c>
      <c r="Y195" s="1">
        <v>34</v>
      </c>
      <c r="Z195" s="1">
        <v>53000</v>
      </c>
      <c r="AA195" s="1">
        <v>2</v>
      </c>
    </row>
    <row r="196" spans="1:27" ht="12.75" customHeight="1" x14ac:dyDescent="0.15">
      <c r="A196" s="5">
        <v>195</v>
      </c>
      <c r="B196" s="5" t="s">
        <v>238</v>
      </c>
      <c r="C196" s="1">
        <v>16</v>
      </c>
      <c r="D196" s="5" t="s">
        <v>983</v>
      </c>
      <c r="E196" s="1">
        <v>0</v>
      </c>
      <c r="F196" s="5" t="s">
        <v>983</v>
      </c>
      <c r="G196" s="1">
        <v>0</v>
      </c>
      <c r="H196" s="5" t="s">
        <v>983</v>
      </c>
      <c r="I196" s="1">
        <v>16</v>
      </c>
      <c r="J196" s="5" t="s">
        <v>981</v>
      </c>
      <c r="K196" s="1">
        <v>0</v>
      </c>
      <c r="L196" s="5" t="s">
        <v>983</v>
      </c>
      <c r="M196" s="1">
        <v>0</v>
      </c>
      <c r="N196" s="5" t="s">
        <v>983</v>
      </c>
      <c r="O196" s="1">
        <v>0</v>
      </c>
      <c r="P196" s="5" t="s">
        <v>983</v>
      </c>
      <c r="Q196" s="1">
        <v>1</v>
      </c>
      <c r="R196" s="1">
        <v>0</v>
      </c>
      <c r="S196" s="1">
        <v>1</v>
      </c>
      <c r="T196" s="1">
        <v>5</v>
      </c>
      <c r="U196" s="1">
        <v>5</v>
      </c>
      <c r="V196" s="1">
        <v>35</v>
      </c>
      <c r="W196" s="1">
        <v>0</v>
      </c>
      <c r="X196" s="1">
        <v>15</v>
      </c>
      <c r="Y196" s="1">
        <v>1</v>
      </c>
      <c r="Z196" s="1">
        <v>460000</v>
      </c>
      <c r="AA196" s="1">
        <v>4</v>
      </c>
    </row>
    <row r="197" spans="1:27" ht="12.75" customHeight="1" x14ac:dyDescent="0.15">
      <c r="A197" s="5">
        <v>44</v>
      </c>
      <c r="B197" s="5" t="s">
        <v>238</v>
      </c>
      <c r="C197" s="1">
        <v>28</v>
      </c>
      <c r="D197" s="5" t="s">
        <v>981</v>
      </c>
      <c r="E197" s="1">
        <v>3</v>
      </c>
      <c r="F197" s="5" t="s">
        <v>982</v>
      </c>
      <c r="G197" s="1">
        <v>4</v>
      </c>
      <c r="H197" s="5" t="s">
        <v>982</v>
      </c>
      <c r="I197" s="1">
        <v>16</v>
      </c>
      <c r="J197" s="5" t="s">
        <v>981</v>
      </c>
      <c r="K197" s="1">
        <v>4</v>
      </c>
      <c r="L197" s="5" t="s">
        <v>982</v>
      </c>
      <c r="M197" s="1">
        <v>1</v>
      </c>
      <c r="N197" s="5" t="s">
        <v>983</v>
      </c>
      <c r="O197" s="1">
        <v>0</v>
      </c>
      <c r="P197" s="5" t="s">
        <v>983</v>
      </c>
      <c r="Q197" s="1">
        <v>1</v>
      </c>
      <c r="R197" s="1">
        <v>0</v>
      </c>
      <c r="S197" s="1">
        <v>1</v>
      </c>
      <c r="T197" s="1">
        <v>5</v>
      </c>
      <c r="U197" s="1">
        <v>5</v>
      </c>
      <c r="V197" s="1">
        <v>35</v>
      </c>
      <c r="W197" s="1">
        <v>1</v>
      </c>
      <c r="X197" s="1">
        <v>12</v>
      </c>
      <c r="Y197" s="1">
        <v>24</v>
      </c>
      <c r="Z197" s="1">
        <v>1150000</v>
      </c>
      <c r="AA197" s="1">
        <v>1</v>
      </c>
    </row>
    <row r="198" spans="1:27" ht="12.75" customHeight="1" x14ac:dyDescent="0.15">
      <c r="A198" s="5">
        <v>371</v>
      </c>
      <c r="B198" s="5" t="s">
        <v>984</v>
      </c>
      <c r="C198" s="1">
        <v>12</v>
      </c>
      <c r="D198" s="5" t="s">
        <v>983</v>
      </c>
      <c r="E198" s="1">
        <v>0</v>
      </c>
      <c r="F198" s="5" t="s">
        <v>983</v>
      </c>
      <c r="G198" s="1">
        <v>0</v>
      </c>
      <c r="H198" s="5" t="s">
        <v>983</v>
      </c>
      <c r="I198" s="1">
        <v>16</v>
      </c>
      <c r="J198" s="5" t="s">
        <v>981</v>
      </c>
      <c r="K198" s="1">
        <v>0</v>
      </c>
      <c r="L198" s="5" t="s">
        <v>983</v>
      </c>
      <c r="M198" s="1">
        <v>0</v>
      </c>
      <c r="N198" s="5" t="s">
        <v>983</v>
      </c>
      <c r="O198" s="1">
        <v>0</v>
      </c>
      <c r="P198" s="5" t="s">
        <v>983</v>
      </c>
      <c r="Q198" s="1">
        <v>1</v>
      </c>
      <c r="R198" s="1">
        <v>0</v>
      </c>
      <c r="S198" s="1" t="s">
        <v>194</v>
      </c>
      <c r="T198" s="1">
        <v>5</v>
      </c>
      <c r="U198" s="1">
        <v>5</v>
      </c>
      <c r="V198" s="1">
        <v>35</v>
      </c>
      <c r="W198" s="1">
        <v>0</v>
      </c>
      <c r="X198" s="1">
        <v>14</v>
      </c>
      <c r="Y198" s="1">
        <v>34</v>
      </c>
      <c r="Z198" s="1">
        <v>0</v>
      </c>
      <c r="AA198" s="1">
        <v>1</v>
      </c>
    </row>
    <row r="199" spans="1:27" ht="12.75" customHeight="1" x14ac:dyDescent="0.15">
      <c r="A199" s="5">
        <v>181</v>
      </c>
      <c r="B199" s="5" t="s">
        <v>238</v>
      </c>
      <c r="C199" s="1">
        <v>19</v>
      </c>
      <c r="D199" s="5" t="s">
        <v>982</v>
      </c>
      <c r="E199" s="1">
        <v>0</v>
      </c>
      <c r="F199" s="5" t="s">
        <v>983</v>
      </c>
      <c r="G199" s="1">
        <v>1</v>
      </c>
      <c r="H199" s="5" t="s">
        <v>983</v>
      </c>
      <c r="I199" s="1">
        <v>14</v>
      </c>
      <c r="J199" s="5" t="s">
        <v>981</v>
      </c>
      <c r="K199" s="1">
        <v>4</v>
      </c>
      <c r="L199" s="5" t="s">
        <v>982</v>
      </c>
      <c r="M199" s="1">
        <v>0</v>
      </c>
      <c r="N199" s="5" t="s">
        <v>983</v>
      </c>
      <c r="O199" s="1">
        <v>4</v>
      </c>
      <c r="P199" s="5" t="s">
        <v>982</v>
      </c>
      <c r="Q199" s="1">
        <v>1</v>
      </c>
      <c r="R199" s="1">
        <v>0</v>
      </c>
      <c r="S199" s="1" t="s">
        <v>194</v>
      </c>
      <c r="T199" s="1">
        <v>2</v>
      </c>
      <c r="U199" s="1">
        <v>1</v>
      </c>
      <c r="V199" s="1">
        <v>36</v>
      </c>
      <c r="W199" s="1">
        <v>0</v>
      </c>
      <c r="X199" s="1">
        <v>14</v>
      </c>
      <c r="Y199" s="1">
        <v>34</v>
      </c>
      <c r="Z199" s="1">
        <v>500000</v>
      </c>
      <c r="AA199" s="1">
        <v>4</v>
      </c>
    </row>
    <row r="200" spans="1:27" ht="12.75" customHeight="1" x14ac:dyDescent="0.15">
      <c r="A200" s="5">
        <v>454</v>
      </c>
      <c r="B200" s="5" t="s">
        <v>238</v>
      </c>
      <c r="C200" s="1">
        <v>13</v>
      </c>
      <c r="D200" s="5" t="s">
        <v>983</v>
      </c>
      <c r="E200" s="1">
        <v>3</v>
      </c>
      <c r="F200" s="5" t="s">
        <v>982</v>
      </c>
      <c r="G200" s="1">
        <v>0</v>
      </c>
      <c r="H200" s="5" t="s">
        <v>983</v>
      </c>
      <c r="I200" s="1">
        <v>12</v>
      </c>
      <c r="J200" s="5" t="s">
        <v>981</v>
      </c>
      <c r="K200" s="1">
        <v>2</v>
      </c>
      <c r="L200" s="5" t="s">
        <v>983</v>
      </c>
      <c r="M200" s="1">
        <v>0</v>
      </c>
      <c r="N200" s="5" t="s">
        <v>983</v>
      </c>
      <c r="O200" s="1">
        <v>0</v>
      </c>
      <c r="P200" s="5" t="s">
        <v>983</v>
      </c>
      <c r="Q200" s="1">
        <v>1</v>
      </c>
      <c r="R200" s="1">
        <v>0</v>
      </c>
      <c r="S200" s="1">
        <v>1</v>
      </c>
      <c r="T200" s="1" t="s">
        <v>194</v>
      </c>
      <c r="U200" s="1">
        <v>2</v>
      </c>
      <c r="V200" s="1">
        <v>36</v>
      </c>
      <c r="W200" s="1">
        <v>1</v>
      </c>
      <c r="X200" s="1">
        <v>4</v>
      </c>
      <c r="Y200" s="1">
        <v>34</v>
      </c>
      <c r="Z200" s="1">
        <v>0</v>
      </c>
      <c r="AA200" s="1">
        <v>1</v>
      </c>
    </row>
    <row r="201" spans="1:27" ht="12.75" customHeight="1" x14ac:dyDescent="0.15">
      <c r="A201" s="5">
        <v>474</v>
      </c>
      <c r="B201" s="5" t="s">
        <v>238</v>
      </c>
      <c r="C201" s="1">
        <v>15</v>
      </c>
      <c r="D201" s="5" t="s">
        <v>983</v>
      </c>
      <c r="E201" s="1">
        <v>6</v>
      </c>
      <c r="F201" s="5" t="s">
        <v>981</v>
      </c>
      <c r="G201" s="1">
        <v>4</v>
      </c>
      <c r="H201" s="5" t="s">
        <v>982</v>
      </c>
      <c r="I201" s="1">
        <v>6</v>
      </c>
      <c r="J201" s="5" t="s">
        <v>981</v>
      </c>
      <c r="K201" s="1">
        <v>0</v>
      </c>
      <c r="L201" s="5" t="s">
        <v>983</v>
      </c>
      <c r="M201" s="1">
        <v>1</v>
      </c>
      <c r="N201" s="5" t="s">
        <v>983</v>
      </c>
      <c r="O201" s="1">
        <v>0</v>
      </c>
      <c r="P201" s="5" t="s">
        <v>983</v>
      </c>
      <c r="Q201" s="1">
        <v>1</v>
      </c>
      <c r="R201" s="1">
        <v>0</v>
      </c>
      <c r="S201" s="1">
        <v>1</v>
      </c>
      <c r="T201" s="1">
        <v>2</v>
      </c>
      <c r="U201" s="1">
        <v>2</v>
      </c>
      <c r="V201" s="1">
        <v>36</v>
      </c>
      <c r="W201" s="1">
        <v>1</v>
      </c>
      <c r="X201" s="1">
        <v>11</v>
      </c>
      <c r="Y201" s="1">
        <v>6</v>
      </c>
      <c r="Z201" s="1">
        <v>200000</v>
      </c>
      <c r="AA201" s="1">
        <v>1</v>
      </c>
    </row>
    <row r="202" spans="1:27" ht="12.75" customHeight="1" x14ac:dyDescent="0.15">
      <c r="A202" s="5">
        <v>237</v>
      </c>
      <c r="B202" s="5" t="s">
        <v>238</v>
      </c>
      <c r="C202" s="1">
        <v>30</v>
      </c>
      <c r="D202" s="5" t="s">
        <v>981</v>
      </c>
      <c r="E202" s="1">
        <v>12</v>
      </c>
      <c r="F202" s="5" t="s">
        <v>981</v>
      </c>
      <c r="G202" s="1">
        <v>12</v>
      </c>
      <c r="H202" s="5" t="s">
        <v>981</v>
      </c>
      <c r="I202" s="1">
        <v>0</v>
      </c>
      <c r="J202" s="5" t="s">
        <v>983</v>
      </c>
      <c r="K202" s="1">
        <v>12</v>
      </c>
      <c r="L202" s="5" t="s">
        <v>981</v>
      </c>
      <c r="M202" s="1">
        <v>12</v>
      </c>
      <c r="N202" s="5" t="s">
        <v>981</v>
      </c>
      <c r="O202" s="1">
        <v>0</v>
      </c>
      <c r="P202" s="5" t="s">
        <v>983</v>
      </c>
      <c r="Q202" s="1">
        <v>1</v>
      </c>
      <c r="R202" s="1">
        <v>0</v>
      </c>
      <c r="S202" s="1">
        <v>1</v>
      </c>
      <c r="T202" s="1">
        <v>3</v>
      </c>
      <c r="U202" s="1">
        <v>2</v>
      </c>
      <c r="V202" s="1">
        <v>36</v>
      </c>
      <c r="W202" s="1">
        <v>1</v>
      </c>
      <c r="X202" s="1">
        <v>2</v>
      </c>
      <c r="Y202" s="1">
        <v>17</v>
      </c>
      <c r="Z202" s="1">
        <v>440000</v>
      </c>
      <c r="AA202" s="1">
        <v>2</v>
      </c>
    </row>
    <row r="203" spans="1:27" ht="12.75" customHeight="1" x14ac:dyDescent="0.15">
      <c r="A203" s="5">
        <v>27</v>
      </c>
      <c r="B203" s="5" t="s">
        <v>238</v>
      </c>
      <c r="C203" s="1">
        <v>22</v>
      </c>
      <c r="D203" s="5" t="s">
        <v>982</v>
      </c>
      <c r="E203" s="1">
        <v>5</v>
      </c>
      <c r="F203" s="5" t="s">
        <v>981</v>
      </c>
      <c r="G203" s="1">
        <v>0</v>
      </c>
      <c r="H203" s="5" t="s">
        <v>983</v>
      </c>
      <c r="I203" s="1">
        <v>10</v>
      </c>
      <c r="J203" s="5" t="s">
        <v>981</v>
      </c>
      <c r="K203" s="1">
        <v>0</v>
      </c>
      <c r="L203" s="5" t="s">
        <v>983</v>
      </c>
      <c r="M203" s="1">
        <v>0</v>
      </c>
      <c r="N203" s="5" t="s">
        <v>983</v>
      </c>
      <c r="O203" s="1">
        <v>0</v>
      </c>
      <c r="P203" s="5" t="s">
        <v>983</v>
      </c>
      <c r="Q203" s="1">
        <v>0</v>
      </c>
      <c r="R203" s="1">
        <v>0</v>
      </c>
      <c r="S203" s="1">
        <v>1</v>
      </c>
      <c r="T203" s="1">
        <v>3</v>
      </c>
      <c r="U203" s="1">
        <v>2</v>
      </c>
      <c r="V203" s="1">
        <v>36</v>
      </c>
      <c r="W203" s="1">
        <v>1</v>
      </c>
      <c r="X203" s="1">
        <v>9</v>
      </c>
      <c r="Y203" s="1">
        <v>10</v>
      </c>
      <c r="Z203" s="1">
        <v>850000</v>
      </c>
      <c r="AA203" s="1">
        <v>1</v>
      </c>
    </row>
    <row r="204" spans="1:27" ht="12.75" customHeight="1" x14ac:dyDescent="0.15">
      <c r="A204" s="5">
        <v>63</v>
      </c>
      <c r="B204" s="5" t="s">
        <v>238</v>
      </c>
      <c r="C204" s="1">
        <v>27</v>
      </c>
      <c r="D204" s="5" t="s">
        <v>981</v>
      </c>
      <c r="E204" s="1">
        <v>2</v>
      </c>
      <c r="F204" s="5" t="s">
        <v>982</v>
      </c>
      <c r="G204" s="1">
        <v>2</v>
      </c>
      <c r="H204" s="5" t="s">
        <v>982</v>
      </c>
      <c r="I204" s="1">
        <v>3</v>
      </c>
      <c r="J204" s="5" t="s">
        <v>982</v>
      </c>
      <c r="K204" s="1">
        <v>1</v>
      </c>
      <c r="L204" s="5" t="s">
        <v>983</v>
      </c>
      <c r="M204" s="1">
        <v>1</v>
      </c>
      <c r="N204" s="5" t="s">
        <v>983</v>
      </c>
      <c r="O204" s="1">
        <v>0</v>
      </c>
      <c r="P204" s="5" t="s">
        <v>983</v>
      </c>
      <c r="Q204" s="1">
        <v>1</v>
      </c>
      <c r="R204" s="1">
        <v>0</v>
      </c>
      <c r="S204" s="1">
        <v>1</v>
      </c>
      <c r="T204" s="1">
        <v>3</v>
      </c>
      <c r="U204" s="1">
        <v>3</v>
      </c>
      <c r="V204" s="1">
        <v>36</v>
      </c>
      <c r="W204" s="1">
        <v>0</v>
      </c>
      <c r="X204" s="1"/>
      <c r="Y204" s="1">
        <v>1</v>
      </c>
      <c r="Z204" s="1">
        <v>0</v>
      </c>
      <c r="AA204" s="1">
        <v>4</v>
      </c>
    </row>
    <row r="205" spans="1:27" ht="12.75" customHeight="1" x14ac:dyDescent="0.15">
      <c r="A205" s="5">
        <v>236</v>
      </c>
      <c r="B205" s="5" t="s">
        <v>984</v>
      </c>
      <c r="C205" s="1">
        <v>24</v>
      </c>
      <c r="D205" s="5" t="s">
        <v>981</v>
      </c>
      <c r="E205" s="1">
        <v>1</v>
      </c>
      <c r="F205" s="5" t="s">
        <v>983</v>
      </c>
      <c r="G205" s="1">
        <v>3</v>
      </c>
      <c r="H205" s="5" t="s">
        <v>982</v>
      </c>
      <c r="I205" s="1">
        <v>3</v>
      </c>
      <c r="J205" s="5" t="s">
        <v>982</v>
      </c>
      <c r="K205" s="1">
        <v>0</v>
      </c>
      <c r="L205" s="5" t="s">
        <v>983</v>
      </c>
      <c r="M205" s="1">
        <v>0</v>
      </c>
      <c r="N205" s="5" t="s">
        <v>983</v>
      </c>
      <c r="O205" s="1">
        <v>5</v>
      </c>
      <c r="P205" s="5" t="s">
        <v>982</v>
      </c>
      <c r="Q205" s="1">
        <v>0</v>
      </c>
      <c r="R205" s="1">
        <v>0</v>
      </c>
      <c r="S205" s="1" t="s">
        <v>194</v>
      </c>
      <c r="T205" s="1">
        <v>3</v>
      </c>
      <c r="U205" s="1">
        <v>3</v>
      </c>
      <c r="V205" s="1">
        <v>36</v>
      </c>
      <c r="W205" s="1">
        <v>1</v>
      </c>
      <c r="X205" s="1">
        <v>2</v>
      </c>
      <c r="Y205" s="1">
        <v>17</v>
      </c>
      <c r="Z205" s="1">
        <v>440000</v>
      </c>
      <c r="AA205" s="1">
        <v>2</v>
      </c>
    </row>
    <row r="206" spans="1:27" ht="12.75" customHeight="1" x14ac:dyDescent="0.15">
      <c r="A206" s="5">
        <v>253</v>
      </c>
      <c r="B206" s="5" t="s">
        <v>238</v>
      </c>
      <c r="C206" s="1">
        <v>25</v>
      </c>
      <c r="D206" s="5" t="s">
        <v>981</v>
      </c>
      <c r="E206" s="1">
        <v>6</v>
      </c>
      <c r="F206" s="5" t="s">
        <v>981</v>
      </c>
      <c r="G206" s="1">
        <v>7</v>
      </c>
      <c r="H206" s="5" t="s">
        <v>981</v>
      </c>
      <c r="I206" s="1">
        <v>8</v>
      </c>
      <c r="J206" s="5" t="s">
        <v>981</v>
      </c>
      <c r="K206" s="1">
        <v>6</v>
      </c>
      <c r="L206" s="5" t="s">
        <v>981</v>
      </c>
      <c r="M206" s="1">
        <v>6</v>
      </c>
      <c r="N206" s="5" t="s">
        <v>981</v>
      </c>
      <c r="O206" s="1">
        <v>0</v>
      </c>
      <c r="P206" s="5" t="s">
        <v>983</v>
      </c>
      <c r="Q206" s="1">
        <v>1</v>
      </c>
      <c r="R206" s="1">
        <v>0</v>
      </c>
      <c r="S206" s="1" t="s">
        <v>194</v>
      </c>
      <c r="T206" s="1">
        <v>2</v>
      </c>
      <c r="U206" s="1">
        <v>3</v>
      </c>
      <c r="V206" s="1">
        <v>36</v>
      </c>
      <c r="W206" s="1">
        <v>1</v>
      </c>
      <c r="X206" s="1">
        <v>14</v>
      </c>
      <c r="Y206" s="1">
        <v>34</v>
      </c>
      <c r="Z206" s="1">
        <v>450000</v>
      </c>
      <c r="AA206" s="1">
        <v>3</v>
      </c>
    </row>
    <row r="207" spans="1:27" ht="12.75" customHeight="1" x14ac:dyDescent="0.15">
      <c r="A207" s="5">
        <v>393</v>
      </c>
      <c r="B207" s="5" t="s">
        <v>238</v>
      </c>
      <c r="C207" s="1">
        <v>12</v>
      </c>
      <c r="D207" s="5" t="s">
        <v>983</v>
      </c>
      <c r="E207" s="1">
        <v>3</v>
      </c>
      <c r="F207" s="5" t="s">
        <v>982</v>
      </c>
      <c r="G207" s="1">
        <v>3</v>
      </c>
      <c r="H207" s="5" t="s">
        <v>982</v>
      </c>
      <c r="I207" s="1">
        <v>12</v>
      </c>
      <c r="J207" s="5" t="s">
        <v>981</v>
      </c>
      <c r="K207" s="1">
        <v>3</v>
      </c>
      <c r="L207" s="5" t="s">
        <v>982</v>
      </c>
      <c r="M207" s="1">
        <v>3</v>
      </c>
      <c r="N207" s="5" t="s">
        <v>982</v>
      </c>
      <c r="O207" s="1">
        <v>0</v>
      </c>
      <c r="P207" s="5" t="s">
        <v>983</v>
      </c>
      <c r="Q207" s="1">
        <v>0</v>
      </c>
      <c r="R207" s="1">
        <v>1</v>
      </c>
      <c r="S207" s="1" t="s">
        <v>194</v>
      </c>
      <c r="T207" s="1">
        <v>1</v>
      </c>
      <c r="U207" s="1">
        <v>3</v>
      </c>
      <c r="V207" s="1">
        <v>36</v>
      </c>
      <c r="W207" s="1">
        <v>0</v>
      </c>
      <c r="X207" s="1">
        <v>14</v>
      </c>
      <c r="Y207" s="1">
        <v>7</v>
      </c>
      <c r="Z207" s="1">
        <v>800000</v>
      </c>
      <c r="AA207" s="1">
        <v>2</v>
      </c>
    </row>
    <row r="208" spans="1:27" ht="12.75" customHeight="1" x14ac:dyDescent="0.15">
      <c r="A208" s="5">
        <v>180</v>
      </c>
      <c r="B208" s="5" t="s">
        <v>238</v>
      </c>
      <c r="C208" s="1">
        <v>13</v>
      </c>
      <c r="D208" s="5" t="s">
        <v>983</v>
      </c>
      <c r="E208" s="1">
        <v>0</v>
      </c>
      <c r="F208" s="5" t="s">
        <v>983</v>
      </c>
      <c r="G208" s="1">
        <v>3</v>
      </c>
      <c r="H208" s="5" t="s">
        <v>982</v>
      </c>
      <c r="I208" s="1">
        <v>5</v>
      </c>
      <c r="J208" s="5" t="s">
        <v>981</v>
      </c>
      <c r="K208" s="1">
        <v>0</v>
      </c>
      <c r="L208" s="5" t="s">
        <v>983</v>
      </c>
      <c r="M208" s="1">
        <v>0</v>
      </c>
      <c r="N208" s="5" t="s">
        <v>983</v>
      </c>
      <c r="O208" s="1">
        <v>0</v>
      </c>
      <c r="P208" s="5" t="s">
        <v>983</v>
      </c>
      <c r="Q208" s="1">
        <v>1</v>
      </c>
      <c r="R208" s="1">
        <v>0</v>
      </c>
      <c r="S208" s="1">
        <v>1</v>
      </c>
      <c r="T208" s="1">
        <v>4</v>
      </c>
      <c r="U208" s="1">
        <v>4</v>
      </c>
      <c r="V208" s="1">
        <v>36</v>
      </c>
      <c r="W208" s="1">
        <v>0</v>
      </c>
      <c r="X208" s="1">
        <v>14</v>
      </c>
      <c r="Y208" s="1">
        <v>34</v>
      </c>
      <c r="Z208" s="1">
        <v>500000</v>
      </c>
      <c r="AA208" s="1">
        <v>4</v>
      </c>
    </row>
    <row r="209" spans="1:27" ht="12.75" customHeight="1" x14ac:dyDescent="0.15">
      <c r="A209" s="5">
        <v>162</v>
      </c>
      <c r="B209" s="5" t="s">
        <v>238</v>
      </c>
      <c r="C209" s="1">
        <v>24</v>
      </c>
      <c r="D209" s="5" t="s">
        <v>981</v>
      </c>
      <c r="E209" s="1">
        <v>4</v>
      </c>
      <c r="F209" s="5" t="s">
        <v>982</v>
      </c>
      <c r="G209" s="1">
        <v>4</v>
      </c>
      <c r="H209" s="5" t="s">
        <v>982</v>
      </c>
      <c r="I209" s="1">
        <v>8</v>
      </c>
      <c r="J209" s="5" t="s">
        <v>981</v>
      </c>
      <c r="K209" s="1">
        <v>4</v>
      </c>
      <c r="L209" s="5" t="s">
        <v>982</v>
      </c>
      <c r="M209" s="1">
        <v>3</v>
      </c>
      <c r="N209" s="5" t="s">
        <v>982</v>
      </c>
      <c r="O209" s="1">
        <v>0</v>
      </c>
      <c r="P209" s="5" t="s">
        <v>983</v>
      </c>
      <c r="Q209" s="1">
        <v>1</v>
      </c>
      <c r="R209" s="1">
        <v>1</v>
      </c>
      <c r="S209" s="1">
        <v>1</v>
      </c>
      <c r="T209" s="1">
        <v>4</v>
      </c>
      <c r="U209" s="1">
        <v>4</v>
      </c>
      <c r="V209" s="1">
        <v>36</v>
      </c>
      <c r="W209" s="1">
        <v>0</v>
      </c>
      <c r="X209" s="1">
        <v>16</v>
      </c>
      <c r="Y209" s="1">
        <v>3</v>
      </c>
      <c r="Z209" s="1">
        <v>900000</v>
      </c>
      <c r="AA209" s="1">
        <v>6</v>
      </c>
    </row>
    <row r="210" spans="1:27" ht="12.75" customHeight="1" x14ac:dyDescent="0.15">
      <c r="A210" s="5">
        <v>361</v>
      </c>
      <c r="B210" s="5" t="s">
        <v>984</v>
      </c>
      <c r="C210" s="1">
        <v>33</v>
      </c>
      <c r="D210" s="5" t="s">
        <v>981</v>
      </c>
      <c r="E210" s="1">
        <v>3</v>
      </c>
      <c r="F210" s="5" t="s">
        <v>982</v>
      </c>
      <c r="G210" s="1">
        <v>3</v>
      </c>
      <c r="H210" s="5" t="s">
        <v>982</v>
      </c>
      <c r="I210" s="1">
        <v>4</v>
      </c>
      <c r="J210" s="5" t="s">
        <v>982</v>
      </c>
      <c r="K210" s="1">
        <v>6</v>
      </c>
      <c r="L210" s="5" t="s">
        <v>981</v>
      </c>
      <c r="M210" s="1">
        <v>1</v>
      </c>
      <c r="N210" s="5" t="s">
        <v>983</v>
      </c>
      <c r="O210" s="1">
        <v>0</v>
      </c>
      <c r="P210" s="5" t="s">
        <v>983</v>
      </c>
      <c r="Q210" s="1">
        <v>0</v>
      </c>
      <c r="R210" s="1">
        <v>0</v>
      </c>
      <c r="S210" s="1" t="s">
        <v>194</v>
      </c>
      <c r="T210" s="1">
        <v>5</v>
      </c>
      <c r="U210" s="1">
        <v>4</v>
      </c>
      <c r="V210" s="1">
        <v>36</v>
      </c>
      <c r="W210" s="1">
        <v>0</v>
      </c>
      <c r="X210" s="1">
        <v>14</v>
      </c>
      <c r="Y210" s="1">
        <v>2</v>
      </c>
      <c r="Z210" s="1">
        <v>0</v>
      </c>
      <c r="AA210" s="1">
        <v>4</v>
      </c>
    </row>
    <row r="211" spans="1:27" ht="12.75" customHeight="1" x14ac:dyDescent="0.15">
      <c r="A211" s="5">
        <v>138</v>
      </c>
      <c r="B211" s="5" t="s">
        <v>238</v>
      </c>
      <c r="C211" s="1">
        <v>13</v>
      </c>
      <c r="D211" s="5" t="s">
        <v>983</v>
      </c>
      <c r="E211" s="1">
        <v>3</v>
      </c>
      <c r="F211" s="5" t="s">
        <v>982</v>
      </c>
      <c r="G211" s="1">
        <v>5</v>
      </c>
      <c r="H211" s="5" t="s">
        <v>982</v>
      </c>
      <c r="I211" s="1">
        <v>0</v>
      </c>
      <c r="J211" s="5" t="s">
        <v>983</v>
      </c>
      <c r="K211" s="1">
        <v>1</v>
      </c>
      <c r="L211" s="5" t="s">
        <v>983</v>
      </c>
      <c r="M211" s="1">
        <v>1</v>
      </c>
      <c r="N211" s="5" t="s">
        <v>983</v>
      </c>
      <c r="O211" s="1">
        <v>0</v>
      </c>
      <c r="P211" s="5" t="s">
        <v>983</v>
      </c>
      <c r="Q211" s="1">
        <v>1</v>
      </c>
      <c r="R211" s="1">
        <v>0</v>
      </c>
      <c r="S211" s="1" t="s">
        <v>194</v>
      </c>
      <c r="T211" s="1">
        <v>2</v>
      </c>
      <c r="U211" s="1">
        <v>4</v>
      </c>
      <c r="V211" s="1">
        <v>36</v>
      </c>
      <c r="W211" s="1">
        <v>0</v>
      </c>
      <c r="X211" s="1">
        <v>14</v>
      </c>
      <c r="Y211" s="1">
        <v>1</v>
      </c>
      <c r="Z211" s="1">
        <v>350000</v>
      </c>
      <c r="AA211" s="1">
        <v>3</v>
      </c>
    </row>
    <row r="212" spans="1:27" ht="12.75" customHeight="1" x14ac:dyDescent="0.15">
      <c r="A212" s="5">
        <v>120</v>
      </c>
      <c r="B212" s="5" t="s">
        <v>238</v>
      </c>
      <c r="C212" s="1">
        <v>12</v>
      </c>
      <c r="D212" s="5" t="s">
        <v>983</v>
      </c>
      <c r="E212" s="1">
        <v>4</v>
      </c>
      <c r="F212" s="5" t="s">
        <v>982</v>
      </c>
      <c r="G212" s="1">
        <v>1</v>
      </c>
      <c r="H212" s="5" t="s">
        <v>983</v>
      </c>
      <c r="I212" s="1">
        <v>16</v>
      </c>
      <c r="J212" s="5" t="s">
        <v>981</v>
      </c>
      <c r="K212" s="1">
        <v>0</v>
      </c>
      <c r="L212" s="5" t="s">
        <v>983</v>
      </c>
      <c r="M212" s="1">
        <v>0</v>
      </c>
      <c r="N212" s="5" t="s">
        <v>983</v>
      </c>
      <c r="O212" s="1">
        <v>0</v>
      </c>
      <c r="P212" s="5" t="s">
        <v>983</v>
      </c>
      <c r="Q212" s="1">
        <v>0</v>
      </c>
      <c r="R212" s="1">
        <v>0</v>
      </c>
      <c r="S212" s="1">
        <v>1</v>
      </c>
      <c r="T212" s="1">
        <v>5</v>
      </c>
      <c r="U212" s="1">
        <v>5</v>
      </c>
      <c r="V212" s="1">
        <v>36</v>
      </c>
      <c r="W212" s="1">
        <v>1</v>
      </c>
      <c r="X212" s="1">
        <v>14</v>
      </c>
      <c r="Y212" s="1">
        <v>8</v>
      </c>
      <c r="Z212" s="1">
        <v>0</v>
      </c>
      <c r="AA212" s="1">
        <v>1</v>
      </c>
    </row>
    <row r="213" spans="1:27" ht="12.75" customHeight="1" x14ac:dyDescent="0.15">
      <c r="A213" s="5">
        <v>47</v>
      </c>
      <c r="B213" s="5" t="s">
        <v>238</v>
      </c>
      <c r="C213" s="1">
        <v>39</v>
      </c>
      <c r="D213" s="5" t="s">
        <v>981</v>
      </c>
      <c r="E213" s="1">
        <v>5</v>
      </c>
      <c r="F213" s="5" t="s">
        <v>981</v>
      </c>
      <c r="G213" s="1">
        <v>9</v>
      </c>
      <c r="H213" s="5" t="s">
        <v>981</v>
      </c>
      <c r="I213" s="1">
        <v>2</v>
      </c>
      <c r="J213" s="5" t="s">
        <v>982</v>
      </c>
      <c r="K213" s="1">
        <v>2</v>
      </c>
      <c r="L213" s="5" t="s">
        <v>983</v>
      </c>
      <c r="M213" s="1">
        <v>5</v>
      </c>
      <c r="N213" s="5" t="s">
        <v>982</v>
      </c>
      <c r="O213" s="1">
        <v>0</v>
      </c>
      <c r="P213" s="5" t="s">
        <v>983</v>
      </c>
      <c r="Q213" s="1">
        <v>1</v>
      </c>
      <c r="R213" s="1">
        <v>0</v>
      </c>
      <c r="S213" s="1">
        <v>1</v>
      </c>
      <c r="T213" s="1">
        <v>5</v>
      </c>
      <c r="U213" s="1">
        <v>5</v>
      </c>
      <c r="V213" s="1">
        <v>36</v>
      </c>
      <c r="W213" s="1">
        <v>0</v>
      </c>
      <c r="X213" s="1">
        <v>16</v>
      </c>
      <c r="Y213" s="1">
        <v>24</v>
      </c>
      <c r="Z213" s="1">
        <v>0</v>
      </c>
      <c r="AA213" s="1">
        <v>3</v>
      </c>
    </row>
    <row r="214" spans="1:27" ht="12.75" customHeight="1" x14ac:dyDescent="0.15">
      <c r="A214" s="5">
        <v>394</v>
      </c>
      <c r="B214" s="5" t="s">
        <v>984</v>
      </c>
      <c r="C214" s="1">
        <v>21</v>
      </c>
      <c r="D214" s="5" t="s">
        <v>982</v>
      </c>
      <c r="E214" s="1">
        <v>1</v>
      </c>
      <c r="F214" s="5" t="s">
        <v>983</v>
      </c>
      <c r="G214" s="1">
        <v>0</v>
      </c>
      <c r="H214" s="5" t="s">
        <v>983</v>
      </c>
      <c r="I214" s="1">
        <v>0</v>
      </c>
      <c r="J214" s="5" t="s">
        <v>983</v>
      </c>
      <c r="K214" s="1">
        <v>0</v>
      </c>
      <c r="L214" s="5" t="s">
        <v>983</v>
      </c>
      <c r="M214" s="1">
        <v>0</v>
      </c>
      <c r="N214" s="5" t="s">
        <v>983</v>
      </c>
      <c r="O214" s="1">
        <v>0</v>
      </c>
      <c r="P214" s="5" t="s">
        <v>983</v>
      </c>
      <c r="Q214" s="1">
        <v>1</v>
      </c>
      <c r="R214" s="1">
        <v>0</v>
      </c>
      <c r="S214" s="1">
        <v>1</v>
      </c>
      <c r="T214" s="1">
        <v>5</v>
      </c>
      <c r="U214" s="1">
        <v>5</v>
      </c>
      <c r="V214" s="1">
        <v>36</v>
      </c>
      <c r="W214" s="1">
        <v>0</v>
      </c>
      <c r="X214" s="1">
        <v>14</v>
      </c>
      <c r="Y214" s="1">
        <v>7</v>
      </c>
      <c r="Z214" s="1">
        <v>800000</v>
      </c>
      <c r="AA214" s="1">
        <v>2</v>
      </c>
    </row>
    <row r="215" spans="1:27" ht="12.75" customHeight="1" x14ac:dyDescent="0.15">
      <c r="A215" s="5">
        <v>304</v>
      </c>
      <c r="B215" s="5" t="s">
        <v>984</v>
      </c>
      <c r="C215" s="1">
        <v>15</v>
      </c>
      <c r="D215" s="5" t="s">
        <v>983</v>
      </c>
      <c r="E215" s="1">
        <v>5</v>
      </c>
      <c r="F215" s="5" t="s">
        <v>981</v>
      </c>
      <c r="G215" s="1">
        <v>3</v>
      </c>
      <c r="H215" s="5" t="s">
        <v>982</v>
      </c>
      <c r="I215" s="1">
        <v>0</v>
      </c>
      <c r="J215" s="5" t="s">
        <v>983</v>
      </c>
      <c r="K215" s="1">
        <v>5</v>
      </c>
      <c r="L215" s="5" t="s">
        <v>982</v>
      </c>
      <c r="M215" s="1">
        <v>1</v>
      </c>
      <c r="N215" s="5" t="s">
        <v>983</v>
      </c>
      <c r="O215" s="1">
        <v>0</v>
      </c>
      <c r="P215" s="5" t="s">
        <v>983</v>
      </c>
      <c r="Q215" s="1">
        <v>0</v>
      </c>
      <c r="R215" s="1">
        <v>0</v>
      </c>
      <c r="S215" s="1" t="s">
        <v>194</v>
      </c>
      <c r="T215" s="1">
        <v>5</v>
      </c>
      <c r="U215" s="1">
        <v>5</v>
      </c>
      <c r="V215" s="1">
        <v>36</v>
      </c>
      <c r="W215" s="1">
        <v>1</v>
      </c>
      <c r="X215" s="1">
        <v>14</v>
      </c>
      <c r="Y215" s="1">
        <v>3</v>
      </c>
      <c r="Z215" s="1">
        <v>0</v>
      </c>
      <c r="AA215" s="1">
        <v>4</v>
      </c>
    </row>
    <row r="216" spans="1:27" ht="12.75" customHeight="1" x14ac:dyDescent="0.15">
      <c r="A216" s="5">
        <v>35</v>
      </c>
      <c r="B216" s="5" t="s">
        <v>984</v>
      </c>
      <c r="C216" s="1">
        <v>27</v>
      </c>
      <c r="D216" s="5" t="s">
        <v>981</v>
      </c>
      <c r="E216" s="1">
        <v>0</v>
      </c>
      <c r="F216" s="5" t="s">
        <v>983</v>
      </c>
      <c r="G216" s="1">
        <v>0</v>
      </c>
      <c r="H216" s="5" t="s">
        <v>983</v>
      </c>
      <c r="I216" s="1">
        <v>16</v>
      </c>
      <c r="J216" s="5" t="s">
        <v>981</v>
      </c>
      <c r="K216" s="1">
        <v>0</v>
      </c>
      <c r="L216" s="5" t="s">
        <v>983</v>
      </c>
      <c r="M216" s="1">
        <v>0</v>
      </c>
      <c r="N216" s="5" t="s">
        <v>983</v>
      </c>
      <c r="O216" s="1">
        <v>0</v>
      </c>
      <c r="P216" s="5" t="s">
        <v>983</v>
      </c>
      <c r="Q216" s="1">
        <v>1</v>
      </c>
      <c r="R216" s="1">
        <v>0</v>
      </c>
      <c r="S216" s="1">
        <v>1</v>
      </c>
      <c r="T216" s="1" t="s">
        <v>194</v>
      </c>
      <c r="U216" s="1">
        <v>1</v>
      </c>
      <c r="V216" s="1">
        <v>37</v>
      </c>
      <c r="W216" s="1">
        <v>0</v>
      </c>
      <c r="X216" s="1">
        <v>14</v>
      </c>
      <c r="Y216" s="1">
        <v>3</v>
      </c>
      <c r="Z216" s="1">
        <v>380000</v>
      </c>
      <c r="AA216" s="1">
        <v>3</v>
      </c>
    </row>
    <row r="217" spans="1:27" ht="12.75" customHeight="1" x14ac:dyDescent="0.15">
      <c r="A217" s="5">
        <v>70</v>
      </c>
      <c r="B217" s="5" t="s">
        <v>238</v>
      </c>
      <c r="C217" s="1">
        <v>22</v>
      </c>
      <c r="D217" s="5" t="s">
        <v>982</v>
      </c>
      <c r="E217" s="1">
        <v>6</v>
      </c>
      <c r="F217" s="5" t="s">
        <v>981</v>
      </c>
      <c r="G217" s="1">
        <v>4</v>
      </c>
      <c r="H217" s="5" t="s">
        <v>982</v>
      </c>
      <c r="I217" s="1">
        <v>3</v>
      </c>
      <c r="J217" s="5" t="s">
        <v>982</v>
      </c>
      <c r="K217" s="1">
        <v>0</v>
      </c>
      <c r="L217" s="5" t="s">
        <v>983</v>
      </c>
      <c r="M217" s="1">
        <v>6</v>
      </c>
      <c r="N217" s="5" t="s">
        <v>981</v>
      </c>
      <c r="O217" s="1">
        <v>0</v>
      </c>
      <c r="P217" s="5" t="s">
        <v>983</v>
      </c>
      <c r="Q217" s="1">
        <v>1</v>
      </c>
      <c r="R217" s="1">
        <v>0</v>
      </c>
      <c r="S217" s="1">
        <v>1</v>
      </c>
      <c r="T217" s="1">
        <v>1</v>
      </c>
      <c r="U217" s="1">
        <v>2</v>
      </c>
      <c r="V217" s="1">
        <v>37</v>
      </c>
      <c r="W217" s="1">
        <v>1</v>
      </c>
      <c r="X217" s="1">
        <v>14</v>
      </c>
      <c r="Y217" s="1">
        <v>1</v>
      </c>
      <c r="Z217" s="1">
        <v>250000</v>
      </c>
      <c r="AA217" s="1">
        <v>5</v>
      </c>
    </row>
    <row r="218" spans="1:27" ht="12.75" customHeight="1" x14ac:dyDescent="0.15">
      <c r="A218" s="5">
        <v>456</v>
      </c>
      <c r="B218" s="5" t="s">
        <v>238</v>
      </c>
      <c r="C218" s="1">
        <v>21</v>
      </c>
      <c r="D218" s="5" t="s">
        <v>982</v>
      </c>
      <c r="E218" s="1">
        <v>6</v>
      </c>
      <c r="F218" s="5" t="s">
        <v>981</v>
      </c>
      <c r="G218" s="1">
        <v>5</v>
      </c>
      <c r="H218" s="5" t="s">
        <v>982</v>
      </c>
      <c r="I218" s="1">
        <v>12</v>
      </c>
      <c r="J218" s="5" t="s">
        <v>981</v>
      </c>
      <c r="K218" s="1">
        <v>4</v>
      </c>
      <c r="L218" s="5" t="s">
        <v>982</v>
      </c>
      <c r="M218" s="1">
        <v>4</v>
      </c>
      <c r="N218" s="5" t="s">
        <v>982</v>
      </c>
      <c r="O218" s="1">
        <v>0</v>
      </c>
      <c r="P218" s="5" t="s">
        <v>983</v>
      </c>
      <c r="Q218" s="1">
        <v>1</v>
      </c>
      <c r="R218" s="1">
        <v>1</v>
      </c>
      <c r="S218" s="1">
        <v>1</v>
      </c>
      <c r="T218" s="1">
        <v>1</v>
      </c>
      <c r="U218" s="1">
        <v>2</v>
      </c>
      <c r="V218" s="1">
        <v>37</v>
      </c>
      <c r="W218" s="1">
        <v>1</v>
      </c>
      <c r="X218" s="1">
        <v>18</v>
      </c>
      <c r="Y218" s="1">
        <v>2</v>
      </c>
      <c r="Z218" s="1">
        <v>850000</v>
      </c>
      <c r="AA218" s="1">
        <v>1</v>
      </c>
    </row>
    <row r="219" spans="1:27" ht="12.75" customHeight="1" x14ac:dyDescent="0.15">
      <c r="A219" s="5">
        <v>286</v>
      </c>
      <c r="B219" s="5" t="s">
        <v>238</v>
      </c>
      <c r="C219" s="1">
        <v>16</v>
      </c>
      <c r="D219" s="5" t="s">
        <v>983</v>
      </c>
      <c r="E219" s="1">
        <v>0</v>
      </c>
      <c r="F219" s="5" t="s">
        <v>983</v>
      </c>
      <c r="G219" s="1">
        <v>0</v>
      </c>
      <c r="H219" s="5" t="s">
        <v>983</v>
      </c>
      <c r="I219" s="1">
        <v>16</v>
      </c>
      <c r="J219" s="5" t="s">
        <v>981</v>
      </c>
      <c r="K219" s="1">
        <v>0</v>
      </c>
      <c r="L219" s="5" t="s">
        <v>983</v>
      </c>
      <c r="M219" s="1">
        <v>0</v>
      </c>
      <c r="N219" s="5" t="s">
        <v>983</v>
      </c>
      <c r="O219" s="1">
        <v>0</v>
      </c>
      <c r="P219" s="5" t="s">
        <v>983</v>
      </c>
      <c r="Q219" s="1">
        <v>0</v>
      </c>
      <c r="R219" s="1">
        <v>0</v>
      </c>
      <c r="S219" s="1">
        <v>0</v>
      </c>
      <c r="T219" s="1">
        <v>5</v>
      </c>
      <c r="U219" s="1">
        <v>3</v>
      </c>
      <c r="V219" s="1">
        <v>37</v>
      </c>
      <c r="W219" s="1">
        <v>0</v>
      </c>
      <c r="X219" s="1">
        <v>17</v>
      </c>
      <c r="Y219" s="1">
        <v>34</v>
      </c>
      <c r="Z219" s="1">
        <v>300000</v>
      </c>
      <c r="AA219" s="1">
        <v>2</v>
      </c>
    </row>
    <row r="220" spans="1:27" ht="12.75" customHeight="1" x14ac:dyDescent="0.15">
      <c r="A220" s="5">
        <v>289</v>
      </c>
      <c r="B220" s="5" t="s">
        <v>238</v>
      </c>
      <c r="C220" s="1">
        <v>25</v>
      </c>
      <c r="D220" s="5" t="s">
        <v>981</v>
      </c>
      <c r="E220" s="1">
        <v>6</v>
      </c>
      <c r="F220" s="5" t="s">
        <v>981</v>
      </c>
      <c r="G220" s="1">
        <v>5</v>
      </c>
      <c r="H220" s="5" t="s">
        <v>982</v>
      </c>
      <c r="I220" s="1">
        <v>8</v>
      </c>
      <c r="J220" s="5" t="s">
        <v>981</v>
      </c>
      <c r="K220" s="1">
        <v>5</v>
      </c>
      <c r="L220" s="5" t="s">
        <v>982</v>
      </c>
      <c r="M220" s="1">
        <v>5</v>
      </c>
      <c r="N220" s="5" t="s">
        <v>982</v>
      </c>
      <c r="O220" s="1">
        <v>0</v>
      </c>
      <c r="P220" s="5" t="s">
        <v>983</v>
      </c>
      <c r="Q220" s="1">
        <v>0</v>
      </c>
      <c r="R220" s="1">
        <v>0</v>
      </c>
      <c r="S220" s="1">
        <v>1</v>
      </c>
      <c r="T220" s="1">
        <v>5</v>
      </c>
      <c r="U220" s="1">
        <v>3</v>
      </c>
      <c r="V220" s="1">
        <v>37</v>
      </c>
      <c r="W220" s="1">
        <v>1</v>
      </c>
      <c r="X220" s="1">
        <v>2</v>
      </c>
      <c r="Y220" s="1">
        <v>3</v>
      </c>
      <c r="Z220" s="1">
        <v>0</v>
      </c>
      <c r="AA220" s="1">
        <v>2</v>
      </c>
    </row>
    <row r="221" spans="1:27" ht="12.75" customHeight="1" x14ac:dyDescent="0.15">
      <c r="A221" s="5">
        <v>68</v>
      </c>
      <c r="B221" s="5" t="s">
        <v>238</v>
      </c>
      <c r="C221" s="1">
        <v>35</v>
      </c>
      <c r="D221" s="5" t="s">
        <v>981</v>
      </c>
      <c r="E221" s="1">
        <v>9</v>
      </c>
      <c r="F221" s="5" t="s">
        <v>981</v>
      </c>
      <c r="G221" s="1">
        <v>6</v>
      </c>
      <c r="H221" s="5" t="s">
        <v>981</v>
      </c>
      <c r="I221" s="1">
        <v>10</v>
      </c>
      <c r="J221" s="5" t="s">
        <v>981</v>
      </c>
      <c r="K221" s="1">
        <v>3</v>
      </c>
      <c r="L221" s="5" t="s">
        <v>982</v>
      </c>
      <c r="M221" s="1">
        <v>5</v>
      </c>
      <c r="N221" s="5" t="s">
        <v>982</v>
      </c>
      <c r="O221" s="1">
        <v>1</v>
      </c>
      <c r="P221" s="5" t="s">
        <v>982</v>
      </c>
      <c r="Q221" s="1">
        <v>1</v>
      </c>
      <c r="R221" s="1">
        <v>0</v>
      </c>
      <c r="S221" s="1">
        <v>1</v>
      </c>
      <c r="T221" s="1">
        <v>3</v>
      </c>
      <c r="U221" s="1">
        <v>3</v>
      </c>
      <c r="V221" s="1">
        <v>37</v>
      </c>
      <c r="W221" s="1">
        <v>0</v>
      </c>
      <c r="X221" s="1">
        <v>14</v>
      </c>
      <c r="Y221" s="1">
        <v>34</v>
      </c>
      <c r="Z221" s="1">
        <v>0</v>
      </c>
      <c r="AA221" s="1">
        <v>1</v>
      </c>
    </row>
    <row r="222" spans="1:27" ht="12.75" customHeight="1" x14ac:dyDescent="0.15">
      <c r="A222" s="5">
        <v>239</v>
      </c>
      <c r="B222" s="5" t="s">
        <v>238</v>
      </c>
      <c r="C222" s="1">
        <v>14</v>
      </c>
      <c r="D222" s="5" t="s">
        <v>983</v>
      </c>
      <c r="E222" s="1">
        <v>7</v>
      </c>
      <c r="F222" s="5" t="s">
        <v>981</v>
      </c>
      <c r="G222" s="1">
        <v>6</v>
      </c>
      <c r="H222" s="5" t="s">
        <v>981</v>
      </c>
      <c r="I222" s="1">
        <v>4</v>
      </c>
      <c r="J222" s="5" t="s">
        <v>982</v>
      </c>
      <c r="K222" s="1">
        <v>8</v>
      </c>
      <c r="L222" s="5" t="s">
        <v>981</v>
      </c>
      <c r="M222" s="1">
        <v>6</v>
      </c>
      <c r="N222" s="5" t="s">
        <v>981</v>
      </c>
      <c r="O222" s="1">
        <v>1</v>
      </c>
      <c r="P222" s="5" t="s">
        <v>982</v>
      </c>
      <c r="Q222" s="1">
        <v>1</v>
      </c>
      <c r="R222" s="1">
        <v>0</v>
      </c>
      <c r="S222" s="1">
        <v>1</v>
      </c>
      <c r="T222" s="1">
        <v>3</v>
      </c>
      <c r="U222" s="1">
        <v>3</v>
      </c>
      <c r="V222" s="1">
        <v>37</v>
      </c>
      <c r="W222" s="1">
        <v>0</v>
      </c>
      <c r="X222" s="1">
        <v>14</v>
      </c>
      <c r="Y222" s="1">
        <v>34</v>
      </c>
      <c r="Z222" s="1">
        <v>450000</v>
      </c>
      <c r="AA222" s="1">
        <v>4</v>
      </c>
    </row>
    <row r="223" spans="1:27" ht="12.75" customHeight="1" x14ac:dyDescent="0.15">
      <c r="A223" s="5">
        <v>110</v>
      </c>
      <c r="B223" s="5" t="s">
        <v>238</v>
      </c>
      <c r="C223" s="1">
        <v>23</v>
      </c>
      <c r="D223" s="5" t="s">
        <v>982</v>
      </c>
      <c r="E223" s="1">
        <v>5</v>
      </c>
      <c r="F223" s="5" t="s">
        <v>981</v>
      </c>
      <c r="G223" s="1">
        <v>1</v>
      </c>
      <c r="H223" s="5" t="s">
        <v>983</v>
      </c>
      <c r="I223" s="1">
        <v>0</v>
      </c>
      <c r="J223" s="5" t="s">
        <v>983</v>
      </c>
      <c r="K223" s="1">
        <v>3</v>
      </c>
      <c r="L223" s="5" t="s">
        <v>982</v>
      </c>
      <c r="M223" s="1">
        <v>3</v>
      </c>
      <c r="N223" s="5" t="s">
        <v>982</v>
      </c>
      <c r="O223" s="1">
        <v>0</v>
      </c>
      <c r="P223" s="5" t="s">
        <v>983</v>
      </c>
      <c r="Q223" s="1">
        <v>0</v>
      </c>
      <c r="R223" s="1">
        <v>0</v>
      </c>
      <c r="S223" s="1">
        <v>1</v>
      </c>
      <c r="T223" s="1">
        <v>3</v>
      </c>
      <c r="U223" s="1">
        <v>3</v>
      </c>
      <c r="V223" s="1">
        <v>37</v>
      </c>
      <c r="W223" s="1">
        <v>0</v>
      </c>
      <c r="X223" s="1">
        <v>16</v>
      </c>
      <c r="Y223" s="1">
        <v>11</v>
      </c>
      <c r="Z223" s="1">
        <v>1300000</v>
      </c>
      <c r="AA223" s="1">
        <v>4</v>
      </c>
    </row>
    <row r="224" spans="1:27" ht="12.75" customHeight="1" x14ac:dyDescent="0.15">
      <c r="A224" s="5">
        <v>104</v>
      </c>
      <c r="B224" s="5" t="s">
        <v>984</v>
      </c>
      <c r="C224" s="1">
        <v>29</v>
      </c>
      <c r="D224" s="5" t="s">
        <v>981</v>
      </c>
      <c r="E224" s="1">
        <v>5</v>
      </c>
      <c r="F224" s="5" t="s">
        <v>981</v>
      </c>
      <c r="G224" s="1">
        <v>2</v>
      </c>
      <c r="H224" s="5" t="s">
        <v>982</v>
      </c>
      <c r="I224" s="1">
        <v>10</v>
      </c>
      <c r="J224" s="5" t="s">
        <v>981</v>
      </c>
      <c r="K224" s="1">
        <v>6</v>
      </c>
      <c r="L224" s="5" t="s">
        <v>981</v>
      </c>
      <c r="M224" s="1">
        <v>6</v>
      </c>
      <c r="N224" s="5" t="s">
        <v>981</v>
      </c>
      <c r="O224" s="1">
        <v>0</v>
      </c>
      <c r="P224" s="5" t="s">
        <v>983</v>
      </c>
      <c r="Q224" s="1">
        <v>0</v>
      </c>
      <c r="R224" s="1">
        <v>0</v>
      </c>
      <c r="S224" s="1">
        <v>1</v>
      </c>
      <c r="T224" s="1">
        <v>5</v>
      </c>
      <c r="U224" s="1">
        <v>3</v>
      </c>
      <c r="V224" s="1">
        <v>37</v>
      </c>
      <c r="W224" s="1">
        <v>0</v>
      </c>
      <c r="X224" s="1">
        <v>17</v>
      </c>
      <c r="Y224" s="1">
        <v>31</v>
      </c>
      <c r="Z224" s="1">
        <v>1800000</v>
      </c>
      <c r="AA224" s="1">
        <v>3</v>
      </c>
    </row>
    <row r="225" spans="1:27" ht="12.75" customHeight="1" x14ac:dyDescent="0.15">
      <c r="A225" s="5">
        <v>202</v>
      </c>
      <c r="B225" s="5" t="s">
        <v>984</v>
      </c>
      <c r="C225" s="1">
        <v>23</v>
      </c>
      <c r="D225" s="5" t="s">
        <v>982</v>
      </c>
      <c r="E225" s="1">
        <v>5</v>
      </c>
      <c r="F225" s="5" t="s">
        <v>981</v>
      </c>
      <c r="G225" s="1">
        <v>9</v>
      </c>
      <c r="H225" s="5" t="s">
        <v>981</v>
      </c>
      <c r="I225" s="1">
        <v>10</v>
      </c>
      <c r="J225" s="5" t="s">
        <v>981</v>
      </c>
      <c r="K225" s="1">
        <v>2</v>
      </c>
      <c r="L225" s="5" t="s">
        <v>983</v>
      </c>
      <c r="M225" s="1">
        <v>3</v>
      </c>
      <c r="N225" s="5" t="s">
        <v>982</v>
      </c>
      <c r="O225" s="1">
        <v>2</v>
      </c>
      <c r="P225" s="5" t="s">
        <v>982</v>
      </c>
      <c r="Q225" s="1">
        <v>0</v>
      </c>
      <c r="R225" s="1">
        <v>0</v>
      </c>
      <c r="S225" s="1" t="s">
        <v>194</v>
      </c>
      <c r="T225" s="1">
        <v>5</v>
      </c>
      <c r="U225" s="1">
        <v>3</v>
      </c>
      <c r="V225" s="1">
        <v>37</v>
      </c>
      <c r="W225" s="1">
        <v>0</v>
      </c>
      <c r="X225" s="1">
        <v>4</v>
      </c>
      <c r="Y225" s="1">
        <v>17</v>
      </c>
      <c r="Z225" s="1">
        <v>500000</v>
      </c>
      <c r="AA225" s="1">
        <v>5</v>
      </c>
    </row>
    <row r="226" spans="1:27" ht="12.75" customHeight="1" x14ac:dyDescent="0.15">
      <c r="A226" s="5">
        <v>57</v>
      </c>
      <c r="B226" s="5" t="s">
        <v>238</v>
      </c>
      <c r="C226" s="1">
        <v>24</v>
      </c>
      <c r="D226" s="5" t="s">
        <v>981</v>
      </c>
      <c r="E226" s="1">
        <v>6</v>
      </c>
      <c r="F226" s="5" t="s">
        <v>981</v>
      </c>
      <c r="G226" s="1">
        <v>11</v>
      </c>
      <c r="H226" s="5" t="s">
        <v>981</v>
      </c>
      <c r="I226" s="1">
        <v>4</v>
      </c>
      <c r="J226" s="5" t="s">
        <v>982</v>
      </c>
      <c r="K226" s="1">
        <v>11</v>
      </c>
      <c r="L226" s="5" t="s">
        <v>981</v>
      </c>
      <c r="M226" s="1">
        <v>6</v>
      </c>
      <c r="N226" s="5" t="s">
        <v>981</v>
      </c>
      <c r="O226" s="1">
        <v>4</v>
      </c>
      <c r="P226" s="5" t="s">
        <v>982</v>
      </c>
      <c r="Q226" s="1">
        <v>1</v>
      </c>
      <c r="R226" s="1">
        <v>0</v>
      </c>
      <c r="S226" s="1">
        <v>1</v>
      </c>
      <c r="T226" s="1">
        <v>5</v>
      </c>
      <c r="U226" s="1">
        <v>5</v>
      </c>
      <c r="V226" s="1">
        <v>37</v>
      </c>
      <c r="W226" s="1">
        <v>1</v>
      </c>
      <c r="X226" s="1">
        <v>16</v>
      </c>
      <c r="Y226" s="1">
        <v>11</v>
      </c>
      <c r="Z226" s="1">
        <v>0</v>
      </c>
      <c r="AA226" s="1">
        <v>1</v>
      </c>
    </row>
    <row r="227" spans="1:27" ht="12.75" customHeight="1" x14ac:dyDescent="0.15">
      <c r="A227" s="5">
        <v>376</v>
      </c>
      <c r="B227" s="5" t="s">
        <v>984</v>
      </c>
      <c r="C227" s="1">
        <v>12</v>
      </c>
      <c r="D227" s="5" t="s">
        <v>983</v>
      </c>
      <c r="E227" s="1">
        <v>12</v>
      </c>
      <c r="F227" s="5" t="s">
        <v>981</v>
      </c>
      <c r="G227" s="1">
        <v>12</v>
      </c>
      <c r="H227" s="5" t="s">
        <v>981</v>
      </c>
      <c r="I227" s="1">
        <v>0</v>
      </c>
      <c r="J227" s="5" t="s">
        <v>983</v>
      </c>
      <c r="K227" s="1">
        <v>12</v>
      </c>
      <c r="L227" s="5" t="s">
        <v>981</v>
      </c>
      <c r="M227" s="1">
        <v>12</v>
      </c>
      <c r="N227" s="5" t="s">
        <v>981</v>
      </c>
      <c r="O227" s="1">
        <v>0</v>
      </c>
      <c r="P227" s="5" t="s">
        <v>983</v>
      </c>
      <c r="Q227" s="1">
        <v>1</v>
      </c>
      <c r="R227" s="1">
        <v>0</v>
      </c>
      <c r="S227" s="1" t="s">
        <v>194</v>
      </c>
      <c r="T227" s="1" t="s">
        <v>194</v>
      </c>
      <c r="U227" s="1" t="s">
        <v>194</v>
      </c>
      <c r="V227" s="1">
        <v>37</v>
      </c>
      <c r="W227" s="1">
        <v>1</v>
      </c>
      <c r="X227" s="1">
        <v>14</v>
      </c>
      <c r="Y227" s="1">
        <v>6</v>
      </c>
      <c r="Z227" s="1">
        <v>500000</v>
      </c>
      <c r="AA227" s="1">
        <v>1</v>
      </c>
    </row>
    <row r="228" spans="1:27" ht="12.75" customHeight="1" x14ac:dyDescent="0.15">
      <c r="A228" s="5">
        <v>111</v>
      </c>
      <c r="B228" s="5" t="s">
        <v>984</v>
      </c>
      <c r="C228" s="1">
        <v>21</v>
      </c>
      <c r="D228" s="5" t="s">
        <v>982</v>
      </c>
      <c r="E228" s="1">
        <v>2</v>
      </c>
      <c r="F228" s="5" t="s">
        <v>982</v>
      </c>
      <c r="G228" s="1">
        <v>4</v>
      </c>
      <c r="H228" s="5" t="s">
        <v>982</v>
      </c>
      <c r="I228" s="1">
        <v>9</v>
      </c>
      <c r="J228" s="5" t="s">
        <v>981</v>
      </c>
      <c r="K228" s="1">
        <v>0</v>
      </c>
      <c r="L228" s="5" t="s">
        <v>983</v>
      </c>
      <c r="M228" s="1">
        <v>2</v>
      </c>
      <c r="N228" s="5" t="s">
        <v>983</v>
      </c>
      <c r="O228" s="1">
        <v>1</v>
      </c>
      <c r="P228" s="5" t="s">
        <v>982</v>
      </c>
      <c r="Q228" s="1">
        <v>1</v>
      </c>
      <c r="R228" s="1">
        <v>0</v>
      </c>
      <c r="S228" s="1" t="s">
        <v>194</v>
      </c>
      <c r="T228" s="1" t="s">
        <v>194</v>
      </c>
      <c r="U228" s="1" t="s">
        <v>194</v>
      </c>
      <c r="V228" s="1">
        <v>37</v>
      </c>
      <c r="W228" s="1">
        <v>1</v>
      </c>
      <c r="X228" s="1">
        <v>18</v>
      </c>
      <c r="Y228" s="1">
        <v>2</v>
      </c>
      <c r="Z228" s="1">
        <v>700000</v>
      </c>
      <c r="AA228" s="1">
        <v>5</v>
      </c>
    </row>
    <row r="229" spans="1:27" ht="12.75" customHeight="1" x14ac:dyDescent="0.15">
      <c r="A229" s="5">
        <v>56</v>
      </c>
      <c r="B229" s="5" t="s">
        <v>238</v>
      </c>
      <c r="C229" s="1">
        <v>39</v>
      </c>
      <c r="D229" s="5" t="s">
        <v>981</v>
      </c>
      <c r="E229" s="1">
        <v>1</v>
      </c>
      <c r="F229" s="5" t="s">
        <v>983</v>
      </c>
      <c r="G229" s="1">
        <v>4</v>
      </c>
      <c r="H229" s="5" t="s">
        <v>982</v>
      </c>
      <c r="I229" s="1">
        <v>16</v>
      </c>
      <c r="J229" s="5" t="s">
        <v>981</v>
      </c>
      <c r="K229" s="1">
        <v>0</v>
      </c>
      <c r="L229" s="5" t="s">
        <v>983</v>
      </c>
      <c r="M229" s="1">
        <v>10</v>
      </c>
      <c r="N229" s="5" t="s">
        <v>981</v>
      </c>
      <c r="O229" s="1">
        <v>0</v>
      </c>
      <c r="P229" s="5" t="s">
        <v>983</v>
      </c>
      <c r="Q229" s="1">
        <v>0</v>
      </c>
      <c r="R229" s="1">
        <v>0</v>
      </c>
      <c r="S229" s="1" t="s">
        <v>194</v>
      </c>
      <c r="T229" s="1" t="s">
        <v>194</v>
      </c>
      <c r="U229" s="1" t="s">
        <v>194</v>
      </c>
      <c r="V229" s="1">
        <v>37</v>
      </c>
      <c r="W229" s="1">
        <v>1</v>
      </c>
      <c r="X229" s="1">
        <v>16</v>
      </c>
      <c r="Y229" s="1">
        <v>11</v>
      </c>
      <c r="Z229" s="1">
        <v>0</v>
      </c>
      <c r="AA229" s="1">
        <v>1</v>
      </c>
    </row>
    <row r="230" spans="1:27" ht="12.75" customHeight="1" x14ac:dyDescent="0.15">
      <c r="A230" s="5">
        <v>328</v>
      </c>
      <c r="B230" s="5" t="s">
        <v>238</v>
      </c>
      <c r="C230" s="1">
        <v>17</v>
      </c>
      <c r="D230" s="5" t="s">
        <v>983</v>
      </c>
      <c r="E230" s="1">
        <v>0</v>
      </c>
      <c r="F230" s="5" t="s">
        <v>983</v>
      </c>
      <c r="G230" s="1">
        <v>4</v>
      </c>
      <c r="H230" s="5" t="s">
        <v>982</v>
      </c>
      <c r="I230" s="1">
        <v>4</v>
      </c>
      <c r="J230" s="5" t="s">
        <v>982</v>
      </c>
      <c r="K230" s="1">
        <v>10</v>
      </c>
      <c r="L230" s="5" t="s">
        <v>981</v>
      </c>
      <c r="M230" s="1">
        <v>9</v>
      </c>
      <c r="N230" s="5" t="s">
        <v>981</v>
      </c>
      <c r="O230" s="1">
        <v>0</v>
      </c>
      <c r="P230" s="5" t="s">
        <v>983</v>
      </c>
      <c r="Q230" s="1">
        <v>1</v>
      </c>
      <c r="R230" s="1">
        <v>0</v>
      </c>
      <c r="S230" s="1">
        <v>1</v>
      </c>
      <c r="T230" s="1">
        <v>2</v>
      </c>
      <c r="U230" s="1">
        <v>1</v>
      </c>
      <c r="V230" s="1">
        <v>38</v>
      </c>
      <c r="W230" s="1">
        <v>0</v>
      </c>
      <c r="X230" s="1">
        <v>14</v>
      </c>
      <c r="Y230" s="1">
        <v>2</v>
      </c>
      <c r="Z230" s="1">
        <v>0</v>
      </c>
      <c r="AA230" s="1">
        <v>7</v>
      </c>
    </row>
    <row r="231" spans="1:27" ht="12.75" customHeight="1" x14ac:dyDescent="0.15">
      <c r="A231" s="5">
        <v>330</v>
      </c>
      <c r="B231" s="5" t="s">
        <v>238</v>
      </c>
      <c r="C231" s="1">
        <v>34</v>
      </c>
      <c r="D231" s="5" t="s">
        <v>981</v>
      </c>
      <c r="E231" s="1">
        <v>0</v>
      </c>
      <c r="F231" s="5" t="s">
        <v>983</v>
      </c>
      <c r="G231" s="1">
        <v>0</v>
      </c>
      <c r="H231" s="5" t="s">
        <v>983</v>
      </c>
      <c r="I231" s="1">
        <v>16</v>
      </c>
      <c r="J231" s="5" t="s">
        <v>981</v>
      </c>
      <c r="K231" s="1">
        <v>0</v>
      </c>
      <c r="L231" s="5" t="s">
        <v>983</v>
      </c>
      <c r="M231" s="1">
        <v>0</v>
      </c>
      <c r="N231" s="5" t="s">
        <v>983</v>
      </c>
      <c r="O231" s="1">
        <v>28</v>
      </c>
      <c r="P231" s="5" t="s">
        <v>981</v>
      </c>
      <c r="Q231" s="1">
        <v>1</v>
      </c>
      <c r="R231" s="1">
        <v>0</v>
      </c>
      <c r="S231" s="1" t="s">
        <v>194</v>
      </c>
      <c r="T231" s="1">
        <v>1</v>
      </c>
      <c r="U231" s="1">
        <v>1</v>
      </c>
      <c r="V231" s="1">
        <v>38</v>
      </c>
      <c r="W231" s="1">
        <v>0</v>
      </c>
      <c r="X231" s="1">
        <v>13</v>
      </c>
      <c r="Y231" s="1">
        <v>31</v>
      </c>
      <c r="Z231" s="1">
        <v>360000</v>
      </c>
      <c r="AA231" s="1">
        <v>3</v>
      </c>
    </row>
    <row r="232" spans="1:27" ht="12.75" customHeight="1" x14ac:dyDescent="0.15">
      <c r="A232" s="5">
        <v>49</v>
      </c>
      <c r="B232" s="5" t="s">
        <v>984</v>
      </c>
      <c r="C232" s="1">
        <v>40</v>
      </c>
      <c r="D232" s="5" t="s">
        <v>981</v>
      </c>
      <c r="E232" s="1">
        <v>5</v>
      </c>
      <c r="F232" s="5" t="s">
        <v>981</v>
      </c>
      <c r="G232" s="1">
        <v>4</v>
      </c>
      <c r="H232" s="5" t="s">
        <v>982</v>
      </c>
      <c r="I232" s="1">
        <v>4</v>
      </c>
      <c r="J232" s="5" t="s">
        <v>982</v>
      </c>
      <c r="K232" s="1">
        <v>1</v>
      </c>
      <c r="L232" s="5" t="s">
        <v>983</v>
      </c>
      <c r="M232" s="1">
        <v>5</v>
      </c>
      <c r="N232" s="5" t="s">
        <v>982</v>
      </c>
      <c r="O232" s="1">
        <v>2</v>
      </c>
      <c r="P232" s="5" t="s">
        <v>982</v>
      </c>
      <c r="Q232" s="1">
        <v>1</v>
      </c>
      <c r="R232" s="1">
        <v>0</v>
      </c>
      <c r="S232" s="1">
        <v>1</v>
      </c>
      <c r="T232" s="1" t="s">
        <v>194</v>
      </c>
      <c r="U232" s="1">
        <v>2</v>
      </c>
      <c r="V232" s="1">
        <v>38</v>
      </c>
      <c r="W232" s="1">
        <v>0</v>
      </c>
      <c r="X232" s="1">
        <v>14</v>
      </c>
      <c r="Y232" s="1">
        <v>13</v>
      </c>
      <c r="Z232" s="1">
        <v>210000</v>
      </c>
      <c r="AA232" s="1">
        <v>4</v>
      </c>
    </row>
    <row r="233" spans="1:27" ht="12.75" customHeight="1" x14ac:dyDescent="0.15">
      <c r="A233" s="5">
        <v>242</v>
      </c>
      <c r="B233" s="5" t="s">
        <v>238</v>
      </c>
      <c r="C233" s="1">
        <v>30</v>
      </c>
      <c r="D233" s="5" t="s">
        <v>981</v>
      </c>
      <c r="E233" s="1">
        <v>2</v>
      </c>
      <c r="F233" s="5" t="s">
        <v>982</v>
      </c>
      <c r="G233" s="1">
        <v>5</v>
      </c>
      <c r="H233" s="5" t="s">
        <v>982</v>
      </c>
      <c r="I233" s="1">
        <v>4</v>
      </c>
      <c r="J233" s="5" t="s">
        <v>982</v>
      </c>
      <c r="K233" s="1">
        <v>0</v>
      </c>
      <c r="L233" s="5" t="s">
        <v>983</v>
      </c>
      <c r="M233" s="1">
        <v>4</v>
      </c>
      <c r="N233" s="5" t="s">
        <v>982</v>
      </c>
      <c r="O233" s="1">
        <v>1</v>
      </c>
      <c r="P233" s="5" t="s">
        <v>982</v>
      </c>
      <c r="Q233" s="1">
        <v>1</v>
      </c>
      <c r="R233" s="1">
        <v>0</v>
      </c>
      <c r="S233" s="1">
        <v>1</v>
      </c>
      <c r="T233" s="1" t="s">
        <v>194</v>
      </c>
      <c r="U233" s="1">
        <v>2</v>
      </c>
      <c r="V233" s="1">
        <v>38</v>
      </c>
      <c r="W233" s="1">
        <v>0</v>
      </c>
      <c r="X233" s="1">
        <v>18</v>
      </c>
      <c r="Y233" s="1">
        <v>2</v>
      </c>
      <c r="Z233" s="1">
        <v>400000</v>
      </c>
      <c r="AA233" s="1">
        <v>2</v>
      </c>
    </row>
    <row r="234" spans="1:27" ht="12.75" customHeight="1" x14ac:dyDescent="0.15">
      <c r="A234" s="5">
        <v>317</v>
      </c>
      <c r="B234" s="5" t="s">
        <v>238</v>
      </c>
      <c r="C234" s="1">
        <v>18</v>
      </c>
      <c r="D234" s="5" t="s">
        <v>983</v>
      </c>
      <c r="E234" s="1">
        <v>1</v>
      </c>
      <c r="F234" s="5" t="s">
        <v>983</v>
      </c>
      <c r="G234" s="1">
        <v>0</v>
      </c>
      <c r="H234" s="5" t="s">
        <v>983</v>
      </c>
      <c r="I234" s="1">
        <v>4</v>
      </c>
      <c r="J234" s="5" t="s">
        <v>982</v>
      </c>
      <c r="K234" s="1">
        <v>0</v>
      </c>
      <c r="L234" s="5" t="s">
        <v>983</v>
      </c>
      <c r="M234" s="1">
        <v>1</v>
      </c>
      <c r="N234" s="5" t="s">
        <v>983</v>
      </c>
      <c r="O234" s="1">
        <v>0</v>
      </c>
      <c r="P234" s="5" t="s">
        <v>983</v>
      </c>
      <c r="Q234" s="1">
        <v>0</v>
      </c>
      <c r="R234" s="1">
        <v>0</v>
      </c>
      <c r="S234" s="1" t="s">
        <v>194</v>
      </c>
      <c r="T234" s="1" t="s">
        <v>194</v>
      </c>
      <c r="U234" s="1">
        <v>2</v>
      </c>
      <c r="V234" s="1">
        <v>38</v>
      </c>
      <c r="W234" s="1">
        <v>1</v>
      </c>
      <c r="X234" s="1">
        <v>14</v>
      </c>
      <c r="Y234" s="1">
        <v>6</v>
      </c>
      <c r="Z234" s="1">
        <v>300000</v>
      </c>
      <c r="AA234" s="1">
        <v>5</v>
      </c>
    </row>
    <row r="235" spans="1:27" ht="12.75" customHeight="1" x14ac:dyDescent="0.15">
      <c r="A235" s="5">
        <v>439</v>
      </c>
      <c r="B235" s="5" t="s">
        <v>238</v>
      </c>
      <c r="C235" s="1">
        <v>17</v>
      </c>
      <c r="D235" s="5" t="s">
        <v>983</v>
      </c>
      <c r="E235" s="1">
        <v>3</v>
      </c>
      <c r="F235" s="5" t="s">
        <v>982</v>
      </c>
      <c r="G235" s="1">
        <v>4</v>
      </c>
      <c r="H235" s="5" t="s">
        <v>982</v>
      </c>
      <c r="I235" s="1">
        <v>3</v>
      </c>
      <c r="J235" s="5" t="s">
        <v>982</v>
      </c>
      <c r="K235" s="1">
        <v>1</v>
      </c>
      <c r="L235" s="5" t="s">
        <v>983</v>
      </c>
      <c r="M235" s="1">
        <v>0</v>
      </c>
      <c r="N235" s="5" t="s">
        <v>983</v>
      </c>
      <c r="O235" s="1">
        <v>0</v>
      </c>
      <c r="P235" s="5" t="s">
        <v>983</v>
      </c>
      <c r="Q235" s="1">
        <v>0</v>
      </c>
      <c r="R235" s="1">
        <v>0</v>
      </c>
      <c r="S235" s="1">
        <v>1</v>
      </c>
      <c r="T235" s="1" t="s">
        <v>194</v>
      </c>
      <c r="U235" s="1">
        <v>3</v>
      </c>
      <c r="V235" s="1">
        <v>38</v>
      </c>
      <c r="W235" s="1">
        <v>1</v>
      </c>
      <c r="X235" s="1">
        <v>14</v>
      </c>
      <c r="Y235" s="1">
        <v>34</v>
      </c>
      <c r="Z235" s="1">
        <v>300000</v>
      </c>
      <c r="AA235" s="1">
        <v>5</v>
      </c>
    </row>
    <row r="236" spans="1:27" ht="12.75" customHeight="1" x14ac:dyDescent="0.15">
      <c r="A236" s="5">
        <v>211</v>
      </c>
      <c r="B236" s="5" t="s">
        <v>238</v>
      </c>
      <c r="C236" s="1">
        <v>21</v>
      </c>
      <c r="D236" s="5" t="s">
        <v>982</v>
      </c>
      <c r="E236" s="1">
        <v>7</v>
      </c>
      <c r="F236" s="5" t="s">
        <v>981</v>
      </c>
      <c r="G236" s="1">
        <v>7</v>
      </c>
      <c r="H236" s="5" t="s">
        <v>981</v>
      </c>
      <c r="I236" s="1">
        <v>3</v>
      </c>
      <c r="J236" s="5" t="s">
        <v>982</v>
      </c>
      <c r="K236" s="1">
        <v>10</v>
      </c>
      <c r="L236" s="5" t="s">
        <v>981</v>
      </c>
      <c r="M236" s="1">
        <v>6</v>
      </c>
      <c r="N236" s="5" t="s">
        <v>981</v>
      </c>
      <c r="O236" s="1">
        <v>0</v>
      </c>
      <c r="P236" s="5" t="s">
        <v>983</v>
      </c>
      <c r="Q236" s="1">
        <v>0</v>
      </c>
      <c r="R236" s="1">
        <v>0</v>
      </c>
      <c r="S236" s="1">
        <v>1</v>
      </c>
      <c r="T236" s="1">
        <v>3</v>
      </c>
      <c r="U236" s="1">
        <v>3</v>
      </c>
      <c r="V236" s="1">
        <v>38</v>
      </c>
      <c r="W236" s="1">
        <v>0</v>
      </c>
      <c r="X236" s="1">
        <v>14</v>
      </c>
      <c r="Y236" s="1">
        <v>24</v>
      </c>
      <c r="Z236" s="1">
        <v>480000</v>
      </c>
      <c r="AA236" s="1">
        <v>4</v>
      </c>
    </row>
    <row r="237" spans="1:27" ht="12.75" customHeight="1" x14ac:dyDescent="0.15">
      <c r="A237" s="5">
        <v>147</v>
      </c>
      <c r="B237" s="5" t="s">
        <v>238</v>
      </c>
      <c r="C237" s="1">
        <v>20</v>
      </c>
      <c r="D237" s="5" t="s">
        <v>982</v>
      </c>
      <c r="E237" s="1">
        <v>2</v>
      </c>
      <c r="F237" s="5" t="s">
        <v>982</v>
      </c>
      <c r="G237" s="1">
        <v>0</v>
      </c>
      <c r="H237" s="5" t="s">
        <v>983</v>
      </c>
      <c r="I237" s="1">
        <v>4</v>
      </c>
      <c r="J237" s="5" t="s">
        <v>982</v>
      </c>
      <c r="K237" s="1">
        <v>0</v>
      </c>
      <c r="L237" s="5" t="s">
        <v>983</v>
      </c>
      <c r="M237" s="1">
        <v>2</v>
      </c>
      <c r="N237" s="5" t="s">
        <v>983</v>
      </c>
      <c r="O237" s="1">
        <v>0</v>
      </c>
      <c r="P237" s="5" t="s">
        <v>983</v>
      </c>
      <c r="Q237" s="1">
        <v>1</v>
      </c>
      <c r="R237" s="1">
        <v>0</v>
      </c>
      <c r="S237" s="1">
        <v>1</v>
      </c>
      <c r="T237" s="1">
        <v>5</v>
      </c>
      <c r="U237" s="1">
        <v>4</v>
      </c>
      <c r="V237" s="1">
        <v>38</v>
      </c>
      <c r="W237" s="1">
        <v>1</v>
      </c>
      <c r="X237" s="1">
        <v>14</v>
      </c>
      <c r="Y237" s="1">
        <v>1</v>
      </c>
      <c r="Z237" s="1">
        <v>0</v>
      </c>
      <c r="AA237" s="1">
        <v>3</v>
      </c>
    </row>
    <row r="238" spans="1:27" ht="12.75" customHeight="1" x14ac:dyDescent="0.15">
      <c r="A238" s="5">
        <v>384</v>
      </c>
      <c r="B238" s="5" t="s">
        <v>238</v>
      </c>
      <c r="C238" s="1">
        <v>30</v>
      </c>
      <c r="D238" s="5" t="s">
        <v>981</v>
      </c>
      <c r="E238" s="1">
        <v>7</v>
      </c>
      <c r="F238" s="5" t="s">
        <v>981</v>
      </c>
      <c r="G238" s="1">
        <v>6</v>
      </c>
      <c r="H238" s="5" t="s">
        <v>981</v>
      </c>
      <c r="I238" s="1">
        <v>10</v>
      </c>
      <c r="J238" s="5" t="s">
        <v>981</v>
      </c>
      <c r="K238" s="1">
        <v>7</v>
      </c>
      <c r="L238" s="5" t="s">
        <v>981</v>
      </c>
      <c r="M238" s="1">
        <v>5</v>
      </c>
      <c r="N238" s="5" t="s">
        <v>982</v>
      </c>
      <c r="O238" s="1">
        <v>0</v>
      </c>
      <c r="P238" s="5" t="s">
        <v>983</v>
      </c>
      <c r="Q238" s="1">
        <v>1</v>
      </c>
      <c r="R238" s="1">
        <v>0</v>
      </c>
      <c r="S238" s="1">
        <v>1</v>
      </c>
      <c r="T238" s="1">
        <v>4</v>
      </c>
      <c r="U238" s="1">
        <v>4</v>
      </c>
      <c r="V238" s="1">
        <v>38</v>
      </c>
      <c r="W238" s="1">
        <v>1</v>
      </c>
      <c r="X238" s="1">
        <v>14</v>
      </c>
      <c r="Y238" s="1">
        <v>1</v>
      </c>
      <c r="Z238" s="1">
        <v>200000</v>
      </c>
      <c r="AA238" s="1">
        <v>2</v>
      </c>
    </row>
    <row r="239" spans="1:27" ht="12.75" customHeight="1" x14ac:dyDescent="0.15">
      <c r="A239" s="5">
        <v>425</v>
      </c>
      <c r="B239" s="5" t="s">
        <v>238</v>
      </c>
      <c r="C239" s="1">
        <v>19</v>
      </c>
      <c r="D239" s="5" t="s">
        <v>982</v>
      </c>
      <c r="E239" s="1">
        <v>0</v>
      </c>
      <c r="F239" s="5" t="s">
        <v>983</v>
      </c>
      <c r="G239" s="1">
        <v>2</v>
      </c>
      <c r="H239" s="5" t="s">
        <v>982</v>
      </c>
      <c r="I239" s="1">
        <v>8</v>
      </c>
      <c r="J239" s="5" t="s">
        <v>981</v>
      </c>
      <c r="K239" s="1">
        <v>0</v>
      </c>
      <c r="L239" s="5" t="s">
        <v>983</v>
      </c>
      <c r="M239" s="1">
        <v>0</v>
      </c>
      <c r="N239" s="5" t="s">
        <v>983</v>
      </c>
      <c r="O239" s="1">
        <v>0</v>
      </c>
      <c r="P239" s="5" t="s">
        <v>983</v>
      </c>
      <c r="Q239" s="1">
        <v>1</v>
      </c>
      <c r="R239" s="1">
        <v>0</v>
      </c>
      <c r="S239" s="1">
        <v>1</v>
      </c>
      <c r="T239" s="1">
        <v>1</v>
      </c>
      <c r="U239" s="1">
        <v>4</v>
      </c>
      <c r="V239" s="1">
        <v>38</v>
      </c>
      <c r="W239" s="1">
        <v>1</v>
      </c>
      <c r="X239" s="1">
        <v>1</v>
      </c>
      <c r="Y239" s="1">
        <v>34</v>
      </c>
      <c r="Z239" s="1">
        <v>200000</v>
      </c>
      <c r="AA239" s="1">
        <v>4</v>
      </c>
    </row>
    <row r="240" spans="1:27" ht="12.75" customHeight="1" x14ac:dyDescent="0.15">
      <c r="A240" s="5">
        <v>424</v>
      </c>
      <c r="B240" s="5" t="s">
        <v>984</v>
      </c>
      <c r="C240" s="1">
        <v>42</v>
      </c>
      <c r="D240" s="5" t="s">
        <v>981</v>
      </c>
      <c r="E240" s="1">
        <v>2</v>
      </c>
      <c r="F240" s="5" t="s">
        <v>982</v>
      </c>
      <c r="G240" s="1">
        <v>1</v>
      </c>
      <c r="H240" s="5" t="s">
        <v>983</v>
      </c>
      <c r="I240" s="1">
        <v>14</v>
      </c>
      <c r="J240" s="5" t="s">
        <v>981</v>
      </c>
      <c r="K240" s="1">
        <v>0</v>
      </c>
      <c r="L240" s="5" t="s">
        <v>983</v>
      </c>
      <c r="M240" s="1">
        <v>1</v>
      </c>
      <c r="N240" s="5" t="s">
        <v>983</v>
      </c>
      <c r="O240" s="1">
        <v>0</v>
      </c>
      <c r="P240" s="5" t="s">
        <v>983</v>
      </c>
      <c r="Q240" s="1">
        <v>1</v>
      </c>
      <c r="R240" s="1">
        <v>0</v>
      </c>
      <c r="S240" s="1">
        <v>1</v>
      </c>
      <c r="T240" s="1">
        <v>5</v>
      </c>
      <c r="U240" s="1">
        <v>5</v>
      </c>
      <c r="V240" s="1">
        <v>38</v>
      </c>
      <c r="W240" s="1">
        <v>1</v>
      </c>
      <c r="X240" s="1">
        <v>14</v>
      </c>
      <c r="Y240" s="1">
        <v>2</v>
      </c>
      <c r="Z240" s="1">
        <v>400000</v>
      </c>
      <c r="AA240" s="1">
        <v>4</v>
      </c>
    </row>
    <row r="241" spans="1:27" ht="12.75" customHeight="1" x14ac:dyDescent="0.15">
      <c r="A241" s="5">
        <v>187</v>
      </c>
      <c r="B241" s="5" t="s">
        <v>238</v>
      </c>
      <c r="C241" s="1">
        <v>23</v>
      </c>
      <c r="D241" s="5" t="s">
        <v>982</v>
      </c>
      <c r="E241" s="1">
        <v>3</v>
      </c>
      <c r="F241" s="5" t="s">
        <v>982</v>
      </c>
      <c r="G241" s="1">
        <v>4</v>
      </c>
      <c r="H241" s="5" t="s">
        <v>982</v>
      </c>
      <c r="I241" s="1">
        <v>5</v>
      </c>
      <c r="J241" s="5" t="s">
        <v>981</v>
      </c>
      <c r="K241" s="1">
        <v>3</v>
      </c>
      <c r="L241" s="5" t="s">
        <v>982</v>
      </c>
      <c r="M241" s="1">
        <v>3</v>
      </c>
      <c r="N241" s="5" t="s">
        <v>982</v>
      </c>
      <c r="O241" s="1">
        <v>0</v>
      </c>
      <c r="P241" s="5" t="s">
        <v>983</v>
      </c>
      <c r="Q241" s="1">
        <v>0</v>
      </c>
      <c r="R241" s="1">
        <v>0</v>
      </c>
      <c r="S241" s="1" t="s">
        <v>194</v>
      </c>
      <c r="T241" s="1">
        <v>5</v>
      </c>
      <c r="U241" s="1">
        <v>5</v>
      </c>
      <c r="V241" s="1">
        <v>38</v>
      </c>
      <c r="W241" s="1">
        <v>1</v>
      </c>
      <c r="X241" s="1">
        <v>14</v>
      </c>
      <c r="Y241" s="1">
        <v>9</v>
      </c>
      <c r="Z241" s="1">
        <v>0</v>
      </c>
      <c r="AA241" s="1">
        <v>3</v>
      </c>
    </row>
    <row r="242" spans="1:27" ht="12.75" customHeight="1" x14ac:dyDescent="0.15">
      <c r="A242" s="5">
        <v>399</v>
      </c>
      <c r="B242" s="5" t="s">
        <v>238</v>
      </c>
      <c r="C242" s="1">
        <v>15</v>
      </c>
      <c r="D242" s="5" t="s">
        <v>983</v>
      </c>
      <c r="E242" s="1">
        <v>6</v>
      </c>
      <c r="F242" s="5" t="s">
        <v>981</v>
      </c>
      <c r="G242" s="1">
        <v>6</v>
      </c>
      <c r="H242" s="5" t="s">
        <v>981</v>
      </c>
      <c r="I242" s="1">
        <v>8</v>
      </c>
      <c r="J242" s="5" t="s">
        <v>981</v>
      </c>
      <c r="K242" s="1">
        <v>6</v>
      </c>
      <c r="L242" s="5" t="s">
        <v>981</v>
      </c>
      <c r="M242" s="1">
        <v>6</v>
      </c>
      <c r="N242" s="5" t="s">
        <v>981</v>
      </c>
      <c r="O242" s="1">
        <v>0</v>
      </c>
      <c r="P242" s="5" t="s">
        <v>983</v>
      </c>
      <c r="Q242" s="1">
        <v>1</v>
      </c>
      <c r="R242" s="1">
        <v>0</v>
      </c>
      <c r="S242" s="1" t="s">
        <v>194</v>
      </c>
      <c r="T242" s="1">
        <v>4</v>
      </c>
      <c r="U242" s="1">
        <v>5</v>
      </c>
      <c r="V242" s="1">
        <v>38</v>
      </c>
      <c r="W242" s="1">
        <v>0</v>
      </c>
      <c r="X242" s="1">
        <v>2</v>
      </c>
      <c r="Y242" s="1">
        <v>2</v>
      </c>
      <c r="Z242" s="1">
        <v>100000</v>
      </c>
      <c r="AA242" s="1">
        <v>6</v>
      </c>
    </row>
    <row r="243" spans="1:27" ht="12.75" customHeight="1" x14ac:dyDescent="0.15">
      <c r="A243" s="5">
        <v>212</v>
      </c>
      <c r="B243" s="5" t="s">
        <v>238</v>
      </c>
      <c r="C243" s="1">
        <v>16</v>
      </c>
      <c r="D243" s="5" t="s">
        <v>983</v>
      </c>
      <c r="E243" s="1">
        <v>2</v>
      </c>
      <c r="F243" s="5" t="s">
        <v>982</v>
      </c>
      <c r="G243" s="1">
        <v>3</v>
      </c>
      <c r="H243" s="5" t="s">
        <v>982</v>
      </c>
      <c r="I243" s="1">
        <v>12</v>
      </c>
      <c r="J243" s="5" t="s">
        <v>981</v>
      </c>
      <c r="K243" s="1">
        <v>4</v>
      </c>
      <c r="L243" s="5" t="s">
        <v>982</v>
      </c>
      <c r="M243" s="1">
        <v>0</v>
      </c>
      <c r="N243" s="5" t="s">
        <v>983</v>
      </c>
      <c r="O243" s="1">
        <v>28</v>
      </c>
      <c r="P243" s="5" t="s">
        <v>981</v>
      </c>
      <c r="Q243" s="1">
        <v>1</v>
      </c>
      <c r="R243" s="1">
        <v>0</v>
      </c>
      <c r="S243" s="1" t="s">
        <v>194</v>
      </c>
      <c r="T243" s="1">
        <v>5</v>
      </c>
      <c r="U243" s="1">
        <v>5</v>
      </c>
      <c r="V243" s="1">
        <v>38</v>
      </c>
      <c r="W243" s="1">
        <v>0</v>
      </c>
      <c r="X243" s="1">
        <v>14</v>
      </c>
      <c r="Y243" s="1">
        <v>24</v>
      </c>
      <c r="Z243" s="1">
        <v>480000</v>
      </c>
      <c r="AA243" s="1">
        <v>4</v>
      </c>
    </row>
    <row r="244" spans="1:27" ht="12.75" customHeight="1" x14ac:dyDescent="0.15">
      <c r="A244" s="5">
        <v>309</v>
      </c>
      <c r="B244" s="5" t="s">
        <v>238</v>
      </c>
      <c r="C244" s="1">
        <v>26</v>
      </c>
      <c r="D244" s="5" t="s">
        <v>981</v>
      </c>
      <c r="E244" s="1">
        <v>7</v>
      </c>
      <c r="F244" s="5" t="s">
        <v>981</v>
      </c>
      <c r="G244" s="1">
        <v>3</v>
      </c>
      <c r="H244" s="5" t="s">
        <v>982</v>
      </c>
      <c r="I244" s="1">
        <v>5</v>
      </c>
      <c r="J244" s="5" t="s">
        <v>981</v>
      </c>
      <c r="K244" s="1">
        <v>3</v>
      </c>
      <c r="L244" s="5" t="s">
        <v>982</v>
      </c>
      <c r="M244" s="1">
        <v>2</v>
      </c>
      <c r="N244" s="5" t="s">
        <v>983</v>
      </c>
      <c r="O244" s="1">
        <v>0</v>
      </c>
      <c r="P244" s="5" t="s">
        <v>983</v>
      </c>
      <c r="Q244" s="1">
        <v>1</v>
      </c>
      <c r="R244" s="1">
        <v>1</v>
      </c>
      <c r="S244" s="1" t="s">
        <v>194</v>
      </c>
      <c r="T244" s="1">
        <v>5</v>
      </c>
      <c r="U244" s="1">
        <v>5</v>
      </c>
      <c r="V244" s="1">
        <v>38</v>
      </c>
      <c r="W244" s="1">
        <v>0</v>
      </c>
      <c r="X244" s="1">
        <v>18</v>
      </c>
      <c r="Y244" s="1">
        <v>34</v>
      </c>
      <c r="Z244" s="1">
        <v>1000000</v>
      </c>
      <c r="AA244" s="1">
        <v>4</v>
      </c>
    </row>
    <row r="245" spans="1:27" ht="12.75" customHeight="1" x14ac:dyDescent="0.15">
      <c r="A245" s="5">
        <v>480</v>
      </c>
      <c r="B245" s="5" t="s">
        <v>238</v>
      </c>
      <c r="C245" s="1">
        <v>18</v>
      </c>
      <c r="D245" s="5" t="s">
        <v>983</v>
      </c>
      <c r="E245" s="1">
        <v>6</v>
      </c>
      <c r="F245" s="5" t="s">
        <v>981</v>
      </c>
      <c r="G245" s="1">
        <v>6</v>
      </c>
      <c r="H245" s="5" t="s">
        <v>981</v>
      </c>
      <c r="I245" s="1">
        <v>8</v>
      </c>
      <c r="J245" s="5" t="s">
        <v>981</v>
      </c>
      <c r="K245" s="1">
        <v>6</v>
      </c>
      <c r="L245" s="5" t="s">
        <v>981</v>
      </c>
      <c r="M245" s="1">
        <v>6</v>
      </c>
      <c r="N245" s="5" t="s">
        <v>981</v>
      </c>
      <c r="O245" s="1">
        <v>0</v>
      </c>
      <c r="P245" s="5" t="s">
        <v>983</v>
      </c>
      <c r="Q245" s="1">
        <v>0</v>
      </c>
      <c r="R245" s="1">
        <v>0</v>
      </c>
      <c r="S245" s="1">
        <v>1</v>
      </c>
      <c r="T245" s="1">
        <v>2</v>
      </c>
      <c r="U245" s="1" t="s">
        <v>194</v>
      </c>
      <c r="V245" s="1">
        <v>38</v>
      </c>
      <c r="W245" s="1">
        <v>1</v>
      </c>
      <c r="X245" s="1">
        <v>16</v>
      </c>
      <c r="Y245" s="1">
        <v>1</v>
      </c>
      <c r="Z245" s="1">
        <v>500000</v>
      </c>
      <c r="AA245" s="1">
        <v>4</v>
      </c>
    </row>
    <row r="246" spans="1:27" ht="12.75" customHeight="1" x14ac:dyDescent="0.15">
      <c r="A246" s="5">
        <v>246</v>
      </c>
      <c r="B246" s="5" t="s">
        <v>238</v>
      </c>
      <c r="C246" s="1">
        <v>34</v>
      </c>
      <c r="D246" s="5" t="s">
        <v>981</v>
      </c>
      <c r="E246" s="1">
        <v>6</v>
      </c>
      <c r="F246" s="5" t="s">
        <v>981</v>
      </c>
      <c r="G246" s="1">
        <v>6</v>
      </c>
      <c r="H246" s="5" t="s">
        <v>981</v>
      </c>
      <c r="I246" s="1">
        <v>8</v>
      </c>
      <c r="J246" s="5" t="s">
        <v>981</v>
      </c>
      <c r="K246" s="1">
        <v>6</v>
      </c>
      <c r="L246" s="5" t="s">
        <v>981</v>
      </c>
      <c r="M246" s="1">
        <v>6</v>
      </c>
      <c r="N246" s="5" t="s">
        <v>981</v>
      </c>
      <c r="O246" s="1">
        <v>0</v>
      </c>
      <c r="P246" s="5" t="s">
        <v>983</v>
      </c>
      <c r="Q246" s="1">
        <v>0</v>
      </c>
      <c r="R246" s="1">
        <v>0</v>
      </c>
      <c r="S246" s="1" t="s">
        <v>194</v>
      </c>
      <c r="T246" s="1" t="s">
        <v>194</v>
      </c>
      <c r="U246" s="1">
        <v>1</v>
      </c>
      <c r="V246" s="1">
        <v>39</v>
      </c>
      <c r="W246" s="1">
        <v>1</v>
      </c>
      <c r="X246" s="1">
        <v>15</v>
      </c>
      <c r="Y246" s="1">
        <v>24</v>
      </c>
      <c r="Z246" s="1">
        <v>0</v>
      </c>
      <c r="AA246" s="1">
        <v>5</v>
      </c>
    </row>
    <row r="247" spans="1:27" ht="12.75" customHeight="1" x14ac:dyDescent="0.15">
      <c r="A247" s="5">
        <v>483</v>
      </c>
      <c r="B247" s="5" t="s">
        <v>238</v>
      </c>
      <c r="C247" s="1">
        <v>21</v>
      </c>
      <c r="D247" s="5" t="s">
        <v>982</v>
      </c>
      <c r="E247" s="1">
        <v>4</v>
      </c>
      <c r="F247" s="5" t="s">
        <v>982</v>
      </c>
      <c r="G247" s="1">
        <v>0</v>
      </c>
      <c r="H247" s="5" t="s">
        <v>983</v>
      </c>
      <c r="I247" s="1">
        <v>7</v>
      </c>
      <c r="J247" s="5" t="s">
        <v>981</v>
      </c>
      <c r="K247" s="1">
        <v>0</v>
      </c>
      <c r="L247" s="5" t="s">
        <v>983</v>
      </c>
      <c r="M247" s="1">
        <v>1</v>
      </c>
      <c r="N247" s="5" t="s">
        <v>983</v>
      </c>
      <c r="O247" s="1">
        <v>0</v>
      </c>
      <c r="P247" s="5" t="s">
        <v>983</v>
      </c>
      <c r="Q247" s="1">
        <v>1</v>
      </c>
      <c r="R247" s="1">
        <v>0</v>
      </c>
      <c r="S247" s="1" t="s">
        <v>194</v>
      </c>
      <c r="T247" s="1">
        <v>2</v>
      </c>
      <c r="U247" s="1">
        <v>1</v>
      </c>
      <c r="V247" s="1">
        <v>39</v>
      </c>
      <c r="W247" s="1">
        <v>0</v>
      </c>
      <c r="X247" s="1">
        <v>2</v>
      </c>
      <c r="Y247" s="1">
        <v>8</v>
      </c>
      <c r="Z247" s="1">
        <v>0</v>
      </c>
      <c r="AA247" s="1">
        <v>4</v>
      </c>
    </row>
    <row r="248" spans="1:27" ht="12.75" customHeight="1" x14ac:dyDescent="0.15">
      <c r="A248" s="5">
        <v>194</v>
      </c>
      <c r="B248" s="5" t="s">
        <v>984</v>
      </c>
      <c r="C248" s="1">
        <v>23</v>
      </c>
      <c r="D248" s="5" t="s">
        <v>982</v>
      </c>
      <c r="E248" s="1">
        <v>0</v>
      </c>
      <c r="F248" s="5" t="s">
        <v>983</v>
      </c>
      <c r="G248" s="1">
        <v>2</v>
      </c>
      <c r="H248" s="5" t="s">
        <v>982</v>
      </c>
      <c r="I248" s="1">
        <v>0</v>
      </c>
      <c r="J248" s="5" t="s">
        <v>983</v>
      </c>
      <c r="K248" s="1">
        <v>0</v>
      </c>
      <c r="L248" s="5" t="s">
        <v>983</v>
      </c>
      <c r="M248" s="1">
        <v>0</v>
      </c>
      <c r="N248" s="5" t="s">
        <v>983</v>
      </c>
      <c r="O248" s="1">
        <v>0</v>
      </c>
      <c r="P248" s="5" t="s">
        <v>983</v>
      </c>
      <c r="Q248" s="1">
        <v>1</v>
      </c>
      <c r="R248" s="1">
        <v>0</v>
      </c>
      <c r="S248" s="1" t="s">
        <v>194</v>
      </c>
      <c r="T248" s="1" t="s">
        <v>194</v>
      </c>
      <c r="U248" s="1">
        <v>2</v>
      </c>
      <c r="V248" s="1">
        <v>39</v>
      </c>
      <c r="W248" s="1">
        <v>1</v>
      </c>
      <c r="X248" s="1">
        <v>14</v>
      </c>
      <c r="Y248" s="1">
        <v>34</v>
      </c>
      <c r="Z248" s="1">
        <v>450000</v>
      </c>
      <c r="AA248" s="1">
        <v>2</v>
      </c>
    </row>
    <row r="249" spans="1:27" ht="12.75" customHeight="1" x14ac:dyDescent="0.15">
      <c r="A249" s="5">
        <v>259</v>
      </c>
      <c r="B249" s="5" t="s">
        <v>238</v>
      </c>
      <c r="C249" s="1">
        <v>31</v>
      </c>
      <c r="D249" s="5" t="s">
        <v>981</v>
      </c>
      <c r="E249" s="1">
        <v>7</v>
      </c>
      <c r="F249" s="5" t="s">
        <v>981</v>
      </c>
      <c r="G249" s="1">
        <v>6</v>
      </c>
      <c r="H249" s="5" t="s">
        <v>981</v>
      </c>
      <c r="I249" s="1">
        <v>7</v>
      </c>
      <c r="J249" s="5" t="s">
        <v>981</v>
      </c>
      <c r="K249" s="1">
        <v>2</v>
      </c>
      <c r="L249" s="5" t="s">
        <v>983</v>
      </c>
      <c r="M249" s="1">
        <v>6</v>
      </c>
      <c r="N249" s="5" t="s">
        <v>981</v>
      </c>
      <c r="O249" s="1">
        <v>0</v>
      </c>
      <c r="P249" s="5" t="s">
        <v>983</v>
      </c>
      <c r="Q249" s="1">
        <v>0</v>
      </c>
      <c r="R249" s="1">
        <v>0</v>
      </c>
      <c r="S249" s="1" t="s">
        <v>194</v>
      </c>
      <c r="T249" s="1" t="s">
        <v>194</v>
      </c>
      <c r="U249" s="1">
        <v>2</v>
      </c>
      <c r="V249" s="1">
        <v>39</v>
      </c>
      <c r="W249" s="1">
        <v>1</v>
      </c>
      <c r="X249" s="1">
        <v>18</v>
      </c>
      <c r="Y249" s="1">
        <v>18</v>
      </c>
      <c r="Z249" s="1">
        <v>950000</v>
      </c>
      <c r="AA249" s="1">
        <v>1</v>
      </c>
    </row>
    <row r="250" spans="1:27" ht="12.75" customHeight="1" x14ac:dyDescent="0.15">
      <c r="A250" s="5">
        <v>25</v>
      </c>
      <c r="B250" s="5" t="s">
        <v>984</v>
      </c>
      <c r="C250" s="1">
        <v>22</v>
      </c>
      <c r="D250" s="5" t="s">
        <v>982</v>
      </c>
      <c r="E250" s="1">
        <v>3</v>
      </c>
      <c r="F250" s="5" t="s">
        <v>982</v>
      </c>
      <c r="G250" s="1">
        <v>2</v>
      </c>
      <c r="H250" s="5" t="s">
        <v>982</v>
      </c>
      <c r="I250" s="1">
        <v>6</v>
      </c>
      <c r="J250" s="5" t="s">
        <v>981</v>
      </c>
      <c r="K250" s="1">
        <v>6</v>
      </c>
      <c r="L250" s="5" t="s">
        <v>981</v>
      </c>
      <c r="M250" s="1">
        <v>6</v>
      </c>
      <c r="N250" s="5" t="s">
        <v>981</v>
      </c>
      <c r="O250" s="1">
        <v>3</v>
      </c>
      <c r="P250" s="5" t="s">
        <v>982</v>
      </c>
      <c r="Q250" s="1">
        <v>0</v>
      </c>
      <c r="R250" s="1">
        <v>1</v>
      </c>
      <c r="S250" s="1" t="s">
        <v>194</v>
      </c>
      <c r="T250" s="1">
        <v>3</v>
      </c>
      <c r="U250" s="1">
        <v>2</v>
      </c>
      <c r="V250" s="1">
        <v>39</v>
      </c>
      <c r="W250" s="1">
        <v>0</v>
      </c>
      <c r="X250" s="1">
        <v>15</v>
      </c>
      <c r="Y250" s="1">
        <v>29</v>
      </c>
      <c r="Z250" s="1">
        <v>350000</v>
      </c>
      <c r="AA250" s="1">
        <v>3</v>
      </c>
    </row>
    <row r="251" spans="1:27" ht="12.75" customHeight="1" x14ac:dyDescent="0.15">
      <c r="A251" s="5">
        <v>263</v>
      </c>
      <c r="B251" s="5" t="s">
        <v>238</v>
      </c>
      <c r="C251" s="1">
        <v>18</v>
      </c>
      <c r="D251" s="5" t="s">
        <v>983</v>
      </c>
      <c r="E251" s="1">
        <v>2</v>
      </c>
      <c r="F251" s="5" t="s">
        <v>982</v>
      </c>
      <c r="G251" s="1">
        <v>6</v>
      </c>
      <c r="H251" s="5" t="s">
        <v>981</v>
      </c>
      <c r="I251" s="1">
        <v>3</v>
      </c>
      <c r="J251" s="5" t="s">
        <v>982</v>
      </c>
      <c r="K251" s="1">
        <v>0</v>
      </c>
      <c r="L251" s="5" t="s">
        <v>983</v>
      </c>
      <c r="M251" s="1">
        <v>1</v>
      </c>
      <c r="N251" s="5" t="s">
        <v>983</v>
      </c>
      <c r="O251" s="1">
        <v>0</v>
      </c>
      <c r="P251" s="5" t="s">
        <v>983</v>
      </c>
      <c r="Q251" s="1">
        <v>1</v>
      </c>
      <c r="R251" s="1">
        <v>0</v>
      </c>
      <c r="S251" s="1" t="s">
        <v>194</v>
      </c>
      <c r="T251" s="1">
        <v>5</v>
      </c>
      <c r="U251" s="1">
        <v>2</v>
      </c>
      <c r="V251" s="1">
        <v>39</v>
      </c>
      <c r="W251" s="1">
        <v>0</v>
      </c>
      <c r="X251" s="1">
        <v>3</v>
      </c>
      <c r="Y251" s="1">
        <v>1</v>
      </c>
      <c r="Z251" s="1">
        <v>700000</v>
      </c>
      <c r="AA251" s="1">
        <v>1</v>
      </c>
    </row>
    <row r="252" spans="1:27" ht="12.75" customHeight="1" x14ac:dyDescent="0.15">
      <c r="A252" s="5">
        <v>101</v>
      </c>
      <c r="B252" s="5" t="s">
        <v>238</v>
      </c>
      <c r="C252" s="1">
        <v>27</v>
      </c>
      <c r="D252" s="5" t="s">
        <v>981</v>
      </c>
      <c r="E252" s="1">
        <v>4</v>
      </c>
      <c r="F252" s="5" t="s">
        <v>982</v>
      </c>
      <c r="G252" s="1">
        <v>6</v>
      </c>
      <c r="H252" s="5" t="s">
        <v>981</v>
      </c>
      <c r="I252" s="1">
        <v>6</v>
      </c>
      <c r="J252" s="5" t="s">
        <v>981</v>
      </c>
      <c r="K252" s="1">
        <v>6</v>
      </c>
      <c r="L252" s="5" t="s">
        <v>981</v>
      </c>
      <c r="M252" s="1">
        <v>12</v>
      </c>
      <c r="N252" s="5" t="s">
        <v>981</v>
      </c>
      <c r="O252" s="1">
        <v>1</v>
      </c>
      <c r="P252" s="5" t="s">
        <v>982</v>
      </c>
      <c r="Q252" s="1">
        <v>1</v>
      </c>
      <c r="R252" s="1">
        <v>0</v>
      </c>
      <c r="S252" s="1" t="s">
        <v>194</v>
      </c>
      <c r="T252" s="1">
        <v>3</v>
      </c>
      <c r="U252" s="1">
        <v>2</v>
      </c>
      <c r="V252" s="1">
        <v>39</v>
      </c>
      <c r="W252" s="1">
        <v>1</v>
      </c>
      <c r="X252" s="1">
        <v>15</v>
      </c>
      <c r="Y252" s="1">
        <v>5</v>
      </c>
      <c r="Z252" s="1">
        <v>1030000</v>
      </c>
      <c r="AA252" s="1">
        <v>3</v>
      </c>
    </row>
    <row r="253" spans="1:27" ht="12.75" customHeight="1" x14ac:dyDescent="0.15">
      <c r="A253" s="5">
        <v>196</v>
      </c>
      <c r="B253" s="5" t="s">
        <v>238</v>
      </c>
      <c r="C253" s="1">
        <v>12</v>
      </c>
      <c r="D253" s="5" t="s">
        <v>983</v>
      </c>
      <c r="E253" s="1">
        <v>5</v>
      </c>
      <c r="F253" s="5" t="s">
        <v>981</v>
      </c>
      <c r="G253" s="1">
        <v>0</v>
      </c>
      <c r="H253" s="5" t="s">
        <v>983</v>
      </c>
      <c r="I253" s="1">
        <v>11</v>
      </c>
      <c r="J253" s="5" t="s">
        <v>981</v>
      </c>
      <c r="K253" s="1">
        <v>2</v>
      </c>
      <c r="L253" s="5" t="s">
        <v>983</v>
      </c>
      <c r="M253" s="1">
        <v>0</v>
      </c>
      <c r="N253" s="5" t="s">
        <v>983</v>
      </c>
      <c r="O253" s="1">
        <v>0</v>
      </c>
      <c r="P253" s="5" t="s">
        <v>983</v>
      </c>
      <c r="Q253" s="1">
        <v>1</v>
      </c>
      <c r="R253" s="1">
        <v>0</v>
      </c>
      <c r="S253" s="1">
        <v>1</v>
      </c>
      <c r="T253" s="1">
        <v>5</v>
      </c>
      <c r="U253" s="1">
        <v>3</v>
      </c>
      <c r="V253" s="1">
        <v>39</v>
      </c>
      <c r="W253" s="1">
        <v>1</v>
      </c>
      <c r="X253" s="1">
        <v>14</v>
      </c>
      <c r="Y253" s="1">
        <v>34</v>
      </c>
      <c r="Z253" s="1">
        <v>700000</v>
      </c>
      <c r="AA253" s="1">
        <v>3</v>
      </c>
    </row>
    <row r="254" spans="1:27" ht="12.75" customHeight="1" x14ac:dyDescent="0.15">
      <c r="A254" s="5">
        <v>453</v>
      </c>
      <c r="B254" s="5" t="s">
        <v>984</v>
      </c>
      <c r="C254" s="1">
        <v>41</v>
      </c>
      <c r="D254" s="5" t="s">
        <v>981</v>
      </c>
      <c r="E254" s="1">
        <v>2</v>
      </c>
      <c r="F254" s="5" t="s">
        <v>982</v>
      </c>
      <c r="G254" s="1">
        <v>6</v>
      </c>
      <c r="H254" s="5" t="s">
        <v>981</v>
      </c>
      <c r="I254" s="1">
        <v>11</v>
      </c>
      <c r="J254" s="5" t="s">
        <v>981</v>
      </c>
      <c r="K254" s="1">
        <v>8</v>
      </c>
      <c r="L254" s="5" t="s">
        <v>981</v>
      </c>
      <c r="M254" s="1">
        <v>8</v>
      </c>
      <c r="N254" s="5" t="s">
        <v>981</v>
      </c>
      <c r="O254" s="1">
        <v>3</v>
      </c>
      <c r="P254" s="5" t="s">
        <v>982</v>
      </c>
      <c r="Q254" s="1">
        <v>1</v>
      </c>
      <c r="R254" s="1">
        <v>0</v>
      </c>
      <c r="S254" s="1">
        <v>1</v>
      </c>
      <c r="T254" s="1">
        <v>3</v>
      </c>
      <c r="U254" s="1">
        <v>3</v>
      </c>
      <c r="V254" s="1">
        <v>39</v>
      </c>
      <c r="W254" s="1">
        <v>0</v>
      </c>
      <c r="X254" s="1">
        <v>2</v>
      </c>
      <c r="Y254" s="1">
        <v>34</v>
      </c>
      <c r="Z254" s="1">
        <v>900000</v>
      </c>
      <c r="AA254" s="1">
        <v>1</v>
      </c>
    </row>
    <row r="255" spans="1:27" ht="12.75" customHeight="1" x14ac:dyDescent="0.15">
      <c r="A255" s="5">
        <v>484</v>
      </c>
      <c r="B255" s="5" t="s">
        <v>238</v>
      </c>
      <c r="C255" s="1">
        <v>26</v>
      </c>
      <c r="D255" s="5" t="s">
        <v>981</v>
      </c>
      <c r="E255" s="1">
        <v>4</v>
      </c>
      <c r="F255" s="5" t="s">
        <v>982</v>
      </c>
      <c r="G255" s="1">
        <v>7</v>
      </c>
      <c r="H255" s="5" t="s">
        <v>981</v>
      </c>
      <c r="I255" s="1">
        <v>5</v>
      </c>
      <c r="J255" s="5" t="s">
        <v>981</v>
      </c>
      <c r="K255" s="1">
        <v>0</v>
      </c>
      <c r="L255" s="5" t="s">
        <v>983</v>
      </c>
      <c r="M255" s="1">
        <v>6</v>
      </c>
      <c r="N255" s="5" t="s">
        <v>981</v>
      </c>
      <c r="O255" s="1">
        <v>1</v>
      </c>
      <c r="P255" s="5" t="s">
        <v>982</v>
      </c>
      <c r="Q255" s="1">
        <v>1</v>
      </c>
      <c r="R255" s="1">
        <v>0</v>
      </c>
      <c r="S255" s="1" t="s">
        <v>194</v>
      </c>
      <c r="T255" s="1">
        <v>3</v>
      </c>
      <c r="U255" s="1">
        <v>3</v>
      </c>
      <c r="V255" s="1">
        <v>39</v>
      </c>
      <c r="W255" s="1">
        <v>0</v>
      </c>
      <c r="X255" s="1">
        <v>2</v>
      </c>
      <c r="Y255" s="1">
        <v>8</v>
      </c>
      <c r="Z255" s="1">
        <v>0</v>
      </c>
      <c r="AA255" s="1">
        <v>4</v>
      </c>
    </row>
    <row r="256" spans="1:27" ht="12.75" customHeight="1" x14ac:dyDescent="0.15">
      <c r="A256" s="5">
        <v>423</v>
      </c>
      <c r="B256" s="5" t="s">
        <v>238</v>
      </c>
      <c r="C256" s="1">
        <v>39</v>
      </c>
      <c r="D256" s="5" t="s">
        <v>981</v>
      </c>
      <c r="E256" s="1">
        <v>3</v>
      </c>
      <c r="F256" s="5" t="s">
        <v>982</v>
      </c>
      <c r="G256" s="1">
        <v>6</v>
      </c>
      <c r="H256" s="5" t="s">
        <v>981</v>
      </c>
      <c r="I256" s="1">
        <v>10</v>
      </c>
      <c r="J256" s="5" t="s">
        <v>981</v>
      </c>
      <c r="K256" s="1">
        <v>9</v>
      </c>
      <c r="L256" s="5" t="s">
        <v>981</v>
      </c>
      <c r="M256" s="1">
        <v>5</v>
      </c>
      <c r="N256" s="5" t="s">
        <v>982</v>
      </c>
      <c r="O256" s="1">
        <v>0</v>
      </c>
      <c r="P256" s="5" t="s">
        <v>983</v>
      </c>
      <c r="Q256" s="1">
        <v>0</v>
      </c>
      <c r="R256" s="1">
        <v>0</v>
      </c>
      <c r="S256" s="1" t="s">
        <v>194</v>
      </c>
      <c r="T256" s="1">
        <v>2</v>
      </c>
      <c r="U256" s="1">
        <v>3</v>
      </c>
      <c r="V256" s="1">
        <v>39</v>
      </c>
      <c r="W256" s="1">
        <v>1</v>
      </c>
      <c r="X256" s="1">
        <v>14</v>
      </c>
      <c r="Y256" s="1">
        <v>2</v>
      </c>
      <c r="Z256" s="1">
        <v>600000</v>
      </c>
      <c r="AA256" s="1">
        <v>4</v>
      </c>
    </row>
    <row r="257" spans="1:27" ht="12.75" customHeight="1" x14ac:dyDescent="0.15">
      <c r="A257" s="5">
        <v>216</v>
      </c>
      <c r="B257" s="5" t="s">
        <v>238</v>
      </c>
      <c r="C257" s="1">
        <v>28</v>
      </c>
      <c r="D257" s="5" t="s">
        <v>981</v>
      </c>
      <c r="E257" s="1">
        <v>7</v>
      </c>
      <c r="F257" s="5" t="s">
        <v>981</v>
      </c>
      <c r="G257" s="1">
        <v>1</v>
      </c>
      <c r="H257" s="5" t="s">
        <v>983</v>
      </c>
      <c r="I257" s="1">
        <v>4</v>
      </c>
      <c r="J257" s="5" t="s">
        <v>982</v>
      </c>
      <c r="K257" s="1">
        <v>9</v>
      </c>
      <c r="L257" s="5" t="s">
        <v>981</v>
      </c>
      <c r="M257" s="1">
        <v>9</v>
      </c>
      <c r="N257" s="5" t="s">
        <v>981</v>
      </c>
      <c r="O257" s="1">
        <v>0</v>
      </c>
      <c r="P257" s="5" t="s">
        <v>983</v>
      </c>
      <c r="Q257" s="1">
        <v>1</v>
      </c>
      <c r="R257" s="1">
        <v>0</v>
      </c>
      <c r="S257" s="1">
        <v>1</v>
      </c>
      <c r="T257" s="1">
        <v>4</v>
      </c>
      <c r="U257" s="1">
        <v>4</v>
      </c>
      <c r="V257" s="1">
        <v>39</v>
      </c>
      <c r="W257" s="1">
        <v>1</v>
      </c>
      <c r="X257" s="1">
        <v>17</v>
      </c>
      <c r="Y257" s="1">
        <v>34</v>
      </c>
      <c r="Z257" s="1">
        <v>50000</v>
      </c>
      <c r="AA257" s="1">
        <v>6</v>
      </c>
    </row>
    <row r="258" spans="1:27" ht="12.75" customHeight="1" x14ac:dyDescent="0.15">
      <c r="A258" s="5">
        <v>142</v>
      </c>
      <c r="B258" s="5" t="s">
        <v>238</v>
      </c>
      <c r="C258" s="1">
        <v>34</v>
      </c>
      <c r="D258" s="5" t="s">
        <v>981</v>
      </c>
      <c r="E258" s="1">
        <v>4</v>
      </c>
      <c r="F258" s="5" t="s">
        <v>982</v>
      </c>
      <c r="G258" s="1">
        <v>0</v>
      </c>
      <c r="H258" s="5" t="s">
        <v>983</v>
      </c>
      <c r="I258" s="1">
        <v>6</v>
      </c>
      <c r="J258" s="5" t="s">
        <v>981</v>
      </c>
      <c r="K258" s="1">
        <v>4</v>
      </c>
      <c r="L258" s="5" t="s">
        <v>982</v>
      </c>
      <c r="M258" s="1">
        <v>6</v>
      </c>
      <c r="N258" s="5" t="s">
        <v>981</v>
      </c>
      <c r="O258" s="1">
        <v>0</v>
      </c>
      <c r="P258" s="5" t="s">
        <v>983</v>
      </c>
      <c r="Q258" s="1">
        <v>1</v>
      </c>
      <c r="R258" s="1">
        <v>0</v>
      </c>
      <c r="S258" s="1">
        <v>1</v>
      </c>
      <c r="T258" s="1">
        <v>5</v>
      </c>
      <c r="U258" s="1">
        <v>5</v>
      </c>
      <c r="V258" s="1">
        <v>39</v>
      </c>
      <c r="W258" s="1">
        <v>0</v>
      </c>
      <c r="X258" s="1">
        <v>14</v>
      </c>
      <c r="Y258" s="1">
        <v>6</v>
      </c>
      <c r="Z258" s="1">
        <v>100000</v>
      </c>
      <c r="AA258" s="1">
        <v>1</v>
      </c>
    </row>
    <row r="259" spans="1:27" ht="12.75" customHeight="1" x14ac:dyDescent="0.15">
      <c r="A259" s="5">
        <v>248</v>
      </c>
      <c r="B259" s="5" t="s">
        <v>238</v>
      </c>
      <c r="C259" s="1">
        <v>24</v>
      </c>
      <c r="D259" s="5" t="s">
        <v>981</v>
      </c>
      <c r="E259" s="1">
        <v>3</v>
      </c>
      <c r="F259" s="5" t="s">
        <v>982</v>
      </c>
      <c r="G259" s="1">
        <v>1</v>
      </c>
      <c r="H259" s="5" t="s">
        <v>983</v>
      </c>
      <c r="I259" s="1">
        <v>6</v>
      </c>
      <c r="J259" s="5" t="s">
        <v>981</v>
      </c>
      <c r="K259" s="1">
        <v>1</v>
      </c>
      <c r="L259" s="5" t="s">
        <v>983</v>
      </c>
      <c r="M259" s="1">
        <v>3</v>
      </c>
      <c r="N259" s="5" t="s">
        <v>982</v>
      </c>
      <c r="O259" s="1">
        <v>0</v>
      </c>
      <c r="P259" s="5" t="s">
        <v>983</v>
      </c>
      <c r="Q259" s="1">
        <v>1</v>
      </c>
      <c r="R259" s="1">
        <v>0</v>
      </c>
      <c r="S259" s="1">
        <v>1</v>
      </c>
      <c r="T259" s="1">
        <v>5</v>
      </c>
      <c r="U259" s="1">
        <v>5</v>
      </c>
      <c r="V259" s="1">
        <v>39</v>
      </c>
      <c r="W259" s="1">
        <v>0</v>
      </c>
      <c r="X259" s="1">
        <v>16</v>
      </c>
      <c r="Y259" s="1">
        <v>34</v>
      </c>
      <c r="Z259" s="1">
        <v>1200000</v>
      </c>
      <c r="AA259" s="1">
        <v>4</v>
      </c>
    </row>
    <row r="260" spans="1:27" ht="12.75" customHeight="1" x14ac:dyDescent="0.15">
      <c r="A260" s="5">
        <v>332</v>
      </c>
      <c r="B260" s="5" t="s">
        <v>238</v>
      </c>
      <c r="C260" s="1">
        <v>38</v>
      </c>
      <c r="D260" s="5" t="s">
        <v>981</v>
      </c>
      <c r="E260" s="1">
        <v>2</v>
      </c>
      <c r="F260" s="5" t="s">
        <v>982</v>
      </c>
      <c r="G260" s="1">
        <v>4</v>
      </c>
      <c r="H260" s="5" t="s">
        <v>982</v>
      </c>
      <c r="I260" s="1">
        <v>0</v>
      </c>
      <c r="J260" s="5" t="s">
        <v>983</v>
      </c>
      <c r="K260" s="1">
        <v>0</v>
      </c>
      <c r="L260" s="5" t="s">
        <v>983</v>
      </c>
      <c r="M260" s="1">
        <v>6</v>
      </c>
      <c r="N260" s="5" t="s">
        <v>981</v>
      </c>
      <c r="O260" s="1">
        <v>0</v>
      </c>
      <c r="P260" s="5" t="s">
        <v>983</v>
      </c>
      <c r="Q260" s="1">
        <v>0</v>
      </c>
      <c r="R260" s="1">
        <v>0</v>
      </c>
      <c r="S260" s="1" t="s">
        <v>194</v>
      </c>
      <c r="T260" s="1">
        <v>5</v>
      </c>
      <c r="U260" s="1">
        <v>5</v>
      </c>
      <c r="V260" s="1">
        <v>39</v>
      </c>
      <c r="W260" s="1">
        <v>0</v>
      </c>
      <c r="X260" s="1">
        <v>1</v>
      </c>
      <c r="Y260" s="1">
        <v>2</v>
      </c>
      <c r="Z260" s="1">
        <v>0</v>
      </c>
      <c r="AA260" s="1">
        <v>1</v>
      </c>
    </row>
    <row r="261" spans="1:27" ht="12.75" customHeight="1" x14ac:dyDescent="0.15">
      <c r="A261" s="5">
        <v>175</v>
      </c>
      <c r="B261" s="5" t="s">
        <v>238</v>
      </c>
      <c r="C261" s="1">
        <v>16</v>
      </c>
      <c r="D261" s="5" t="s">
        <v>983</v>
      </c>
      <c r="E261" s="1">
        <v>1</v>
      </c>
      <c r="F261" s="5" t="s">
        <v>983</v>
      </c>
      <c r="G261" s="1">
        <v>1</v>
      </c>
      <c r="H261" s="5" t="s">
        <v>983</v>
      </c>
      <c r="I261" s="1">
        <v>7</v>
      </c>
      <c r="J261" s="5" t="s">
        <v>981</v>
      </c>
      <c r="K261" s="1">
        <v>0</v>
      </c>
      <c r="L261" s="5" t="s">
        <v>983</v>
      </c>
      <c r="M261" s="1">
        <v>0</v>
      </c>
      <c r="N261" s="5" t="s">
        <v>983</v>
      </c>
      <c r="O261" s="1">
        <v>0</v>
      </c>
      <c r="P261" s="5" t="s">
        <v>983</v>
      </c>
      <c r="Q261" s="1">
        <v>0</v>
      </c>
      <c r="R261" s="1">
        <v>0</v>
      </c>
      <c r="S261" s="1" t="s">
        <v>194</v>
      </c>
      <c r="T261" s="1">
        <v>5</v>
      </c>
      <c r="U261" s="1">
        <v>5</v>
      </c>
      <c r="V261" s="1">
        <v>39</v>
      </c>
      <c r="W261" s="1">
        <v>0</v>
      </c>
      <c r="X261" s="1">
        <v>18</v>
      </c>
      <c r="Y261" s="1">
        <v>24</v>
      </c>
      <c r="Z261" s="1">
        <v>1600</v>
      </c>
      <c r="AA261" s="1">
        <v>4</v>
      </c>
    </row>
    <row r="262" spans="1:27" ht="12.75" customHeight="1" x14ac:dyDescent="0.15">
      <c r="A262" s="5">
        <v>264</v>
      </c>
      <c r="B262" s="5" t="s">
        <v>238</v>
      </c>
      <c r="C262" s="1">
        <v>23</v>
      </c>
      <c r="D262" s="5" t="s">
        <v>982</v>
      </c>
      <c r="E262" s="1">
        <v>6</v>
      </c>
      <c r="F262" s="5" t="s">
        <v>981</v>
      </c>
      <c r="G262" s="1">
        <v>8</v>
      </c>
      <c r="H262" s="5" t="s">
        <v>981</v>
      </c>
      <c r="I262" s="1">
        <v>4</v>
      </c>
      <c r="J262" s="5" t="s">
        <v>982</v>
      </c>
      <c r="K262" s="1">
        <v>3</v>
      </c>
      <c r="L262" s="5" t="s">
        <v>982</v>
      </c>
      <c r="M262" s="1">
        <v>9</v>
      </c>
      <c r="N262" s="5" t="s">
        <v>981</v>
      </c>
      <c r="O262" s="1">
        <v>8</v>
      </c>
      <c r="P262" s="5" t="s">
        <v>982</v>
      </c>
      <c r="Q262" s="1">
        <v>0</v>
      </c>
      <c r="R262" s="1">
        <v>1</v>
      </c>
      <c r="S262" s="1" t="s">
        <v>194</v>
      </c>
      <c r="T262" s="1">
        <v>5</v>
      </c>
      <c r="U262" s="1">
        <v>5</v>
      </c>
      <c r="V262" s="1">
        <v>39</v>
      </c>
      <c r="W262" s="1">
        <v>0</v>
      </c>
      <c r="X262" s="1">
        <v>3</v>
      </c>
      <c r="Y262" s="1">
        <v>1</v>
      </c>
      <c r="Z262" s="1">
        <v>700000</v>
      </c>
      <c r="AA262" s="1">
        <v>1</v>
      </c>
    </row>
    <row r="263" spans="1:27" ht="12.75" customHeight="1" x14ac:dyDescent="0.15">
      <c r="A263" s="5">
        <v>24</v>
      </c>
      <c r="B263" s="5" t="s">
        <v>238</v>
      </c>
      <c r="C263" s="1">
        <v>31</v>
      </c>
      <c r="D263" s="5" t="s">
        <v>981</v>
      </c>
      <c r="E263" s="1">
        <v>0</v>
      </c>
      <c r="F263" s="5" t="s">
        <v>983</v>
      </c>
      <c r="G263" s="1">
        <v>7</v>
      </c>
      <c r="H263" s="5" t="s">
        <v>981</v>
      </c>
      <c r="I263" s="1">
        <v>7</v>
      </c>
      <c r="J263" s="5" t="s">
        <v>981</v>
      </c>
      <c r="K263" s="1">
        <v>5</v>
      </c>
      <c r="L263" s="5" t="s">
        <v>982</v>
      </c>
      <c r="M263" s="1">
        <v>5</v>
      </c>
      <c r="N263" s="5" t="s">
        <v>982</v>
      </c>
      <c r="O263" s="1">
        <v>3</v>
      </c>
      <c r="P263" s="5" t="s">
        <v>982</v>
      </c>
      <c r="Q263" s="1">
        <v>0</v>
      </c>
      <c r="R263" s="1">
        <v>0</v>
      </c>
      <c r="S263" s="1" t="s">
        <v>194</v>
      </c>
      <c r="T263" s="1">
        <v>2</v>
      </c>
      <c r="U263" s="1" t="s">
        <v>194</v>
      </c>
      <c r="V263" s="1">
        <v>39</v>
      </c>
      <c r="W263" s="1">
        <v>0</v>
      </c>
      <c r="X263" s="1">
        <v>15</v>
      </c>
      <c r="Y263" s="1">
        <v>29</v>
      </c>
      <c r="Z263" s="1">
        <v>350000</v>
      </c>
      <c r="AA263" s="1">
        <v>3</v>
      </c>
    </row>
    <row r="264" spans="1:27" ht="12.75" customHeight="1" x14ac:dyDescent="0.15">
      <c r="A264" s="5">
        <v>373</v>
      </c>
      <c r="B264" s="5" t="s">
        <v>984</v>
      </c>
      <c r="C264" s="1">
        <v>24</v>
      </c>
      <c r="D264" s="5" t="s">
        <v>981</v>
      </c>
      <c r="E264" s="1">
        <v>3</v>
      </c>
      <c r="F264" s="5" t="s">
        <v>982</v>
      </c>
      <c r="G264" s="1">
        <v>3</v>
      </c>
      <c r="H264" s="5" t="s">
        <v>982</v>
      </c>
      <c r="I264" s="1">
        <v>12</v>
      </c>
      <c r="J264" s="5" t="s">
        <v>981</v>
      </c>
      <c r="K264" s="1">
        <v>3</v>
      </c>
      <c r="L264" s="5" t="s">
        <v>982</v>
      </c>
      <c r="M264" s="1">
        <v>3</v>
      </c>
      <c r="N264" s="5" t="s">
        <v>982</v>
      </c>
      <c r="O264" s="1">
        <v>0</v>
      </c>
      <c r="P264" s="5" t="s">
        <v>983</v>
      </c>
      <c r="Q264" s="1">
        <v>1</v>
      </c>
      <c r="R264" s="1">
        <v>0</v>
      </c>
      <c r="S264" s="1">
        <v>1</v>
      </c>
      <c r="T264" s="1">
        <v>4</v>
      </c>
      <c r="U264" s="1">
        <v>2</v>
      </c>
      <c r="V264" s="1">
        <v>40</v>
      </c>
      <c r="W264" s="1">
        <v>1</v>
      </c>
      <c r="X264" s="1">
        <v>2</v>
      </c>
      <c r="Y264" s="1">
        <v>24</v>
      </c>
      <c r="Z264" s="1">
        <v>600000</v>
      </c>
      <c r="AA264" s="1">
        <v>3</v>
      </c>
    </row>
    <row r="265" spans="1:27" ht="12.75" customHeight="1" x14ac:dyDescent="0.15">
      <c r="A265" s="5">
        <v>431</v>
      </c>
      <c r="B265" s="5" t="s">
        <v>238</v>
      </c>
      <c r="C265" s="1">
        <v>28</v>
      </c>
      <c r="D265" s="5" t="s">
        <v>981</v>
      </c>
      <c r="E265" s="1">
        <v>6</v>
      </c>
      <c r="F265" s="5" t="s">
        <v>981</v>
      </c>
      <c r="G265" s="1">
        <v>6</v>
      </c>
      <c r="H265" s="5" t="s">
        <v>981</v>
      </c>
      <c r="I265" s="1">
        <v>8</v>
      </c>
      <c r="J265" s="5" t="s">
        <v>981</v>
      </c>
      <c r="K265" s="1">
        <v>6</v>
      </c>
      <c r="L265" s="5" t="s">
        <v>981</v>
      </c>
      <c r="M265" s="1">
        <v>6</v>
      </c>
      <c r="N265" s="5" t="s">
        <v>981</v>
      </c>
      <c r="O265" s="1">
        <v>0</v>
      </c>
      <c r="P265" s="5" t="s">
        <v>983</v>
      </c>
      <c r="Q265" s="1">
        <v>1</v>
      </c>
      <c r="R265" s="1">
        <v>0</v>
      </c>
      <c r="S265" s="1">
        <v>1</v>
      </c>
      <c r="T265" s="1">
        <v>5</v>
      </c>
      <c r="U265" s="1">
        <v>5</v>
      </c>
      <c r="V265" s="1">
        <v>40</v>
      </c>
      <c r="W265" s="1">
        <v>0</v>
      </c>
      <c r="X265" s="1">
        <v>4</v>
      </c>
      <c r="Y265" s="1">
        <v>34</v>
      </c>
      <c r="Z265" s="1">
        <v>200000</v>
      </c>
      <c r="AA265" s="1">
        <v>1</v>
      </c>
    </row>
    <row r="266" spans="1:27" ht="12.75" customHeight="1" x14ac:dyDescent="0.15">
      <c r="A266" s="5">
        <v>260</v>
      </c>
      <c r="B266" s="5" t="s">
        <v>238</v>
      </c>
      <c r="C266" s="1">
        <v>38</v>
      </c>
      <c r="D266" s="5" t="s">
        <v>981</v>
      </c>
      <c r="E266" s="1">
        <v>4</v>
      </c>
      <c r="F266" s="5" t="s">
        <v>982</v>
      </c>
      <c r="G266" s="1">
        <v>6</v>
      </c>
      <c r="H266" s="5" t="s">
        <v>981</v>
      </c>
      <c r="I266" s="1">
        <v>7</v>
      </c>
      <c r="J266" s="5" t="s">
        <v>981</v>
      </c>
      <c r="K266" s="1">
        <v>3</v>
      </c>
      <c r="L266" s="5" t="s">
        <v>982</v>
      </c>
      <c r="M266" s="1">
        <v>8</v>
      </c>
      <c r="N266" s="5" t="s">
        <v>981</v>
      </c>
      <c r="O266" s="1">
        <v>0</v>
      </c>
      <c r="P266" s="5" t="s">
        <v>983</v>
      </c>
      <c r="Q266" s="1">
        <v>0</v>
      </c>
      <c r="R266" s="1">
        <v>0</v>
      </c>
      <c r="S266" s="1" t="s">
        <v>194</v>
      </c>
      <c r="T266" s="1">
        <v>5</v>
      </c>
      <c r="U266" s="1">
        <v>5</v>
      </c>
      <c r="V266" s="1">
        <v>40</v>
      </c>
      <c r="W266" s="1">
        <v>1</v>
      </c>
      <c r="X266" s="1">
        <v>2</v>
      </c>
      <c r="Y266" s="1">
        <v>1</v>
      </c>
      <c r="Z266" s="1">
        <v>400000</v>
      </c>
      <c r="AA266" s="1">
        <v>5</v>
      </c>
    </row>
    <row r="267" spans="1:27" ht="12.75" customHeight="1" x14ac:dyDescent="0.15">
      <c r="A267" s="5">
        <v>291</v>
      </c>
      <c r="B267" s="5" t="s">
        <v>238</v>
      </c>
      <c r="C267" s="1">
        <v>24</v>
      </c>
      <c r="D267" s="5" t="s">
        <v>981</v>
      </c>
      <c r="E267" s="1">
        <v>0</v>
      </c>
      <c r="F267" s="5" t="s">
        <v>983</v>
      </c>
      <c r="G267" s="1">
        <v>1</v>
      </c>
      <c r="H267" s="5" t="s">
        <v>983</v>
      </c>
      <c r="I267" s="1">
        <v>15</v>
      </c>
      <c r="J267" s="5" t="s">
        <v>981</v>
      </c>
      <c r="K267" s="1">
        <v>1</v>
      </c>
      <c r="L267" s="5" t="s">
        <v>983</v>
      </c>
      <c r="M267" s="1">
        <v>0</v>
      </c>
      <c r="N267" s="5" t="s">
        <v>983</v>
      </c>
      <c r="O267" s="1">
        <v>0</v>
      </c>
      <c r="P267" s="5" t="s">
        <v>983</v>
      </c>
      <c r="Q267" s="1">
        <v>1</v>
      </c>
      <c r="R267" s="1">
        <v>0</v>
      </c>
      <c r="S267" s="1">
        <v>1</v>
      </c>
      <c r="T267" s="1" t="s">
        <v>194</v>
      </c>
      <c r="U267" s="1" t="s">
        <v>194</v>
      </c>
      <c r="V267" s="1">
        <v>40</v>
      </c>
      <c r="W267" s="1">
        <v>0</v>
      </c>
      <c r="X267" s="1">
        <v>18</v>
      </c>
      <c r="Y267" s="1">
        <v>34</v>
      </c>
      <c r="Z267" s="1">
        <v>2000000</v>
      </c>
      <c r="AA267" s="1">
        <v>7</v>
      </c>
    </row>
    <row r="268" spans="1:27" ht="12.75" customHeight="1" x14ac:dyDescent="0.15">
      <c r="A268" s="5">
        <v>261</v>
      </c>
      <c r="B268" s="5" t="s">
        <v>238</v>
      </c>
      <c r="C268" s="1">
        <v>30</v>
      </c>
      <c r="D268" s="5" t="s">
        <v>981</v>
      </c>
      <c r="E268" s="1">
        <v>6</v>
      </c>
      <c r="F268" s="5" t="s">
        <v>981</v>
      </c>
      <c r="G268" s="1">
        <v>6</v>
      </c>
      <c r="H268" s="5" t="s">
        <v>981</v>
      </c>
      <c r="I268" s="1">
        <v>8</v>
      </c>
      <c r="J268" s="5" t="s">
        <v>981</v>
      </c>
      <c r="K268" s="1">
        <v>6</v>
      </c>
      <c r="L268" s="5" t="s">
        <v>981</v>
      </c>
      <c r="M268" s="1">
        <v>6</v>
      </c>
      <c r="N268" s="5" t="s">
        <v>981</v>
      </c>
      <c r="O268" s="1">
        <v>0</v>
      </c>
      <c r="P268" s="5" t="s">
        <v>983</v>
      </c>
      <c r="Q268" s="1">
        <v>0</v>
      </c>
      <c r="R268" s="1">
        <v>1</v>
      </c>
      <c r="S268" s="1" t="s">
        <v>194</v>
      </c>
      <c r="T268" s="1" t="s">
        <v>194</v>
      </c>
      <c r="U268" s="1" t="s">
        <v>194</v>
      </c>
      <c r="V268" s="1">
        <v>40</v>
      </c>
      <c r="W268" s="1">
        <v>1</v>
      </c>
      <c r="X268" s="1">
        <v>2</v>
      </c>
      <c r="Y268" s="1">
        <v>10</v>
      </c>
      <c r="Z268" s="1">
        <v>800000</v>
      </c>
      <c r="AA268" s="1">
        <v>2</v>
      </c>
    </row>
    <row r="269" spans="1:27" ht="12.75" customHeight="1" x14ac:dyDescent="0.15">
      <c r="A269" s="5">
        <v>3</v>
      </c>
      <c r="B269" s="5" t="s">
        <v>238</v>
      </c>
      <c r="C269" s="1">
        <v>12</v>
      </c>
      <c r="D269" s="5" t="s">
        <v>983</v>
      </c>
      <c r="E269" s="1">
        <v>6</v>
      </c>
      <c r="F269" s="5" t="s">
        <v>981</v>
      </c>
      <c r="G269" s="1">
        <v>6</v>
      </c>
      <c r="H269" s="5" t="s">
        <v>981</v>
      </c>
      <c r="I269" s="1">
        <v>8</v>
      </c>
      <c r="J269" s="5" t="s">
        <v>981</v>
      </c>
      <c r="K269" s="1">
        <v>6</v>
      </c>
      <c r="L269" s="5" t="s">
        <v>981</v>
      </c>
      <c r="M269" s="1">
        <v>6</v>
      </c>
      <c r="N269" s="5" t="s">
        <v>981</v>
      </c>
      <c r="O269" s="1">
        <v>0</v>
      </c>
      <c r="P269" s="5" t="s">
        <v>983</v>
      </c>
      <c r="Q269" s="1">
        <v>1</v>
      </c>
      <c r="R269" s="1">
        <v>0</v>
      </c>
      <c r="S269" s="1" t="s">
        <v>194</v>
      </c>
      <c r="T269" s="1" t="s">
        <v>194</v>
      </c>
      <c r="U269" s="1" t="s">
        <v>194</v>
      </c>
      <c r="V269" s="1">
        <v>40</v>
      </c>
      <c r="W269" s="1">
        <v>1</v>
      </c>
      <c r="X269" s="1">
        <v>14</v>
      </c>
      <c r="Y269" s="1">
        <v>1</v>
      </c>
      <c r="Z269" s="1">
        <v>40000</v>
      </c>
      <c r="AA269" s="1">
        <v>3</v>
      </c>
    </row>
    <row r="270" spans="1:27" ht="12.75" customHeight="1" x14ac:dyDescent="0.15">
      <c r="A270" s="5">
        <v>135</v>
      </c>
      <c r="B270" s="5" t="s">
        <v>984</v>
      </c>
      <c r="C270" s="1">
        <v>22</v>
      </c>
      <c r="D270" s="5" t="s">
        <v>982</v>
      </c>
      <c r="E270" s="1">
        <v>1</v>
      </c>
      <c r="F270" s="5" t="s">
        <v>983</v>
      </c>
      <c r="G270" s="1">
        <v>4</v>
      </c>
      <c r="H270" s="5" t="s">
        <v>982</v>
      </c>
      <c r="I270" s="1">
        <v>10</v>
      </c>
      <c r="J270" s="5" t="s">
        <v>981</v>
      </c>
      <c r="K270" s="1">
        <v>4</v>
      </c>
      <c r="L270" s="5" t="s">
        <v>982</v>
      </c>
      <c r="M270" s="1">
        <v>6</v>
      </c>
      <c r="N270" s="5" t="s">
        <v>981</v>
      </c>
      <c r="O270" s="1">
        <v>1</v>
      </c>
      <c r="P270" s="5" t="s">
        <v>982</v>
      </c>
      <c r="Q270" s="1">
        <v>1</v>
      </c>
      <c r="R270" s="1">
        <v>0</v>
      </c>
      <c r="S270" s="1" t="s">
        <v>194</v>
      </c>
      <c r="T270" s="1" t="s">
        <v>194</v>
      </c>
      <c r="U270" s="1" t="s">
        <v>194</v>
      </c>
      <c r="V270" s="1">
        <v>40</v>
      </c>
      <c r="W270" s="1">
        <v>0</v>
      </c>
      <c r="X270" s="1">
        <v>14</v>
      </c>
      <c r="Y270" s="1">
        <v>5</v>
      </c>
      <c r="Z270" s="1">
        <v>550000</v>
      </c>
      <c r="AA270" s="1">
        <v>1</v>
      </c>
    </row>
    <row r="271" spans="1:27" ht="12.75" customHeight="1" x14ac:dyDescent="0.15">
      <c r="A271" s="5">
        <v>227</v>
      </c>
      <c r="B271" s="5" t="s">
        <v>238</v>
      </c>
      <c r="C271" s="1">
        <v>22</v>
      </c>
      <c r="D271" s="5" t="s">
        <v>982</v>
      </c>
      <c r="E271" s="1">
        <v>0</v>
      </c>
      <c r="F271" s="5" t="s">
        <v>983</v>
      </c>
      <c r="G271" s="1">
        <v>0</v>
      </c>
      <c r="H271" s="5" t="s">
        <v>983</v>
      </c>
      <c r="I271" s="1">
        <v>16</v>
      </c>
      <c r="J271" s="5" t="s">
        <v>981</v>
      </c>
      <c r="K271" s="1">
        <v>0</v>
      </c>
      <c r="L271" s="5" t="s">
        <v>983</v>
      </c>
      <c r="M271" s="1">
        <v>0</v>
      </c>
      <c r="N271" s="5" t="s">
        <v>983</v>
      </c>
      <c r="O271" s="1">
        <v>0</v>
      </c>
      <c r="P271" s="5" t="s">
        <v>983</v>
      </c>
      <c r="Q271" s="1">
        <v>0</v>
      </c>
      <c r="R271" s="1">
        <v>0</v>
      </c>
      <c r="S271" s="1">
        <v>1</v>
      </c>
      <c r="T271" s="1" t="s">
        <v>194</v>
      </c>
      <c r="U271" s="1">
        <v>1</v>
      </c>
      <c r="V271" s="1">
        <v>41</v>
      </c>
      <c r="W271" s="1">
        <v>0</v>
      </c>
      <c r="X271" s="1">
        <v>17</v>
      </c>
      <c r="Y271" s="1">
        <v>14</v>
      </c>
      <c r="Z271" s="1">
        <v>850000</v>
      </c>
      <c r="AA271" s="1">
        <v>2</v>
      </c>
    </row>
    <row r="272" spans="1:27" ht="12.75" customHeight="1" x14ac:dyDescent="0.15">
      <c r="A272" s="5">
        <v>26</v>
      </c>
      <c r="B272" s="5" t="s">
        <v>984</v>
      </c>
      <c r="C272" s="1">
        <v>24</v>
      </c>
      <c r="D272" s="5" t="s">
        <v>981</v>
      </c>
      <c r="E272" s="1">
        <v>6</v>
      </c>
      <c r="F272" s="5" t="s">
        <v>981</v>
      </c>
      <c r="G272" s="1">
        <v>4</v>
      </c>
      <c r="H272" s="5" t="s">
        <v>982</v>
      </c>
      <c r="I272" s="1">
        <v>9</v>
      </c>
      <c r="J272" s="5" t="s">
        <v>981</v>
      </c>
      <c r="K272" s="1">
        <v>9</v>
      </c>
      <c r="L272" s="5" t="s">
        <v>981</v>
      </c>
      <c r="M272" s="1">
        <v>6</v>
      </c>
      <c r="N272" s="5" t="s">
        <v>981</v>
      </c>
      <c r="O272" s="1">
        <v>7</v>
      </c>
      <c r="P272" s="5" t="s">
        <v>982</v>
      </c>
      <c r="Q272" s="1">
        <v>1</v>
      </c>
      <c r="R272" s="1">
        <v>0</v>
      </c>
      <c r="S272" s="1" t="s">
        <v>194</v>
      </c>
      <c r="T272" s="1">
        <v>2</v>
      </c>
      <c r="U272" s="1">
        <v>1</v>
      </c>
      <c r="V272" s="1">
        <v>41</v>
      </c>
      <c r="W272" s="1">
        <v>0</v>
      </c>
      <c r="X272" s="1">
        <v>14</v>
      </c>
      <c r="Y272" s="1">
        <v>7</v>
      </c>
      <c r="Z272" s="1">
        <v>0</v>
      </c>
      <c r="AA272" s="1">
        <v>4</v>
      </c>
    </row>
    <row r="273" spans="1:27" ht="12.75" customHeight="1" x14ac:dyDescent="0.15">
      <c r="A273" s="5">
        <v>93</v>
      </c>
      <c r="B273" s="5" t="s">
        <v>238</v>
      </c>
      <c r="C273" s="1">
        <v>16</v>
      </c>
      <c r="D273" s="5" t="s">
        <v>983</v>
      </c>
      <c r="E273" s="1">
        <v>3</v>
      </c>
      <c r="F273" s="5" t="s">
        <v>982</v>
      </c>
      <c r="G273" s="1">
        <v>3</v>
      </c>
      <c r="H273" s="5" t="s">
        <v>982</v>
      </c>
      <c r="I273" s="1">
        <v>12</v>
      </c>
      <c r="J273" s="5" t="s">
        <v>981</v>
      </c>
      <c r="K273" s="1">
        <v>3</v>
      </c>
      <c r="L273" s="5" t="s">
        <v>982</v>
      </c>
      <c r="M273" s="1">
        <v>3</v>
      </c>
      <c r="N273" s="5" t="s">
        <v>982</v>
      </c>
      <c r="O273" s="1">
        <v>0</v>
      </c>
      <c r="P273" s="5" t="s">
        <v>983</v>
      </c>
      <c r="Q273" s="1">
        <v>0</v>
      </c>
      <c r="R273" s="1">
        <v>0</v>
      </c>
      <c r="S273" s="1" t="s">
        <v>194</v>
      </c>
      <c r="T273" s="1">
        <v>5</v>
      </c>
      <c r="U273" s="1">
        <v>1</v>
      </c>
      <c r="V273" s="1">
        <v>41</v>
      </c>
      <c r="W273" s="1">
        <v>1</v>
      </c>
      <c r="X273" s="1">
        <v>15</v>
      </c>
      <c r="Y273" s="1">
        <v>7</v>
      </c>
      <c r="Z273" s="1">
        <v>564000</v>
      </c>
      <c r="AA273" s="1">
        <v>5</v>
      </c>
    </row>
    <row r="274" spans="1:27" ht="12.75" customHeight="1" x14ac:dyDescent="0.15">
      <c r="A274" s="5">
        <v>73</v>
      </c>
      <c r="B274" s="5" t="s">
        <v>238</v>
      </c>
      <c r="C274" s="1">
        <v>12</v>
      </c>
      <c r="D274" s="5" t="s">
        <v>983</v>
      </c>
      <c r="E274" s="1">
        <v>2</v>
      </c>
      <c r="F274" s="5" t="s">
        <v>982</v>
      </c>
      <c r="G274" s="1">
        <v>0</v>
      </c>
      <c r="H274" s="5" t="s">
        <v>983</v>
      </c>
      <c r="I274" s="1">
        <v>4</v>
      </c>
      <c r="J274" s="5" t="s">
        <v>982</v>
      </c>
      <c r="K274" s="1">
        <v>0</v>
      </c>
      <c r="L274" s="5" t="s">
        <v>983</v>
      </c>
      <c r="M274" s="1">
        <v>0</v>
      </c>
      <c r="N274" s="5" t="s">
        <v>983</v>
      </c>
      <c r="O274" s="1">
        <v>0</v>
      </c>
      <c r="P274" s="5" t="s">
        <v>983</v>
      </c>
      <c r="Q274" s="1">
        <v>1</v>
      </c>
      <c r="R274" s="1">
        <v>0</v>
      </c>
      <c r="S274" s="1">
        <v>1</v>
      </c>
      <c r="T274" s="1" t="s">
        <v>194</v>
      </c>
      <c r="U274" s="1">
        <v>2</v>
      </c>
      <c r="V274" s="1">
        <v>41</v>
      </c>
      <c r="W274" s="1">
        <v>0</v>
      </c>
      <c r="X274" s="1">
        <v>18</v>
      </c>
      <c r="Y274" s="1">
        <v>31</v>
      </c>
      <c r="Z274" s="1">
        <v>1200000</v>
      </c>
      <c r="AA274" s="1">
        <v>2</v>
      </c>
    </row>
    <row r="275" spans="1:27" ht="12.75" customHeight="1" x14ac:dyDescent="0.15">
      <c r="A275" s="5">
        <v>76</v>
      </c>
      <c r="B275" s="5" t="s">
        <v>238</v>
      </c>
      <c r="C275" s="1">
        <v>13</v>
      </c>
      <c r="D275" s="5" t="s">
        <v>983</v>
      </c>
      <c r="E275" s="1">
        <v>6</v>
      </c>
      <c r="F275" s="5" t="s">
        <v>981</v>
      </c>
      <c r="G275" s="1">
        <v>7</v>
      </c>
      <c r="H275" s="5" t="s">
        <v>981</v>
      </c>
      <c r="I275" s="1">
        <v>4</v>
      </c>
      <c r="J275" s="5" t="s">
        <v>982</v>
      </c>
      <c r="K275" s="1">
        <v>7</v>
      </c>
      <c r="L275" s="5" t="s">
        <v>981</v>
      </c>
      <c r="M275" s="1">
        <v>6</v>
      </c>
      <c r="N275" s="5" t="s">
        <v>981</v>
      </c>
      <c r="O275" s="1">
        <v>0</v>
      </c>
      <c r="P275" s="5" t="s">
        <v>983</v>
      </c>
      <c r="Q275" s="1">
        <v>1</v>
      </c>
      <c r="R275" s="1">
        <v>0</v>
      </c>
      <c r="S275" s="1">
        <v>1</v>
      </c>
      <c r="T275" s="1">
        <v>3</v>
      </c>
      <c r="U275" s="1">
        <v>2</v>
      </c>
      <c r="V275" s="1">
        <v>41</v>
      </c>
      <c r="W275" s="1">
        <v>0</v>
      </c>
      <c r="X275" s="1">
        <v>17</v>
      </c>
      <c r="Y275" s="1">
        <v>26</v>
      </c>
      <c r="Z275" s="1">
        <v>250000</v>
      </c>
      <c r="AA275" s="1">
        <v>2</v>
      </c>
    </row>
    <row r="276" spans="1:27" ht="12.75" customHeight="1" x14ac:dyDescent="0.15">
      <c r="A276" s="5">
        <v>402</v>
      </c>
      <c r="B276" s="5" t="s">
        <v>238</v>
      </c>
      <c r="C276" s="1">
        <v>27</v>
      </c>
      <c r="D276" s="5" t="s">
        <v>981</v>
      </c>
      <c r="E276" s="1">
        <v>6</v>
      </c>
      <c r="F276" s="5" t="s">
        <v>981</v>
      </c>
      <c r="G276" s="1">
        <v>8</v>
      </c>
      <c r="H276" s="5" t="s">
        <v>981</v>
      </c>
      <c r="I276" s="1">
        <v>0</v>
      </c>
      <c r="J276" s="5" t="s">
        <v>983</v>
      </c>
      <c r="K276" s="1">
        <v>7</v>
      </c>
      <c r="L276" s="5" t="s">
        <v>981</v>
      </c>
      <c r="M276" s="1">
        <v>9</v>
      </c>
      <c r="N276" s="5" t="s">
        <v>981</v>
      </c>
      <c r="O276" s="1">
        <v>1</v>
      </c>
      <c r="P276" s="5" t="s">
        <v>982</v>
      </c>
      <c r="Q276" s="1">
        <v>1</v>
      </c>
      <c r="R276" s="1">
        <v>0</v>
      </c>
      <c r="S276" s="1">
        <v>1</v>
      </c>
      <c r="T276" s="1">
        <v>2</v>
      </c>
      <c r="U276" s="1">
        <v>2</v>
      </c>
      <c r="V276" s="1">
        <v>41</v>
      </c>
      <c r="W276" s="1">
        <v>0</v>
      </c>
      <c r="X276" s="1">
        <v>14</v>
      </c>
      <c r="Y276" s="1">
        <v>4</v>
      </c>
      <c r="Z276" s="1">
        <v>350000</v>
      </c>
      <c r="AA276" s="1">
        <v>5</v>
      </c>
    </row>
    <row r="277" spans="1:27" ht="12.75" customHeight="1" x14ac:dyDescent="0.15">
      <c r="A277" s="5">
        <v>432</v>
      </c>
      <c r="B277" s="5" t="s">
        <v>238</v>
      </c>
      <c r="C277" s="1">
        <v>29</v>
      </c>
      <c r="D277" s="5" t="s">
        <v>981</v>
      </c>
      <c r="E277" s="1">
        <v>6</v>
      </c>
      <c r="F277" s="5" t="s">
        <v>981</v>
      </c>
      <c r="G277" s="1">
        <v>9</v>
      </c>
      <c r="H277" s="5" t="s">
        <v>981</v>
      </c>
      <c r="I277" s="1">
        <v>4</v>
      </c>
      <c r="J277" s="5" t="s">
        <v>982</v>
      </c>
      <c r="K277" s="1">
        <v>9</v>
      </c>
      <c r="L277" s="5" t="s">
        <v>981</v>
      </c>
      <c r="M277" s="1">
        <v>9</v>
      </c>
      <c r="N277" s="5" t="s">
        <v>981</v>
      </c>
      <c r="O277" s="1">
        <v>12</v>
      </c>
      <c r="P277" s="5" t="s">
        <v>982</v>
      </c>
      <c r="Q277" s="1">
        <v>1</v>
      </c>
      <c r="R277" s="1">
        <v>0</v>
      </c>
      <c r="S277" s="1">
        <v>1</v>
      </c>
      <c r="T277" s="1" t="s">
        <v>194</v>
      </c>
      <c r="U277" s="1">
        <v>3</v>
      </c>
      <c r="V277" s="1">
        <v>41</v>
      </c>
      <c r="W277" s="1">
        <v>1</v>
      </c>
      <c r="X277" s="1">
        <v>6</v>
      </c>
      <c r="Y277" s="1">
        <v>34</v>
      </c>
      <c r="Z277" s="1">
        <v>540000</v>
      </c>
      <c r="AA277" s="1">
        <v>4</v>
      </c>
    </row>
    <row r="278" spans="1:27" ht="12.75" customHeight="1" x14ac:dyDescent="0.15">
      <c r="A278" s="5">
        <v>400</v>
      </c>
      <c r="B278" s="5" t="s">
        <v>984</v>
      </c>
      <c r="C278" s="1">
        <v>24</v>
      </c>
      <c r="D278" s="5" t="s">
        <v>981</v>
      </c>
      <c r="E278" s="1">
        <v>6</v>
      </c>
      <c r="F278" s="5" t="s">
        <v>981</v>
      </c>
      <c r="G278" s="1">
        <v>3</v>
      </c>
      <c r="H278" s="5" t="s">
        <v>982</v>
      </c>
      <c r="I278" s="1">
        <v>12</v>
      </c>
      <c r="J278" s="5" t="s">
        <v>981</v>
      </c>
      <c r="K278" s="1">
        <v>3</v>
      </c>
      <c r="L278" s="5" t="s">
        <v>982</v>
      </c>
      <c r="M278" s="1">
        <v>3</v>
      </c>
      <c r="N278" s="5" t="s">
        <v>982</v>
      </c>
      <c r="O278" s="1">
        <v>7</v>
      </c>
      <c r="P278" s="5" t="s">
        <v>982</v>
      </c>
      <c r="Q278" s="1">
        <v>1</v>
      </c>
      <c r="R278" s="1">
        <v>0</v>
      </c>
      <c r="S278" s="1">
        <v>1</v>
      </c>
      <c r="T278" s="1">
        <v>5</v>
      </c>
      <c r="U278" s="1">
        <v>3</v>
      </c>
      <c r="V278" s="1">
        <v>41</v>
      </c>
      <c r="W278" s="1">
        <v>0</v>
      </c>
      <c r="X278" s="1">
        <v>6</v>
      </c>
      <c r="Y278" s="1">
        <v>6</v>
      </c>
      <c r="Z278" s="1">
        <v>800000</v>
      </c>
      <c r="AA278" s="1">
        <v>3</v>
      </c>
    </row>
    <row r="279" spans="1:27" ht="12.75" customHeight="1" x14ac:dyDescent="0.15">
      <c r="A279" s="5">
        <v>79</v>
      </c>
      <c r="B279" s="5" t="s">
        <v>238</v>
      </c>
      <c r="C279" s="1">
        <v>24</v>
      </c>
      <c r="D279" s="5" t="s">
        <v>981</v>
      </c>
      <c r="E279" s="1">
        <v>3</v>
      </c>
      <c r="F279" s="5" t="s">
        <v>982</v>
      </c>
      <c r="G279" s="1">
        <v>4</v>
      </c>
      <c r="H279" s="5" t="s">
        <v>982</v>
      </c>
      <c r="I279" s="1">
        <v>0</v>
      </c>
      <c r="J279" s="5" t="s">
        <v>983</v>
      </c>
      <c r="K279" s="1">
        <v>2</v>
      </c>
      <c r="L279" s="5" t="s">
        <v>983</v>
      </c>
      <c r="M279" s="1">
        <v>0</v>
      </c>
      <c r="N279" s="5" t="s">
        <v>983</v>
      </c>
      <c r="O279" s="1">
        <v>0</v>
      </c>
      <c r="P279" s="5" t="s">
        <v>983</v>
      </c>
      <c r="Q279" s="1">
        <v>0</v>
      </c>
      <c r="R279" s="1">
        <v>0</v>
      </c>
      <c r="S279" s="1" t="s">
        <v>194</v>
      </c>
      <c r="T279" s="1">
        <v>5</v>
      </c>
      <c r="U279" s="1">
        <v>3</v>
      </c>
      <c r="V279" s="1">
        <v>41</v>
      </c>
      <c r="W279" s="1">
        <v>0</v>
      </c>
      <c r="X279" s="1">
        <v>15</v>
      </c>
      <c r="Y279" s="1">
        <v>34</v>
      </c>
      <c r="Z279" s="1">
        <v>400000</v>
      </c>
      <c r="AA279" s="1">
        <v>1</v>
      </c>
    </row>
    <row r="280" spans="1:27" ht="12.75" customHeight="1" x14ac:dyDescent="0.15">
      <c r="A280" s="5">
        <v>130</v>
      </c>
      <c r="B280" s="5" t="s">
        <v>238</v>
      </c>
      <c r="C280" s="1">
        <v>19</v>
      </c>
      <c r="D280" s="5" t="s">
        <v>982</v>
      </c>
      <c r="E280" s="1">
        <v>3</v>
      </c>
      <c r="F280" s="5" t="s">
        <v>982</v>
      </c>
      <c r="G280" s="1">
        <v>0</v>
      </c>
      <c r="H280" s="5" t="s">
        <v>983</v>
      </c>
      <c r="I280" s="1">
        <v>8</v>
      </c>
      <c r="J280" s="5" t="s">
        <v>981</v>
      </c>
      <c r="K280" s="1">
        <v>0</v>
      </c>
      <c r="L280" s="5" t="s">
        <v>983</v>
      </c>
      <c r="M280" s="1">
        <v>0</v>
      </c>
      <c r="N280" s="5" t="s">
        <v>983</v>
      </c>
      <c r="O280" s="1">
        <v>0</v>
      </c>
      <c r="P280" s="5" t="s">
        <v>983</v>
      </c>
      <c r="Q280" s="1">
        <v>1</v>
      </c>
      <c r="R280" s="1">
        <v>0</v>
      </c>
      <c r="S280" s="1">
        <v>1</v>
      </c>
      <c r="T280" s="1">
        <v>5</v>
      </c>
      <c r="U280" s="1">
        <v>4</v>
      </c>
      <c r="V280" s="1">
        <v>41</v>
      </c>
      <c r="W280" s="1">
        <v>0</v>
      </c>
      <c r="X280" s="1">
        <v>10</v>
      </c>
      <c r="Y280" s="1">
        <v>17</v>
      </c>
      <c r="Z280" s="1">
        <v>800000</v>
      </c>
      <c r="AA280" s="1">
        <v>5</v>
      </c>
    </row>
    <row r="281" spans="1:27" ht="12.75" customHeight="1" x14ac:dyDescent="0.15">
      <c r="A281" s="5">
        <v>217</v>
      </c>
      <c r="B281" s="5" t="s">
        <v>238</v>
      </c>
      <c r="C281" s="1">
        <v>28</v>
      </c>
      <c r="D281" s="5" t="s">
        <v>981</v>
      </c>
      <c r="E281" s="1">
        <v>9</v>
      </c>
      <c r="F281" s="5" t="s">
        <v>981</v>
      </c>
      <c r="G281" s="1">
        <v>6</v>
      </c>
      <c r="H281" s="5" t="s">
        <v>981</v>
      </c>
      <c r="I281" s="1">
        <v>16</v>
      </c>
      <c r="J281" s="5" t="s">
        <v>981</v>
      </c>
      <c r="K281" s="1">
        <v>0</v>
      </c>
      <c r="L281" s="5" t="s">
        <v>983</v>
      </c>
      <c r="M281" s="1">
        <v>9</v>
      </c>
      <c r="N281" s="5" t="s">
        <v>981</v>
      </c>
      <c r="O281" s="1">
        <v>1</v>
      </c>
      <c r="P281" s="5" t="s">
        <v>982</v>
      </c>
      <c r="Q281" s="1">
        <v>1</v>
      </c>
      <c r="R281" s="1">
        <v>0</v>
      </c>
      <c r="S281" s="1">
        <v>1</v>
      </c>
      <c r="T281" s="1">
        <v>5</v>
      </c>
      <c r="U281" s="1">
        <v>5</v>
      </c>
      <c r="V281" s="1">
        <v>41</v>
      </c>
      <c r="W281" s="1">
        <v>0</v>
      </c>
      <c r="X281" s="1">
        <v>12</v>
      </c>
      <c r="Y281" s="1">
        <v>24</v>
      </c>
      <c r="Z281" s="1">
        <v>0</v>
      </c>
      <c r="AA281" s="1">
        <v>4</v>
      </c>
    </row>
    <row r="282" spans="1:27" ht="12.75" customHeight="1" x14ac:dyDescent="0.15">
      <c r="A282" s="5">
        <v>84</v>
      </c>
      <c r="B282" s="5" t="s">
        <v>238</v>
      </c>
      <c r="C282" s="1">
        <v>15</v>
      </c>
      <c r="D282" s="5" t="s">
        <v>983</v>
      </c>
      <c r="E282" s="1">
        <v>5</v>
      </c>
      <c r="F282" s="5" t="s">
        <v>981</v>
      </c>
      <c r="G282" s="1">
        <v>0</v>
      </c>
      <c r="H282" s="5" t="s">
        <v>983</v>
      </c>
      <c r="I282" s="1">
        <v>15</v>
      </c>
      <c r="J282" s="5" t="s">
        <v>981</v>
      </c>
      <c r="K282" s="1">
        <v>0</v>
      </c>
      <c r="L282" s="5" t="s">
        <v>983</v>
      </c>
      <c r="M282" s="1">
        <v>0</v>
      </c>
      <c r="N282" s="5" t="s">
        <v>983</v>
      </c>
      <c r="O282" s="1">
        <v>0</v>
      </c>
      <c r="P282" s="5" t="s">
        <v>983</v>
      </c>
      <c r="Q282" s="1">
        <v>0</v>
      </c>
      <c r="R282" s="1">
        <v>0</v>
      </c>
      <c r="S282" s="1">
        <v>1</v>
      </c>
      <c r="T282" s="1">
        <v>3</v>
      </c>
      <c r="U282" s="1">
        <v>5</v>
      </c>
      <c r="V282" s="1">
        <v>41</v>
      </c>
      <c r="W282" s="1">
        <v>1</v>
      </c>
      <c r="X282" s="1">
        <v>17</v>
      </c>
      <c r="Y282" s="1">
        <v>24</v>
      </c>
      <c r="Z282" s="1">
        <v>2000000</v>
      </c>
      <c r="AA282" s="1">
        <v>3</v>
      </c>
    </row>
    <row r="283" spans="1:27" ht="12.75" customHeight="1" x14ac:dyDescent="0.15">
      <c r="A283" s="5">
        <v>94</v>
      </c>
      <c r="B283" s="5" t="s">
        <v>238</v>
      </c>
      <c r="C283" s="1">
        <v>30</v>
      </c>
      <c r="D283" s="5" t="s">
        <v>981</v>
      </c>
      <c r="E283" s="1">
        <v>7</v>
      </c>
      <c r="F283" s="5" t="s">
        <v>981</v>
      </c>
      <c r="G283" s="1">
        <v>6</v>
      </c>
      <c r="H283" s="5" t="s">
        <v>981</v>
      </c>
      <c r="I283" s="1">
        <v>9</v>
      </c>
      <c r="J283" s="5" t="s">
        <v>981</v>
      </c>
      <c r="K283" s="1">
        <v>2</v>
      </c>
      <c r="L283" s="5" t="s">
        <v>983</v>
      </c>
      <c r="M283" s="1">
        <v>8</v>
      </c>
      <c r="N283" s="5" t="s">
        <v>981</v>
      </c>
      <c r="O283" s="1">
        <v>0</v>
      </c>
      <c r="P283" s="5" t="s">
        <v>983</v>
      </c>
      <c r="Q283" s="1">
        <v>0</v>
      </c>
      <c r="R283" s="1">
        <v>0</v>
      </c>
      <c r="S283" s="1" t="s">
        <v>194</v>
      </c>
      <c r="T283" s="1">
        <v>5</v>
      </c>
      <c r="U283" s="1">
        <v>5</v>
      </c>
      <c r="V283" s="1">
        <v>41</v>
      </c>
      <c r="W283" s="1">
        <v>1</v>
      </c>
      <c r="X283" s="1">
        <v>15</v>
      </c>
      <c r="Y283" s="1">
        <v>7</v>
      </c>
      <c r="Z283" s="1">
        <v>564000</v>
      </c>
      <c r="AA283" s="1">
        <v>5</v>
      </c>
    </row>
    <row r="284" spans="1:27" ht="12.75" customHeight="1" x14ac:dyDescent="0.15">
      <c r="A284" s="5">
        <v>387</v>
      </c>
      <c r="B284" s="5" t="s">
        <v>984</v>
      </c>
      <c r="C284" s="1">
        <v>15</v>
      </c>
      <c r="D284" s="5" t="s">
        <v>983</v>
      </c>
      <c r="E284" s="1">
        <v>8</v>
      </c>
      <c r="F284" s="5" t="s">
        <v>981</v>
      </c>
      <c r="G284" s="1">
        <v>2</v>
      </c>
      <c r="H284" s="5" t="s">
        <v>982</v>
      </c>
      <c r="I284" s="1">
        <v>4</v>
      </c>
      <c r="J284" s="5" t="s">
        <v>982</v>
      </c>
      <c r="K284" s="1">
        <v>0</v>
      </c>
      <c r="L284" s="5" t="s">
        <v>983</v>
      </c>
      <c r="M284" s="1">
        <v>6</v>
      </c>
      <c r="N284" s="5" t="s">
        <v>981</v>
      </c>
      <c r="O284" s="1">
        <v>0</v>
      </c>
      <c r="P284" s="5" t="s">
        <v>983</v>
      </c>
      <c r="Q284" s="1">
        <v>1</v>
      </c>
      <c r="R284" s="1">
        <v>0</v>
      </c>
      <c r="S284" s="1">
        <v>1</v>
      </c>
      <c r="T284" s="1" t="s">
        <v>194</v>
      </c>
      <c r="U284" s="1" t="s">
        <v>194</v>
      </c>
      <c r="V284" s="1">
        <v>41</v>
      </c>
      <c r="W284" s="1">
        <v>1</v>
      </c>
      <c r="X284" s="1">
        <v>2</v>
      </c>
      <c r="Y284" s="1">
        <v>9</v>
      </c>
      <c r="Z284" s="1">
        <v>650000</v>
      </c>
      <c r="AA284" s="1">
        <v>4</v>
      </c>
    </row>
    <row r="285" spans="1:27" ht="12.75" customHeight="1" x14ac:dyDescent="0.15">
      <c r="A285" s="5">
        <v>417</v>
      </c>
      <c r="B285" s="5" t="s">
        <v>238</v>
      </c>
      <c r="C285" s="1">
        <v>12</v>
      </c>
      <c r="D285" s="5" t="s">
        <v>983</v>
      </c>
      <c r="E285" s="1">
        <v>0</v>
      </c>
      <c r="F285" s="5" t="s">
        <v>983</v>
      </c>
      <c r="G285" s="1">
        <v>0</v>
      </c>
      <c r="H285" s="5" t="s">
        <v>983</v>
      </c>
      <c r="I285" s="1">
        <v>16</v>
      </c>
      <c r="J285" s="5" t="s">
        <v>981</v>
      </c>
      <c r="K285" s="1">
        <v>0</v>
      </c>
      <c r="L285" s="5" t="s">
        <v>983</v>
      </c>
      <c r="M285" s="1">
        <v>0</v>
      </c>
      <c r="N285" s="5" t="s">
        <v>983</v>
      </c>
      <c r="O285" s="1">
        <v>0</v>
      </c>
      <c r="P285" s="5" t="s">
        <v>983</v>
      </c>
      <c r="Q285" s="1">
        <v>1</v>
      </c>
      <c r="R285" s="1">
        <v>0</v>
      </c>
      <c r="S285" s="1" t="s">
        <v>194</v>
      </c>
      <c r="T285" s="1" t="s">
        <v>194</v>
      </c>
      <c r="U285" s="1" t="s">
        <v>194</v>
      </c>
      <c r="V285" s="1">
        <v>41</v>
      </c>
      <c r="W285" s="1">
        <v>0</v>
      </c>
      <c r="X285" s="1">
        <v>14</v>
      </c>
      <c r="Y285" s="1">
        <v>1</v>
      </c>
      <c r="Z285" s="1">
        <v>600000</v>
      </c>
      <c r="AA285" s="1">
        <v>2</v>
      </c>
    </row>
    <row r="286" spans="1:27" ht="12.75" customHeight="1" x14ac:dyDescent="0.15">
      <c r="A286" s="5">
        <v>85</v>
      </c>
      <c r="B286" s="5" t="s">
        <v>984</v>
      </c>
      <c r="C286" s="1">
        <v>16</v>
      </c>
      <c r="D286" s="5" t="s">
        <v>983</v>
      </c>
      <c r="E286" s="1">
        <v>1</v>
      </c>
      <c r="F286" s="5" t="s">
        <v>983</v>
      </c>
      <c r="G286" s="1">
        <v>8</v>
      </c>
      <c r="H286" s="5" t="s">
        <v>981</v>
      </c>
      <c r="I286" s="1">
        <v>1</v>
      </c>
      <c r="J286" s="5" t="s">
        <v>982</v>
      </c>
      <c r="K286" s="1">
        <v>0</v>
      </c>
      <c r="L286" s="5" t="s">
        <v>983</v>
      </c>
      <c r="M286" s="1">
        <v>5</v>
      </c>
      <c r="N286" s="5" t="s">
        <v>982</v>
      </c>
      <c r="O286" s="1">
        <v>0</v>
      </c>
      <c r="P286" s="5" t="s">
        <v>983</v>
      </c>
      <c r="Q286" s="1">
        <v>1</v>
      </c>
      <c r="R286" s="1">
        <v>0</v>
      </c>
      <c r="S286" s="1" t="s">
        <v>194</v>
      </c>
      <c r="T286" s="1" t="s">
        <v>194</v>
      </c>
      <c r="U286" s="1" t="s">
        <v>194</v>
      </c>
      <c r="V286" s="1">
        <v>41</v>
      </c>
      <c r="W286" s="1">
        <v>1</v>
      </c>
      <c r="X286" s="1">
        <v>17</v>
      </c>
      <c r="Y286" s="1">
        <v>24</v>
      </c>
      <c r="Z286" s="1">
        <v>2000000</v>
      </c>
      <c r="AA286" s="1">
        <v>3</v>
      </c>
    </row>
    <row r="287" spans="1:27" ht="12.75" customHeight="1" x14ac:dyDescent="0.15">
      <c r="A287" s="5">
        <v>347</v>
      </c>
      <c r="B287" s="5" t="s">
        <v>984</v>
      </c>
      <c r="C287" s="1">
        <v>26</v>
      </c>
      <c r="D287" s="5" t="s">
        <v>981</v>
      </c>
      <c r="E287" s="1">
        <v>0</v>
      </c>
      <c r="F287" s="5" t="s">
        <v>983</v>
      </c>
      <c r="G287" s="1">
        <v>0</v>
      </c>
      <c r="H287" s="5" t="s">
        <v>983</v>
      </c>
      <c r="I287" s="1">
        <v>2</v>
      </c>
      <c r="J287" s="5" t="s">
        <v>982</v>
      </c>
      <c r="K287" s="1">
        <v>3</v>
      </c>
      <c r="L287" s="5" t="s">
        <v>982</v>
      </c>
      <c r="M287" s="1">
        <v>0</v>
      </c>
      <c r="N287" s="5" t="s">
        <v>983</v>
      </c>
      <c r="O287" s="1">
        <v>0</v>
      </c>
      <c r="P287" s="5" t="s">
        <v>983</v>
      </c>
      <c r="Q287" s="1">
        <v>0</v>
      </c>
      <c r="R287" s="1">
        <v>0</v>
      </c>
      <c r="S287" s="1" t="s">
        <v>194</v>
      </c>
      <c r="T287" s="1" t="s">
        <v>194</v>
      </c>
      <c r="U287" s="1" t="s">
        <v>194</v>
      </c>
      <c r="V287" s="1">
        <v>41</v>
      </c>
      <c r="W287" s="1">
        <v>0</v>
      </c>
      <c r="X287" s="1">
        <v>14</v>
      </c>
      <c r="Y287" s="1">
        <v>1</v>
      </c>
      <c r="Z287" s="1">
        <v>400000</v>
      </c>
      <c r="AA287" s="1">
        <v>5</v>
      </c>
    </row>
    <row r="288" spans="1:27" ht="12.75" customHeight="1" x14ac:dyDescent="0.15">
      <c r="A288" s="5">
        <v>40</v>
      </c>
      <c r="B288" s="5" t="s">
        <v>238</v>
      </c>
      <c r="C288" s="1">
        <v>43</v>
      </c>
      <c r="D288" s="5" t="s">
        <v>981</v>
      </c>
      <c r="E288" s="1">
        <v>8</v>
      </c>
      <c r="F288" s="5" t="s">
        <v>981</v>
      </c>
      <c r="G288" s="1">
        <v>7</v>
      </c>
      <c r="H288" s="5" t="s">
        <v>981</v>
      </c>
      <c r="I288" s="1">
        <v>8</v>
      </c>
      <c r="J288" s="5" t="s">
        <v>981</v>
      </c>
      <c r="K288" s="1">
        <v>8</v>
      </c>
      <c r="L288" s="5" t="s">
        <v>981</v>
      </c>
      <c r="M288" s="1">
        <v>4</v>
      </c>
      <c r="N288" s="5" t="s">
        <v>982</v>
      </c>
      <c r="O288" s="1">
        <v>0</v>
      </c>
      <c r="P288" s="5" t="s">
        <v>983</v>
      </c>
      <c r="Q288" s="1">
        <v>1</v>
      </c>
      <c r="R288" s="1">
        <v>0</v>
      </c>
      <c r="S288" s="1">
        <v>1</v>
      </c>
      <c r="T288" s="1">
        <v>3</v>
      </c>
      <c r="U288" s="1">
        <v>2</v>
      </c>
      <c r="V288" s="1">
        <v>42</v>
      </c>
      <c r="W288" s="1">
        <v>0</v>
      </c>
      <c r="X288" s="1">
        <v>14</v>
      </c>
      <c r="Y288" s="1">
        <v>34</v>
      </c>
      <c r="Z288" s="1">
        <v>1232000</v>
      </c>
      <c r="AA288" s="1">
        <v>3</v>
      </c>
    </row>
    <row r="289" spans="1:27" ht="12.75" customHeight="1" x14ac:dyDescent="0.15">
      <c r="A289" s="5">
        <v>451</v>
      </c>
      <c r="B289" s="5" t="s">
        <v>238</v>
      </c>
      <c r="C289" s="1">
        <v>22</v>
      </c>
      <c r="D289" s="5" t="s">
        <v>982</v>
      </c>
      <c r="E289" s="1">
        <v>12</v>
      </c>
      <c r="F289" s="5" t="s">
        <v>981</v>
      </c>
      <c r="G289" s="1">
        <v>12</v>
      </c>
      <c r="H289" s="5" t="s">
        <v>981</v>
      </c>
      <c r="I289" s="1">
        <v>0</v>
      </c>
      <c r="J289" s="5" t="s">
        <v>983</v>
      </c>
      <c r="K289" s="1">
        <v>12</v>
      </c>
      <c r="L289" s="5" t="s">
        <v>981</v>
      </c>
      <c r="M289" s="1">
        <v>12</v>
      </c>
      <c r="N289" s="5" t="s">
        <v>981</v>
      </c>
      <c r="O289" s="1">
        <v>0</v>
      </c>
      <c r="P289" s="5" t="s">
        <v>983</v>
      </c>
      <c r="Q289" s="1">
        <v>0</v>
      </c>
      <c r="R289" s="1">
        <v>0</v>
      </c>
      <c r="S289" s="1" t="s">
        <v>194</v>
      </c>
      <c r="T289" s="1">
        <v>2</v>
      </c>
      <c r="U289" s="1">
        <v>2</v>
      </c>
      <c r="V289" s="1">
        <v>42</v>
      </c>
      <c r="W289" s="1">
        <v>1</v>
      </c>
      <c r="X289" s="1">
        <v>14</v>
      </c>
      <c r="Y289" s="1">
        <v>3</v>
      </c>
      <c r="Z289" s="1">
        <v>550000</v>
      </c>
      <c r="AA289" s="1">
        <v>3</v>
      </c>
    </row>
    <row r="290" spans="1:27" ht="12.75" customHeight="1" x14ac:dyDescent="0.15">
      <c r="A290" s="5">
        <v>407</v>
      </c>
      <c r="B290" s="5" t="s">
        <v>984</v>
      </c>
      <c r="C290" s="1">
        <v>18</v>
      </c>
      <c r="D290" s="5" t="s">
        <v>983</v>
      </c>
      <c r="E290" s="1">
        <v>2</v>
      </c>
      <c r="F290" s="5" t="s">
        <v>982</v>
      </c>
      <c r="G290" s="1">
        <v>0</v>
      </c>
      <c r="H290" s="5" t="s">
        <v>983</v>
      </c>
      <c r="I290" s="1">
        <v>0</v>
      </c>
      <c r="J290" s="5" t="s">
        <v>983</v>
      </c>
      <c r="K290" s="1">
        <v>0</v>
      </c>
      <c r="L290" s="5" t="s">
        <v>983</v>
      </c>
      <c r="M290" s="1">
        <v>0</v>
      </c>
      <c r="N290" s="5" t="s">
        <v>983</v>
      </c>
      <c r="O290" s="1">
        <v>0</v>
      </c>
      <c r="P290" s="5" t="s">
        <v>983</v>
      </c>
      <c r="Q290" s="1">
        <v>0</v>
      </c>
      <c r="R290" s="1">
        <v>0</v>
      </c>
      <c r="S290" s="1">
        <v>0</v>
      </c>
      <c r="T290" s="1">
        <v>3</v>
      </c>
      <c r="U290" s="1">
        <v>3</v>
      </c>
      <c r="V290" s="1">
        <v>42</v>
      </c>
      <c r="W290" s="1">
        <v>0</v>
      </c>
      <c r="X290" s="1">
        <v>16</v>
      </c>
      <c r="Y290" s="1">
        <v>2</v>
      </c>
      <c r="Z290" s="1">
        <v>800000</v>
      </c>
      <c r="AA290" s="1">
        <v>3</v>
      </c>
    </row>
    <row r="291" spans="1:27" ht="12.75" customHeight="1" x14ac:dyDescent="0.15">
      <c r="A291" s="5">
        <v>179</v>
      </c>
      <c r="B291" s="5" t="s">
        <v>238</v>
      </c>
      <c r="C291" s="1">
        <v>20</v>
      </c>
      <c r="D291" s="5" t="s">
        <v>982</v>
      </c>
      <c r="E291" s="1">
        <v>5</v>
      </c>
      <c r="F291" s="5" t="s">
        <v>981</v>
      </c>
      <c r="G291" s="1">
        <v>2</v>
      </c>
      <c r="H291" s="5" t="s">
        <v>982</v>
      </c>
      <c r="I291" s="1">
        <v>9</v>
      </c>
      <c r="J291" s="5" t="s">
        <v>981</v>
      </c>
      <c r="K291" s="1">
        <v>8</v>
      </c>
      <c r="L291" s="5" t="s">
        <v>981</v>
      </c>
      <c r="M291" s="1">
        <v>12</v>
      </c>
      <c r="N291" s="5" t="s">
        <v>981</v>
      </c>
      <c r="O291" s="1">
        <v>1</v>
      </c>
      <c r="P291" s="5" t="s">
        <v>982</v>
      </c>
      <c r="Q291" s="1">
        <v>1</v>
      </c>
      <c r="R291" s="1">
        <v>0</v>
      </c>
      <c r="S291" s="1">
        <v>1</v>
      </c>
      <c r="T291" s="1">
        <v>3</v>
      </c>
      <c r="U291" s="1">
        <v>3</v>
      </c>
      <c r="V291" s="1">
        <v>42</v>
      </c>
      <c r="W291" s="1">
        <v>1</v>
      </c>
      <c r="X291" s="1">
        <v>16</v>
      </c>
      <c r="Y291" s="1">
        <v>3</v>
      </c>
      <c r="Z291" s="1">
        <v>12000000</v>
      </c>
      <c r="AA291" s="1">
        <v>2</v>
      </c>
    </row>
    <row r="292" spans="1:27" ht="12.75" customHeight="1" x14ac:dyDescent="0.15">
      <c r="A292" s="5">
        <v>33</v>
      </c>
      <c r="B292" s="5" t="s">
        <v>238</v>
      </c>
      <c r="C292" s="1">
        <v>30</v>
      </c>
      <c r="D292" s="5" t="s">
        <v>981</v>
      </c>
      <c r="E292" s="1">
        <v>3</v>
      </c>
      <c r="F292" s="5" t="s">
        <v>982</v>
      </c>
      <c r="G292" s="1">
        <v>3</v>
      </c>
      <c r="H292" s="5" t="s">
        <v>982</v>
      </c>
      <c r="I292" s="1">
        <v>4</v>
      </c>
      <c r="J292" s="5" t="s">
        <v>982</v>
      </c>
      <c r="K292" s="1">
        <v>8</v>
      </c>
      <c r="L292" s="5" t="s">
        <v>981</v>
      </c>
      <c r="M292" s="1">
        <v>6</v>
      </c>
      <c r="N292" s="5" t="s">
        <v>981</v>
      </c>
      <c r="O292" s="1">
        <v>0</v>
      </c>
      <c r="P292" s="5" t="s">
        <v>983</v>
      </c>
      <c r="Q292" s="1">
        <v>1</v>
      </c>
      <c r="R292" s="1">
        <v>0</v>
      </c>
      <c r="S292" s="1" t="s">
        <v>194</v>
      </c>
      <c r="T292" s="1">
        <v>2</v>
      </c>
      <c r="U292" s="1">
        <v>3</v>
      </c>
      <c r="V292" s="1">
        <v>42</v>
      </c>
      <c r="W292" s="1">
        <v>0</v>
      </c>
      <c r="X292" s="1">
        <v>12</v>
      </c>
      <c r="Y292" s="1">
        <v>24</v>
      </c>
      <c r="Z292" s="1">
        <v>500000</v>
      </c>
      <c r="AA292" s="1">
        <v>5</v>
      </c>
    </row>
    <row r="293" spans="1:27" ht="12.75" customHeight="1" x14ac:dyDescent="0.15">
      <c r="A293" s="5">
        <v>293</v>
      </c>
      <c r="B293" s="5" t="s">
        <v>238</v>
      </c>
      <c r="C293" s="1">
        <v>36</v>
      </c>
      <c r="D293" s="5" t="s">
        <v>981</v>
      </c>
      <c r="E293" s="1">
        <v>8</v>
      </c>
      <c r="F293" s="5" t="s">
        <v>981</v>
      </c>
      <c r="G293" s="1">
        <v>8</v>
      </c>
      <c r="H293" s="5" t="s">
        <v>981</v>
      </c>
      <c r="I293" s="1">
        <v>8</v>
      </c>
      <c r="J293" s="5" t="s">
        <v>981</v>
      </c>
      <c r="K293" s="1">
        <v>6</v>
      </c>
      <c r="L293" s="5" t="s">
        <v>981</v>
      </c>
      <c r="M293" s="1">
        <v>6</v>
      </c>
      <c r="N293" s="5" t="s">
        <v>981</v>
      </c>
      <c r="O293" s="1">
        <v>0</v>
      </c>
      <c r="P293" s="5" t="s">
        <v>983</v>
      </c>
      <c r="Q293" s="1">
        <v>0</v>
      </c>
      <c r="R293" s="1">
        <v>1</v>
      </c>
      <c r="S293" s="1" t="s">
        <v>194</v>
      </c>
      <c r="T293" s="1">
        <v>2</v>
      </c>
      <c r="U293" s="1">
        <v>3</v>
      </c>
      <c r="V293" s="1">
        <v>42</v>
      </c>
      <c r="W293" s="1">
        <v>0</v>
      </c>
      <c r="X293" s="1">
        <v>18</v>
      </c>
      <c r="Y293" s="1">
        <v>34</v>
      </c>
      <c r="Z293" s="1">
        <v>700000</v>
      </c>
      <c r="AA293" s="1">
        <v>4</v>
      </c>
    </row>
    <row r="294" spans="1:27" ht="12.75" customHeight="1" x14ac:dyDescent="0.15">
      <c r="A294" s="5">
        <v>177</v>
      </c>
      <c r="B294" s="5" t="s">
        <v>238</v>
      </c>
      <c r="C294" s="1">
        <v>15</v>
      </c>
      <c r="D294" s="5" t="s">
        <v>983</v>
      </c>
      <c r="E294" s="1">
        <v>3</v>
      </c>
      <c r="F294" s="5" t="s">
        <v>982</v>
      </c>
      <c r="G294" s="1">
        <v>1</v>
      </c>
      <c r="H294" s="5" t="s">
        <v>983</v>
      </c>
      <c r="I294" s="1">
        <v>15</v>
      </c>
      <c r="J294" s="5" t="s">
        <v>981</v>
      </c>
      <c r="K294" s="1">
        <v>0</v>
      </c>
      <c r="L294" s="5" t="s">
        <v>983</v>
      </c>
      <c r="M294" s="1">
        <v>0</v>
      </c>
      <c r="N294" s="5" t="s">
        <v>983</v>
      </c>
      <c r="O294" s="1">
        <v>0</v>
      </c>
      <c r="P294" s="5" t="s">
        <v>983</v>
      </c>
      <c r="Q294" s="1">
        <v>1</v>
      </c>
      <c r="R294" s="1">
        <v>0</v>
      </c>
      <c r="S294" s="1" t="s">
        <v>194</v>
      </c>
      <c r="T294" s="1">
        <v>4</v>
      </c>
      <c r="U294" s="1">
        <v>3</v>
      </c>
      <c r="V294" s="1">
        <v>42</v>
      </c>
      <c r="W294" s="1">
        <v>1</v>
      </c>
      <c r="X294" s="1">
        <v>15</v>
      </c>
      <c r="Y294" s="1">
        <v>29</v>
      </c>
      <c r="Z294" s="1">
        <v>1000000</v>
      </c>
      <c r="AA294" s="1">
        <v>1</v>
      </c>
    </row>
    <row r="295" spans="1:27" ht="12.75" customHeight="1" x14ac:dyDescent="0.15">
      <c r="A295" s="5">
        <v>154</v>
      </c>
      <c r="B295" s="5" t="s">
        <v>238</v>
      </c>
      <c r="C295" s="1">
        <v>28</v>
      </c>
      <c r="D295" s="5" t="s">
        <v>981</v>
      </c>
      <c r="E295" s="1">
        <v>3</v>
      </c>
      <c r="F295" s="5" t="s">
        <v>982</v>
      </c>
      <c r="G295" s="1">
        <v>4</v>
      </c>
      <c r="H295" s="5" t="s">
        <v>982</v>
      </c>
      <c r="I295" s="1">
        <v>8</v>
      </c>
      <c r="J295" s="5" t="s">
        <v>981</v>
      </c>
      <c r="K295" s="1">
        <v>4</v>
      </c>
      <c r="L295" s="5" t="s">
        <v>982</v>
      </c>
      <c r="M295" s="1">
        <v>3</v>
      </c>
      <c r="N295" s="5" t="s">
        <v>982</v>
      </c>
      <c r="O295" s="1">
        <v>4</v>
      </c>
      <c r="P295" s="5" t="s">
        <v>982</v>
      </c>
      <c r="Q295" s="1">
        <v>1</v>
      </c>
      <c r="R295" s="1">
        <v>0</v>
      </c>
      <c r="S295" s="1">
        <v>1</v>
      </c>
      <c r="T295" s="1">
        <v>4</v>
      </c>
      <c r="U295" s="1">
        <v>4</v>
      </c>
      <c r="V295" s="1">
        <v>42</v>
      </c>
      <c r="W295" s="1">
        <v>0</v>
      </c>
      <c r="X295" s="1">
        <v>18</v>
      </c>
      <c r="Y295" s="1">
        <v>1</v>
      </c>
      <c r="Z295" s="1">
        <v>750000</v>
      </c>
      <c r="AA295" s="1">
        <v>3</v>
      </c>
    </row>
    <row r="296" spans="1:27" ht="12.75" customHeight="1" x14ac:dyDescent="0.15">
      <c r="A296" s="5">
        <v>247</v>
      </c>
      <c r="B296" s="5" t="s">
        <v>238</v>
      </c>
      <c r="C296" s="1">
        <v>43</v>
      </c>
      <c r="D296" s="5" t="s">
        <v>981</v>
      </c>
      <c r="E296" s="1">
        <v>2</v>
      </c>
      <c r="F296" s="5" t="s">
        <v>982</v>
      </c>
      <c r="G296" s="1">
        <v>0</v>
      </c>
      <c r="H296" s="5" t="s">
        <v>983</v>
      </c>
      <c r="I296" s="1">
        <v>16</v>
      </c>
      <c r="J296" s="5" t="s">
        <v>981</v>
      </c>
      <c r="K296" s="1">
        <v>0</v>
      </c>
      <c r="L296" s="5" t="s">
        <v>983</v>
      </c>
      <c r="M296" s="1">
        <v>8</v>
      </c>
      <c r="N296" s="5" t="s">
        <v>981</v>
      </c>
      <c r="O296" s="1">
        <v>0</v>
      </c>
      <c r="P296" s="5" t="s">
        <v>983</v>
      </c>
      <c r="Q296" s="1">
        <v>0</v>
      </c>
      <c r="R296" s="1">
        <v>0</v>
      </c>
      <c r="S296" s="1" t="s">
        <v>194</v>
      </c>
      <c r="T296" s="1">
        <v>5</v>
      </c>
      <c r="U296" s="1">
        <v>5</v>
      </c>
      <c r="V296" s="1">
        <v>42</v>
      </c>
      <c r="W296" s="1">
        <v>0</v>
      </c>
      <c r="X296" s="1">
        <v>10</v>
      </c>
      <c r="Y296" s="1">
        <v>3</v>
      </c>
      <c r="Z296" s="1">
        <v>0</v>
      </c>
      <c r="AA296" s="1">
        <v>2</v>
      </c>
    </row>
    <row r="297" spans="1:27" ht="12.75" customHeight="1" x14ac:dyDescent="0.15">
      <c r="A297" s="5">
        <v>178</v>
      </c>
      <c r="B297" s="5" t="s">
        <v>238</v>
      </c>
      <c r="C297" s="1">
        <v>13</v>
      </c>
      <c r="D297" s="5" t="s">
        <v>983</v>
      </c>
      <c r="E297" s="1">
        <v>1</v>
      </c>
      <c r="F297" s="5" t="s">
        <v>983</v>
      </c>
      <c r="G297" s="1">
        <v>1</v>
      </c>
      <c r="H297" s="5" t="s">
        <v>983</v>
      </c>
      <c r="I297" s="1">
        <v>7</v>
      </c>
      <c r="J297" s="5" t="s">
        <v>981</v>
      </c>
      <c r="K297" s="1">
        <v>1</v>
      </c>
      <c r="L297" s="5" t="s">
        <v>983</v>
      </c>
      <c r="M297" s="1">
        <v>1</v>
      </c>
      <c r="N297" s="5" t="s">
        <v>983</v>
      </c>
      <c r="O297" s="1">
        <v>0</v>
      </c>
      <c r="P297" s="5" t="s">
        <v>983</v>
      </c>
      <c r="Q297" s="1">
        <v>1</v>
      </c>
      <c r="R297" s="1">
        <v>0</v>
      </c>
      <c r="S297" s="1" t="s">
        <v>194</v>
      </c>
      <c r="T297" s="1" t="s">
        <v>194</v>
      </c>
      <c r="U297" s="1" t="s">
        <v>194</v>
      </c>
      <c r="V297" s="1">
        <v>42</v>
      </c>
      <c r="W297" s="1">
        <v>1</v>
      </c>
      <c r="X297" s="1">
        <v>16</v>
      </c>
      <c r="Y297" s="1">
        <v>3</v>
      </c>
      <c r="Z297" s="1">
        <v>12000000</v>
      </c>
      <c r="AA297" s="1">
        <v>2</v>
      </c>
    </row>
    <row r="298" spans="1:27" ht="12.75" customHeight="1" x14ac:dyDescent="0.15">
      <c r="A298" s="5">
        <v>355</v>
      </c>
      <c r="B298" s="5" t="s">
        <v>238</v>
      </c>
      <c r="C298" s="1">
        <v>19</v>
      </c>
      <c r="D298" s="5" t="s">
        <v>982</v>
      </c>
      <c r="E298" s="1">
        <v>3</v>
      </c>
      <c r="F298" s="5" t="s">
        <v>982</v>
      </c>
      <c r="G298" s="1">
        <v>2</v>
      </c>
      <c r="H298" s="5" t="s">
        <v>982</v>
      </c>
      <c r="I298" s="1">
        <v>4</v>
      </c>
      <c r="J298" s="5" t="s">
        <v>982</v>
      </c>
      <c r="K298" s="1">
        <v>4</v>
      </c>
      <c r="L298" s="5" t="s">
        <v>982</v>
      </c>
      <c r="M298" s="1">
        <v>1</v>
      </c>
      <c r="N298" s="5" t="s">
        <v>983</v>
      </c>
      <c r="O298" s="1">
        <v>0</v>
      </c>
      <c r="P298" s="5" t="s">
        <v>983</v>
      </c>
      <c r="Q298" s="1">
        <v>1</v>
      </c>
      <c r="R298" s="1">
        <v>0</v>
      </c>
      <c r="S298" s="1">
        <v>1</v>
      </c>
      <c r="T298" s="1" t="s">
        <v>194</v>
      </c>
      <c r="U298" s="1">
        <v>2</v>
      </c>
      <c r="V298" s="1">
        <v>43</v>
      </c>
      <c r="W298" s="1">
        <v>1</v>
      </c>
      <c r="X298" s="1">
        <v>13</v>
      </c>
      <c r="Y298" s="1">
        <v>9</v>
      </c>
      <c r="Z298" s="1">
        <v>450000</v>
      </c>
      <c r="AA298" s="1">
        <v>4</v>
      </c>
    </row>
    <row r="299" spans="1:27" ht="12.75" customHeight="1" x14ac:dyDescent="0.15">
      <c r="A299" s="5">
        <v>391</v>
      </c>
      <c r="B299" s="5" t="s">
        <v>238</v>
      </c>
      <c r="C299" s="1">
        <v>13</v>
      </c>
      <c r="D299" s="5" t="s">
        <v>983</v>
      </c>
      <c r="E299" s="1">
        <v>1</v>
      </c>
      <c r="F299" s="5" t="s">
        <v>983</v>
      </c>
      <c r="G299" s="1">
        <v>0</v>
      </c>
      <c r="H299" s="5" t="s">
        <v>983</v>
      </c>
      <c r="I299" s="1">
        <v>0</v>
      </c>
      <c r="J299" s="5" t="s">
        <v>983</v>
      </c>
      <c r="K299" s="1">
        <v>0</v>
      </c>
      <c r="L299" s="5" t="s">
        <v>983</v>
      </c>
      <c r="M299" s="1">
        <v>0</v>
      </c>
      <c r="N299" s="5" t="s">
        <v>983</v>
      </c>
      <c r="O299" s="1">
        <v>0</v>
      </c>
      <c r="P299" s="5" t="s">
        <v>983</v>
      </c>
      <c r="Q299" s="1">
        <v>0</v>
      </c>
      <c r="R299" s="1">
        <v>0</v>
      </c>
      <c r="S299" s="1">
        <v>1</v>
      </c>
      <c r="T299" s="1">
        <v>4</v>
      </c>
      <c r="U299" s="1">
        <v>2</v>
      </c>
      <c r="V299" s="1">
        <v>43</v>
      </c>
      <c r="W299" s="1">
        <v>0</v>
      </c>
      <c r="X299" s="1">
        <v>6</v>
      </c>
      <c r="Y299" s="1">
        <v>1</v>
      </c>
      <c r="Z299" s="1">
        <v>0</v>
      </c>
      <c r="AA299" s="1">
        <v>2</v>
      </c>
    </row>
    <row r="300" spans="1:27" ht="12.75" customHeight="1" x14ac:dyDescent="0.15">
      <c r="A300" s="5">
        <v>80</v>
      </c>
      <c r="B300" s="5" t="s">
        <v>238</v>
      </c>
      <c r="C300" s="1">
        <v>22</v>
      </c>
      <c r="D300" s="5" t="s">
        <v>982</v>
      </c>
      <c r="E300" s="1">
        <v>9</v>
      </c>
      <c r="F300" s="5" t="s">
        <v>981</v>
      </c>
      <c r="G300" s="1">
        <v>9</v>
      </c>
      <c r="H300" s="5" t="s">
        <v>981</v>
      </c>
      <c r="I300" s="1">
        <v>6</v>
      </c>
      <c r="J300" s="5" t="s">
        <v>981</v>
      </c>
      <c r="K300" s="1">
        <v>6</v>
      </c>
      <c r="L300" s="5" t="s">
        <v>981</v>
      </c>
      <c r="M300" s="1">
        <v>7</v>
      </c>
      <c r="N300" s="5" t="s">
        <v>981</v>
      </c>
      <c r="O300" s="1">
        <v>0</v>
      </c>
      <c r="P300" s="5" t="s">
        <v>983</v>
      </c>
      <c r="Q300" s="1">
        <v>1</v>
      </c>
      <c r="R300" s="1">
        <v>0</v>
      </c>
      <c r="S300" s="1">
        <v>1</v>
      </c>
      <c r="T300" s="1">
        <v>3</v>
      </c>
      <c r="U300" s="1">
        <v>3</v>
      </c>
      <c r="V300" s="1">
        <v>43</v>
      </c>
      <c r="W300" s="1">
        <v>0</v>
      </c>
      <c r="X300" s="1">
        <v>16</v>
      </c>
      <c r="Y300" s="1">
        <v>28</v>
      </c>
      <c r="Z300" s="1">
        <v>600000</v>
      </c>
      <c r="AA300" s="1">
        <v>4</v>
      </c>
    </row>
    <row r="301" spans="1:27" ht="12.75" customHeight="1" x14ac:dyDescent="0.15">
      <c r="A301" s="5">
        <v>233</v>
      </c>
      <c r="B301" s="5" t="s">
        <v>984</v>
      </c>
      <c r="C301" s="1">
        <v>23</v>
      </c>
      <c r="D301" s="5" t="s">
        <v>982</v>
      </c>
      <c r="E301" s="1">
        <v>0</v>
      </c>
      <c r="F301" s="5" t="s">
        <v>983</v>
      </c>
      <c r="G301" s="1">
        <v>3</v>
      </c>
      <c r="H301" s="5" t="s">
        <v>982</v>
      </c>
      <c r="I301" s="1">
        <v>9</v>
      </c>
      <c r="J301" s="5" t="s">
        <v>981</v>
      </c>
      <c r="K301" s="1">
        <v>0</v>
      </c>
      <c r="L301" s="5" t="s">
        <v>983</v>
      </c>
      <c r="M301" s="1">
        <v>0</v>
      </c>
      <c r="N301" s="5" t="s">
        <v>983</v>
      </c>
      <c r="O301" s="1">
        <v>0</v>
      </c>
      <c r="P301" s="5" t="s">
        <v>983</v>
      </c>
      <c r="Q301" s="1">
        <v>0</v>
      </c>
      <c r="R301" s="1">
        <v>1</v>
      </c>
      <c r="S301" s="1" t="s">
        <v>194</v>
      </c>
      <c r="T301" s="1" t="s">
        <v>194</v>
      </c>
      <c r="U301" s="1">
        <v>3</v>
      </c>
      <c r="V301" s="1">
        <v>43</v>
      </c>
      <c r="W301" s="1">
        <v>0</v>
      </c>
      <c r="X301" s="1">
        <v>13</v>
      </c>
      <c r="Y301" s="1">
        <v>2</v>
      </c>
      <c r="Z301" s="1">
        <v>200000</v>
      </c>
      <c r="AA301" s="1">
        <v>3</v>
      </c>
    </row>
    <row r="302" spans="1:27" ht="12.75" customHeight="1" x14ac:dyDescent="0.15">
      <c r="A302" s="5">
        <v>356</v>
      </c>
      <c r="B302" s="5" t="s">
        <v>238</v>
      </c>
      <c r="C302" s="1">
        <v>24</v>
      </c>
      <c r="D302" s="5" t="s">
        <v>981</v>
      </c>
      <c r="E302" s="1">
        <v>3</v>
      </c>
      <c r="F302" s="5" t="s">
        <v>982</v>
      </c>
      <c r="G302" s="1">
        <v>3</v>
      </c>
      <c r="H302" s="5" t="s">
        <v>982</v>
      </c>
      <c r="I302" s="1">
        <v>12</v>
      </c>
      <c r="J302" s="5" t="s">
        <v>981</v>
      </c>
      <c r="K302" s="1">
        <v>3</v>
      </c>
      <c r="L302" s="5" t="s">
        <v>982</v>
      </c>
      <c r="M302" s="1">
        <v>3</v>
      </c>
      <c r="N302" s="5" t="s">
        <v>982</v>
      </c>
      <c r="O302" s="1">
        <v>0</v>
      </c>
      <c r="P302" s="5" t="s">
        <v>983</v>
      </c>
      <c r="Q302" s="1">
        <v>0</v>
      </c>
      <c r="R302" s="1">
        <v>0</v>
      </c>
      <c r="S302" s="1" t="s">
        <v>194</v>
      </c>
      <c r="T302" s="1">
        <v>4</v>
      </c>
      <c r="U302" s="1" t="s">
        <v>194</v>
      </c>
      <c r="V302" s="1">
        <v>43</v>
      </c>
      <c r="W302" s="1">
        <v>1</v>
      </c>
      <c r="X302" s="1">
        <v>13</v>
      </c>
      <c r="Y302" s="1">
        <v>9</v>
      </c>
      <c r="Z302" s="1">
        <v>450000</v>
      </c>
      <c r="AA302" s="1">
        <v>4</v>
      </c>
    </row>
    <row r="303" spans="1:27" ht="12.75" customHeight="1" x14ac:dyDescent="0.15">
      <c r="A303" s="5">
        <v>206</v>
      </c>
      <c r="B303" s="5" t="s">
        <v>238</v>
      </c>
      <c r="C303" s="1">
        <v>20</v>
      </c>
      <c r="D303" s="5" t="s">
        <v>982</v>
      </c>
      <c r="E303" s="1">
        <v>2</v>
      </c>
      <c r="F303" s="5" t="s">
        <v>982</v>
      </c>
      <c r="G303" s="1">
        <v>3</v>
      </c>
      <c r="H303" s="5" t="s">
        <v>982</v>
      </c>
      <c r="I303" s="1">
        <v>3</v>
      </c>
      <c r="J303" s="5" t="s">
        <v>982</v>
      </c>
      <c r="K303" s="1">
        <v>2</v>
      </c>
      <c r="L303" s="5" t="s">
        <v>983</v>
      </c>
      <c r="M303" s="1">
        <v>1</v>
      </c>
      <c r="N303" s="5" t="s">
        <v>983</v>
      </c>
      <c r="O303" s="1">
        <v>0</v>
      </c>
      <c r="P303" s="5" t="s">
        <v>983</v>
      </c>
      <c r="Q303" s="1">
        <v>1</v>
      </c>
      <c r="R303" s="1">
        <v>0</v>
      </c>
      <c r="S303" s="1">
        <v>1</v>
      </c>
      <c r="T303" s="1">
        <v>1</v>
      </c>
      <c r="U303" s="1">
        <v>1</v>
      </c>
      <c r="V303" s="1">
        <v>44</v>
      </c>
      <c r="W303" s="1">
        <v>1</v>
      </c>
      <c r="X303" s="1">
        <v>15</v>
      </c>
      <c r="Y303" s="1">
        <v>9</v>
      </c>
      <c r="Z303" s="1">
        <v>900000</v>
      </c>
      <c r="AA303" s="1">
        <v>3</v>
      </c>
    </row>
    <row r="304" spans="1:27" ht="12.75" customHeight="1" x14ac:dyDescent="0.15">
      <c r="A304" s="5">
        <v>38</v>
      </c>
      <c r="B304" s="5" t="s">
        <v>238</v>
      </c>
      <c r="C304" s="1">
        <v>26</v>
      </c>
      <c r="D304" s="5" t="s">
        <v>981</v>
      </c>
      <c r="E304" s="1">
        <v>0</v>
      </c>
      <c r="F304" s="5" t="s">
        <v>983</v>
      </c>
      <c r="G304" s="1">
        <v>8</v>
      </c>
      <c r="H304" s="5" t="s">
        <v>981</v>
      </c>
      <c r="I304" s="1">
        <v>8</v>
      </c>
      <c r="J304" s="5" t="s">
        <v>981</v>
      </c>
      <c r="K304" s="1">
        <v>2</v>
      </c>
      <c r="L304" s="5" t="s">
        <v>983</v>
      </c>
      <c r="M304" s="1">
        <v>5</v>
      </c>
      <c r="N304" s="5" t="s">
        <v>982</v>
      </c>
      <c r="O304" s="1">
        <v>0</v>
      </c>
      <c r="P304" s="5" t="s">
        <v>983</v>
      </c>
      <c r="Q304" s="1">
        <v>0</v>
      </c>
      <c r="R304" s="1">
        <v>0</v>
      </c>
      <c r="S304" s="1" t="s">
        <v>194</v>
      </c>
      <c r="T304" s="1" t="s">
        <v>194</v>
      </c>
      <c r="U304" s="1">
        <v>1</v>
      </c>
      <c r="V304" s="1">
        <v>44</v>
      </c>
      <c r="W304" s="1">
        <v>0</v>
      </c>
      <c r="X304" s="1">
        <v>14</v>
      </c>
      <c r="Y304" s="1">
        <v>34</v>
      </c>
      <c r="Z304" s="1">
        <v>0</v>
      </c>
      <c r="AA304" s="1">
        <v>2</v>
      </c>
    </row>
    <row r="305" spans="1:27" ht="12.75" customHeight="1" x14ac:dyDescent="0.15">
      <c r="A305" s="5">
        <v>413</v>
      </c>
      <c r="B305" s="5" t="s">
        <v>238</v>
      </c>
      <c r="C305" s="1">
        <v>18</v>
      </c>
      <c r="D305" s="5" t="s">
        <v>983</v>
      </c>
      <c r="E305" s="1">
        <v>2</v>
      </c>
      <c r="F305" s="5" t="s">
        <v>982</v>
      </c>
      <c r="G305" s="1">
        <v>3</v>
      </c>
      <c r="H305" s="5" t="s">
        <v>982</v>
      </c>
      <c r="I305" s="1">
        <v>10</v>
      </c>
      <c r="J305" s="5" t="s">
        <v>981</v>
      </c>
      <c r="K305" s="1">
        <v>7</v>
      </c>
      <c r="L305" s="5" t="s">
        <v>981</v>
      </c>
      <c r="M305" s="1">
        <v>6</v>
      </c>
      <c r="N305" s="5" t="s">
        <v>981</v>
      </c>
      <c r="O305" s="1">
        <v>0</v>
      </c>
      <c r="P305" s="5" t="s">
        <v>983</v>
      </c>
      <c r="Q305" s="1">
        <v>1</v>
      </c>
      <c r="R305" s="1">
        <v>0</v>
      </c>
      <c r="S305" s="1" t="s">
        <v>194</v>
      </c>
      <c r="T305" s="1">
        <v>4</v>
      </c>
      <c r="U305" s="1">
        <v>1</v>
      </c>
      <c r="V305" s="1">
        <v>44</v>
      </c>
      <c r="W305" s="1">
        <v>1</v>
      </c>
      <c r="X305" s="1">
        <v>14</v>
      </c>
      <c r="Y305" s="1">
        <v>24</v>
      </c>
      <c r="Z305" s="1">
        <v>0</v>
      </c>
      <c r="AA305" s="1">
        <v>3</v>
      </c>
    </row>
    <row r="306" spans="1:27" ht="12.75" customHeight="1" x14ac:dyDescent="0.15">
      <c r="A306" s="5">
        <v>380</v>
      </c>
      <c r="B306" s="5" t="s">
        <v>984</v>
      </c>
      <c r="C306" s="1">
        <v>16</v>
      </c>
      <c r="D306" s="5" t="s">
        <v>983</v>
      </c>
      <c r="E306" s="1">
        <v>1</v>
      </c>
      <c r="F306" s="5" t="s">
        <v>983</v>
      </c>
      <c r="G306" s="1">
        <v>0</v>
      </c>
      <c r="H306" s="5" t="s">
        <v>983</v>
      </c>
      <c r="I306" s="1">
        <v>0</v>
      </c>
      <c r="J306" s="5" t="s">
        <v>983</v>
      </c>
      <c r="K306" s="1">
        <v>0</v>
      </c>
      <c r="L306" s="5" t="s">
        <v>983</v>
      </c>
      <c r="M306" s="1">
        <v>0</v>
      </c>
      <c r="N306" s="5" t="s">
        <v>983</v>
      </c>
      <c r="O306" s="1">
        <v>0</v>
      </c>
      <c r="P306" s="5" t="s">
        <v>983</v>
      </c>
      <c r="Q306" s="1">
        <v>1</v>
      </c>
      <c r="R306" s="1">
        <v>0</v>
      </c>
      <c r="S306" s="1">
        <v>1</v>
      </c>
      <c r="T306" s="1">
        <v>3</v>
      </c>
      <c r="U306" s="1">
        <v>2</v>
      </c>
      <c r="V306" s="1">
        <v>44</v>
      </c>
      <c r="W306" s="1">
        <v>0</v>
      </c>
      <c r="X306" s="1">
        <v>18</v>
      </c>
      <c r="Y306" s="1">
        <v>2</v>
      </c>
      <c r="Z306" s="1">
        <v>500000</v>
      </c>
      <c r="AA306" s="1">
        <v>2</v>
      </c>
    </row>
    <row r="307" spans="1:27" ht="12.75" customHeight="1" x14ac:dyDescent="0.15">
      <c r="A307" s="5">
        <v>430</v>
      </c>
      <c r="B307" s="5" t="s">
        <v>238</v>
      </c>
      <c r="C307" s="1">
        <v>13</v>
      </c>
      <c r="D307" s="5" t="s">
        <v>983</v>
      </c>
      <c r="E307" s="1">
        <v>3</v>
      </c>
      <c r="F307" s="5" t="s">
        <v>982</v>
      </c>
      <c r="G307" s="1">
        <v>0</v>
      </c>
      <c r="H307" s="5" t="s">
        <v>983</v>
      </c>
      <c r="I307" s="1">
        <v>7</v>
      </c>
      <c r="J307" s="5" t="s">
        <v>981</v>
      </c>
      <c r="K307" s="1">
        <v>2</v>
      </c>
      <c r="L307" s="5" t="s">
        <v>983</v>
      </c>
      <c r="M307" s="1">
        <v>4</v>
      </c>
      <c r="N307" s="5" t="s">
        <v>982</v>
      </c>
      <c r="O307" s="1">
        <v>0</v>
      </c>
      <c r="P307" s="5" t="s">
        <v>983</v>
      </c>
      <c r="Q307" s="1">
        <v>1</v>
      </c>
      <c r="R307" s="1">
        <v>0</v>
      </c>
      <c r="S307" s="1" t="s">
        <v>194</v>
      </c>
      <c r="T307" s="1" t="s">
        <v>194</v>
      </c>
      <c r="U307" s="1">
        <v>2</v>
      </c>
      <c r="V307" s="1">
        <v>44</v>
      </c>
      <c r="W307" s="1">
        <v>0</v>
      </c>
      <c r="X307" s="1">
        <v>17</v>
      </c>
      <c r="Y307" s="1">
        <v>24</v>
      </c>
      <c r="Z307" s="1">
        <v>500000</v>
      </c>
      <c r="AA307" s="1">
        <v>3</v>
      </c>
    </row>
    <row r="308" spans="1:27" ht="12.75" customHeight="1" x14ac:dyDescent="0.15">
      <c r="A308" s="5">
        <v>60</v>
      </c>
      <c r="B308" s="5" t="s">
        <v>238</v>
      </c>
      <c r="C308" s="1">
        <v>20</v>
      </c>
      <c r="D308" s="5" t="s">
        <v>982</v>
      </c>
      <c r="E308" s="1">
        <v>4</v>
      </c>
      <c r="F308" s="5" t="s">
        <v>982</v>
      </c>
      <c r="G308" s="1">
        <v>5</v>
      </c>
      <c r="H308" s="5" t="s">
        <v>982</v>
      </c>
      <c r="I308" s="1">
        <v>3</v>
      </c>
      <c r="J308" s="5" t="s">
        <v>982</v>
      </c>
      <c r="K308" s="1">
        <v>0</v>
      </c>
      <c r="L308" s="5" t="s">
        <v>983</v>
      </c>
      <c r="M308" s="1">
        <v>2</v>
      </c>
      <c r="N308" s="5" t="s">
        <v>983</v>
      </c>
      <c r="O308" s="1">
        <v>0</v>
      </c>
      <c r="P308" s="5" t="s">
        <v>983</v>
      </c>
      <c r="Q308" s="1">
        <v>1</v>
      </c>
      <c r="R308" s="1">
        <v>0</v>
      </c>
      <c r="S308" s="1" t="s">
        <v>194</v>
      </c>
      <c r="T308" s="1">
        <v>3</v>
      </c>
      <c r="U308" s="1">
        <v>2</v>
      </c>
      <c r="V308" s="1">
        <v>44</v>
      </c>
      <c r="W308" s="1">
        <v>0</v>
      </c>
      <c r="X308" s="1">
        <v>16</v>
      </c>
      <c r="Y308" s="1">
        <v>13</v>
      </c>
      <c r="Z308" s="1">
        <v>500000</v>
      </c>
      <c r="AA308" s="1">
        <v>1</v>
      </c>
    </row>
    <row r="309" spans="1:27" ht="12.75" customHeight="1" x14ac:dyDescent="0.15">
      <c r="A309" s="5">
        <v>152</v>
      </c>
      <c r="B309" s="5" t="s">
        <v>238</v>
      </c>
      <c r="C309" s="1">
        <v>30</v>
      </c>
      <c r="D309" s="5" t="s">
        <v>981</v>
      </c>
      <c r="E309" s="1">
        <v>9</v>
      </c>
      <c r="F309" s="5" t="s">
        <v>981</v>
      </c>
      <c r="G309" s="1">
        <v>9</v>
      </c>
      <c r="H309" s="5" t="s">
        <v>981</v>
      </c>
      <c r="I309" s="1">
        <v>4</v>
      </c>
      <c r="J309" s="5" t="s">
        <v>982</v>
      </c>
      <c r="K309" s="1">
        <v>9</v>
      </c>
      <c r="L309" s="5" t="s">
        <v>981</v>
      </c>
      <c r="M309" s="1">
        <v>9</v>
      </c>
      <c r="N309" s="5" t="s">
        <v>981</v>
      </c>
      <c r="O309" s="1">
        <v>0</v>
      </c>
      <c r="P309" s="5" t="s">
        <v>983</v>
      </c>
      <c r="Q309" s="1">
        <v>0</v>
      </c>
      <c r="R309" s="1">
        <v>0</v>
      </c>
      <c r="S309" s="1" t="s">
        <v>194</v>
      </c>
      <c r="T309" s="1">
        <v>2</v>
      </c>
      <c r="U309" s="1">
        <v>2</v>
      </c>
      <c r="V309" s="1">
        <v>44</v>
      </c>
      <c r="W309" s="1">
        <v>0</v>
      </c>
      <c r="X309" s="1">
        <v>14</v>
      </c>
      <c r="Y309" s="1">
        <v>34</v>
      </c>
      <c r="Z309" s="1">
        <v>600000</v>
      </c>
      <c r="AA309" s="1">
        <v>3</v>
      </c>
    </row>
    <row r="310" spans="1:27" ht="12.75" customHeight="1" x14ac:dyDescent="0.15">
      <c r="A310" s="5">
        <v>434</v>
      </c>
      <c r="B310" s="5" t="s">
        <v>238</v>
      </c>
      <c r="C310" s="1">
        <v>25</v>
      </c>
      <c r="D310" s="5" t="s">
        <v>981</v>
      </c>
      <c r="E310" s="1">
        <v>6</v>
      </c>
      <c r="F310" s="5" t="s">
        <v>981</v>
      </c>
      <c r="G310" s="1">
        <v>6</v>
      </c>
      <c r="H310" s="5" t="s">
        <v>981</v>
      </c>
      <c r="I310" s="1">
        <v>8</v>
      </c>
      <c r="J310" s="5" t="s">
        <v>981</v>
      </c>
      <c r="K310" s="1">
        <v>6</v>
      </c>
      <c r="L310" s="5" t="s">
        <v>981</v>
      </c>
      <c r="M310" s="1">
        <v>6</v>
      </c>
      <c r="N310" s="5" t="s">
        <v>981</v>
      </c>
      <c r="O310" s="1">
        <v>0</v>
      </c>
      <c r="P310" s="5" t="s">
        <v>983</v>
      </c>
      <c r="Q310" s="1">
        <v>0</v>
      </c>
      <c r="R310" s="1">
        <v>0</v>
      </c>
      <c r="S310" s="1" t="s">
        <v>194</v>
      </c>
      <c r="T310" s="1">
        <v>3</v>
      </c>
      <c r="U310" s="1">
        <v>2</v>
      </c>
      <c r="V310" s="1">
        <v>44</v>
      </c>
      <c r="W310" s="1">
        <v>0</v>
      </c>
      <c r="X310" s="1">
        <v>6</v>
      </c>
      <c r="Y310" s="1">
        <v>2</v>
      </c>
      <c r="Z310" s="1">
        <v>1000000</v>
      </c>
      <c r="AA310" s="1">
        <v>2</v>
      </c>
    </row>
    <row r="311" spans="1:27" ht="12.75" customHeight="1" x14ac:dyDescent="0.15">
      <c r="A311" s="5">
        <v>415</v>
      </c>
      <c r="B311" s="5" t="s">
        <v>984</v>
      </c>
      <c r="C311" s="1">
        <v>18</v>
      </c>
      <c r="D311" s="5" t="s">
        <v>983</v>
      </c>
      <c r="E311" s="1">
        <v>0</v>
      </c>
      <c r="F311" s="5" t="s">
        <v>983</v>
      </c>
      <c r="G311" s="1">
        <v>5</v>
      </c>
      <c r="H311" s="5" t="s">
        <v>982</v>
      </c>
      <c r="I311" s="1">
        <v>0</v>
      </c>
      <c r="J311" s="5" t="s">
        <v>983</v>
      </c>
      <c r="K311" s="1">
        <v>0</v>
      </c>
      <c r="L311" s="5" t="s">
        <v>983</v>
      </c>
      <c r="M311" s="1">
        <v>0</v>
      </c>
      <c r="N311" s="5" t="s">
        <v>983</v>
      </c>
      <c r="O311" s="1">
        <v>0</v>
      </c>
      <c r="P311" s="5" t="s">
        <v>983</v>
      </c>
      <c r="Q311" s="1">
        <v>0</v>
      </c>
      <c r="R311" s="1">
        <v>0</v>
      </c>
      <c r="S311" s="1" t="s">
        <v>194</v>
      </c>
      <c r="T311" s="1">
        <v>3</v>
      </c>
      <c r="U311" s="1">
        <v>3</v>
      </c>
      <c r="V311" s="1">
        <v>44</v>
      </c>
      <c r="W311" s="1">
        <v>0</v>
      </c>
      <c r="X311" s="1">
        <v>8</v>
      </c>
      <c r="Y311" s="1">
        <v>28</v>
      </c>
      <c r="Z311" s="1">
        <v>0</v>
      </c>
      <c r="AA311" s="1">
        <v>2</v>
      </c>
    </row>
    <row r="312" spans="1:27" ht="12.75" customHeight="1" x14ac:dyDescent="0.15">
      <c r="A312" s="5">
        <v>14</v>
      </c>
      <c r="B312" s="5" t="s">
        <v>984</v>
      </c>
      <c r="C312" s="1">
        <v>32</v>
      </c>
      <c r="D312" s="5" t="s">
        <v>981</v>
      </c>
      <c r="E312" s="1">
        <v>4</v>
      </c>
      <c r="F312" s="5" t="s">
        <v>982</v>
      </c>
      <c r="G312" s="1">
        <v>12</v>
      </c>
      <c r="H312" s="5" t="s">
        <v>981</v>
      </c>
      <c r="I312" s="1">
        <v>8</v>
      </c>
      <c r="J312" s="5" t="s">
        <v>981</v>
      </c>
      <c r="K312" s="1">
        <v>4</v>
      </c>
      <c r="L312" s="5" t="s">
        <v>982</v>
      </c>
      <c r="M312" s="1">
        <v>8</v>
      </c>
      <c r="N312" s="5" t="s">
        <v>981</v>
      </c>
      <c r="O312" s="1">
        <v>1</v>
      </c>
      <c r="P312" s="5" t="s">
        <v>982</v>
      </c>
      <c r="Q312" s="1">
        <v>0</v>
      </c>
      <c r="R312" s="1">
        <v>0</v>
      </c>
      <c r="S312" s="1" t="s">
        <v>194</v>
      </c>
      <c r="T312" s="1">
        <v>3</v>
      </c>
      <c r="U312" s="1">
        <v>3</v>
      </c>
      <c r="V312" s="1">
        <v>44</v>
      </c>
      <c r="W312" s="1">
        <v>1</v>
      </c>
      <c r="X312" s="1">
        <v>12</v>
      </c>
      <c r="Y312" s="1">
        <v>3</v>
      </c>
      <c r="Z312" s="1">
        <v>100000</v>
      </c>
      <c r="AA312" s="1">
        <v>3</v>
      </c>
    </row>
    <row r="313" spans="1:27" ht="12.75" customHeight="1" x14ac:dyDescent="0.15">
      <c r="A313" s="5">
        <v>475</v>
      </c>
      <c r="B313" s="5" t="s">
        <v>238</v>
      </c>
      <c r="C313" s="1">
        <v>20</v>
      </c>
      <c r="D313" s="5" t="s">
        <v>982</v>
      </c>
      <c r="E313" s="1">
        <v>4</v>
      </c>
      <c r="F313" s="5" t="s">
        <v>982</v>
      </c>
      <c r="G313" s="1">
        <v>4</v>
      </c>
      <c r="H313" s="5" t="s">
        <v>982</v>
      </c>
      <c r="I313" s="1">
        <v>8</v>
      </c>
      <c r="J313" s="5" t="s">
        <v>981</v>
      </c>
      <c r="K313" s="1">
        <v>0</v>
      </c>
      <c r="L313" s="5" t="s">
        <v>983</v>
      </c>
      <c r="M313" s="1">
        <v>0</v>
      </c>
      <c r="N313" s="5" t="s">
        <v>983</v>
      </c>
      <c r="O313" s="1">
        <v>0</v>
      </c>
      <c r="P313" s="5" t="s">
        <v>983</v>
      </c>
      <c r="Q313" s="1">
        <v>1</v>
      </c>
      <c r="R313" s="1">
        <v>0</v>
      </c>
      <c r="S313" s="1">
        <v>1</v>
      </c>
      <c r="T313" s="1">
        <v>3</v>
      </c>
      <c r="U313" s="1">
        <v>4</v>
      </c>
      <c r="V313" s="1">
        <v>44</v>
      </c>
      <c r="W313" s="1">
        <v>0</v>
      </c>
      <c r="X313" s="1">
        <v>4</v>
      </c>
      <c r="Y313" s="1">
        <v>31</v>
      </c>
      <c r="Z313" s="1">
        <v>650000</v>
      </c>
      <c r="AA313" s="1">
        <v>2</v>
      </c>
    </row>
    <row r="314" spans="1:27" ht="12.75" customHeight="1" x14ac:dyDescent="0.15">
      <c r="A314" s="5">
        <v>61</v>
      </c>
      <c r="B314" s="5" t="s">
        <v>238</v>
      </c>
      <c r="C314" s="1">
        <v>12</v>
      </c>
      <c r="D314" s="5" t="s">
        <v>983</v>
      </c>
      <c r="E314" s="1">
        <v>4</v>
      </c>
      <c r="F314" s="5" t="s">
        <v>982</v>
      </c>
      <c r="G314" s="1">
        <v>5</v>
      </c>
      <c r="H314" s="5" t="s">
        <v>982</v>
      </c>
      <c r="I314" s="1">
        <v>4</v>
      </c>
      <c r="J314" s="5" t="s">
        <v>982</v>
      </c>
      <c r="K314" s="1">
        <v>0</v>
      </c>
      <c r="L314" s="5" t="s">
        <v>983</v>
      </c>
      <c r="M314" s="1">
        <v>0</v>
      </c>
      <c r="N314" s="5" t="s">
        <v>983</v>
      </c>
      <c r="O314" s="1">
        <v>0</v>
      </c>
      <c r="P314" s="5" t="s">
        <v>983</v>
      </c>
      <c r="Q314" s="1">
        <v>1</v>
      </c>
      <c r="R314" s="1">
        <v>0</v>
      </c>
      <c r="S314" s="1">
        <v>1</v>
      </c>
      <c r="T314" s="1">
        <v>5</v>
      </c>
      <c r="U314" s="1">
        <v>5</v>
      </c>
      <c r="V314" s="1">
        <v>44</v>
      </c>
      <c r="W314" s="1">
        <v>0</v>
      </c>
      <c r="X314" s="1">
        <v>16</v>
      </c>
      <c r="Y314" s="1">
        <v>34</v>
      </c>
      <c r="Z314" s="1">
        <v>450000</v>
      </c>
      <c r="AA314" s="1">
        <v>3</v>
      </c>
    </row>
    <row r="315" spans="1:27" ht="12.75" customHeight="1" x14ac:dyDescent="0.15">
      <c r="A315" s="5">
        <v>95</v>
      </c>
      <c r="B315" s="5" t="s">
        <v>984</v>
      </c>
      <c r="C315" s="1">
        <v>13</v>
      </c>
      <c r="D315" s="5" t="s">
        <v>983</v>
      </c>
      <c r="E315" s="1">
        <v>6</v>
      </c>
      <c r="F315" s="5" t="s">
        <v>981</v>
      </c>
      <c r="G315" s="1">
        <v>9</v>
      </c>
      <c r="H315" s="5" t="s">
        <v>981</v>
      </c>
      <c r="I315" s="1">
        <v>9</v>
      </c>
      <c r="J315" s="5" t="s">
        <v>981</v>
      </c>
      <c r="K315" s="1">
        <v>6</v>
      </c>
      <c r="L315" s="5" t="s">
        <v>981</v>
      </c>
      <c r="M315" s="1">
        <v>6</v>
      </c>
      <c r="N315" s="5" t="s">
        <v>981</v>
      </c>
      <c r="O315" s="1">
        <v>0</v>
      </c>
      <c r="P315" s="5" t="s">
        <v>983</v>
      </c>
      <c r="Q315" s="1">
        <v>1</v>
      </c>
      <c r="R315" s="1">
        <v>0</v>
      </c>
      <c r="S315" s="1">
        <v>1</v>
      </c>
      <c r="T315" s="1">
        <v>5</v>
      </c>
      <c r="U315" s="1">
        <v>5</v>
      </c>
      <c r="V315" s="1">
        <v>44</v>
      </c>
      <c r="W315" s="1">
        <v>0</v>
      </c>
      <c r="X315" s="1">
        <v>16</v>
      </c>
      <c r="Y315" s="1">
        <v>13</v>
      </c>
      <c r="Z315" s="1">
        <v>1300000</v>
      </c>
      <c r="AA315" s="1">
        <v>3</v>
      </c>
    </row>
    <row r="316" spans="1:27" ht="12.75" customHeight="1" x14ac:dyDescent="0.15">
      <c r="A316" s="5">
        <v>429</v>
      </c>
      <c r="B316" s="5" t="s">
        <v>984</v>
      </c>
      <c r="C316" s="1">
        <v>46</v>
      </c>
      <c r="D316" s="5" t="s">
        <v>981</v>
      </c>
      <c r="E316" s="1">
        <v>6</v>
      </c>
      <c r="F316" s="5" t="s">
        <v>981</v>
      </c>
      <c r="G316" s="1">
        <v>7</v>
      </c>
      <c r="H316" s="5" t="s">
        <v>981</v>
      </c>
      <c r="I316" s="1">
        <v>10</v>
      </c>
      <c r="J316" s="5" t="s">
        <v>981</v>
      </c>
      <c r="K316" s="1">
        <v>1</v>
      </c>
      <c r="L316" s="5" t="s">
        <v>983</v>
      </c>
      <c r="M316" s="1">
        <v>12</v>
      </c>
      <c r="N316" s="5" t="s">
        <v>981</v>
      </c>
      <c r="O316" s="1">
        <v>1</v>
      </c>
      <c r="P316" s="5" t="s">
        <v>982</v>
      </c>
      <c r="Q316" s="1">
        <v>0</v>
      </c>
      <c r="R316" s="1">
        <v>0</v>
      </c>
      <c r="S316" s="1" t="s">
        <v>194</v>
      </c>
      <c r="T316" s="1">
        <v>5</v>
      </c>
      <c r="U316" s="1">
        <v>5</v>
      </c>
      <c r="V316" s="1">
        <v>44</v>
      </c>
      <c r="W316" s="1">
        <v>0</v>
      </c>
      <c r="X316" s="1">
        <v>17</v>
      </c>
      <c r="Y316" s="1">
        <v>24</v>
      </c>
      <c r="Z316" s="1">
        <v>500000</v>
      </c>
      <c r="AA316" s="1">
        <v>3</v>
      </c>
    </row>
    <row r="317" spans="1:27" ht="12.75" customHeight="1" x14ac:dyDescent="0.15">
      <c r="A317" s="5">
        <v>8</v>
      </c>
      <c r="B317" s="5" t="s">
        <v>238</v>
      </c>
      <c r="C317" s="1">
        <v>12</v>
      </c>
      <c r="D317" s="5" t="s">
        <v>983</v>
      </c>
      <c r="E317" s="1">
        <v>0</v>
      </c>
      <c r="F317" s="5" t="s">
        <v>983</v>
      </c>
      <c r="G317" s="1">
        <v>0</v>
      </c>
      <c r="H317" s="5" t="s">
        <v>983</v>
      </c>
      <c r="I317" s="1">
        <v>16</v>
      </c>
      <c r="J317" s="5" t="s">
        <v>981</v>
      </c>
      <c r="K317" s="1">
        <v>0</v>
      </c>
      <c r="L317" s="5" t="s">
        <v>983</v>
      </c>
      <c r="M317" s="1">
        <v>0</v>
      </c>
      <c r="N317" s="5" t="s">
        <v>983</v>
      </c>
      <c r="O317" s="1">
        <v>0</v>
      </c>
      <c r="P317" s="5" t="s">
        <v>983</v>
      </c>
      <c r="Q317" s="1">
        <v>0</v>
      </c>
      <c r="R317" s="1">
        <v>0</v>
      </c>
      <c r="S317" s="1" t="s">
        <v>194</v>
      </c>
      <c r="T317" s="1" t="s">
        <v>194</v>
      </c>
      <c r="U317" s="1" t="s">
        <v>194</v>
      </c>
      <c r="V317" s="1">
        <v>44</v>
      </c>
      <c r="W317" s="1">
        <v>0</v>
      </c>
      <c r="X317" s="1">
        <v>12</v>
      </c>
      <c r="Y317" s="1">
        <v>4</v>
      </c>
      <c r="Z317" s="1">
        <v>200000</v>
      </c>
      <c r="AA317" s="1">
        <v>4</v>
      </c>
    </row>
    <row r="318" spans="1:27" ht="12.75" customHeight="1" x14ac:dyDescent="0.15">
      <c r="A318" s="5">
        <v>421</v>
      </c>
      <c r="B318" s="5" t="s">
        <v>238</v>
      </c>
      <c r="C318" s="1">
        <v>18</v>
      </c>
      <c r="D318" s="5" t="s">
        <v>983</v>
      </c>
      <c r="E318" s="1">
        <v>1</v>
      </c>
      <c r="F318" s="5" t="s">
        <v>983</v>
      </c>
      <c r="G318" s="1">
        <v>1</v>
      </c>
      <c r="H318" s="5" t="s">
        <v>983</v>
      </c>
      <c r="I318" s="1">
        <v>5</v>
      </c>
      <c r="J318" s="5" t="s">
        <v>981</v>
      </c>
      <c r="K318" s="1">
        <v>0</v>
      </c>
      <c r="L318" s="5" t="s">
        <v>983</v>
      </c>
      <c r="M318" s="1">
        <v>0</v>
      </c>
      <c r="N318" s="5" t="s">
        <v>983</v>
      </c>
      <c r="O318" s="1">
        <v>0</v>
      </c>
      <c r="P318" s="5" t="s">
        <v>983</v>
      </c>
      <c r="Q318" s="1">
        <v>1</v>
      </c>
      <c r="R318" s="1">
        <v>0</v>
      </c>
      <c r="S318" s="1">
        <v>1</v>
      </c>
      <c r="T318" s="1" t="s">
        <v>194</v>
      </c>
      <c r="U318" s="1">
        <v>1</v>
      </c>
      <c r="V318" s="1">
        <v>45</v>
      </c>
      <c r="W318" s="1">
        <v>1</v>
      </c>
      <c r="X318" s="1">
        <v>14</v>
      </c>
      <c r="Y318" s="1">
        <v>34</v>
      </c>
      <c r="Z318" s="1">
        <v>500000</v>
      </c>
      <c r="AA318" s="1">
        <v>2</v>
      </c>
    </row>
    <row r="319" spans="1:27" ht="12.75" customHeight="1" x14ac:dyDescent="0.15">
      <c r="A319" s="5">
        <v>490</v>
      </c>
      <c r="B319" s="5" t="s">
        <v>238</v>
      </c>
      <c r="C319" s="1">
        <v>24</v>
      </c>
      <c r="D319" s="5" t="s">
        <v>981</v>
      </c>
      <c r="E319" s="1">
        <v>3</v>
      </c>
      <c r="F319" s="5" t="s">
        <v>982</v>
      </c>
      <c r="G319" s="1">
        <v>3</v>
      </c>
      <c r="H319" s="5" t="s">
        <v>982</v>
      </c>
      <c r="I319" s="1">
        <v>12</v>
      </c>
      <c r="J319" s="5" t="s">
        <v>981</v>
      </c>
      <c r="K319" s="1">
        <v>4</v>
      </c>
      <c r="L319" s="5" t="s">
        <v>982</v>
      </c>
      <c r="M319" s="1">
        <v>5</v>
      </c>
      <c r="N319" s="5" t="s">
        <v>982</v>
      </c>
      <c r="O319" s="1">
        <v>0</v>
      </c>
      <c r="P319" s="5" t="s">
        <v>983</v>
      </c>
      <c r="Q319" s="1">
        <v>0</v>
      </c>
      <c r="R319" s="1">
        <v>1</v>
      </c>
      <c r="S319" s="1" t="s">
        <v>194</v>
      </c>
      <c r="T319" s="1" t="s">
        <v>194</v>
      </c>
      <c r="U319" s="1">
        <v>1</v>
      </c>
      <c r="V319" s="1">
        <v>45</v>
      </c>
      <c r="W319" s="1">
        <v>0</v>
      </c>
      <c r="X319" s="1">
        <v>11</v>
      </c>
      <c r="Y319" s="1">
        <v>9</v>
      </c>
      <c r="Z319" s="1">
        <v>0</v>
      </c>
      <c r="AA319" s="1">
        <v>3</v>
      </c>
    </row>
    <row r="320" spans="1:27" ht="12.75" customHeight="1" x14ac:dyDescent="0.15">
      <c r="A320" s="5">
        <v>302</v>
      </c>
      <c r="B320" s="5" t="s">
        <v>238</v>
      </c>
      <c r="C320" s="1">
        <v>19</v>
      </c>
      <c r="D320" s="5" t="s">
        <v>982</v>
      </c>
      <c r="E320" s="1">
        <v>5</v>
      </c>
      <c r="F320" s="5" t="s">
        <v>981</v>
      </c>
      <c r="G320" s="1">
        <v>5</v>
      </c>
      <c r="H320" s="5" t="s">
        <v>982</v>
      </c>
      <c r="I320" s="1">
        <v>14</v>
      </c>
      <c r="J320" s="5" t="s">
        <v>981</v>
      </c>
      <c r="K320" s="1">
        <v>5</v>
      </c>
      <c r="L320" s="5" t="s">
        <v>982</v>
      </c>
      <c r="M320" s="1">
        <v>4</v>
      </c>
      <c r="N320" s="5" t="s">
        <v>982</v>
      </c>
      <c r="O320" s="1">
        <v>0</v>
      </c>
      <c r="P320" s="5" t="s">
        <v>983</v>
      </c>
      <c r="Q320" s="1">
        <v>1</v>
      </c>
      <c r="R320" s="1">
        <v>1</v>
      </c>
      <c r="S320" s="1" t="s">
        <v>194</v>
      </c>
      <c r="T320" s="1">
        <v>2</v>
      </c>
      <c r="U320" s="1">
        <v>1</v>
      </c>
      <c r="V320" s="1">
        <v>45</v>
      </c>
      <c r="W320" s="1">
        <v>0</v>
      </c>
      <c r="X320" s="1">
        <v>8</v>
      </c>
      <c r="Y320" s="1">
        <v>34</v>
      </c>
      <c r="Z320" s="1">
        <v>420000</v>
      </c>
      <c r="AA320" s="1">
        <v>1</v>
      </c>
    </row>
    <row r="321" spans="1:27" ht="12.75" customHeight="1" x14ac:dyDescent="0.15">
      <c r="A321" s="5">
        <v>460</v>
      </c>
      <c r="B321" s="5" t="s">
        <v>238</v>
      </c>
      <c r="C321" s="1">
        <v>29</v>
      </c>
      <c r="D321" s="5" t="s">
        <v>981</v>
      </c>
      <c r="E321" s="1">
        <v>3</v>
      </c>
      <c r="F321" s="5" t="s">
        <v>982</v>
      </c>
      <c r="G321" s="1">
        <v>6</v>
      </c>
      <c r="H321" s="5" t="s">
        <v>981</v>
      </c>
      <c r="I321" s="1">
        <v>8</v>
      </c>
      <c r="J321" s="5" t="s">
        <v>981</v>
      </c>
      <c r="K321" s="1">
        <v>3</v>
      </c>
      <c r="L321" s="5" t="s">
        <v>982</v>
      </c>
      <c r="M321" s="1">
        <v>6</v>
      </c>
      <c r="N321" s="5" t="s">
        <v>981</v>
      </c>
      <c r="O321" s="1">
        <v>5</v>
      </c>
      <c r="P321" s="5" t="s">
        <v>982</v>
      </c>
      <c r="Q321" s="1">
        <v>1</v>
      </c>
      <c r="R321" s="1">
        <v>0</v>
      </c>
      <c r="S321" s="1">
        <v>1</v>
      </c>
      <c r="T321" s="1">
        <v>5</v>
      </c>
      <c r="U321" s="1">
        <v>2</v>
      </c>
      <c r="V321" s="1">
        <v>45</v>
      </c>
      <c r="W321" s="1">
        <v>1</v>
      </c>
      <c r="X321" s="1">
        <v>16</v>
      </c>
      <c r="Y321" s="1">
        <v>2</v>
      </c>
      <c r="Z321" s="1">
        <v>700000</v>
      </c>
      <c r="AA321" s="1">
        <v>4</v>
      </c>
    </row>
    <row r="322" spans="1:27" ht="12.75" customHeight="1" x14ac:dyDescent="0.15">
      <c r="A322" s="5">
        <v>210</v>
      </c>
      <c r="B322" s="5" t="s">
        <v>238</v>
      </c>
      <c r="C322" s="1">
        <v>12</v>
      </c>
      <c r="D322" s="5" t="s">
        <v>983</v>
      </c>
      <c r="E322" s="1">
        <v>0</v>
      </c>
      <c r="F322" s="5" t="s">
        <v>983</v>
      </c>
      <c r="G322" s="1">
        <v>0</v>
      </c>
      <c r="H322" s="5" t="s">
        <v>983</v>
      </c>
      <c r="I322" s="1">
        <v>0</v>
      </c>
      <c r="J322" s="5" t="s">
        <v>983</v>
      </c>
      <c r="K322" s="1">
        <v>0</v>
      </c>
      <c r="L322" s="5" t="s">
        <v>983</v>
      </c>
      <c r="M322" s="1">
        <v>0</v>
      </c>
      <c r="N322" s="5" t="s">
        <v>983</v>
      </c>
      <c r="O322" s="1">
        <v>0</v>
      </c>
      <c r="P322" s="5" t="s">
        <v>983</v>
      </c>
      <c r="Q322" s="1">
        <v>0</v>
      </c>
      <c r="R322" s="1">
        <v>0</v>
      </c>
      <c r="S322" s="1">
        <v>1</v>
      </c>
      <c r="T322" s="1">
        <v>2</v>
      </c>
      <c r="U322" s="1">
        <v>2</v>
      </c>
      <c r="V322" s="1">
        <v>45</v>
      </c>
      <c r="W322" s="1">
        <v>0</v>
      </c>
      <c r="X322" s="1">
        <v>18</v>
      </c>
      <c r="Y322" s="1">
        <v>6</v>
      </c>
      <c r="Z322" s="1">
        <v>1700000</v>
      </c>
      <c r="AA322" s="1">
        <v>4</v>
      </c>
    </row>
    <row r="323" spans="1:27" ht="12.75" customHeight="1" x14ac:dyDescent="0.15">
      <c r="A323" s="5">
        <v>489</v>
      </c>
      <c r="B323" s="5" t="s">
        <v>984</v>
      </c>
      <c r="C323" s="1">
        <v>23</v>
      </c>
      <c r="D323" s="5" t="s">
        <v>982</v>
      </c>
      <c r="E323" s="1">
        <v>4</v>
      </c>
      <c r="F323" s="5" t="s">
        <v>982</v>
      </c>
      <c r="G323" s="1">
        <v>5</v>
      </c>
      <c r="H323" s="5" t="s">
        <v>982</v>
      </c>
      <c r="I323" s="1">
        <v>8</v>
      </c>
      <c r="J323" s="5" t="s">
        <v>981</v>
      </c>
      <c r="K323" s="1">
        <v>4</v>
      </c>
      <c r="L323" s="5" t="s">
        <v>982</v>
      </c>
      <c r="M323" s="1">
        <v>8</v>
      </c>
      <c r="N323" s="5" t="s">
        <v>981</v>
      </c>
      <c r="O323" s="1">
        <v>0</v>
      </c>
      <c r="P323" s="5" t="s">
        <v>983</v>
      </c>
      <c r="Q323" s="1">
        <v>0</v>
      </c>
      <c r="R323" s="1">
        <v>0</v>
      </c>
      <c r="S323" s="1">
        <v>1</v>
      </c>
      <c r="T323" s="1">
        <v>3</v>
      </c>
      <c r="U323" s="1">
        <v>3</v>
      </c>
      <c r="V323" s="1">
        <v>45</v>
      </c>
      <c r="W323" s="1">
        <v>0</v>
      </c>
      <c r="X323" s="1">
        <v>11</v>
      </c>
      <c r="Y323" s="1">
        <v>9</v>
      </c>
      <c r="Z323" s="1">
        <v>0</v>
      </c>
      <c r="AA323" s="1">
        <v>3</v>
      </c>
    </row>
    <row r="324" spans="1:27" ht="12.75" customHeight="1" x14ac:dyDescent="0.15">
      <c r="A324" s="5">
        <v>230</v>
      </c>
      <c r="B324" s="5" t="s">
        <v>238</v>
      </c>
      <c r="C324" s="1">
        <v>16</v>
      </c>
      <c r="D324" s="5" t="s">
        <v>983</v>
      </c>
      <c r="E324" s="1">
        <v>9</v>
      </c>
      <c r="F324" s="5" t="s">
        <v>981</v>
      </c>
      <c r="G324" s="1">
        <v>9</v>
      </c>
      <c r="H324" s="5" t="s">
        <v>981</v>
      </c>
      <c r="I324" s="1">
        <v>4</v>
      </c>
      <c r="J324" s="5" t="s">
        <v>982</v>
      </c>
      <c r="K324" s="1">
        <v>9</v>
      </c>
      <c r="L324" s="5" t="s">
        <v>981</v>
      </c>
      <c r="M324" s="1">
        <v>9</v>
      </c>
      <c r="N324" s="5" t="s">
        <v>981</v>
      </c>
      <c r="O324" s="1">
        <v>0</v>
      </c>
      <c r="P324" s="5" t="s">
        <v>983</v>
      </c>
      <c r="Q324" s="1">
        <v>1</v>
      </c>
      <c r="R324" s="1">
        <v>0</v>
      </c>
      <c r="S324" s="1">
        <v>1</v>
      </c>
      <c r="T324" s="1">
        <v>3</v>
      </c>
      <c r="U324" s="1">
        <v>3</v>
      </c>
      <c r="V324" s="1">
        <v>45</v>
      </c>
      <c r="W324" s="1">
        <v>0</v>
      </c>
      <c r="X324" s="1">
        <v>14</v>
      </c>
      <c r="Y324" s="1">
        <v>6</v>
      </c>
      <c r="Z324" s="1">
        <v>300000</v>
      </c>
      <c r="AA324" s="1">
        <v>5</v>
      </c>
    </row>
    <row r="325" spans="1:27" ht="12.75" customHeight="1" x14ac:dyDescent="0.15">
      <c r="A325" s="5">
        <v>127</v>
      </c>
      <c r="B325" s="5" t="s">
        <v>238</v>
      </c>
      <c r="C325" s="1">
        <v>19</v>
      </c>
      <c r="D325" s="5" t="s">
        <v>982</v>
      </c>
      <c r="E325" s="1">
        <v>0</v>
      </c>
      <c r="F325" s="5" t="s">
        <v>983</v>
      </c>
      <c r="G325" s="1">
        <v>0</v>
      </c>
      <c r="H325" s="5" t="s">
        <v>983</v>
      </c>
      <c r="I325" s="1">
        <v>0</v>
      </c>
      <c r="J325" s="5" t="s">
        <v>983</v>
      </c>
      <c r="K325" s="1">
        <v>0</v>
      </c>
      <c r="L325" s="5" t="s">
        <v>983</v>
      </c>
      <c r="M325" s="1">
        <v>2</v>
      </c>
      <c r="N325" s="5" t="s">
        <v>983</v>
      </c>
      <c r="O325" s="1">
        <v>0</v>
      </c>
      <c r="P325" s="5" t="s">
        <v>983</v>
      </c>
      <c r="Q325" s="1">
        <v>0</v>
      </c>
      <c r="R325" s="1">
        <v>0</v>
      </c>
      <c r="S325" s="1">
        <v>1</v>
      </c>
      <c r="T325" s="1">
        <v>3</v>
      </c>
      <c r="U325" s="1">
        <v>3</v>
      </c>
      <c r="V325" s="1">
        <v>45</v>
      </c>
      <c r="W325" s="1">
        <v>0</v>
      </c>
      <c r="X325" s="1">
        <v>14</v>
      </c>
      <c r="Y325" s="1">
        <v>7</v>
      </c>
      <c r="Z325" s="1">
        <v>650000</v>
      </c>
      <c r="AA325" s="1">
        <v>1</v>
      </c>
    </row>
    <row r="326" spans="1:27" ht="12.75" customHeight="1" x14ac:dyDescent="0.15">
      <c r="A326" s="5">
        <v>128</v>
      </c>
      <c r="B326" s="5" t="s">
        <v>984</v>
      </c>
      <c r="C326" s="1">
        <v>22</v>
      </c>
      <c r="D326" s="5" t="s">
        <v>982</v>
      </c>
      <c r="E326" s="1">
        <v>7</v>
      </c>
      <c r="F326" s="5" t="s">
        <v>981</v>
      </c>
      <c r="G326" s="1">
        <v>1</v>
      </c>
      <c r="H326" s="5" t="s">
        <v>983</v>
      </c>
      <c r="I326" s="1">
        <v>8</v>
      </c>
      <c r="J326" s="5" t="s">
        <v>981</v>
      </c>
      <c r="K326" s="1">
        <v>12</v>
      </c>
      <c r="L326" s="5" t="s">
        <v>981</v>
      </c>
      <c r="M326" s="1">
        <v>12</v>
      </c>
      <c r="N326" s="5" t="s">
        <v>981</v>
      </c>
      <c r="O326" s="1">
        <v>0</v>
      </c>
      <c r="P326" s="5" t="s">
        <v>983</v>
      </c>
      <c r="Q326" s="1">
        <v>0</v>
      </c>
      <c r="R326" s="1">
        <v>0</v>
      </c>
      <c r="S326" s="1" t="s">
        <v>194</v>
      </c>
      <c r="T326" s="1">
        <v>3</v>
      </c>
      <c r="U326" s="1">
        <v>3</v>
      </c>
      <c r="V326" s="1">
        <v>45</v>
      </c>
      <c r="W326" s="1">
        <v>0</v>
      </c>
      <c r="X326" s="1">
        <v>14</v>
      </c>
      <c r="Y326" s="1">
        <v>7</v>
      </c>
      <c r="Z326" s="1">
        <v>650000</v>
      </c>
      <c r="AA326" s="1">
        <v>1</v>
      </c>
    </row>
    <row r="327" spans="1:27" ht="12.75" customHeight="1" x14ac:dyDescent="0.15">
      <c r="A327" s="5">
        <v>461</v>
      </c>
      <c r="B327" s="5" t="s">
        <v>238</v>
      </c>
      <c r="C327" s="1">
        <v>19</v>
      </c>
      <c r="D327" s="5" t="s">
        <v>982</v>
      </c>
      <c r="E327" s="1">
        <v>8</v>
      </c>
      <c r="F327" s="5" t="s">
        <v>981</v>
      </c>
      <c r="G327" s="1">
        <v>2</v>
      </c>
      <c r="H327" s="5" t="s">
        <v>982</v>
      </c>
      <c r="I327" s="1">
        <v>3</v>
      </c>
      <c r="J327" s="5" t="s">
        <v>982</v>
      </c>
      <c r="K327" s="1">
        <v>0</v>
      </c>
      <c r="L327" s="5" t="s">
        <v>983</v>
      </c>
      <c r="M327" s="1">
        <v>0</v>
      </c>
      <c r="N327" s="5" t="s">
        <v>983</v>
      </c>
      <c r="O327" s="1">
        <v>0</v>
      </c>
      <c r="P327" s="5" t="s">
        <v>983</v>
      </c>
      <c r="Q327" s="1">
        <v>1</v>
      </c>
      <c r="R327" s="1">
        <v>0</v>
      </c>
      <c r="S327" s="1" t="s">
        <v>194</v>
      </c>
      <c r="T327" s="1">
        <v>3</v>
      </c>
      <c r="U327" s="1">
        <v>3</v>
      </c>
      <c r="V327" s="1">
        <v>45</v>
      </c>
      <c r="W327" s="1">
        <v>1</v>
      </c>
      <c r="X327" s="1">
        <v>16</v>
      </c>
      <c r="Y327" s="1">
        <v>2</v>
      </c>
      <c r="Z327" s="1">
        <v>700000</v>
      </c>
      <c r="AA327" s="1">
        <v>4</v>
      </c>
    </row>
    <row r="328" spans="1:27" ht="12.75" customHeight="1" x14ac:dyDescent="0.15">
      <c r="A328" s="5">
        <v>164</v>
      </c>
      <c r="B328" s="5" t="s">
        <v>238</v>
      </c>
      <c r="C328" s="1">
        <v>29</v>
      </c>
      <c r="D328" s="5" t="s">
        <v>981</v>
      </c>
      <c r="E328" s="1">
        <v>4</v>
      </c>
      <c r="F328" s="5" t="s">
        <v>982</v>
      </c>
      <c r="G328" s="1">
        <v>0</v>
      </c>
      <c r="H328" s="5" t="s">
        <v>983</v>
      </c>
      <c r="I328" s="1">
        <v>16</v>
      </c>
      <c r="J328" s="5" t="s">
        <v>981</v>
      </c>
      <c r="K328" s="1">
        <v>0</v>
      </c>
      <c r="L328" s="5" t="s">
        <v>983</v>
      </c>
      <c r="M328" s="1">
        <v>0</v>
      </c>
      <c r="N328" s="5" t="s">
        <v>983</v>
      </c>
      <c r="O328" s="1">
        <v>0</v>
      </c>
      <c r="P328" s="5" t="s">
        <v>983</v>
      </c>
      <c r="Q328" s="1">
        <v>0</v>
      </c>
      <c r="R328" s="1">
        <v>0</v>
      </c>
      <c r="S328" s="1" t="s">
        <v>194</v>
      </c>
      <c r="T328" s="1">
        <v>3</v>
      </c>
      <c r="U328" s="1">
        <v>3</v>
      </c>
      <c r="V328" s="1">
        <v>45</v>
      </c>
      <c r="W328" s="1">
        <v>1</v>
      </c>
      <c r="X328" s="1">
        <v>18</v>
      </c>
      <c r="Y328" s="1">
        <v>21</v>
      </c>
      <c r="Z328" s="1">
        <v>900000</v>
      </c>
      <c r="AA328" s="1">
        <v>1</v>
      </c>
    </row>
    <row r="329" spans="1:27" ht="12.75" customHeight="1" x14ac:dyDescent="0.15">
      <c r="A329" s="5">
        <v>205</v>
      </c>
      <c r="B329" s="5" t="s">
        <v>238</v>
      </c>
      <c r="C329" s="1">
        <v>25</v>
      </c>
      <c r="D329" s="5" t="s">
        <v>981</v>
      </c>
      <c r="E329" s="1">
        <v>6</v>
      </c>
      <c r="F329" s="5" t="s">
        <v>981</v>
      </c>
      <c r="G329" s="1">
        <v>6</v>
      </c>
      <c r="H329" s="5" t="s">
        <v>981</v>
      </c>
      <c r="I329" s="1">
        <v>9</v>
      </c>
      <c r="J329" s="5" t="s">
        <v>981</v>
      </c>
      <c r="K329" s="1">
        <v>2</v>
      </c>
      <c r="L329" s="5" t="s">
        <v>983</v>
      </c>
      <c r="M329" s="1">
        <v>5</v>
      </c>
      <c r="N329" s="5" t="s">
        <v>982</v>
      </c>
      <c r="O329" s="1">
        <v>3</v>
      </c>
      <c r="P329" s="5" t="s">
        <v>982</v>
      </c>
      <c r="Q329" s="1">
        <v>1</v>
      </c>
      <c r="R329" s="1">
        <v>0</v>
      </c>
      <c r="S329" s="1">
        <v>1</v>
      </c>
      <c r="T329" s="1" t="s">
        <v>194</v>
      </c>
      <c r="U329" s="1">
        <v>5</v>
      </c>
      <c r="V329" s="1">
        <v>45</v>
      </c>
      <c r="W329" s="1">
        <v>1</v>
      </c>
      <c r="X329" s="1">
        <v>1</v>
      </c>
      <c r="Y329" s="1">
        <v>18</v>
      </c>
      <c r="Z329" s="1">
        <v>200000</v>
      </c>
      <c r="AA329" s="1">
        <v>2</v>
      </c>
    </row>
    <row r="330" spans="1:27" ht="12.75" customHeight="1" x14ac:dyDescent="0.15">
      <c r="A330" s="5">
        <v>473</v>
      </c>
      <c r="B330" s="5" t="s">
        <v>238</v>
      </c>
      <c r="C330" s="1">
        <v>21</v>
      </c>
      <c r="D330" s="5" t="s">
        <v>982</v>
      </c>
      <c r="E330" s="1">
        <v>5</v>
      </c>
      <c r="F330" s="5" t="s">
        <v>981</v>
      </c>
      <c r="G330" s="1">
        <v>5</v>
      </c>
      <c r="H330" s="5" t="s">
        <v>982</v>
      </c>
      <c r="I330" s="1">
        <v>5</v>
      </c>
      <c r="J330" s="5" t="s">
        <v>981</v>
      </c>
      <c r="K330" s="1">
        <v>4</v>
      </c>
      <c r="L330" s="5" t="s">
        <v>982</v>
      </c>
      <c r="M330" s="1">
        <v>6</v>
      </c>
      <c r="N330" s="5" t="s">
        <v>981</v>
      </c>
      <c r="O330" s="1">
        <v>13</v>
      </c>
      <c r="P330" s="5" t="s">
        <v>982</v>
      </c>
      <c r="Q330" s="1">
        <v>1</v>
      </c>
      <c r="R330" s="1">
        <v>0</v>
      </c>
      <c r="S330" s="1">
        <v>1</v>
      </c>
      <c r="T330" s="1">
        <v>5</v>
      </c>
      <c r="U330" s="1">
        <v>5</v>
      </c>
      <c r="V330" s="1">
        <v>45</v>
      </c>
      <c r="W330" s="1">
        <v>0</v>
      </c>
      <c r="X330" s="1">
        <v>2</v>
      </c>
      <c r="Y330" s="1">
        <v>34</v>
      </c>
      <c r="Z330" s="1">
        <v>100000</v>
      </c>
      <c r="AA330" s="1">
        <v>1</v>
      </c>
    </row>
    <row r="331" spans="1:27" ht="12.75" customHeight="1" x14ac:dyDescent="0.15">
      <c r="A331" s="5">
        <v>119</v>
      </c>
      <c r="B331" s="5" t="s">
        <v>238</v>
      </c>
      <c r="C331" s="1">
        <v>37</v>
      </c>
      <c r="D331" s="5" t="s">
        <v>981</v>
      </c>
      <c r="E331" s="1">
        <v>7</v>
      </c>
      <c r="F331" s="5" t="s">
        <v>981</v>
      </c>
      <c r="G331" s="1">
        <v>5</v>
      </c>
      <c r="H331" s="5" t="s">
        <v>982</v>
      </c>
      <c r="I331" s="1">
        <v>11</v>
      </c>
      <c r="J331" s="5" t="s">
        <v>981</v>
      </c>
      <c r="K331" s="1">
        <v>0</v>
      </c>
      <c r="L331" s="5" t="s">
        <v>983</v>
      </c>
      <c r="M331" s="1">
        <v>0</v>
      </c>
      <c r="N331" s="5" t="s">
        <v>983</v>
      </c>
      <c r="O331" s="1">
        <v>3</v>
      </c>
      <c r="P331" s="5" t="s">
        <v>982</v>
      </c>
      <c r="Q331" s="1">
        <v>1</v>
      </c>
      <c r="R331" s="1">
        <v>0</v>
      </c>
      <c r="S331" s="1">
        <v>1</v>
      </c>
      <c r="T331" s="1">
        <v>5</v>
      </c>
      <c r="U331" s="1">
        <v>5</v>
      </c>
      <c r="V331" s="1">
        <v>45</v>
      </c>
      <c r="W331" s="1">
        <v>1</v>
      </c>
      <c r="X331" s="1">
        <v>14</v>
      </c>
      <c r="Y331" s="1">
        <v>3</v>
      </c>
      <c r="Z331" s="1">
        <v>1000000</v>
      </c>
      <c r="AA331" s="1">
        <v>3</v>
      </c>
    </row>
    <row r="332" spans="1:27" ht="12.75" customHeight="1" x14ac:dyDescent="0.15">
      <c r="A332" s="5">
        <v>311</v>
      </c>
      <c r="B332" s="5" t="s">
        <v>984</v>
      </c>
      <c r="C332" s="1">
        <v>12</v>
      </c>
      <c r="D332" s="5" t="s">
        <v>983</v>
      </c>
      <c r="E332" s="1">
        <v>0</v>
      </c>
      <c r="F332" s="5" t="s">
        <v>983</v>
      </c>
      <c r="G332" s="1">
        <v>1</v>
      </c>
      <c r="H332" s="5" t="s">
        <v>983</v>
      </c>
      <c r="I332" s="1">
        <v>15</v>
      </c>
      <c r="J332" s="5" t="s">
        <v>981</v>
      </c>
      <c r="K332" s="1">
        <v>0</v>
      </c>
      <c r="L332" s="5" t="s">
        <v>983</v>
      </c>
      <c r="M332" s="1">
        <v>0</v>
      </c>
      <c r="N332" s="5" t="s">
        <v>983</v>
      </c>
      <c r="O332" s="1">
        <v>0</v>
      </c>
      <c r="P332" s="5" t="s">
        <v>983</v>
      </c>
      <c r="Q332" s="1">
        <v>1</v>
      </c>
      <c r="R332" s="1">
        <v>0</v>
      </c>
      <c r="S332" s="1">
        <v>1</v>
      </c>
      <c r="T332" s="1" t="s">
        <v>194</v>
      </c>
      <c r="U332" s="1" t="s">
        <v>194</v>
      </c>
      <c r="V332" s="1">
        <v>45</v>
      </c>
      <c r="W332" s="1">
        <v>1</v>
      </c>
      <c r="X332" s="1">
        <v>1</v>
      </c>
      <c r="Y332" s="1">
        <v>31</v>
      </c>
      <c r="Z332" s="1">
        <v>300000</v>
      </c>
      <c r="AA332" s="1">
        <v>1</v>
      </c>
    </row>
    <row r="333" spans="1:27" ht="12.75" customHeight="1" x14ac:dyDescent="0.15">
      <c r="A333" s="5">
        <v>381</v>
      </c>
      <c r="B333" s="5" t="s">
        <v>238</v>
      </c>
      <c r="C333" s="1">
        <v>16</v>
      </c>
      <c r="D333" s="5" t="s">
        <v>983</v>
      </c>
      <c r="E333" s="1">
        <v>2</v>
      </c>
      <c r="F333" s="5" t="s">
        <v>982</v>
      </c>
      <c r="G333" s="1">
        <v>3</v>
      </c>
      <c r="H333" s="5" t="s">
        <v>982</v>
      </c>
      <c r="I333" s="1">
        <v>8</v>
      </c>
      <c r="J333" s="5" t="s">
        <v>981</v>
      </c>
      <c r="K333" s="1">
        <v>6</v>
      </c>
      <c r="L333" s="5" t="s">
        <v>981</v>
      </c>
      <c r="M333" s="1">
        <v>0</v>
      </c>
      <c r="N333" s="5" t="s">
        <v>983</v>
      </c>
      <c r="O333" s="1">
        <v>0</v>
      </c>
      <c r="P333" s="5" t="s">
        <v>983</v>
      </c>
      <c r="Q333" s="1">
        <v>1</v>
      </c>
      <c r="R333" s="1">
        <v>1</v>
      </c>
      <c r="S333" s="1">
        <v>1</v>
      </c>
      <c r="T333" s="1">
        <v>2</v>
      </c>
      <c r="U333" s="1">
        <v>1</v>
      </c>
      <c r="V333" s="1">
        <v>46</v>
      </c>
      <c r="W333" s="1">
        <v>1</v>
      </c>
      <c r="X333" s="1">
        <v>2</v>
      </c>
      <c r="Y333" s="1">
        <v>17</v>
      </c>
      <c r="Z333" s="1">
        <v>0</v>
      </c>
      <c r="AA333" s="1">
        <v>3</v>
      </c>
    </row>
    <row r="334" spans="1:27" ht="12.75" customHeight="1" x14ac:dyDescent="0.15">
      <c r="A334" s="5">
        <v>58</v>
      </c>
      <c r="B334" s="5" t="s">
        <v>238</v>
      </c>
      <c r="C334" s="1">
        <v>13</v>
      </c>
      <c r="D334" s="5" t="s">
        <v>983</v>
      </c>
      <c r="E334" s="1">
        <v>0</v>
      </c>
      <c r="F334" s="5" t="s">
        <v>983</v>
      </c>
      <c r="G334" s="1">
        <v>0</v>
      </c>
      <c r="H334" s="5" t="s">
        <v>983</v>
      </c>
      <c r="I334" s="1">
        <v>4</v>
      </c>
      <c r="J334" s="5" t="s">
        <v>982</v>
      </c>
      <c r="K334" s="1">
        <v>0</v>
      </c>
      <c r="L334" s="5" t="s">
        <v>983</v>
      </c>
      <c r="M334" s="1">
        <v>0</v>
      </c>
      <c r="N334" s="5" t="s">
        <v>983</v>
      </c>
      <c r="O334" s="1">
        <v>0</v>
      </c>
      <c r="P334" s="5" t="s">
        <v>983</v>
      </c>
      <c r="Q334" s="1">
        <v>1</v>
      </c>
      <c r="R334" s="1">
        <v>0</v>
      </c>
      <c r="S334" s="1">
        <v>1</v>
      </c>
      <c r="T334" s="1">
        <v>3</v>
      </c>
      <c r="U334" s="1">
        <v>3</v>
      </c>
      <c r="V334" s="1">
        <v>46</v>
      </c>
      <c r="W334" s="1">
        <v>0</v>
      </c>
      <c r="X334" s="1">
        <v>14</v>
      </c>
      <c r="Y334" s="1">
        <v>2</v>
      </c>
      <c r="Z334" s="1">
        <v>350000</v>
      </c>
      <c r="AA334" s="1">
        <v>3</v>
      </c>
    </row>
    <row r="335" spans="1:27" ht="12.75" customHeight="1" x14ac:dyDescent="0.15">
      <c r="A335" s="5">
        <v>1</v>
      </c>
      <c r="B335" s="5" t="s">
        <v>238</v>
      </c>
      <c r="C335" s="1">
        <v>31</v>
      </c>
      <c r="D335" s="5" t="s">
        <v>981</v>
      </c>
      <c r="E335" s="1">
        <v>3</v>
      </c>
      <c r="F335" s="5" t="s">
        <v>982</v>
      </c>
      <c r="G335" s="1">
        <v>8</v>
      </c>
      <c r="H335" s="5" t="s">
        <v>981</v>
      </c>
      <c r="I335" s="1">
        <v>16</v>
      </c>
      <c r="J335" s="5" t="s">
        <v>981</v>
      </c>
      <c r="K335" s="1">
        <v>4</v>
      </c>
      <c r="L335" s="5" t="s">
        <v>982</v>
      </c>
      <c r="M335" s="1">
        <v>12</v>
      </c>
      <c r="N335" s="5" t="s">
        <v>981</v>
      </c>
      <c r="O335" s="1">
        <v>0</v>
      </c>
      <c r="P335" s="5" t="s">
        <v>983</v>
      </c>
      <c r="Q335" s="1">
        <v>0</v>
      </c>
      <c r="R335" s="1">
        <v>0</v>
      </c>
      <c r="S335" s="1" t="s">
        <v>194</v>
      </c>
      <c r="T335" s="1">
        <v>3</v>
      </c>
      <c r="U335" s="1">
        <v>3</v>
      </c>
      <c r="V335" s="1">
        <v>46</v>
      </c>
      <c r="W335" s="1">
        <v>0</v>
      </c>
      <c r="X335" s="1">
        <v>16</v>
      </c>
      <c r="Y335" s="1">
        <v>1</v>
      </c>
      <c r="Z335" s="1">
        <v>620000</v>
      </c>
      <c r="AA335" s="1">
        <v>4</v>
      </c>
    </row>
    <row r="336" spans="1:27" ht="12.75" customHeight="1" x14ac:dyDescent="0.15">
      <c r="A336" s="5">
        <v>153</v>
      </c>
      <c r="B336" s="5" t="s">
        <v>238</v>
      </c>
      <c r="C336" s="1">
        <v>21</v>
      </c>
      <c r="D336" s="5" t="s">
        <v>982</v>
      </c>
      <c r="E336" s="1">
        <v>5</v>
      </c>
      <c r="F336" s="5" t="s">
        <v>981</v>
      </c>
      <c r="G336" s="1">
        <v>4</v>
      </c>
      <c r="H336" s="5" t="s">
        <v>982</v>
      </c>
      <c r="I336" s="1">
        <v>6</v>
      </c>
      <c r="J336" s="5" t="s">
        <v>981</v>
      </c>
      <c r="K336" s="1">
        <v>5</v>
      </c>
      <c r="L336" s="5" t="s">
        <v>982</v>
      </c>
      <c r="M336" s="1">
        <v>4</v>
      </c>
      <c r="N336" s="5" t="s">
        <v>982</v>
      </c>
      <c r="O336" s="1">
        <v>0</v>
      </c>
      <c r="P336" s="5" t="s">
        <v>983</v>
      </c>
      <c r="Q336" s="1">
        <v>0</v>
      </c>
      <c r="R336" s="1">
        <v>0</v>
      </c>
      <c r="S336" s="1" t="s">
        <v>194</v>
      </c>
      <c r="T336" s="1">
        <v>3</v>
      </c>
      <c r="U336" s="1">
        <v>3</v>
      </c>
      <c r="V336" s="1">
        <v>46</v>
      </c>
      <c r="W336" s="1">
        <v>0</v>
      </c>
      <c r="X336" s="1">
        <v>14</v>
      </c>
      <c r="Y336" s="1">
        <v>11</v>
      </c>
      <c r="Z336" s="1">
        <v>1800000</v>
      </c>
      <c r="AA336" s="1">
        <v>4</v>
      </c>
    </row>
    <row r="337" spans="1:27" ht="12.75" customHeight="1" x14ac:dyDescent="0.15">
      <c r="A337" s="5">
        <v>188</v>
      </c>
      <c r="B337" s="5" t="s">
        <v>238</v>
      </c>
      <c r="C337" s="1">
        <v>32</v>
      </c>
      <c r="D337" s="5" t="s">
        <v>981</v>
      </c>
      <c r="E337" s="1">
        <v>5</v>
      </c>
      <c r="F337" s="5" t="s">
        <v>981</v>
      </c>
      <c r="G337" s="1">
        <v>6</v>
      </c>
      <c r="H337" s="5" t="s">
        <v>981</v>
      </c>
      <c r="I337" s="1">
        <v>4</v>
      </c>
      <c r="J337" s="5" t="s">
        <v>982</v>
      </c>
      <c r="K337" s="1">
        <v>5</v>
      </c>
      <c r="L337" s="5" t="s">
        <v>982</v>
      </c>
      <c r="M337" s="1">
        <v>3</v>
      </c>
      <c r="N337" s="5" t="s">
        <v>982</v>
      </c>
      <c r="O337" s="1">
        <v>3</v>
      </c>
      <c r="P337" s="5" t="s">
        <v>982</v>
      </c>
      <c r="Q337" s="1">
        <v>1</v>
      </c>
      <c r="R337" s="1">
        <v>1</v>
      </c>
      <c r="S337" s="1">
        <v>1</v>
      </c>
      <c r="T337" s="1">
        <v>5</v>
      </c>
      <c r="U337" s="1">
        <v>4</v>
      </c>
      <c r="V337" s="1">
        <v>46</v>
      </c>
      <c r="W337" s="1">
        <v>0</v>
      </c>
      <c r="X337" s="1">
        <v>2</v>
      </c>
      <c r="Y337" s="1">
        <v>13</v>
      </c>
      <c r="Z337" s="1">
        <v>1700000</v>
      </c>
      <c r="AA337" s="1">
        <v>5</v>
      </c>
    </row>
    <row r="338" spans="1:27" ht="12.75" customHeight="1" x14ac:dyDescent="0.15">
      <c r="A338" s="5">
        <v>136</v>
      </c>
      <c r="B338" s="5" t="s">
        <v>238</v>
      </c>
      <c r="C338" s="1">
        <v>22</v>
      </c>
      <c r="D338" s="5" t="s">
        <v>982</v>
      </c>
      <c r="E338" s="1">
        <v>6</v>
      </c>
      <c r="F338" s="5" t="s">
        <v>981</v>
      </c>
      <c r="G338" s="1">
        <v>2</v>
      </c>
      <c r="H338" s="5" t="s">
        <v>982</v>
      </c>
      <c r="I338" s="1">
        <v>13</v>
      </c>
      <c r="J338" s="5" t="s">
        <v>981</v>
      </c>
      <c r="K338" s="1">
        <v>1</v>
      </c>
      <c r="L338" s="5" t="s">
        <v>983</v>
      </c>
      <c r="M338" s="1">
        <v>3</v>
      </c>
      <c r="N338" s="5" t="s">
        <v>982</v>
      </c>
      <c r="O338" s="1">
        <v>0</v>
      </c>
      <c r="P338" s="5" t="s">
        <v>983</v>
      </c>
      <c r="Q338" s="1">
        <v>1</v>
      </c>
      <c r="R338" s="1">
        <v>0</v>
      </c>
      <c r="S338" s="1">
        <v>1</v>
      </c>
      <c r="T338" s="1">
        <v>5</v>
      </c>
      <c r="U338" s="1">
        <v>5</v>
      </c>
      <c r="V338" s="1">
        <v>46</v>
      </c>
      <c r="W338" s="1">
        <v>0</v>
      </c>
      <c r="X338" s="1">
        <v>14</v>
      </c>
      <c r="Y338" s="1">
        <v>1</v>
      </c>
      <c r="Z338" s="1">
        <v>400000</v>
      </c>
      <c r="AA338" s="1">
        <v>4</v>
      </c>
    </row>
    <row r="339" spans="1:27" ht="12.75" customHeight="1" x14ac:dyDescent="0.15">
      <c r="A339" s="5">
        <v>271</v>
      </c>
      <c r="B339" s="5" t="s">
        <v>984</v>
      </c>
      <c r="C339" s="1">
        <v>18</v>
      </c>
      <c r="D339" s="5" t="s">
        <v>983</v>
      </c>
      <c r="E339" s="1">
        <v>1</v>
      </c>
      <c r="F339" s="5" t="s">
        <v>983</v>
      </c>
      <c r="G339" s="1">
        <v>3</v>
      </c>
      <c r="H339" s="5" t="s">
        <v>982</v>
      </c>
      <c r="I339" s="1">
        <v>16</v>
      </c>
      <c r="J339" s="5" t="s">
        <v>981</v>
      </c>
      <c r="K339" s="1">
        <v>0</v>
      </c>
      <c r="L339" s="5" t="s">
        <v>983</v>
      </c>
      <c r="M339" s="1">
        <v>0</v>
      </c>
      <c r="N339" s="5" t="s">
        <v>983</v>
      </c>
      <c r="O339" s="1">
        <v>0</v>
      </c>
      <c r="P339" s="5" t="s">
        <v>983</v>
      </c>
      <c r="Q339" s="1">
        <v>1</v>
      </c>
      <c r="R339" s="1">
        <v>0</v>
      </c>
      <c r="S339" s="1">
        <v>1</v>
      </c>
      <c r="T339" s="1">
        <v>1</v>
      </c>
      <c r="U339" s="1">
        <v>1</v>
      </c>
      <c r="V339" s="1">
        <v>47</v>
      </c>
      <c r="W339" s="1">
        <v>0</v>
      </c>
      <c r="X339" s="1">
        <v>15</v>
      </c>
      <c r="Y339" s="1">
        <v>31</v>
      </c>
      <c r="Z339" s="1">
        <v>0</v>
      </c>
      <c r="AA339" s="1">
        <v>3</v>
      </c>
    </row>
    <row r="340" spans="1:27" ht="12.75" customHeight="1" x14ac:dyDescent="0.15">
      <c r="A340" s="5">
        <v>377</v>
      </c>
      <c r="B340" s="5" t="s">
        <v>238</v>
      </c>
      <c r="C340" s="1">
        <v>24</v>
      </c>
      <c r="D340" s="5" t="s">
        <v>981</v>
      </c>
      <c r="E340" s="1">
        <v>9</v>
      </c>
      <c r="F340" s="5" t="s">
        <v>981</v>
      </c>
      <c r="G340" s="1">
        <v>9</v>
      </c>
      <c r="H340" s="5" t="s">
        <v>981</v>
      </c>
      <c r="I340" s="1">
        <v>4</v>
      </c>
      <c r="J340" s="5" t="s">
        <v>982</v>
      </c>
      <c r="K340" s="1">
        <v>9</v>
      </c>
      <c r="L340" s="5" t="s">
        <v>981</v>
      </c>
      <c r="M340" s="1">
        <v>9</v>
      </c>
      <c r="N340" s="5" t="s">
        <v>981</v>
      </c>
      <c r="O340" s="1">
        <v>7</v>
      </c>
      <c r="P340" s="5" t="s">
        <v>982</v>
      </c>
      <c r="Q340" s="1">
        <v>1</v>
      </c>
      <c r="R340" s="1">
        <v>0</v>
      </c>
      <c r="S340" s="1">
        <v>1</v>
      </c>
      <c r="T340" s="1">
        <v>1</v>
      </c>
      <c r="U340" s="1">
        <v>1</v>
      </c>
      <c r="V340" s="1">
        <v>47</v>
      </c>
      <c r="W340" s="1">
        <v>0</v>
      </c>
      <c r="X340" s="1">
        <v>14</v>
      </c>
      <c r="Y340" s="1">
        <v>24</v>
      </c>
      <c r="Z340" s="1">
        <v>230000</v>
      </c>
      <c r="AA340" s="1">
        <v>3</v>
      </c>
    </row>
    <row r="341" spans="1:27" ht="12.75" customHeight="1" x14ac:dyDescent="0.15">
      <c r="A341" s="5">
        <v>186</v>
      </c>
      <c r="B341" s="5" t="s">
        <v>238</v>
      </c>
      <c r="C341" s="1">
        <v>32</v>
      </c>
      <c r="D341" s="5" t="s">
        <v>981</v>
      </c>
      <c r="E341" s="1">
        <v>9</v>
      </c>
      <c r="F341" s="5" t="s">
        <v>981</v>
      </c>
      <c r="G341" s="1">
        <v>9</v>
      </c>
      <c r="H341" s="5" t="s">
        <v>981</v>
      </c>
      <c r="I341" s="1">
        <v>9</v>
      </c>
      <c r="J341" s="5" t="s">
        <v>981</v>
      </c>
      <c r="K341" s="1">
        <v>9</v>
      </c>
      <c r="L341" s="5" t="s">
        <v>981</v>
      </c>
      <c r="M341" s="1">
        <v>9</v>
      </c>
      <c r="N341" s="5" t="s">
        <v>981</v>
      </c>
      <c r="O341" s="1">
        <v>2</v>
      </c>
      <c r="P341" s="5" t="s">
        <v>982</v>
      </c>
      <c r="Q341" s="1">
        <v>0</v>
      </c>
      <c r="R341" s="1">
        <v>0</v>
      </c>
      <c r="S341" s="1" t="s">
        <v>194</v>
      </c>
      <c r="T341" s="1">
        <v>1</v>
      </c>
      <c r="U341" s="1">
        <v>1</v>
      </c>
      <c r="V341" s="1">
        <v>47</v>
      </c>
      <c r="W341" s="1">
        <v>0</v>
      </c>
      <c r="X341" s="1">
        <v>14</v>
      </c>
      <c r="Y341" s="1">
        <v>24</v>
      </c>
      <c r="Z341" s="1">
        <v>700000</v>
      </c>
      <c r="AA341" s="1">
        <v>6</v>
      </c>
    </row>
    <row r="342" spans="1:27" ht="12.75" customHeight="1" x14ac:dyDescent="0.15">
      <c r="A342" s="5">
        <v>459</v>
      </c>
      <c r="B342" s="5" t="s">
        <v>238</v>
      </c>
      <c r="C342" s="1">
        <v>22</v>
      </c>
      <c r="D342" s="5" t="s">
        <v>982</v>
      </c>
      <c r="E342" s="1">
        <v>4</v>
      </c>
      <c r="F342" s="5" t="s">
        <v>982</v>
      </c>
      <c r="G342" s="1">
        <v>4</v>
      </c>
      <c r="H342" s="5" t="s">
        <v>982</v>
      </c>
      <c r="I342" s="1">
        <v>3</v>
      </c>
      <c r="J342" s="5" t="s">
        <v>982</v>
      </c>
      <c r="K342" s="1">
        <v>5</v>
      </c>
      <c r="L342" s="5" t="s">
        <v>982</v>
      </c>
      <c r="M342" s="1">
        <v>2</v>
      </c>
      <c r="N342" s="5" t="s">
        <v>983</v>
      </c>
      <c r="O342" s="1">
        <v>0</v>
      </c>
      <c r="P342" s="5" t="s">
        <v>983</v>
      </c>
      <c r="Q342" s="1">
        <v>1</v>
      </c>
      <c r="R342" s="1">
        <v>0</v>
      </c>
      <c r="S342" s="1">
        <v>1</v>
      </c>
      <c r="T342" s="1">
        <v>3</v>
      </c>
      <c r="U342" s="1">
        <v>2</v>
      </c>
      <c r="V342" s="1">
        <v>47</v>
      </c>
      <c r="W342" s="1">
        <v>1</v>
      </c>
      <c r="X342" s="1">
        <v>14</v>
      </c>
      <c r="Y342" s="1">
        <v>24</v>
      </c>
      <c r="Z342" s="1">
        <v>60000</v>
      </c>
      <c r="AA342" s="1">
        <v>1</v>
      </c>
    </row>
    <row r="343" spans="1:27" ht="12.75" customHeight="1" x14ac:dyDescent="0.15">
      <c r="A343" s="5">
        <v>455</v>
      </c>
      <c r="B343" s="5" t="s">
        <v>984</v>
      </c>
      <c r="C343" s="1">
        <v>17</v>
      </c>
      <c r="D343" s="5" t="s">
        <v>983</v>
      </c>
      <c r="E343" s="1">
        <v>6</v>
      </c>
      <c r="F343" s="5" t="s">
        <v>981</v>
      </c>
      <c r="G343" s="1">
        <v>6</v>
      </c>
      <c r="H343" s="5" t="s">
        <v>981</v>
      </c>
      <c r="I343" s="1">
        <v>8</v>
      </c>
      <c r="J343" s="5" t="s">
        <v>981</v>
      </c>
      <c r="K343" s="1">
        <v>6</v>
      </c>
      <c r="L343" s="5" t="s">
        <v>981</v>
      </c>
      <c r="M343" s="1">
        <v>6</v>
      </c>
      <c r="N343" s="5" t="s">
        <v>981</v>
      </c>
      <c r="O343" s="1">
        <v>2</v>
      </c>
      <c r="P343" s="5" t="s">
        <v>982</v>
      </c>
      <c r="Q343" s="1">
        <v>1</v>
      </c>
      <c r="R343" s="1">
        <v>0</v>
      </c>
      <c r="S343" s="1">
        <v>1</v>
      </c>
      <c r="T343" s="1">
        <v>2</v>
      </c>
      <c r="U343" s="1">
        <v>2</v>
      </c>
      <c r="V343" s="1">
        <v>47</v>
      </c>
      <c r="W343" s="1">
        <v>0</v>
      </c>
      <c r="X343" s="1">
        <v>14</v>
      </c>
      <c r="Y343" s="1">
        <v>24</v>
      </c>
      <c r="Z343" s="1">
        <v>600000</v>
      </c>
      <c r="AA343" s="1">
        <v>2</v>
      </c>
    </row>
    <row r="344" spans="1:27" ht="12.75" customHeight="1" x14ac:dyDescent="0.15">
      <c r="A344" s="5">
        <v>134</v>
      </c>
      <c r="B344" s="5" t="s">
        <v>984</v>
      </c>
      <c r="C344" s="1">
        <v>31</v>
      </c>
      <c r="D344" s="5" t="s">
        <v>981</v>
      </c>
      <c r="E344" s="1">
        <v>4</v>
      </c>
      <c r="F344" s="5" t="s">
        <v>982</v>
      </c>
      <c r="G344" s="1">
        <v>12</v>
      </c>
      <c r="H344" s="5" t="s">
        <v>981</v>
      </c>
      <c r="I344" s="1">
        <v>12</v>
      </c>
      <c r="J344" s="5" t="s">
        <v>981</v>
      </c>
      <c r="K344" s="1">
        <v>3</v>
      </c>
      <c r="L344" s="5" t="s">
        <v>982</v>
      </c>
      <c r="M344" s="1">
        <v>7</v>
      </c>
      <c r="N344" s="5" t="s">
        <v>981</v>
      </c>
      <c r="O344" s="1">
        <v>5</v>
      </c>
      <c r="P344" s="5" t="s">
        <v>982</v>
      </c>
      <c r="Q344" s="1">
        <v>0</v>
      </c>
      <c r="R344" s="1">
        <v>0</v>
      </c>
      <c r="S344" s="1" t="s">
        <v>194</v>
      </c>
      <c r="T344" s="1" t="s">
        <v>194</v>
      </c>
      <c r="U344" s="1">
        <v>2</v>
      </c>
      <c r="V344" s="1">
        <v>47</v>
      </c>
      <c r="W344" s="1">
        <v>0</v>
      </c>
      <c r="X344" s="1">
        <v>18</v>
      </c>
      <c r="Y344" s="1">
        <v>12</v>
      </c>
      <c r="Z344" s="1">
        <v>0</v>
      </c>
      <c r="AA344" s="1">
        <v>3</v>
      </c>
    </row>
    <row r="345" spans="1:27" ht="12.75" customHeight="1" x14ac:dyDescent="0.15">
      <c r="A345" s="5">
        <v>116</v>
      </c>
      <c r="B345" s="5" t="s">
        <v>984</v>
      </c>
      <c r="C345" s="1">
        <v>23</v>
      </c>
      <c r="D345" s="5" t="s">
        <v>982</v>
      </c>
      <c r="E345" s="1">
        <v>0</v>
      </c>
      <c r="F345" s="5" t="s">
        <v>983</v>
      </c>
      <c r="G345" s="1">
        <v>6</v>
      </c>
      <c r="H345" s="5" t="s">
        <v>981</v>
      </c>
      <c r="I345" s="1">
        <v>0</v>
      </c>
      <c r="J345" s="5" t="s">
        <v>983</v>
      </c>
      <c r="K345" s="1">
        <v>0</v>
      </c>
      <c r="L345" s="5" t="s">
        <v>983</v>
      </c>
      <c r="M345" s="1">
        <v>2</v>
      </c>
      <c r="N345" s="5" t="s">
        <v>983</v>
      </c>
      <c r="O345" s="1">
        <v>0</v>
      </c>
      <c r="P345" s="5" t="s">
        <v>983</v>
      </c>
      <c r="Q345" s="1">
        <v>0</v>
      </c>
      <c r="R345" s="1">
        <v>0</v>
      </c>
      <c r="S345" s="1" t="s">
        <v>194</v>
      </c>
      <c r="T345" s="1" t="s">
        <v>194</v>
      </c>
      <c r="U345" s="1">
        <v>2</v>
      </c>
      <c r="V345" s="1">
        <v>47</v>
      </c>
      <c r="W345" s="1">
        <v>1</v>
      </c>
      <c r="X345" s="1">
        <v>11</v>
      </c>
      <c r="Y345" s="1">
        <v>24</v>
      </c>
      <c r="Z345" s="1">
        <v>600000</v>
      </c>
      <c r="AA345" s="1">
        <v>1</v>
      </c>
    </row>
    <row r="346" spans="1:27" ht="12.75" customHeight="1" x14ac:dyDescent="0.15">
      <c r="A346" s="5">
        <v>220</v>
      </c>
      <c r="B346" s="5" t="s">
        <v>984</v>
      </c>
      <c r="C346" s="1">
        <v>22</v>
      </c>
      <c r="D346" s="5" t="s">
        <v>982</v>
      </c>
      <c r="E346" s="1">
        <v>5</v>
      </c>
      <c r="F346" s="5" t="s">
        <v>981</v>
      </c>
      <c r="G346" s="1">
        <v>2</v>
      </c>
      <c r="H346" s="5" t="s">
        <v>982</v>
      </c>
      <c r="I346" s="1">
        <v>8</v>
      </c>
      <c r="J346" s="5" t="s">
        <v>981</v>
      </c>
      <c r="K346" s="1">
        <v>0</v>
      </c>
      <c r="L346" s="5" t="s">
        <v>983</v>
      </c>
      <c r="M346" s="1">
        <v>4</v>
      </c>
      <c r="N346" s="5" t="s">
        <v>982</v>
      </c>
      <c r="O346" s="1">
        <v>0</v>
      </c>
      <c r="P346" s="5" t="s">
        <v>983</v>
      </c>
      <c r="Q346" s="1">
        <v>0</v>
      </c>
      <c r="R346" s="1">
        <v>0</v>
      </c>
      <c r="S346" s="1" t="s">
        <v>194</v>
      </c>
      <c r="T346" s="1">
        <v>3</v>
      </c>
      <c r="U346" s="1">
        <v>2</v>
      </c>
      <c r="V346" s="1">
        <v>47</v>
      </c>
      <c r="W346" s="1">
        <v>1</v>
      </c>
      <c r="X346" s="1">
        <v>6</v>
      </c>
      <c r="Y346" s="1">
        <v>29</v>
      </c>
      <c r="Z346" s="1">
        <v>200000</v>
      </c>
      <c r="AA346" s="1">
        <v>2</v>
      </c>
    </row>
    <row r="347" spans="1:27" ht="12.75" customHeight="1" x14ac:dyDescent="0.15">
      <c r="A347" s="5">
        <v>48</v>
      </c>
      <c r="B347" s="5" t="s">
        <v>984</v>
      </c>
      <c r="C347" s="1">
        <v>17</v>
      </c>
      <c r="D347" s="5" t="s">
        <v>983</v>
      </c>
      <c r="E347" s="1">
        <v>0</v>
      </c>
      <c r="F347" s="5" t="s">
        <v>983</v>
      </c>
      <c r="G347" s="1">
        <v>0</v>
      </c>
      <c r="H347" s="5" t="s">
        <v>983</v>
      </c>
      <c r="I347" s="1">
        <v>6</v>
      </c>
      <c r="J347" s="5" t="s">
        <v>981</v>
      </c>
      <c r="K347" s="1">
        <v>5</v>
      </c>
      <c r="L347" s="5" t="s">
        <v>982</v>
      </c>
      <c r="M347" s="1">
        <v>1</v>
      </c>
      <c r="N347" s="5" t="s">
        <v>983</v>
      </c>
      <c r="O347" s="1">
        <v>0</v>
      </c>
      <c r="P347" s="5" t="s">
        <v>983</v>
      </c>
      <c r="Q347" s="1">
        <v>0</v>
      </c>
      <c r="R347" s="1">
        <v>0</v>
      </c>
      <c r="S347" s="1">
        <v>0</v>
      </c>
      <c r="T347" s="1">
        <v>5</v>
      </c>
      <c r="U347" s="1">
        <v>3</v>
      </c>
      <c r="V347" s="1">
        <v>47</v>
      </c>
      <c r="W347" s="1">
        <v>0</v>
      </c>
      <c r="X347" s="1">
        <v>14</v>
      </c>
      <c r="Y347" s="1">
        <v>33</v>
      </c>
      <c r="Z347" s="1">
        <v>500000</v>
      </c>
      <c r="AA347" s="1">
        <v>3</v>
      </c>
    </row>
    <row r="348" spans="1:27" ht="12.75" customHeight="1" x14ac:dyDescent="0.15">
      <c r="A348" s="5">
        <v>9</v>
      </c>
      <c r="B348" s="5" t="s">
        <v>238</v>
      </c>
      <c r="C348" s="1">
        <v>23</v>
      </c>
      <c r="D348" s="5" t="s">
        <v>982</v>
      </c>
      <c r="E348" s="1">
        <v>4</v>
      </c>
      <c r="F348" s="5" t="s">
        <v>982</v>
      </c>
      <c r="G348" s="1">
        <v>4</v>
      </c>
      <c r="H348" s="5" t="s">
        <v>982</v>
      </c>
      <c r="I348" s="1">
        <v>6</v>
      </c>
      <c r="J348" s="5" t="s">
        <v>981</v>
      </c>
      <c r="K348" s="1">
        <v>0</v>
      </c>
      <c r="L348" s="5" t="s">
        <v>983</v>
      </c>
      <c r="M348" s="1">
        <v>5</v>
      </c>
      <c r="N348" s="5" t="s">
        <v>982</v>
      </c>
      <c r="O348" s="1">
        <v>0</v>
      </c>
      <c r="P348" s="5" t="s">
        <v>983</v>
      </c>
      <c r="Q348" s="1">
        <v>0</v>
      </c>
      <c r="R348" s="1">
        <v>0</v>
      </c>
      <c r="S348" s="1">
        <v>0</v>
      </c>
      <c r="T348" s="1">
        <v>4</v>
      </c>
      <c r="U348" s="1">
        <v>3</v>
      </c>
      <c r="V348" s="1">
        <v>47</v>
      </c>
      <c r="W348" s="1">
        <v>0</v>
      </c>
      <c r="X348" s="1">
        <v>14</v>
      </c>
      <c r="Y348" s="1">
        <v>24</v>
      </c>
      <c r="Z348" s="1">
        <v>900000</v>
      </c>
      <c r="AA348" s="1">
        <v>5</v>
      </c>
    </row>
    <row r="349" spans="1:27" ht="12.75" customHeight="1" x14ac:dyDescent="0.15">
      <c r="A349" s="5">
        <v>238</v>
      </c>
      <c r="B349" s="5" t="s">
        <v>238</v>
      </c>
      <c r="C349" s="1">
        <v>30</v>
      </c>
      <c r="D349" s="5" t="s">
        <v>981</v>
      </c>
      <c r="E349" s="1">
        <v>4</v>
      </c>
      <c r="F349" s="5" t="s">
        <v>982</v>
      </c>
      <c r="G349" s="1">
        <v>6</v>
      </c>
      <c r="H349" s="5" t="s">
        <v>981</v>
      </c>
      <c r="I349" s="1">
        <v>10</v>
      </c>
      <c r="J349" s="5" t="s">
        <v>981</v>
      </c>
      <c r="K349" s="1">
        <v>5</v>
      </c>
      <c r="L349" s="5" t="s">
        <v>982</v>
      </c>
      <c r="M349" s="1">
        <v>6</v>
      </c>
      <c r="N349" s="5" t="s">
        <v>981</v>
      </c>
      <c r="O349" s="1">
        <v>0</v>
      </c>
      <c r="P349" s="5" t="s">
        <v>983</v>
      </c>
      <c r="Q349" s="1">
        <v>1</v>
      </c>
      <c r="R349" s="1">
        <v>0</v>
      </c>
      <c r="S349" s="1">
        <v>1</v>
      </c>
      <c r="T349" s="1">
        <v>1</v>
      </c>
      <c r="U349" s="1">
        <v>3</v>
      </c>
      <c r="V349" s="1">
        <v>47</v>
      </c>
      <c r="W349" s="1">
        <v>0</v>
      </c>
      <c r="X349" s="1">
        <v>13</v>
      </c>
      <c r="Y349" s="1">
        <v>9</v>
      </c>
      <c r="Z349" s="1">
        <v>0</v>
      </c>
      <c r="AA349" s="1">
        <v>3</v>
      </c>
    </row>
    <row r="350" spans="1:27" ht="12.75" customHeight="1" x14ac:dyDescent="0.15">
      <c r="A350" s="5">
        <v>288</v>
      </c>
      <c r="B350" s="5" t="s">
        <v>238</v>
      </c>
      <c r="C350" s="1">
        <v>21</v>
      </c>
      <c r="D350" s="5" t="s">
        <v>982</v>
      </c>
      <c r="E350" s="1">
        <v>4</v>
      </c>
      <c r="F350" s="5" t="s">
        <v>982</v>
      </c>
      <c r="G350" s="1">
        <v>3</v>
      </c>
      <c r="H350" s="5" t="s">
        <v>982</v>
      </c>
      <c r="I350" s="1">
        <v>5</v>
      </c>
      <c r="J350" s="5" t="s">
        <v>981</v>
      </c>
      <c r="K350" s="1">
        <v>1</v>
      </c>
      <c r="L350" s="5" t="s">
        <v>983</v>
      </c>
      <c r="M350" s="1">
        <v>0</v>
      </c>
      <c r="N350" s="5" t="s">
        <v>983</v>
      </c>
      <c r="O350" s="1">
        <v>0</v>
      </c>
      <c r="P350" s="5" t="s">
        <v>983</v>
      </c>
      <c r="Q350" s="1">
        <v>0</v>
      </c>
      <c r="R350" s="1">
        <v>0</v>
      </c>
      <c r="S350" s="1" t="s">
        <v>194</v>
      </c>
      <c r="T350" s="1" t="s">
        <v>194</v>
      </c>
      <c r="U350" s="1">
        <v>3</v>
      </c>
      <c r="V350" s="1">
        <v>47</v>
      </c>
      <c r="W350" s="1">
        <v>1</v>
      </c>
      <c r="X350" s="1">
        <v>4</v>
      </c>
      <c r="Y350" s="1">
        <v>29</v>
      </c>
      <c r="Z350" s="1">
        <v>800000</v>
      </c>
      <c r="AA350" s="1">
        <v>3</v>
      </c>
    </row>
    <row r="351" spans="1:27" ht="12.75" customHeight="1" x14ac:dyDescent="0.15">
      <c r="A351" s="5">
        <v>390</v>
      </c>
      <c r="B351" s="5" t="s">
        <v>984</v>
      </c>
      <c r="C351" s="1">
        <v>30</v>
      </c>
      <c r="D351" s="5" t="s">
        <v>981</v>
      </c>
      <c r="E351" s="1">
        <v>3</v>
      </c>
      <c r="F351" s="5" t="s">
        <v>982</v>
      </c>
      <c r="G351" s="1">
        <v>4</v>
      </c>
      <c r="H351" s="5" t="s">
        <v>982</v>
      </c>
      <c r="I351" s="1">
        <v>7</v>
      </c>
      <c r="J351" s="5" t="s">
        <v>981</v>
      </c>
      <c r="K351" s="1">
        <v>0</v>
      </c>
      <c r="L351" s="5" t="s">
        <v>983</v>
      </c>
      <c r="M351" s="1">
        <v>0</v>
      </c>
      <c r="N351" s="5" t="s">
        <v>983</v>
      </c>
      <c r="O351" s="1">
        <v>2</v>
      </c>
      <c r="P351" s="5" t="s">
        <v>982</v>
      </c>
      <c r="Q351" s="1">
        <v>0</v>
      </c>
      <c r="R351" s="1">
        <v>0</v>
      </c>
      <c r="S351" s="1" t="s">
        <v>194</v>
      </c>
      <c r="T351" s="1">
        <v>4</v>
      </c>
      <c r="U351" s="1">
        <v>3</v>
      </c>
      <c r="V351" s="1">
        <v>47</v>
      </c>
      <c r="W351" s="1">
        <v>0</v>
      </c>
      <c r="X351" s="1">
        <v>5</v>
      </c>
      <c r="Y351" s="1">
        <v>1</v>
      </c>
      <c r="Z351" s="1">
        <v>200000</v>
      </c>
      <c r="AA351" s="1">
        <v>4</v>
      </c>
    </row>
    <row r="352" spans="1:27" ht="12.75" customHeight="1" x14ac:dyDescent="0.15">
      <c r="A352" s="5">
        <v>185</v>
      </c>
      <c r="B352" s="5" t="s">
        <v>238</v>
      </c>
      <c r="C352" s="1">
        <v>37</v>
      </c>
      <c r="D352" s="5" t="s">
        <v>981</v>
      </c>
      <c r="E352" s="1">
        <v>6</v>
      </c>
      <c r="F352" s="5" t="s">
        <v>981</v>
      </c>
      <c r="G352" s="1">
        <v>6</v>
      </c>
      <c r="H352" s="5" t="s">
        <v>981</v>
      </c>
      <c r="I352" s="1">
        <v>16</v>
      </c>
      <c r="J352" s="5" t="s">
        <v>981</v>
      </c>
      <c r="K352" s="1">
        <v>2</v>
      </c>
      <c r="L352" s="5" t="s">
        <v>983</v>
      </c>
      <c r="M352" s="1">
        <v>3</v>
      </c>
      <c r="N352" s="5" t="s">
        <v>982</v>
      </c>
      <c r="O352" s="1">
        <v>0</v>
      </c>
      <c r="P352" s="5" t="s">
        <v>983</v>
      </c>
      <c r="Q352" s="1">
        <v>0</v>
      </c>
      <c r="R352" s="1">
        <v>0</v>
      </c>
      <c r="S352" s="1" t="s">
        <v>194</v>
      </c>
      <c r="T352" s="1">
        <v>1</v>
      </c>
      <c r="U352" s="1">
        <v>3</v>
      </c>
      <c r="V352" s="1">
        <v>47</v>
      </c>
      <c r="W352" s="1">
        <v>0</v>
      </c>
      <c r="X352" s="1">
        <v>14</v>
      </c>
      <c r="Y352" s="1">
        <v>24</v>
      </c>
      <c r="Z352" s="1">
        <v>700000</v>
      </c>
      <c r="AA352" s="1">
        <v>6</v>
      </c>
    </row>
    <row r="353" spans="1:27" ht="12.75" customHeight="1" x14ac:dyDescent="0.15">
      <c r="A353" s="5">
        <v>115</v>
      </c>
      <c r="B353" s="5" t="s">
        <v>984</v>
      </c>
      <c r="C353" s="1">
        <v>45</v>
      </c>
      <c r="D353" s="5" t="s">
        <v>981</v>
      </c>
      <c r="E353" s="1">
        <v>7</v>
      </c>
      <c r="F353" s="5" t="s">
        <v>981</v>
      </c>
      <c r="G353" s="1">
        <v>11</v>
      </c>
      <c r="H353" s="5" t="s">
        <v>981</v>
      </c>
      <c r="I353" s="1">
        <v>5</v>
      </c>
      <c r="J353" s="5" t="s">
        <v>981</v>
      </c>
      <c r="K353" s="1">
        <v>12</v>
      </c>
      <c r="L353" s="5" t="s">
        <v>981</v>
      </c>
      <c r="M353" s="1">
        <v>12</v>
      </c>
      <c r="N353" s="5" t="s">
        <v>981</v>
      </c>
      <c r="O353" s="1">
        <v>17</v>
      </c>
      <c r="P353" s="5" t="s">
        <v>981</v>
      </c>
      <c r="Q353" s="1">
        <v>0</v>
      </c>
      <c r="R353" s="1">
        <v>0</v>
      </c>
      <c r="S353" s="1" t="s">
        <v>194</v>
      </c>
      <c r="T353" s="1">
        <v>5</v>
      </c>
      <c r="U353" s="1">
        <v>4</v>
      </c>
      <c r="V353" s="1">
        <v>47</v>
      </c>
      <c r="W353" s="1">
        <v>1</v>
      </c>
      <c r="X353" s="1">
        <v>11</v>
      </c>
      <c r="Y353" s="1">
        <v>24</v>
      </c>
      <c r="Z353" s="1">
        <v>600000</v>
      </c>
      <c r="AA353" s="1">
        <v>1</v>
      </c>
    </row>
    <row r="354" spans="1:27" ht="12.75" customHeight="1" x14ac:dyDescent="0.15">
      <c r="A354" s="5">
        <v>151</v>
      </c>
      <c r="B354" s="5" t="s">
        <v>238</v>
      </c>
      <c r="C354" s="1">
        <v>37</v>
      </c>
      <c r="D354" s="5" t="s">
        <v>981</v>
      </c>
      <c r="E354" s="1">
        <v>8</v>
      </c>
      <c r="F354" s="5" t="s">
        <v>981</v>
      </c>
      <c r="G354" s="1">
        <v>7</v>
      </c>
      <c r="H354" s="5" t="s">
        <v>981</v>
      </c>
      <c r="I354" s="1">
        <v>5</v>
      </c>
      <c r="J354" s="5" t="s">
        <v>981</v>
      </c>
      <c r="K354" s="1">
        <v>9</v>
      </c>
      <c r="L354" s="5" t="s">
        <v>981</v>
      </c>
      <c r="M354" s="1">
        <v>9</v>
      </c>
      <c r="N354" s="5" t="s">
        <v>981</v>
      </c>
      <c r="O354" s="1">
        <v>2</v>
      </c>
      <c r="P354" s="5" t="s">
        <v>982</v>
      </c>
      <c r="Q354" s="1">
        <v>1</v>
      </c>
      <c r="R354" s="1">
        <v>0</v>
      </c>
      <c r="S354" s="1">
        <v>1</v>
      </c>
      <c r="T354" s="1">
        <v>5</v>
      </c>
      <c r="U354" s="1">
        <v>5</v>
      </c>
      <c r="V354" s="1">
        <v>47</v>
      </c>
      <c r="W354" s="1">
        <v>1</v>
      </c>
      <c r="X354" s="1">
        <v>14</v>
      </c>
      <c r="Y354" s="1">
        <v>5</v>
      </c>
      <c r="Z354" s="1">
        <v>300000</v>
      </c>
      <c r="AA354" s="1">
        <v>2</v>
      </c>
    </row>
    <row r="355" spans="1:27" ht="12.75" customHeight="1" x14ac:dyDescent="0.15">
      <c r="A355" s="5">
        <v>15</v>
      </c>
      <c r="B355" s="5" t="s">
        <v>238</v>
      </c>
      <c r="C355" s="1">
        <v>16</v>
      </c>
      <c r="D355" s="5" t="s">
        <v>983</v>
      </c>
      <c r="E355" s="1">
        <v>6</v>
      </c>
      <c r="F355" s="5" t="s">
        <v>981</v>
      </c>
      <c r="G355" s="1">
        <v>2</v>
      </c>
      <c r="H355" s="5" t="s">
        <v>982</v>
      </c>
      <c r="I355" s="1">
        <v>16</v>
      </c>
      <c r="J355" s="5" t="s">
        <v>981</v>
      </c>
      <c r="K355" s="1">
        <v>4</v>
      </c>
      <c r="L355" s="5" t="s">
        <v>982</v>
      </c>
      <c r="M355" s="1">
        <v>4</v>
      </c>
      <c r="N355" s="5" t="s">
        <v>982</v>
      </c>
      <c r="O355" s="1">
        <v>0</v>
      </c>
      <c r="P355" s="5" t="s">
        <v>983</v>
      </c>
      <c r="Q355" s="1">
        <v>1</v>
      </c>
      <c r="R355" s="1">
        <v>0</v>
      </c>
      <c r="S355" s="1" t="s">
        <v>194</v>
      </c>
      <c r="T355" s="1">
        <v>3</v>
      </c>
      <c r="U355" s="1">
        <v>5</v>
      </c>
      <c r="V355" s="1">
        <v>47</v>
      </c>
      <c r="W355" s="1">
        <v>1</v>
      </c>
      <c r="X355" s="1">
        <v>18</v>
      </c>
      <c r="Y355" s="1">
        <v>7</v>
      </c>
      <c r="Z355" s="1">
        <v>2500000</v>
      </c>
      <c r="AA355" s="1">
        <v>4</v>
      </c>
    </row>
    <row r="356" spans="1:27" ht="12.75" customHeight="1" x14ac:dyDescent="0.15">
      <c r="A356" s="5">
        <v>163</v>
      </c>
      <c r="B356" s="5" t="s">
        <v>238</v>
      </c>
      <c r="C356" s="1">
        <v>12</v>
      </c>
      <c r="D356" s="5" t="s">
        <v>983</v>
      </c>
      <c r="E356" s="1">
        <v>0</v>
      </c>
      <c r="F356" s="5" t="s">
        <v>983</v>
      </c>
      <c r="G356" s="1">
        <v>0</v>
      </c>
      <c r="H356" s="5" t="s">
        <v>983</v>
      </c>
      <c r="I356" s="1">
        <v>4</v>
      </c>
      <c r="J356" s="5" t="s">
        <v>982</v>
      </c>
      <c r="K356" s="1">
        <v>12</v>
      </c>
      <c r="L356" s="5" t="s">
        <v>981</v>
      </c>
      <c r="M356" s="1">
        <v>3</v>
      </c>
      <c r="N356" s="5" t="s">
        <v>982</v>
      </c>
      <c r="O356" s="1">
        <v>0</v>
      </c>
      <c r="P356" s="5" t="s">
        <v>983</v>
      </c>
      <c r="Q356" s="1">
        <v>1</v>
      </c>
      <c r="R356" s="1">
        <v>0</v>
      </c>
      <c r="S356" s="1">
        <v>1</v>
      </c>
      <c r="T356" s="1" t="s">
        <v>194</v>
      </c>
      <c r="U356" s="1">
        <v>1</v>
      </c>
      <c r="V356" s="1">
        <v>48</v>
      </c>
      <c r="W356" s="1">
        <v>0</v>
      </c>
      <c r="X356" s="1">
        <v>14</v>
      </c>
      <c r="Y356" s="1">
        <v>24</v>
      </c>
      <c r="Z356" s="1">
        <v>450000</v>
      </c>
      <c r="AA356" s="1">
        <v>4</v>
      </c>
    </row>
    <row r="357" spans="1:27" ht="12.75" customHeight="1" x14ac:dyDescent="0.15">
      <c r="A357" s="5">
        <v>97</v>
      </c>
      <c r="B357" s="5" t="s">
        <v>984</v>
      </c>
      <c r="C357" s="1">
        <v>27</v>
      </c>
      <c r="D357" s="5" t="s">
        <v>981</v>
      </c>
      <c r="E357" s="1">
        <v>4</v>
      </c>
      <c r="F357" s="5" t="s">
        <v>982</v>
      </c>
      <c r="G357" s="1">
        <v>5</v>
      </c>
      <c r="H357" s="5" t="s">
        <v>982</v>
      </c>
      <c r="I357" s="1">
        <v>4</v>
      </c>
      <c r="J357" s="5" t="s">
        <v>982</v>
      </c>
      <c r="K357" s="1">
        <v>1</v>
      </c>
      <c r="L357" s="5" t="s">
        <v>983</v>
      </c>
      <c r="M357" s="1">
        <v>2</v>
      </c>
      <c r="N357" s="5" t="s">
        <v>983</v>
      </c>
      <c r="O357" s="1">
        <v>0</v>
      </c>
      <c r="P357" s="5" t="s">
        <v>983</v>
      </c>
      <c r="Q357" s="1">
        <v>1</v>
      </c>
      <c r="R357" s="1">
        <v>0</v>
      </c>
      <c r="S357" s="1">
        <v>1</v>
      </c>
      <c r="T357" s="1" t="s">
        <v>194</v>
      </c>
      <c r="U357" s="1">
        <v>2</v>
      </c>
      <c r="V357" s="1">
        <v>48</v>
      </c>
      <c r="W357" s="1">
        <v>0</v>
      </c>
      <c r="X357" s="1">
        <v>15</v>
      </c>
      <c r="Y357" s="1">
        <v>5</v>
      </c>
      <c r="Z357" s="1">
        <v>600000</v>
      </c>
      <c r="AA357" s="1">
        <v>1</v>
      </c>
    </row>
    <row r="358" spans="1:27" ht="12.75" customHeight="1" x14ac:dyDescent="0.15">
      <c r="A358" s="5">
        <v>131</v>
      </c>
      <c r="B358" s="5" t="s">
        <v>984</v>
      </c>
      <c r="C358" s="1">
        <v>26</v>
      </c>
      <c r="D358" s="5" t="s">
        <v>981</v>
      </c>
      <c r="E358" s="1">
        <v>6</v>
      </c>
      <c r="F358" s="5" t="s">
        <v>981</v>
      </c>
      <c r="G358" s="1">
        <v>6</v>
      </c>
      <c r="H358" s="5" t="s">
        <v>981</v>
      </c>
      <c r="I358" s="1">
        <v>10</v>
      </c>
      <c r="J358" s="5" t="s">
        <v>981</v>
      </c>
      <c r="K358" s="1">
        <v>3</v>
      </c>
      <c r="L358" s="5" t="s">
        <v>982</v>
      </c>
      <c r="M358" s="1">
        <v>3</v>
      </c>
      <c r="N358" s="5" t="s">
        <v>982</v>
      </c>
      <c r="O358" s="1">
        <v>2</v>
      </c>
      <c r="P358" s="5" t="s">
        <v>982</v>
      </c>
      <c r="Q358" s="1">
        <v>1</v>
      </c>
      <c r="R358" s="1">
        <v>0</v>
      </c>
      <c r="S358" s="1">
        <v>1</v>
      </c>
      <c r="T358" s="1">
        <v>5</v>
      </c>
      <c r="U358" s="1">
        <v>2</v>
      </c>
      <c r="V358" s="1">
        <v>48</v>
      </c>
      <c r="W358" s="1">
        <v>0</v>
      </c>
      <c r="X358" s="1">
        <v>17</v>
      </c>
      <c r="Y358" s="1">
        <v>30</v>
      </c>
      <c r="Z358" s="1">
        <v>350000</v>
      </c>
      <c r="AA358" s="1">
        <v>4</v>
      </c>
    </row>
    <row r="359" spans="1:27" ht="12.75" customHeight="1" x14ac:dyDescent="0.15">
      <c r="A359" s="5">
        <v>497</v>
      </c>
      <c r="B359" s="5" t="s">
        <v>238</v>
      </c>
      <c r="C359" s="1">
        <v>12</v>
      </c>
      <c r="D359" s="5" t="s">
        <v>983</v>
      </c>
      <c r="E359" s="1">
        <v>0</v>
      </c>
      <c r="F359" s="5" t="s">
        <v>983</v>
      </c>
      <c r="G359" s="1">
        <v>0</v>
      </c>
      <c r="H359" s="5" t="s">
        <v>983</v>
      </c>
      <c r="I359" s="1">
        <v>16</v>
      </c>
      <c r="J359" s="5" t="s">
        <v>981</v>
      </c>
      <c r="K359" s="1">
        <v>0</v>
      </c>
      <c r="L359" s="5" t="s">
        <v>983</v>
      </c>
      <c r="M359" s="1">
        <v>0</v>
      </c>
      <c r="N359" s="5" t="s">
        <v>983</v>
      </c>
      <c r="O359" s="1">
        <v>6</v>
      </c>
      <c r="P359" s="5" t="s">
        <v>982</v>
      </c>
      <c r="Q359" s="1">
        <v>1</v>
      </c>
      <c r="R359" s="1">
        <v>0</v>
      </c>
      <c r="S359" s="1" t="s">
        <v>194</v>
      </c>
      <c r="T359" s="1">
        <v>2</v>
      </c>
      <c r="U359" s="1">
        <v>2</v>
      </c>
      <c r="V359" s="1">
        <v>48</v>
      </c>
      <c r="W359" s="1">
        <v>1</v>
      </c>
      <c r="X359" s="1">
        <v>14</v>
      </c>
      <c r="Y359" s="1">
        <v>34</v>
      </c>
      <c r="Z359" s="1">
        <v>0</v>
      </c>
      <c r="AA359" s="1">
        <v>2</v>
      </c>
    </row>
    <row r="360" spans="1:27" ht="12.75" customHeight="1" x14ac:dyDescent="0.15">
      <c r="A360" s="5">
        <v>32</v>
      </c>
      <c r="B360" s="5" t="s">
        <v>238</v>
      </c>
      <c r="C360" s="1">
        <v>35</v>
      </c>
      <c r="D360" s="5" t="s">
        <v>981</v>
      </c>
      <c r="E360" s="1">
        <v>9</v>
      </c>
      <c r="F360" s="5" t="s">
        <v>981</v>
      </c>
      <c r="G360" s="1">
        <v>9</v>
      </c>
      <c r="H360" s="5" t="s">
        <v>981</v>
      </c>
      <c r="I360" s="1">
        <v>4</v>
      </c>
      <c r="J360" s="5" t="s">
        <v>982</v>
      </c>
      <c r="K360" s="1">
        <v>9</v>
      </c>
      <c r="L360" s="5" t="s">
        <v>981</v>
      </c>
      <c r="M360" s="1">
        <v>9</v>
      </c>
      <c r="N360" s="5" t="s">
        <v>981</v>
      </c>
      <c r="O360" s="1">
        <v>7</v>
      </c>
      <c r="P360" s="5" t="s">
        <v>982</v>
      </c>
      <c r="Q360" s="1">
        <v>1</v>
      </c>
      <c r="R360" s="1">
        <v>0</v>
      </c>
      <c r="S360" s="1" t="s">
        <v>194</v>
      </c>
      <c r="T360" s="1">
        <v>2</v>
      </c>
      <c r="U360" s="1">
        <v>2</v>
      </c>
      <c r="V360" s="1">
        <v>48</v>
      </c>
      <c r="W360" s="1">
        <v>0</v>
      </c>
      <c r="X360" s="1">
        <v>14</v>
      </c>
      <c r="Y360" s="1">
        <v>2</v>
      </c>
      <c r="Z360" s="1">
        <v>900000</v>
      </c>
      <c r="AA360" s="1">
        <v>4</v>
      </c>
    </row>
    <row r="361" spans="1:27" ht="12.75" customHeight="1" x14ac:dyDescent="0.15">
      <c r="A361" s="5">
        <v>412</v>
      </c>
      <c r="B361" s="5" t="s">
        <v>984</v>
      </c>
      <c r="C361" s="1">
        <v>18</v>
      </c>
      <c r="D361" s="5" t="s">
        <v>983</v>
      </c>
      <c r="E361" s="1">
        <v>0</v>
      </c>
      <c r="F361" s="5" t="s">
        <v>983</v>
      </c>
      <c r="G361" s="1">
        <v>0</v>
      </c>
      <c r="H361" s="5" t="s">
        <v>983</v>
      </c>
      <c r="I361" s="1">
        <v>10</v>
      </c>
      <c r="J361" s="5" t="s">
        <v>981</v>
      </c>
      <c r="K361" s="1">
        <v>0</v>
      </c>
      <c r="L361" s="5" t="s">
        <v>983</v>
      </c>
      <c r="M361" s="1">
        <v>0</v>
      </c>
      <c r="N361" s="5" t="s">
        <v>983</v>
      </c>
      <c r="O361" s="1">
        <v>0</v>
      </c>
      <c r="P361" s="5" t="s">
        <v>983</v>
      </c>
      <c r="Q361" s="1">
        <v>0</v>
      </c>
      <c r="R361" s="1">
        <v>1</v>
      </c>
      <c r="S361" s="1" t="s">
        <v>194</v>
      </c>
      <c r="T361" s="1" t="s">
        <v>194</v>
      </c>
      <c r="U361" s="1">
        <v>3</v>
      </c>
      <c r="V361" s="1">
        <v>48</v>
      </c>
      <c r="W361" s="1">
        <v>0</v>
      </c>
      <c r="X361" s="1">
        <v>14</v>
      </c>
      <c r="Y361" s="1">
        <v>5</v>
      </c>
      <c r="Z361" s="1">
        <v>450000</v>
      </c>
      <c r="AA361" s="1">
        <v>3</v>
      </c>
    </row>
    <row r="362" spans="1:27" ht="12.75" customHeight="1" x14ac:dyDescent="0.15">
      <c r="A362" s="5">
        <v>452</v>
      </c>
      <c r="B362" s="5" t="s">
        <v>238</v>
      </c>
      <c r="C362" s="1">
        <v>29</v>
      </c>
      <c r="D362" s="5" t="s">
        <v>981</v>
      </c>
      <c r="E362" s="1">
        <v>5</v>
      </c>
      <c r="F362" s="5" t="s">
        <v>981</v>
      </c>
      <c r="G362" s="1">
        <v>3</v>
      </c>
      <c r="H362" s="5" t="s">
        <v>982</v>
      </c>
      <c r="I362" s="1">
        <v>12</v>
      </c>
      <c r="J362" s="5" t="s">
        <v>981</v>
      </c>
      <c r="K362" s="1">
        <v>12</v>
      </c>
      <c r="L362" s="5" t="s">
        <v>981</v>
      </c>
      <c r="M362" s="1">
        <v>3</v>
      </c>
      <c r="N362" s="5" t="s">
        <v>982</v>
      </c>
      <c r="O362" s="1">
        <v>1</v>
      </c>
      <c r="P362" s="5" t="s">
        <v>982</v>
      </c>
      <c r="Q362" s="1">
        <v>0</v>
      </c>
      <c r="R362" s="1">
        <v>0</v>
      </c>
      <c r="S362" s="1" t="s">
        <v>194</v>
      </c>
      <c r="T362" s="1" t="s">
        <v>194</v>
      </c>
      <c r="U362" s="1">
        <v>3</v>
      </c>
      <c r="V362" s="1">
        <v>48</v>
      </c>
      <c r="W362" s="1">
        <v>1</v>
      </c>
      <c r="X362" s="1">
        <v>6</v>
      </c>
      <c r="Y362" s="1">
        <v>25</v>
      </c>
      <c r="Z362" s="1">
        <v>3000000</v>
      </c>
      <c r="AA362" s="1">
        <v>2</v>
      </c>
    </row>
    <row r="363" spans="1:27" ht="12.75" customHeight="1" x14ac:dyDescent="0.15">
      <c r="A363" s="5">
        <v>133</v>
      </c>
      <c r="B363" s="5" t="s">
        <v>238</v>
      </c>
      <c r="C363" s="1">
        <v>27</v>
      </c>
      <c r="D363" s="5" t="s">
        <v>981</v>
      </c>
      <c r="E363" s="1">
        <v>2</v>
      </c>
      <c r="F363" s="5" t="s">
        <v>982</v>
      </c>
      <c r="G363" s="1">
        <v>1</v>
      </c>
      <c r="H363" s="5" t="s">
        <v>983</v>
      </c>
      <c r="I363" s="1">
        <v>5</v>
      </c>
      <c r="J363" s="5" t="s">
        <v>981</v>
      </c>
      <c r="K363" s="1">
        <v>1</v>
      </c>
      <c r="L363" s="5" t="s">
        <v>983</v>
      </c>
      <c r="M363" s="1">
        <v>0</v>
      </c>
      <c r="N363" s="5" t="s">
        <v>983</v>
      </c>
      <c r="O363" s="1">
        <v>0</v>
      </c>
      <c r="P363" s="5" t="s">
        <v>983</v>
      </c>
      <c r="Q363" s="1">
        <v>0</v>
      </c>
      <c r="R363" s="1">
        <v>0</v>
      </c>
      <c r="S363" s="1" t="s">
        <v>194</v>
      </c>
      <c r="T363" s="1">
        <v>3</v>
      </c>
      <c r="U363" s="1">
        <v>3</v>
      </c>
      <c r="V363" s="1">
        <v>48</v>
      </c>
      <c r="W363" s="1">
        <v>0</v>
      </c>
      <c r="X363" s="1">
        <v>16</v>
      </c>
      <c r="Y363" s="1">
        <v>17</v>
      </c>
      <c r="Z363" s="1">
        <v>0</v>
      </c>
      <c r="AA363" s="1">
        <v>2</v>
      </c>
    </row>
    <row r="364" spans="1:27" ht="12.75" customHeight="1" x14ac:dyDescent="0.15">
      <c r="A364" s="5">
        <v>334</v>
      </c>
      <c r="B364" s="5" t="s">
        <v>984</v>
      </c>
      <c r="C364" s="1">
        <v>25</v>
      </c>
      <c r="D364" s="5" t="s">
        <v>981</v>
      </c>
      <c r="E364" s="1">
        <v>4</v>
      </c>
      <c r="F364" s="5" t="s">
        <v>982</v>
      </c>
      <c r="G364" s="1">
        <v>0</v>
      </c>
      <c r="H364" s="5" t="s">
        <v>983</v>
      </c>
      <c r="I364" s="1">
        <v>15</v>
      </c>
      <c r="J364" s="5" t="s">
        <v>981</v>
      </c>
      <c r="K364" s="1">
        <v>0</v>
      </c>
      <c r="L364" s="5" t="s">
        <v>983</v>
      </c>
      <c r="M364" s="1">
        <v>1</v>
      </c>
      <c r="N364" s="5" t="s">
        <v>983</v>
      </c>
      <c r="O364" s="1">
        <v>0</v>
      </c>
      <c r="P364" s="5" t="s">
        <v>983</v>
      </c>
      <c r="Q364" s="1">
        <v>1</v>
      </c>
      <c r="R364" s="1">
        <v>0</v>
      </c>
      <c r="S364" s="1">
        <v>1</v>
      </c>
      <c r="T364" s="1">
        <v>4</v>
      </c>
      <c r="U364" s="1">
        <v>4</v>
      </c>
      <c r="V364" s="1">
        <v>48</v>
      </c>
      <c r="W364" s="1">
        <v>0</v>
      </c>
      <c r="X364" s="1">
        <v>6</v>
      </c>
      <c r="Y364" s="1">
        <v>28</v>
      </c>
      <c r="Z364" s="1">
        <v>500000</v>
      </c>
      <c r="AA364" s="1">
        <v>2</v>
      </c>
    </row>
    <row r="365" spans="1:27" ht="12.75" customHeight="1" x14ac:dyDescent="0.15">
      <c r="A365" s="5">
        <v>229</v>
      </c>
      <c r="B365" s="5" t="s">
        <v>238</v>
      </c>
      <c r="C365" s="1">
        <v>17</v>
      </c>
      <c r="D365" s="5" t="s">
        <v>983</v>
      </c>
      <c r="E365" s="1">
        <v>1</v>
      </c>
      <c r="F365" s="5" t="s">
        <v>983</v>
      </c>
      <c r="G365" s="1">
        <v>2</v>
      </c>
      <c r="H365" s="5" t="s">
        <v>982</v>
      </c>
      <c r="I365" s="1">
        <v>0</v>
      </c>
      <c r="J365" s="5" t="s">
        <v>983</v>
      </c>
      <c r="K365" s="1">
        <v>1</v>
      </c>
      <c r="L365" s="5" t="s">
        <v>983</v>
      </c>
      <c r="M365" s="1">
        <v>3</v>
      </c>
      <c r="N365" s="5" t="s">
        <v>982</v>
      </c>
      <c r="O365" s="1">
        <v>0</v>
      </c>
      <c r="P365" s="5" t="s">
        <v>983</v>
      </c>
      <c r="Q365" s="1">
        <v>0</v>
      </c>
      <c r="R365" s="1">
        <v>0</v>
      </c>
      <c r="S365" s="1" t="s">
        <v>194</v>
      </c>
      <c r="T365" s="1">
        <v>3</v>
      </c>
      <c r="U365" s="1">
        <v>4</v>
      </c>
      <c r="V365" s="1">
        <v>48</v>
      </c>
      <c r="W365" s="1">
        <v>0</v>
      </c>
      <c r="X365" s="1">
        <v>14</v>
      </c>
      <c r="Y365" s="1">
        <v>9</v>
      </c>
      <c r="Z365" s="1">
        <v>1400000</v>
      </c>
      <c r="AA365" s="1">
        <v>1</v>
      </c>
    </row>
    <row r="366" spans="1:27" ht="12.75" customHeight="1" x14ac:dyDescent="0.15">
      <c r="A366" s="5">
        <v>132</v>
      </c>
      <c r="B366" s="5" t="s">
        <v>238</v>
      </c>
      <c r="C366" s="1">
        <v>37</v>
      </c>
      <c r="D366" s="5" t="s">
        <v>981</v>
      </c>
      <c r="E366" s="1">
        <v>5</v>
      </c>
      <c r="F366" s="5" t="s">
        <v>981</v>
      </c>
      <c r="G366" s="1">
        <v>0</v>
      </c>
      <c r="H366" s="5" t="s">
        <v>983</v>
      </c>
      <c r="I366" s="1">
        <v>16</v>
      </c>
      <c r="J366" s="5" t="s">
        <v>981</v>
      </c>
      <c r="K366" s="1">
        <v>1</v>
      </c>
      <c r="L366" s="5" t="s">
        <v>983</v>
      </c>
      <c r="M366" s="1">
        <v>0</v>
      </c>
      <c r="N366" s="5" t="s">
        <v>983</v>
      </c>
      <c r="O366" s="1">
        <v>1</v>
      </c>
      <c r="P366" s="5" t="s">
        <v>982</v>
      </c>
      <c r="Q366" s="1">
        <v>1</v>
      </c>
      <c r="R366" s="1">
        <v>0</v>
      </c>
      <c r="S366" s="1">
        <v>1</v>
      </c>
      <c r="T366" s="1">
        <v>5</v>
      </c>
      <c r="U366" s="1">
        <v>5</v>
      </c>
      <c r="V366" s="1">
        <v>48</v>
      </c>
      <c r="W366" s="1">
        <v>0</v>
      </c>
      <c r="X366" s="1">
        <v>17</v>
      </c>
      <c r="Y366" s="1">
        <v>30</v>
      </c>
      <c r="Z366" s="1">
        <v>350000</v>
      </c>
      <c r="AA366" s="1">
        <v>4</v>
      </c>
    </row>
    <row r="367" spans="1:27" ht="12.75" customHeight="1" x14ac:dyDescent="0.15">
      <c r="A367" s="5">
        <v>333</v>
      </c>
      <c r="B367" s="5" t="s">
        <v>984</v>
      </c>
      <c r="C367" s="1">
        <v>38</v>
      </c>
      <c r="D367" s="5" t="s">
        <v>981</v>
      </c>
      <c r="E367" s="1">
        <v>4</v>
      </c>
      <c r="F367" s="5" t="s">
        <v>982</v>
      </c>
      <c r="G367" s="1">
        <v>5</v>
      </c>
      <c r="H367" s="5" t="s">
        <v>982</v>
      </c>
      <c r="I367" s="1">
        <v>0</v>
      </c>
      <c r="J367" s="5" t="s">
        <v>983</v>
      </c>
      <c r="K367" s="1">
        <v>0</v>
      </c>
      <c r="L367" s="5" t="s">
        <v>983</v>
      </c>
      <c r="M367" s="1">
        <v>3</v>
      </c>
      <c r="N367" s="5" t="s">
        <v>982</v>
      </c>
      <c r="O367" s="1">
        <v>1</v>
      </c>
      <c r="P367" s="5" t="s">
        <v>982</v>
      </c>
      <c r="Q367" s="1">
        <v>0</v>
      </c>
      <c r="R367" s="1">
        <v>0</v>
      </c>
      <c r="S367" s="1" t="s">
        <v>194</v>
      </c>
      <c r="T367" s="1">
        <v>3</v>
      </c>
      <c r="U367" s="1">
        <v>5</v>
      </c>
      <c r="V367" s="1">
        <v>48</v>
      </c>
      <c r="W367" s="1">
        <v>0</v>
      </c>
      <c r="X367" s="1">
        <v>6</v>
      </c>
      <c r="Y367" s="1">
        <v>28</v>
      </c>
      <c r="Z367" s="1">
        <v>500000</v>
      </c>
      <c r="AA367" s="1">
        <v>2</v>
      </c>
    </row>
    <row r="368" spans="1:27" ht="12.75" customHeight="1" x14ac:dyDescent="0.15">
      <c r="A368" s="5">
        <v>269</v>
      </c>
      <c r="B368" s="5" t="s">
        <v>238</v>
      </c>
      <c r="C368" s="1">
        <v>18</v>
      </c>
      <c r="D368" s="5" t="s">
        <v>983</v>
      </c>
      <c r="E368" s="1">
        <v>2</v>
      </c>
      <c r="F368" s="5" t="s">
        <v>982</v>
      </c>
      <c r="G368" s="1">
        <v>0</v>
      </c>
      <c r="H368" s="5" t="s">
        <v>983</v>
      </c>
      <c r="I368" s="1">
        <v>16</v>
      </c>
      <c r="J368" s="5" t="s">
        <v>981</v>
      </c>
      <c r="K368" s="1">
        <v>0</v>
      </c>
      <c r="L368" s="5" t="s">
        <v>983</v>
      </c>
      <c r="M368" s="1">
        <v>0</v>
      </c>
      <c r="N368" s="5" t="s">
        <v>983</v>
      </c>
      <c r="O368" s="1">
        <v>0</v>
      </c>
      <c r="P368" s="5" t="s">
        <v>983</v>
      </c>
      <c r="Q368" s="1">
        <v>0</v>
      </c>
      <c r="R368" s="1">
        <v>0</v>
      </c>
      <c r="S368" s="1" t="s">
        <v>194</v>
      </c>
      <c r="T368" s="1">
        <v>5</v>
      </c>
      <c r="U368" s="1">
        <v>5</v>
      </c>
      <c r="V368" s="1">
        <v>48</v>
      </c>
      <c r="W368" s="1">
        <v>0</v>
      </c>
      <c r="X368" s="1">
        <v>17</v>
      </c>
      <c r="Y368" s="1">
        <v>7</v>
      </c>
      <c r="Z368" s="1">
        <v>650000</v>
      </c>
      <c r="AA368" s="1">
        <v>2</v>
      </c>
    </row>
    <row r="369" spans="1:27" ht="12.75" customHeight="1" x14ac:dyDescent="0.15">
      <c r="A369" s="5">
        <v>476</v>
      </c>
      <c r="B369" s="5" t="s">
        <v>238</v>
      </c>
      <c r="C369" s="1">
        <v>14</v>
      </c>
      <c r="D369" s="5" t="s">
        <v>983</v>
      </c>
      <c r="E369" s="1">
        <v>1</v>
      </c>
      <c r="F369" s="5" t="s">
        <v>983</v>
      </c>
      <c r="G369" s="1">
        <v>0</v>
      </c>
      <c r="H369" s="5" t="s">
        <v>983</v>
      </c>
      <c r="I369" s="1">
        <v>7</v>
      </c>
      <c r="J369" s="5" t="s">
        <v>981</v>
      </c>
      <c r="K369" s="1">
        <v>0</v>
      </c>
      <c r="L369" s="5" t="s">
        <v>983</v>
      </c>
      <c r="M369" s="1">
        <v>0</v>
      </c>
      <c r="N369" s="5" t="s">
        <v>983</v>
      </c>
      <c r="O369" s="1">
        <v>1</v>
      </c>
      <c r="P369" s="5" t="s">
        <v>982</v>
      </c>
      <c r="Q369" s="1">
        <v>1</v>
      </c>
      <c r="R369" s="1">
        <v>0</v>
      </c>
      <c r="S369" s="1">
        <v>1</v>
      </c>
      <c r="T369" s="1" t="s">
        <v>194</v>
      </c>
      <c r="U369" s="1">
        <v>1</v>
      </c>
      <c r="V369" s="1">
        <v>49</v>
      </c>
      <c r="W369" s="1">
        <v>1</v>
      </c>
      <c r="X369" s="1">
        <v>18</v>
      </c>
      <c r="Y369" s="1">
        <v>2</v>
      </c>
      <c r="Z369" s="1">
        <v>900000</v>
      </c>
      <c r="AA369" s="1">
        <v>1</v>
      </c>
    </row>
    <row r="370" spans="1:27" ht="12.75" customHeight="1" x14ac:dyDescent="0.15">
      <c r="A370" s="5">
        <v>89</v>
      </c>
      <c r="B370" s="5" t="s">
        <v>984</v>
      </c>
      <c r="C370" s="1">
        <v>47</v>
      </c>
      <c r="D370" s="5" t="s">
        <v>981</v>
      </c>
      <c r="E370" s="1">
        <v>0</v>
      </c>
      <c r="F370" s="5" t="s">
        <v>983</v>
      </c>
      <c r="G370" s="1">
        <v>1</v>
      </c>
      <c r="H370" s="5" t="s">
        <v>983</v>
      </c>
      <c r="I370" s="1">
        <v>5</v>
      </c>
      <c r="J370" s="5" t="s">
        <v>981</v>
      </c>
      <c r="K370" s="1">
        <v>3</v>
      </c>
      <c r="L370" s="5" t="s">
        <v>982</v>
      </c>
      <c r="M370" s="1">
        <v>0</v>
      </c>
      <c r="N370" s="5" t="s">
        <v>983</v>
      </c>
      <c r="O370" s="1">
        <v>0</v>
      </c>
      <c r="P370" s="5" t="s">
        <v>983</v>
      </c>
      <c r="Q370" s="1">
        <v>1</v>
      </c>
      <c r="R370" s="1">
        <v>0</v>
      </c>
      <c r="S370" s="1">
        <v>1</v>
      </c>
      <c r="T370" s="1">
        <v>5</v>
      </c>
      <c r="U370" s="1">
        <v>2</v>
      </c>
      <c r="V370" s="1">
        <v>49</v>
      </c>
      <c r="W370" s="1">
        <v>1</v>
      </c>
      <c r="X370" s="1">
        <v>12</v>
      </c>
      <c r="Y370" s="1">
        <v>15</v>
      </c>
      <c r="Z370" s="1">
        <v>750000</v>
      </c>
      <c r="AA370" s="1">
        <v>3</v>
      </c>
    </row>
    <row r="371" spans="1:27" ht="12.75" customHeight="1" x14ac:dyDescent="0.15">
      <c r="A371" s="5">
        <v>321</v>
      </c>
      <c r="B371" s="5" t="s">
        <v>984</v>
      </c>
      <c r="C371" s="1">
        <v>24</v>
      </c>
      <c r="D371" s="5" t="s">
        <v>981</v>
      </c>
      <c r="E371" s="1">
        <v>4</v>
      </c>
      <c r="F371" s="5" t="s">
        <v>982</v>
      </c>
      <c r="G371" s="1">
        <v>3</v>
      </c>
      <c r="H371" s="5" t="s">
        <v>982</v>
      </c>
      <c r="I371" s="1">
        <v>2</v>
      </c>
      <c r="J371" s="5" t="s">
        <v>982</v>
      </c>
      <c r="K371" s="1">
        <v>1</v>
      </c>
      <c r="L371" s="5" t="s">
        <v>983</v>
      </c>
      <c r="M371" s="1">
        <v>3</v>
      </c>
      <c r="N371" s="5" t="s">
        <v>982</v>
      </c>
      <c r="O371" s="1">
        <v>1</v>
      </c>
      <c r="P371" s="5" t="s">
        <v>982</v>
      </c>
      <c r="Q371" s="1">
        <v>0</v>
      </c>
      <c r="R371" s="1">
        <v>0</v>
      </c>
      <c r="S371" s="1" t="s">
        <v>194</v>
      </c>
      <c r="T371" s="1">
        <v>2</v>
      </c>
      <c r="U371" s="1">
        <v>2</v>
      </c>
      <c r="V371" s="1">
        <v>49</v>
      </c>
      <c r="W371" s="1">
        <v>0</v>
      </c>
      <c r="X371" s="1">
        <v>14</v>
      </c>
      <c r="Y371" s="1">
        <v>1</v>
      </c>
      <c r="Z371" s="1">
        <v>49000</v>
      </c>
      <c r="AA371" s="1">
        <v>3</v>
      </c>
    </row>
    <row r="372" spans="1:27" ht="12.75" customHeight="1" x14ac:dyDescent="0.15">
      <c r="A372" s="5">
        <v>329</v>
      </c>
      <c r="B372" s="5" t="s">
        <v>238</v>
      </c>
      <c r="C372" s="1">
        <v>22</v>
      </c>
      <c r="D372" s="5" t="s">
        <v>982</v>
      </c>
      <c r="E372" s="1">
        <v>7</v>
      </c>
      <c r="F372" s="5" t="s">
        <v>981</v>
      </c>
      <c r="G372" s="1">
        <v>3</v>
      </c>
      <c r="H372" s="5" t="s">
        <v>982</v>
      </c>
      <c r="I372" s="1">
        <v>11</v>
      </c>
      <c r="J372" s="5" t="s">
        <v>981</v>
      </c>
      <c r="K372" s="1">
        <v>6</v>
      </c>
      <c r="L372" s="5" t="s">
        <v>981</v>
      </c>
      <c r="M372" s="1">
        <v>6</v>
      </c>
      <c r="N372" s="5" t="s">
        <v>981</v>
      </c>
      <c r="O372" s="1">
        <v>0</v>
      </c>
      <c r="P372" s="5" t="s">
        <v>983</v>
      </c>
      <c r="Q372" s="1">
        <v>0</v>
      </c>
      <c r="R372" s="1">
        <v>0</v>
      </c>
      <c r="S372" s="1" t="s">
        <v>194</v>
      </c>
      <c r="T372" s="1">
        <v>5</v>
      </c>
      <c r="U372" s="1">
        <v>2</v>
      </c>
      <c r="V372" s="1">
        <v>49</v>
      </c>
      <c r="W372" s="1">
        <v>1</v>
      </c>
      <c r="X372" s="1">
        <v>13</v>
      </c>
      <c r="Y372" s="1">
        <v>2</v>
      </c>
      <c r="Z372" s="1">
        <v>250000</v>
      </c>
      <c r="AA372" s="1">
        <v>1</v>
      </c>
    </row>
    <row r="373" spans="1:27" ht="12.75" customHeight="1" x14ac:dyDescent="0.15">
      <c r="A373" s="5">
        <v>124</v>
      </c>
      <c r="B373" s="5" t="s">
        <v>984</v>
      </c>
      <c r="C373" s="1">
        <v>27</v>
      </c>
      <c r="D373" s="5" t="s">
        <v>981</v>
      </c>
      <c r="E373" s="1">
        <v>1</v>
      </c>
      <c r="F373" s="5" t="s">
        <v>983</v>
      </c>
      <c r="G373" s="1">
        <v>0</v>
      </c>
      <c r="H373" s="5" t="s">
        <v>983</v>
      </c>
      <c r="I373" s="1">
        <v>3</v>
      </c>
      <c r="J373" s="5" t="s">
        <v>982</v>
      </c>
      <c r="K373" s="1">
        <v>1</v>
      </c>
      <c r="L373" s="5" t="s">
        <v>983</v>
      </c>
      <c r="M373" s="1">
        <v>0</v>
      </c>
      <c r="N373" s="5" t="s">
        <v>983</v>
      </c>
      <c r="O373" s="1">
        <v>0</v>
      </c>
      <c r="P373" s="5" t="s">
        <v>983</v>
      </c>
      <c r="Q373" s="1">
        <v>0</v>
      </c>
      <c r="R373" s="1">
        <v>0</v>
      </c>
      <c r="S373" s="1" t="s">
        <v>194</v>
      </c>
      <c r="T373" s="1">
        <v>2</v>
      </c>
      <c r="U373" s="1">
        <v>2</v>
      </c>
      <c r="V373" s="1">
        <v>49</v>
      </c>
      <c r="W373" s="1">
        <v>0</v>
      </c>
      <c r="X373" s="1">
        <v>17</v>
      </c>
      <c r="Y373" s="1">
        <v>34</v>
      </c>
      <c r="Z373" s="1">
        <v>800000</v>
      </c>
      <c r="AA373" s="1">
        <v>4</v>
      </c>
    </row>
    <row r="374" spans="1:27" ht="12.75" customHeight="1" x14ac:dyDescent="0.15">
      <c r="A374" s="5">
        <v>231</v>
      </c>
      <c r="B374" s="5" t="s">
        <v>984</v>
      </c>
      <c r="C374" s="1">
        <v>23</v>
      </c>
      <c r="D374" s="5" t="s">
        <v>982</v>
      </c>
      <c r="E374" s="1">
        <v>4</v>
      </c>
      <c r="F374" s="5" t="s">
        <v>982</v>
      </c>
      <c r="G374" s="1">
        <v>2</v>
      </c>
      <c r="H374" s="5" t="s">
        <v>982</v>
      </c>
      <c r="I374" s="1">
        <v>8</v>
      </c>
      <c r="J374" s="5" t="s">
        <v>981</v>
      </c>
      <c r="K374" s="1">
        <v>2</v>
      </c>
      <c r="L374" s="5" t="s">
        <v>983</v>
      </c>
      <c r="M374" s="1">
        <v>3</v>
      </c>
      <c r="N374" s="5" t="s">
        <v>982</v>
      </c>
      <c r="O374" s="1">
        <v>3</v>
      </c>
      <c r="P374" s="5" t="s">
        <v>982</v>
      </c>
      <c r="Q374" s="1">
        <v>0</v>
      </c>
      <c r="R374" s="1">
        <v>0</v>
      </c>
      <c r="S374" s="1">
        <v>0</v>
      </c>
      <c r="T374" s="1" t="s">
        <v>194</v>
      </c>
      <c r="U374" s="1">
        <v>3</v>
      </c>
      <c r="V374" s="1">
        <v>49</v>
      </c>
      <c r="W374" s="1">
        <v>0</v>
      </c>
      <c r="X374" s="1">
        <v>3</v>
      </c>
      <c r="Y374" s="1">
        <v>3</v>
      </c>
      <c r="Z374" s="1">
        <v>400000</v>
      </c>
      <c r="AA374" s="1">
        <v>5</v>
      </c>
    </row>
    <row r="375" spans="1:27" ht="12.75" customHeight="1" x14ac:dyDescent="0.15">
      <c r="A375" s="5">
        <v>446</v>
      </c>
      <c r="B375" s="5" t="s">
        <v>238</v>
      </c>
      <c r="C375" s="1">
        <v>44</v>
      </c>
      <c r="D375" s="5" t="s">
        <v>981</v>
      </c>
      <c r="E375" s="1">
        <v>6</v>
      </c>
      <c r="F375" s="5" t="s">
        <v>981</v>
      </c>
      <c r="G375" s="1">
        <v>7</v>
      </c>
      <c r="H375" s="5" t="s">
        <v>981</v>
      </c>
      <c r="I375" s="1">
        <v>11</v>
      </c>
      <c r="J375" s="5" t="s">
        <v>981</v>
      </c>
      <c r="K375" s="1">
        <v>0</v>
      </c>
      <c r="L375" s="5" t="s">
        <v>983</v>
      </c>
      <c r="M375" s="1">
        <v>0</v>
      </c>
      <c r="N375" s="5" t="s">
        <v>983</v>
      </c>
      <c r="O375" s="1">
        <v>0</v>
      </c>
      <c r="P375" s="5" t="s">
        <v>983</v>
      </c>
      <c r="Q375" s="1">
        <v>1</v>
      </c>
      <c r="R375" s="1">
        <v>0</v>
      </c>
      <c r="S375" s="1" t="s">
        <v>194</v>
      </c>
      <c r="T375" s="1" t="s">
        <v>194</v>
      </c>
      <c r="U375" s="1">
        <v>3</v>
      </c>
      <c r="V375" s="1">
        <v>49</v>
      </c>
      <c r="W375" s="1">
        <v>0</v>
      </c>
      <c r="X375" s="1">
        <v>5</v>
      </c>
      <c r="Y375" s="1">
        <v>28</v>
      </c>
      <c r="Z375" s="1">
        <v>500000</v>
      </c>
      <c r="AA375" s="1">
        <v>4</v>
      </c>
    </row>
    <row r="376" spans="1:27" ht="12.75" customHeight="1" x14ac:dyDescent="0.15">
      <c r="A376" s="5">
        <v>228</v>
      </c>
      <c r="B376" s="5" t="s">
        <v>984</v>
      </c>
      <c r="C376" s="1">
        <v>13</v>
      </c>
      <c r="D376" s="5" t="s">
        <v>983</v>
      </c>
      <c r="E376" s="1">
        <v>4</v>
      </c>
      <c r="F376" s="5" t="s">
        <v>982</v>
      </c>
      <c r="G376" s="1">
        <v>11</v>
      </c>
      <c r="H376" s="5" t="s">
        <v>981</v>
      </c>
      <c r="I376" s="1">
        <v>4</v>
      </c>
      <c r="J376" s="5" t="s">
        <v>982</v>
      </c>
      <c r="K376" s="1">
        <v>6</v>
      </c>
      <c r="L376" s="5" t="s">
        <v>981</v>
      </c>
      <c r="M376" s="1">
        <v>6</v>
      </c>
      <c r="N376" s="5" t="s">
        <v>981</v>
      </c>
      <c r="O376" s="1">
        <v>0</v>
      </c>
      <c r="P376" s="5" t="s">
        <v>983</v>
      </c>
      <c r="Q376" s="1">
        <v>1</v>
      </c>
      <c r="R376" s="1">
        <v>0</v>
      </c>
      <c r="S376" s="1">
        <v>1</v>
      </c>
      <c r="T376" s="1">
        <v>5</v>
      </c>
      <c r="U376" s="1">
        <v>4</v>
      </c>
      <c r="V376" s="1">
        <v>49</v>
      </c>
      <c r="W376" s="1">
        <v>0</v>
      </c>
      <c r="X376" s="1">
        <v>16</v>
      </c>
      <c r="Y376" s="1">
        <v>24</v>
      </c>
      <c r="Z376" s="1">
        <v>0</v>
      </c>
      <c r="AA376" s="1">
        <v>3</v>
      </c>
    </row>
    <row r="377" spans="1:27" ht="12.75" customHeight="1" x14ac:dyDescent="0.15">
      <c r="A377" s="5">
        <v>126</v>
      </c>
      <c r="B377" s="5" t="s">
        <v>238</v>
      </c>
      <c r="C377" s="1">
        <v>20</v>
      </c>
      <c r="D377" s="5" t="s">
        <v>982</v>
      </c>
      <c r="E377" s="1">
        <v>4</v>
      </c>
      <c r="F377" s="5" t="s">
        <v>982</v>
      </c>
      <c r="G377" s="1">
        <v>1</v>
      </c>
      <c r="H377" s="5" t="s">
        <v>983</v>
      </c>
      <c r="I377" s="1">
        <v>10</v>
      </c>
      <c r="J377" s="5" t="s">
        <v>981</v>
      </c>
      <c r="K377" s="1">
        <v>0</v>
      </c>
      <c r="L377" s="5" t="s">
        <v>983</v>
      </c>
      <c r="M377" s="1">
        <v>2</v>
      </c>
      <c r="N377" s="5" t="s">
        <v>983</v>
      </c>
      <c r="O377" s="1">
        <v>0</v>
      </c>
      <c r="P377" s="5" t="s">
        <v>983</v>
      </c>
      <c r="Q377" s="1">
        <v>1</v>
      </c>
      <c r="R377" s="1">
        <v>0</v>
      </c>
      <c r="S377" s="1">
        <v>1</v>
      </c>
      <c r="T377" s="1">
        <v>2</v>
      </c>
      <c r="U377" s="1">
        <v>4</v>
      </c>
      <c r="V377" s="1">
        <v>49</v>
      </c>
      <c r="W377" s="1">
        <v>0</v>
      </c>
      <c r="X377" s="1">
        <v>16</v>
      </c>
      <c r="Y377" s="1">
        <v>21</v>
      </c>
      <c r="Z377" s="1">
        <v>600000</v>
      </c>
      <c r="AA377" s="1">
        <v>2</v>
      </c>
    </row>
    <row r="378" spans="1:27" ht="12.75" customHeight="1" x14ac:dyDescent="0.15">
      <c r="A378" s="5">
        <v>203</v>
      </c>
      <c r="B378" s="5" t="s">
        <v>238</v>
      </c>
      <c r="C378" s="1">
        <v>37</v>
      </c>
      <c r="D378" s="5" t="s">
        <v>981</v>
      </c>
      <c r="E378" s="1">
        <v>3</v>
      </c>
      <c r="F378" s="5" t="s">
        <v>982</v>
      </c>
      <c r="G378" s="1">
        <v>3</v>
      </c>
      <c r="H378" s="5" t="s">
        <v>982</v>
      </c>
      <c r="I378" s="1">
        <v>12</v>
      </c>
      <c r="J378" s="5" t="s">
        <v>981</v>
      </c>
      <c r="K378" s="1">
        <v>3</v>
      </c>
      <c r="L378" s="5" t="s">
        <v>982</v>
      </c>
      <c r="M378" s="1">
        <v>3</v>
      </c>
      <c r="N378" s="5" t="s">
        <v>982</v>
      </c>
      <c r="O378" s="1">
        <v>0</v>
      </c>
      <c r="P378" s="5" t="s">
        <v>983</v>
      </c>
      <c r="Q378" s="1">
        <v>1</v>
      </c>
      <c r="R378" s="1">
        <v>0</v>
      </c>
      <c r="S378" s="1" t="s">
        <v>194</v>
      </c>
      <c r="T378" s="1">
        <v>5</v>
      </c>
      <c r="U378" s="1">
        <v>4</v>
      </c>
      <c r="V378" s="1">
        <v>49</v>
      </c>
      <c r="W378" s="1">
        <v>0</v>
      </c>
      <c r="X378" s="1">
        <v>4</v>
      </c>
      <c r="Y378" s="1">
        <v>24</v>
      </c>
      <c r="Z378" s="1">
        <v>0</v>
      </c>
      <c r="AA378" s="1">
        <v>4</v>
      </c>
    </row>
    <row r="379" spans="1:27" ht="12.75" customHeight="1" x14ac:dyDescent="0.15">
      <c r="A379" s="5">
        <v>125</v>
      </c>
      <c r="B379" s="5" t="s">
        <v>238</v>
      </c>
      <c r="C379" s="1">
        <v>31</v>
      </c>
      <c r="D379" s="5" t="s">
        <v>981</v>
      </c>
      <c r="E379" s="1">
        <v>6</v>
      </c>
      <c r="F379" s="5" t="s">
        <v>981</v>
      </c>
      <c r="G379" s="1">
        <v>4</v>
      </c>
      <c r="H379" s="5" t="s">
        <v>982</v>
      </c>
      <c r="I379" s="1">
        <v>7</v>
      </c>
      <c r="J379" s="5" t="s">
        <v>981</v>
      </c>
      <c r="K379" s="1">
        <v>12</v>
      </c>
      <c r="L379" s="5" t="s">
        <v>981</v>
      </c>
      <c r="M379" s="1">
        <v>10</v>
      </c>
      <c r="N379" s="5" t="s">
        <v>981</v>
      </c>
      <c r="O379" s="1">
        <v>1</v>
      </c>
      <c r="P379" s="5" t="s">
        <v>982</v>
      </c>
      <c r="Q379" s="1">
        <v>0</v>
      </c>
      <c r="R379" s="1">
        <v>0</v>
      </c>
      <c r="S379" s="1">
        <v>0</v>
      </c>
      <c r="T379" s="1">
        <v>5</v>
      </c>
      <c r="U379" s="1">
        <v>5</v>
      </c>
      <c r="V379" s="1">
        <v>49</v>
      </c>
      <c r="W379" s="1">
        <v>0</v>
      </c>
      <c r="X379" s="1">
        <v>17</v>
      </c>
      <c r="Y379" s="1">
        <v>34</v>
      </c>
      <c r="Z379" s="1">
        <v>800000</v>
      </c>
      <c r="AA379" s="1">
        <v>4</v>
      </c>
    </row>
    <row r="380" spans="1:27" ht="12.75" customHeight="1" x14ac:dyDescent="0.15">
      <c r="A380" s="5">
        <v>4</v>
      </c>
      <c r="B380" s="5" t="s">
        <v>238</v>
      </c>
      <c r="C380" s="1">
        <v>32</v>
      </c>
      <c r="D380" s="5" t="s">
        <v>981</v>
      </c>
      <c r="E380" s="1">
        <v>8</v>
      </c>
      <c r="F380" s="5" t="s">
        <v>981</v>
      </c>
      <c r="G380" s="1">
        <v>7</v>
      </c>
      <c r="H380" s="5" t="s">
        <v>981</v>
      </c>
      <c r="I380" s="1">
        <v>16</v>
      </c>
      <c r="J380" s="5" t="s">
        <v>981</v>
      </c>
      <c r="K380" s="1">
        <v>0</v>
      </c>
      <c r="L380" s="5" t="s">
        <v>983</v>
      </c>
      <c r="M380" s="1">
        <v>7</v>
      </c>
      <c r="N380" s="5" t="s">
        <v>981</v>
      </c>
      <c r="O380" s="1">
        <v>2</v>
      </c>
      <c r="P380" s="5" t="s">
        <v>982</v>
      </c>
      <c r="Q380" s="1">
        <v>1</v>
      </c>
      <c r="R380" s="1">
        <v>0</v>
      </c>
      <c r="S380" s="1">
        <v>1</v>
      </c>
      <c r="T380" s="1">
        <v>5</v>
      </c>
      <c r="U380" s="1">
        <v>5</v>
      </c>
      <c r="V380" s="1">
        <v>49</v>
      </c>
      <c r="W380" s="1">
        <v>0</v>
      </c>
      <c r="X380" s="1">
        <v>14</v>
      </c>
      <c r="Y380" s="1">
        <v>16</v>
      </c>
      <c r="Z380" s="1">
        <v>0</v>
      </c>
      <c r="AA380" s="1">
        <v>3</v>
      </c>
    </row>
    <row r="381" spans="1:27" ht="12.75" customHeight="1" x14ac:dyDescent="0.15">
      <c r="A381" s="5">
        <v>232</v>
      </c>
      <c r="B381" s="5" t="s">
        <v>238</v>
      </c>
      <c r="C381" s="1">
        <v>14</v>
      </c>
      <c r="D381" s="5" t="s">
        <v>983</v>
      </c>
      <c r="E381" s="1">
        <v>6</v>
      </c>
      <c r="F381" s="5" t="s">
        <v>981</v>
      </c>
      <c r="G381" s="1">
        <v>6</v>
      </c>
      <c r="H381" s="5" t="s">
        <v>981</v>
      </c>
      <c r="I381" s="1">
        <v>5</v>
      </c>
      <c r="J381" s="5" t="s">
        <v>981</v>
      </c>
      <c r="K381" s="1">
        <v>6</v>
      </c>
      <c r="L381" s="5" t="s">
        <v>981</v>
      </c>
      <c r="M381" s="1">
        <v>4</v>
      </c>
      <c r="N381" s="5" t="s">
        <v>982</v>
      </c>
      <c r="O381" s="1">
        <v>0</v>
      </c>
      <c r="P381" s="5" t="s">
        <v>983</v>
      </c>
      <c r="Q381" s="1">
        <v>0</v>
      </c>
      <c r="R381" s="1">
        <v>0</v>
      </c>
      <c r="S381" s="1">
        <v>1</v>
      </c>
      <c r="T381" s="1">
        <v>3</v>
      </c>
      <c r="U381" s="1">
        <v>5</v>
      </c>
      <c r="V381" s="1">
        <v>49</v>
      </c>
      <c r="W381" s="1">
        <v>0</v>
      </c>
      <c r="X381" s="1">
        <v>3</v>
      </c>
      <c r="Y381" s="1">
        <v>3</v>
      </c>
      <c r="Z381" s="1">
        <v>400000</v>
      </c>
      <c r="AA381" s="1">
        <v>5</v>
      </c>
    </row>
    <row r="382" spans="1:27" ht="12.75" customHeight="1" x14ac:dyDescent="0.15">
      <c r="A382" s="5">
        <v>378</v>
      </c>
      <c r="B382" s="5" t="s">
        <v>238</v>
      </c>
      <c r="C382" s="1">
        <v>12</v>
      </c>
      <c r="D382" s="5" t="s">
        <v>983</v>
      </c>
      <c r="E382" s="1">
        <v>4</v>
      </c>
      <c r="F382" s="5" t="s">
        <v>982</v>
      </c>
      <c r="G382" s="1">
        <v>3</v>
      </c>
      <c r="H382" s="5" t="s">
        <v>982</v>
      </c>
      <c r="I382" s="1">
        <v>15</v>
      </c>
      <c r="J382" s="5" t="s">
        <v>981</v>
      </c>
      <c r="K382" s="1">
        <v>4</v>
      </c>
      <c r="L382" s="5" t="s">
        <v>982</v>
      </c>
      <c r="M382" s="1">
        <v>3</v>
      </c>
      <c r="N382" s="5" t="s">
        <v>982</v>
      </c>
      <c r="O382" s="1">
        <v>0</v>
      </c>
      <c r="P382" s="5" t="s">
        <v>983</v>
      </c>
      <c r="Q382" s="1">
        <v>1</v>
      </c>
      <c r="R382" s="1">
        <v>0</v>
      </c>
      <c r="S382" s="1">
        <v>1</v>
      </c>
      <c r="T382" s="1">
        <v>5</v>
      </c>
      <c r="U382" s="1">
        <v>5</v>
      </c>
      <c r="V382" s="1">
        <v>49</v>
      </c>
      <c r="W382" s="1">
        <v>0</v>
      </c>
      <c r="X382" s="1">
        <v>18</v>
      </c>
      <c r="Y382" s="1">
        <v>6</v>
      </c>
      <c r="Z382" s="1">
        <v>500000</v>
      </c>
      <c r="AA382" s="1">
        <v>4</v>
      </c>
    </row>
    <row r="383" spans="1:27" ht="12.75" customHeight="1" x14ac:dyDescent="0.15">
      <c r="A383" s="5">
        <v>491</v>
      </c>
      <c r="B383" s="5" t="s">
        <v>238</v>
      </c>
      <c r="C383" s="1">
        <v>18</v>
      </c>
      <c r="D383" s="5" t="s">
        <v>983</v>
      </c>
      <c r="E383" s="1">
        <v>12</v>
      </c>
      <c r="F383" s="5" t="s">
        <v>981</v>
      </c>
      <c r="G383" s="1">
        <v>11</v>
      </c>
      <c r="H383" s="5" t="s">
        <v>981</v>
      </c>
      <c r="I383" s="1">
        <v>1</v>
      </c>
      <c r="J383" s="5" t="s">
        <v>982</v>
      </c>
      <c r="K383" s="1">
        <v>11</v>
      </c>
      <c r="L383" s="5" t="s">
        <v>981</v>
      </c>
      <c r="M383" s="1">
        <v>11</v>
      </c>
      <c r="N383" s="5" t="s">
        <v>981</v>
      </c>
      <c r="O383" s="1">
        <v>7</v>
      </c>
      <c r="P383" s="5" t="s">
        <v>982</v>
      </c>
      <c r="Q383" s="1">
        <v>1</v>
      </c>
      <c r="R383" s="1">
        <v>0</v>
      </c>
      <c r="S383" s="1">
        <v>1</v>
      </c>
      <c r="T383" s="1" t="s">
        <v>194</v>
      </c>
      <c r="U383" s="1" t="s">
        <v>194</v>
      </c>
      <c r="V383" s="1">
        <v>49</v>
      </c>
      <c r="W383" s="1">
        <v>0</v>
      </c>
      <c r="X383" s="1">
        <v>14</v>
      </c>
      <c r="Y383" s="1">
        <v>1</v>
      </c>
      <c r="Z383" s="1">
        <v>500000</v>
      </c>
      <c r="AA383" s="1">
        <v>3</v>
      </c>
    </row>
    <row r="384" spans="1:27" ht="12.75" customHeight="1" x14ac:dyDescent="0.15">
      <c r="A384" s="5">
        <v>375</v>
      </c>
      <c r="B384" s="5" t="s">
        <v>238</v>
      </c>
      <c r="C384" s="1">
        <v>26</v>
      </c>
      <c r="D384" s="5" t="s">
        <v>981</v>
      </c>
      <c r="E384" s="1">
        <v>4</v>
      </c>
      <c r="F384" s="5" t="s">
        <v>982</v>
      </c>
      <c r="G384" s="1">
        <v>0</v>
      </c>
      <c r="H384" s="5" t="s">
        <v>983</v>
      </c>
      <c r="I384" s="1">
        <v>8</v>
      </c>
      <c r="J384" s="5" t="s">
        <v>981</v>
      </c>
      <c r="K384" s="1">
        <v>0</v>
      </c>
      <c r="L384" s="5" t="s">
        <v>983</v>
      </c>
      <c r="M384" s="1">
        <v>1</v>
      </c>
      <c r="N384" s="5" t="s">
        <v>983</v>
      </c>
      <c r="O384" s="1">
        <v>0</v>
      </c>
      <c r="P384" s="5" t="s">
        <v>983</v>
      </c>
      <c r="Q384" s="1">
        <v>1</v>
      </c>
      <c r="R384" s="1">
        <v>0</v>
      </c>
      <c r="S384" s="1">
        <v>1</v>
      </c>
      <c r="T384" s="1" t="s">
        <v>194</v>
      </c>
      <c r="U384" s="1">
        <v>2</v>
      </c>
      <c r="V384" s="1">
        <v>50</v>
      </c>
      <c r="W384" s="1">
        <v>1</v>
      </c>
      <c r="X384" s="1">
        <v>4</v>
      </c>
      <c r="Y384" s="1">
        <v>2</v>
      </c>
      <c r="Z384" s="1">
        <v>0</v>
      </c>
      <c r="AA384" s="1">
        <v>3</v>
      </c>
    </row>
    <row r="385" spans="1:27" ht="12.75" customHeight="1" x14ac:dyDescent="0.15">
      <c r="A385" s="5">
        <v>408</v>
      </c>
      <c r="B385" s="5" t="s">
        <v>238</v>
      </c>
      <c r="C385" s="1">
        <v>22</v>
      </c>
      <c r="D385" s="5" t="s">
        <v>982</v>
      </c>
      <c r="E385" s="1">
        <v>5</v>
      </c>
      <c r="F385" s="5" t="s">
        <v>981</v>
      </c>
      <c r="G385" s="1">
        <v>3</v>
      </c>
      <c r="H385" s="5" t="s">
        <v>982</v>
      </c>
      <c r="I385" s="1">
        <v>4</v>
      </c>
      <c r="J385" s="5" t="s">
        <v>982</v>
      </c>
      <c r="K385" s="1">
        <v>7</v>
      </c>
      <c r="L385" s="5" t="s">
        <v>981</v>
      </c>
      <c r="M385" s="1">
        <v>4</v>
      </c>
      <c r="N385" s="5" t="s">
        <v>982</v>
      </c>
      <c r="O385" s="1">
        <v>1</v>
      </c>
      <c r="P385" s="5" t="s">
        <v>982</v>
      </c>
      <c r="Q385" s="1">
        <v>1</v>
      </c>
      <c r="R385" s="1">
        <v>0</v>
      </c>
      <c r="S385" s="1">
        <v>1</v>
      </c>
      <c r="T385" s="1">
        <v>4</v>
      </c>
      <c r="U385" s="1">
        <v>2</v>
      </c>
      <c r="V385" s="1">
        <v>50</v>
      </c>
      <c r="W385" s="1">
        <v>0</v>
      </c>
      <c r="X385" s="1">
        <v>18</v>
      </c>
      <c r="Y385" s="1">
        <v>27</v>
      </c>
      <c r="Z385" s="1">
        <v>900000</v>
      </c>
      <c r="AA385" s="1">
        <v>2</v>
      </c>
    </row>
    <row r="386" spans="1:27" ht="12.75" customHeight="1" x14ac:dyDescent="0.15">
      <c r="A386" s="5">
        <v>297</v>
      </c>
      <c r="B386" s="5" t="s">
        <v>238</v>
      </c>
      <c r="C386" s="1">
        <v>17</v>
      </c>
      <c r="D386" s="5" t="s">
        <v>983</v>
      </c>
      <c r="E386" s="1">
        <v>2</v>
      </c>
      <c r="F386" s="5" t="s">
        <v>982</v>
      </c>
      <c r="G386" s="1">
        <v>2</v>
      </c>
      <c r="H386" s="5" t="s">
        <v>982</v>
      </c>
      <c r="I386" s="1">
        <v>8</v>
      </c>
      <c r="J386" s="5" t="s">
        <v>981</v>
      </c>
      <c r="K386" s="1">
        <v>2</v>
      </c>
      <c r="L386" s="5" t="s">
        <v>983</v>
      </c>
      <c r="M386" s="1">
        <v>12</v>
      </c>
      <c r="N386" s="5" t="s">
        <v>981</v>
      </c>
      <c r="O386" s="1">
        <v>0</v>
      </c>
      <c r="P386" s="5" t="s">
        <v>983</v>
      </c>
      <c r="Q386" s="1">
        <v>1</v>
      </c>
      <c r="R386" s="1">
        <v>0</v>
      </c>
      <c r="S386" s="1">
        <v>1</v>
      </c>
      <c r="T386" s="1" t="s">
        <v>194</v>
      </c>
      <c r="U386" s="1">
        <v>3</v>
      </c>
      <c r="V386" s="1">
        <v>50</v>
      </c>
      <c r="W386" s="1">
        <v>0</v>
      </c>
      <c r="X386" s="1">
        <v>4</v>
      </c>
      <c r="Y386" s="1">
        <v>32</v>
      </c>
      <c r="Z386" s="1">
        <v>850000</v>
      </c>
      <c r="AA386" s="1">
        <v>2</v>
      </c>
    </row>
    <row r="387" spans="1:27" ht="12.75" customHeight="1" x14ac:dyDescent="0.15">
      <c r="A387" s="5">
        <v>129</v>
      </c>
      <c r="B387" s="5" t="s">
        <v>984</v>
      </c>
      <c r="C387" s="1">
        <v>31</v>
      </c>
      <c r="D387" s="5" t="s">
        <v>981</v>
      </c>
      <c r="E387" s="1">
        <v>3</v>
      </c>
      <c r="F387" s="5" t="s">
        <v>982</v>
      </c>
      <c r="G387" s="1">
        <v>3</v>
      </c>
      <c r="H387" s="5" t="s">
        <v>982</v>
      </c>
      <c r="I387" s="1">
        <v>4</v>
      </c>
      <c r="J387" s="5" t="s">
        <v>982</v>
      </c>
      <c r="K387" s="1">
        <v>3</v>
      </c>
      <c r="L387" s="5" t="s">
        <v>982</v>
      </c>
      <c r="M387" s="1">
        <v>3</v>
      </c>
      <c r="N387" s="5" t="s">
        <v>982</v>
      </c>
      <c r="O387" s="1">
        <v>0</v>
      </c>
      <c r="P387" s="5" t="s">
        <v>983</v>
      </c>
      <c r="Q387" s="1">
        <v>0</v>
      </c>
      <c r="R387" s="1">
        <v>0</v>
      </c>
      <c r="S387" s="1" t="s">
        <v>194</v>
      </c>
      <c r="T387" s="1">
        <v>5</v>
      </c>
      <c r="U387" s="1">
        <v>3</v>
      </c>
      <c r="V387" s="1">
        <v>50</v>
      </c>
      <c r="W387" s="1">
        <v>1</v>
      </c>
      <c r="X387" s="1">
        <v>16</v>
      </c>
      <c r="Y387" s="1">
        <v>34</v>
      </c>
      <c r="Z387" s="1">
        <v>5400000</v>
      </c>
      <c r="AA387" s="1">
        <v>1</v>
      </c>
    </row>
    <row r="388" spans="1:27" ht="12.75" customHeight="1" x14ac:dyDescent="0.15">
      <c r="A388" s="5">
        <v>140</v>
      </c>
      <c r="B388" s="5" t="s">
        <v>238</v>
      </c>
      <c r="C388" s="1">
        <v>34</v>
      </c>
      <c r="D388" s="5" t="s">
        <v>981</v>
      </c>
      <c r="E388" s="1">
        <v>3</v>
      </c>
      <c r="F388" s="5" t="s">
        <v>982</v>
      </c>
      <c r="G388" s="1">
        <v>9</v>
      </c>
      <c r="H388" s="5" t="s">
        <v>981</v>
      </c>
      <c r="I388" s="1">
        <v>10</v>
      </c>
      <c r="J388" s="5" t="s">
        <v>981</v>
      </c>
      <c r="K388" s="1">
        <v>8</v>
      </c>
      <c r="L388" s="5" t="s">
        <v>981</v>
      </c>
      <c r="M388" s="1">
        <v>8</v>
      </c>
      <c r="N388" s="5" t="s">
        <v>981</v>
      </c>
      <c r="O388" s="1">
        <v>3</v>
      </c>
      <c r="P388" s="5" t="s">
        <v>982</v>
      </c>
      <c r="Q388" s="1">
        <v>0</v>
      </c>
      <c r="R388" s="1">
        <v>0</v>
      </c>
      <c r="S388" s="1">
        <v>0</v>
      </c>
      <c r="T388" s="1">
        <v>3</v>
      </c>
      <c r="U388" s="1">
        <v>4</v>
      </c>
      <c r="V388" s="1">
        <v>50</v>
      </c>
      <c r="W388" s="1">
        <v>1</v>
      </c>
      <c r="X388" s="1">
        <v>16</v>
      </c>
      <c r="Y388" s="1">
        <v>34</v>
      </c>
      <c r="Z388" s="1">
        <v>7000000</v>
      </c>
      <c r="AA388" s="1">
        <v>3</v>
      </c>
    </row>
    <row r="389" spans="1:27" ht="12.75" customHeight="1" x14ac:dyDescent="0.15">
      <c r="A389" s="5">
        <v>296</v>
      </c>
      <c r="B389" s="5" t="s">
        <v>238</v>
      </c>
      <c r="C389" s="1">
        <v>28</v>
      </c>
      <c r="D389" s="5" t="s">
        <v>981</v>
      </c>
      <c r="E389" s="1">
        <v>5</v>
      </c>
      <c r="F389" s="5" t="s">
        <v>981</v>
      </c>
      <c r="G389" s="1">
        <v>8</v>
      </c>
      <c r="H389" s="5" t="s">
        <v>981</v>
      </c>
      <c r="I389" s="1">
        <v>13</v>
      </c>
      <c r="J389" s="5" t="s">
        <v>981</v>
      </c>
      <c r="K389" s="1">
        <v>1</v>
      </c>
      <c r="L389" s="5" t="s">
        <v>983</v>
      </c>
      <c r="M389" s="1">
        <v>0</v>
      </c>
      <c r="N389" s="5" t="s">
        <v>983</v>
      </c>
      <c r="O389" s="1">
        <v>0</v>
      </c>
      <c r="P389" s="5" t="s">
        <v>983</v>
      </c>
      <c r="Q389" s="1">
        <v>0</v>
      </c>
      <c r="R389" s="1">
        <v>0</v>
      </c>
      <c r="S389" s="1" t="s">
        <v>194</v>
      </c>
      <c r="T389" s="1">
        <v>5</v>
      </c>
      <c r="U389" s="1">
        <v>5</v>
      </c>
      <c r="V389" s="1">
        <v>50</v>
      </c>
      <c r="W389" s="1">
        <v>0</v>
      </c>
      <c r="X389" s="1">
        <v>4</v>
      </c>
      <c r="Y389" s="1">
        <v>32</v>
      </c>
      <c r="Z389" s="1">
        <v>850000</v>
      </c>
      <c r="AA389" s="1">
        <v>2</v>
      </c>
    </row>
    <row r="390" spans="1:27" ht="12.75" customHeight="1" x14ac:dyDescent="0.15">
      <c r="A390" s="5">
        <v>141</v>
      </c>
      <c r="B390" s="5" t="s">
        <v>238</v>
      </c>
      <c r="C390" s="1">
        <v>39</v>
      </c>
      <c r="D390" s="5" t="s">
        <v>981</v>
      </c>
      <c r="E390" s="1">
        <v>3</v>
      </c>
      <c r="F390" s="5" t="s">
        <v>982</v>
      </c>
      <c r="G390" s="1">
        <v>3</v>
      </c>
      <c r="H390" s="5" t="s">
        <v>982</v>
      </c>
      <c r="I390" s="1">
        <v>12</v>
      </c>
      <c r="J390" s="5" t="s">
        <v>981</v>
      </c>
      <c r="K390" s="1">
        <v>3</v>
      </c>
      <c r="L390" s="5" t="s">
        <v>982</v>
      </c>
      <c r="M390" s="1">
        <v>3</v>
      </c>
      <c r="N390" s="5" t="s">
        <v>982</v>
      </c>
      <c r="O390" s="1">
        <v>0</v>
      </c>
      <c r="P390" s="5" t="s">
        <v>983</v>
      </c>
      <c r="Q390" s="1">
        <v>1</v>
      </c>
      <c r="R390" s="1">
        <v>0</v>
      </c>
      <c r="S390" s="1">
        <v>1</v>
      </c>
      <c r="T390" s="1" t="s">
        <v>194</v>
      </c>
      <c r="U390" s="1" t="s">
        <v>194</v>
      </c>
      <c r="V390" s="1">
        <v>50</v>
      </c>
      <c r="W390" s="1">
        <v>1</v>
      </c>
      <c r="X390" s="1">
        <v>16</v>
      </c>
      <c r="Y390" s="1">
        <v>34</v>
      </c>
      <c r="Z390" s="1">
        <v>7000000</v>
      </c>
      <c r="AA390" s="1">
        <v>3</v>
      </c>
    </row>
    <row r="391" spans="1:27" ht="12.75" customHeight="1" x14ac:dyDescent="0.15">
      <c r="A391" s="5">
        <v>369</v>
      </c>
      <c r="B391" s="5" t="s">
        <v>238</v>
      </c>
      <c r="C391" s="1">
        <v>29</v>
      </c>
      <c r="D391" s="5" t="s">
        <v>981</v>
      </c>
      <c r="E391" s="1">
        <v>9</v>
      </c>
      <c r="F391" s="5" t="s">
        <v>981</v>
      </c>
      <c r="G391" s="1">
        <v>9</v>
      </c>
      <c r="H391" s="5" t="s">
        <v>981</v>
      </c>
      <c r="I391" s="1">
        <v>4</v>
      </c>
      <c r="J391" s="5" t="s">
        <v>982</v>
      </c>
      <c r="K391" s="1">
        <v>9</v>
      </c>
      <c r="L391" s="5" t="s">
        <v>981</v>
      </c>
      <c r="M391" s="1">
        <v>6</v>
      </c>
      <c r="N391" s="5" t="s">
        <v>981</v>
      </c>
      <c r="O391" s="1">
        <v>14</v>
      </c>
      <c r="P391" s="5" t="s">
        <v>982</v>
      </c>
      <c r="Q391" s="1">
        <v>0</v>
      </c>
      <c r="R391" s="1">
        <v>0</v>
      </c>
      <c r="S391" s="1" t="s">
        <v>194</v>
      </c>
      <c r="T391" s="1" t="s">
        <v>194</v>
      </c>
      <c r="U391" s="1">
        <v>1</v>
      </c>
      <c r="V391" s="1">
        <v>51</v>
      </c>
      <c r="W391" s="1">
        <v>0</v>
      </c>
      <c r="X391" s="1">
        <v>10</v>
      </c>
      <c r="Y391" s="1">
        <v>2</v>
      </c>
      <c r="Z391" s="1">
        <v>0</v>
      </c>
      <c r="AA391" s="1">
        <v>4</v>
      </c>
    </row>
    <row r="392" spans="1:27" ht="12.75" customHeight="1" x14ac:dyDescent="0.15">
      <c r="A392" s="5">
        <v>370</v>
      </c>
      <c r="B392" s="5" t="s">
        <v>984</v>
      </c>
      <c r="C392" s="1">
        <v>25</v>
      </c>
      <c r="D392" s="5" t="s">
        <v>981</v>
      </c>
      <c r="E392" s="1">
        <v>1</v>
      </c>
      <c r="F392" s="5" t="s">
        <v>983</v>
      </c>
      <c r="G392" s="1">
        <v>7</v>
      </c>
      <c r="H392" s="5" t="s">
        <v>981</v>
      </c>
      <c r="I392" s="1">
        <v>1</v>
      </c>
      <c r="J392" s="5" t="s">
        <v>982</v>
      </c>
      <c r="K392" s="1">
        <v>0</v>
      </c>
      <c r="L392" s="5" t="s">
        <v>983</v>
      </c>
      <c r="M392" s="1">
        <v>3</v>
      </c>
      <c r="N392" s="5" t="s">
        <v>982</v>
      </c>
      <c r="O392" s="1">
        <v>0</v>
      </c>
      <c r="P392" s="5" t="s">
        <v>983</v>
      </c>
      <c r="Q392" s="1">
        <v>1</v>
      </c>
      <c r="R392" s="1">
        <v>0</v>
      </c>
      <c r="S392" s="1">
        <v>1</v>
      </c>
      <c r="T392" s="1">
        <v>3</v>
      </c>
      <c r="U392" s="1">
        <v>2</v>
      </c>
      <c r="V392" s="1">
        <v>51</v>
      </c>
      <c r="W392" s="1">
        <v>0</v>
      </c>
      <c r="X392" s="1">
        <v>10</v>
      </c>
      <c r="Y392" s="1">
        <v>2</v>
      </c>
      <c r="Z392" s="1">
        <v>0</v>
      </c>
      <c r="AA392" s="1">
        <v>4</v>
      </c>
    </row>
    <row r="393" spans="1:27" ht="12.75" customHeight="1" x14ac:dyDescent="0.15">
      <c r="A393" s="5">
        <v>200</v>
      </c>
      <c r="B393" s="5" t="s">
        <v>238</v>
      </c>
      <c r="C393" s="1">
        <v>17</v>
      </c>
      <c r="D393" s="5" t="s">
        <v>983</v>
      </c>
      <c r="E393" s="1">
        <v>2</v>
      </c>
      <c r="F393" s="5" t="s">
        <v>982</v>
      </c>
      <c r="G393" s="1">
        <v>2</v>
      </c>
      <c r="H393" s="5" t="s">
        <v>982</v>
      </c>
      <c r="I393" s="1">
        <v>3</v>
      </c>
      <c r="J393" s="5" t="s">
        <v>982</v>
      </c>
      <c r="K393" s="1">
        <v>0</v>
      </c>
      <c r="L393" s="5" t="s">
        <v>983</v>
      </c>
      <c r="M393" s="1">
        <v>2</v>
      </c>
      <c r="N393" s="5" t="s">
        <v>983</v>
      </c>
      <c r="O393" s="1">
        <v>0</v>
      </c>
      <c r="P393" s="5" t="s">
        <v>983</v>
      </c>
      <c r="Q393" s="1">
        <v>1</v>
      </c>
      <c r="R393" s="1">
        <v>0</v>
      </c>
      <c r="S393" s="1">
        <v>1</v>
      </c>
      <c r="T393" s="1">
        <v>3</v>
      </c>
      <c r="U393" s="1">
        <v>2</v>
      </c>
      <c r="V393" s="1">
        <v>51</v>
      </c>
      <c r="W393" s="1">
        <v>1</v>
      </c>
      <c r="X393" s="1">
        <v>16</v>
      </c>
      <c r="Y393" s="1">
        <v>6</v>
      </c>
      <c r="Z393" s="1">
        <v>200000</v>
      </c>
      <c r="AA393" s="1">
        <v>4</v>
      </c>
    </row>
    <row r="394" spans="1:27" ht="12.75" customHeight="1" x14ac:dyDescent="0.15">
      <c r="A394" s="5">
        <v>34</v>
      </c>
      <c r="B394" s="5" t="s">
        <v>238</v>
      </c>
      <c r="C394" s="1">
        <v>21</v>
      </c>
      <c r="D394" s="5" t="s">
        <v>982</v>
      </c>
      <c r="E394" s="1">
        <v>2</v>
      </c>
      <c r="F394" s="5" t="s">
        <v>982</v>
      </c>
      <c r="G394" s="1">
        <v>3</v>
      </c>
      <c r="H394" s="5" t="s">
        <v>982</v>
      </c>
      <c r="I394" s="1">
        <v>5</v>
      </c>
      <c r="J394" s="5" t="s">
        <v>981</v>
      </c>
      <c r="K394" s="1">
        <v>0</v>
      </c>
      <c r="L394" s="5" t="s">
        <v>983</v>
      </c>
      <c r="M394" s="1">
        <v>0</v>
      </c>
      <c r="N394" s="5" t="s">
        <v>983</v>
      </c>
      <c r="O394" s="1">
        <v>0</v>
      </c>
      <c r="P394" s="5" t="s">
        <v>983</v>
      </c>
      <c r="Q394" s="1">
        <v>1</v>
      </c>
      <c r="R394" s="1">
        <v>0</v>
      </c>
      <c r="S394" s="1" t="s">
        <v>194</v>
      </c>
      <c r="T394" s="1">
        <v>2</v>
      </c>
      <c r="U394" s="1">
        <v>2</v>
      </c>
      <c r="V394" s="1">
        <v>51</v>
      </c>
      <c r="W394" s="1">
        <v>0</v>
      </c>
      <c r="X394" s="1">
        <v>6</v>
      </c>
      <c r="Y394" s="1">
        <v>2</v>
      </c>
      <c r="Z394" s="1">
        <v>700000</v>
      </c>
      <c r="AA394" s="1">
        <v>2</v>
      </c>
    </row>
    <row r="395" spans="1:27" ht="12.75" customHeight="1" x14ac:dyDescent="0.15">
      <c r="A395" s="5">
        <v>5</v>
      </c>
      <c r="B395" s="5" t="s">
        <v>238</v>
      </c>
      <c r="C395" s="1">
        <v>20</v>
      </c>
      <c r="D395" s="5" t="s">
        <v>982</v>
      </c>
      <c r="E395" s="1">
        <v>9</v>
      </c>
      <c r="F395" s="5" t="s">
        <v>981</v>
      </c>
      <c r="G395" s="1">
        <v>6</v>
      </c>
      <c r="H395" s="5" t="s">
        <v>981</v>
      </c>
      <c r="I395" s="1">
        <v>4</v>
      </c>
      <c r="J395" s="5" t="s">
        <v>982</v>
      </c>
      <c r="K395" s="1">
        <v>4</v>
      </c>
      <c r="L395" s="5" t="s">
        <v>982</v>
      </c>
      <c r="M395" s="1">
        <v>2</v>
      </c>
      <c r="N395" s="5" t="s">
        <v>983</v>
      </c>
      <c r="O395" s="1">
        <v>4</v>
      </c>
      <c r="P395" s="5" t="s">
        <v>982</v>
      </c>
      <c r="Q395" s="1">
        <v>0</v>
      </c>
      <c r="R395" s="1">
        <v>0</v>
      </c>
      <c r="S395" s="1" t="s">
        <v>194</v>
      </c>
      <c r="T395" s="1">
        <v>2</v>
      </c>
      <c r="U395" s="1">
        <v>2</v>
      </c>
      <c r="V395" s="1">
        <v>51</v>
      </c>
      <c r="W395" s="1">
        <v>1</v>
      </c>
      <c r="X395" s="1">
        <v>16</v>
      </c>
      <c r="Y395" s="1">
        <v>34</v>
      </c>
      <c r="Z395" s="1">
        <v>750000</v>
      </c>
      <c r="AA395" s="1">
        <v>2</v>
      </c>
    </row>
    <row r="396" spans="1:27" ht="12.75" customHeight="1" x14ac:dyDescent="0.15">
      <c r="A396" s="5">
        <v>170</v>
      </c>
      <c r="B396" s="5" t="s">
        <v>238</v>
      </c>
      <c r="C396" s="1">
        <v>25</v>
      </c>
      <c r="D396" s="5" t="s">
        <v>981</v>
      </c>
      <c r="E396" s="1">
        <v>12</v>
      </c>
      <c r="F396" s="5" t="s">
        <v>981</v>
      </c>
      <c r="G396" s="1">
        <v>6</v>
      </c>
      <c r="H396" s="5" t="s">
        <v>981</v>
      </c>
      <c r="I396" s="1">
        <v>8</v>
      </c>
      <c r="J396" s="5" t="s">
        <v>981</v>
      </c>
      <c r="K396" s="1">
        <v>6</v>
      </c>
      <c r="L396" s="5" t="s">
        <v>981</v>
      </c>
      <c r="M396" s="1">
        <v>6</v>
      </c>
      <c r="N396" s="5" t="s">
        <v>981</v>
      </c>
      <c r="O396" s="1">
        <v>0</v>
      </c>
      <c r="P396" s="5" t="s">
        <v>983</v>
      </c>
      <c r="Q396" s="1">
        <v>0</v>
      </c>
      <c r="R396" s="1">
        <v>0</v>
      </c>
      <c r="S396" s="1" t="s">
        <v>194</v>
      </c>
      <c r="T396" s="1">
        <v>4</v>
      </c>
      <c r="U396" s="1">
        <v>3</v>
      </c>
      <c r="V396" s="1">
        <v>51</v>
      </c>
      <c r="W396" s="1">
        <v>0</v>
      </c>
      <c r="X396" s="1">
        <v>14</v>
      </c>
      <c r="Y396" s="1">
        <v>2</v>
      </c>
      <c r="Z396" s="1">
        <v>310000</v>
      </c>
      <c r="AA396" s="1">
        <v>3</v>
      </c>
    </row>
    <row r="397" spans="1:27" ht="12.75" customHeight="1" x14ac:dyDescent="0.15">
      <c r="A397" s="5">
        <v>42</v>
      </c>
      <c r="B397" s="5" t="s">
        <v>238</v>
      </c>
      <c r="C397" s="1">
        <v>29</v>
      </c>
      <c r="D397" s="5" t="s">
        <v>981</v>
      </c>
      <c r="E397" s="1">
        <v>3</v>
      </c>
      <c r="F397" s="5" t="s">
        <v>982</v>
      </c>
      <c r="G397" s="1">
        <v>0</v>
      </c>
      <c r="H397" s="5" t="s">
        <v>983</v>
      </c>
      <c r="I397" s="1">
        <v>16</v>
      </c>
      <c r="J397" s="5" t="s">
        <v>981</v>
      </c>
      <c r="K397" s="1">
        <v>0</v>
      </c>
      <c r="L397" s="5" t="s">
        <v>983</v>
      </c>
      <c r="M397" s="1">
        <v>0</v>
      </c>
      <c r="N397" s="5" t="s">
        <v>983</v>
      </c>
      <c r="O397" s="1">
        <v>0</v>
      </c>
      <c r="P397" s="5" t="s">
        <v>983</v>
      </c>
      <c r="Q397" s="1">
        <v>0</v>
      </c>
      <c r="R397" s="1">
        <v>0</v>
      </c>
      <c r="S397" s="1" t="s">
        <v>194</v>
      </c>
      <c r="T397" s="1">
        <v>1</v>
      </c>
      <c r="U397" s="1">
        <v>3</v>
      </c>
      <c r="V397" s="1">
        <v>51</v>
      </c>
      <c r="W397" s="1">
        <v>0</v>
      </c>
      <c r="X397" s="1">
        <v>14</v>
      </c>
      <c r="Y397" s="1">
        <v>29</v>
      </c>
      <c r="Z397" s="1">
        <v>800000</v>
      </c>
      <c r="AA397" s="1">
        <v>4</v>
      </c>
    </row>
    <row r="398" spans="1:27" ht="12.75" customHeight="1" x14ac:dyDescent="0.15">
      <c r="A398" s="5">
        <v>52</v>
      </c>
      <c r="B398" s="5" t="s">
        <v>238</v>
      </c>
      <c r="C398" s="1">
        <v>22</v>
      </c>
      <c r="D398" s="5" t="s">
        <v>982</v>
      </c>
      <c r="E398" s="1">
        <v>5</v>
      </c>
      <c r="F398" s="5" t="s">
        <v>981</v>
      </c>
      <c r="G398" s="1">
        <v>5</v>
      </c>
      <c r="H398" s="5" t="s">
        <v>982</v>
      </c>
      <c r="I398" s="1">
        <v>8</v>
      </c>
      <c r="J398" s="5" t="s">
        <v>981</v>
      </c>
      <c r="K398" s="1">
        <v>5</v>
      </c>
      <c r="L398" s="5" t="s">
        <v>982</v>
      </c>
      <c r="M398" s="1">
        <v>3</v>
      </c>
      <c r="N398" s="5" t="s">
        <v>982</v>
      </c>
      <c r="O398" s="1">
        <v>0</v>
      </c>
      <c r="P398" s="5" t="s">
        <v>983</v>
      </c>
      <c r="Q398" s="1">
        <v>1</v>
      </c>
      <c r="R398" s="1">
        <v>0</v>
      </c>
      <c r="S398" s="1">
        <v>1</v>
      </c>
      <c r="T398" s="1">
        <v>5</v>
      </c>
      <c r="U398" s="1">
        <v>5</v>
      </c>
      <c r="V398" s="1">
        <v>51</v>
      </c>
      <c r="W398" s="1">
        <v>0</v>
      </c>
      <c r="X398" s="1">
        <v>16</v>
      </c>
      <c r="Y398" s="1">
        <v>24</v>
      </c>
      <c r="Z398" s="1">
        <v>780000</v>
      </c>
      <c r="AA398" s="1">
        <v>3</v>
      </c>
    </row>
    <row r="399" spans="1:27" ht="12.75" customHeight="1" x14ac:dyDescent="0.15">
      <c r="A399" s="5">
        <v>349</v>
      </c>
      <c r="B399" s="5" t="s">
        <v>238</v>
      </c>
      <c r="C399" s="1">
        <v>30</v>
      </c>
      <c r="D399" s="5" t="s">
        <v>981</v>
      </c>
      <c r="E399" s="1">
        <v>3</v>
      </c>
      <c r="F399" s="5" t="s">
        <v>982</v>
      </c>
      <c r="G399" s="1">
        <v>1</v>
      </c>
      <c r="H399" s="5" t="s">
        <v>983</v>
      </c>
      <c r="I399" s="1">
        <v>7</v>
      </c>
      <c r="J399" s="5" t="s">
        <v>981</v>
      </c>
      <c r="K399" s="1">
        <v>0</v>
      </c>
      <c r="L399" s="5" t="s">
        <v>983</v>
      </c>
      <c r="M399" s="1">
        <v>0</v>
      </c>
      <c r="N399" s="5" t="s">
        <v>983</v>
      </c>
      <c r="O399" s="1">
        <v>0</v>
      </c>
      <c r="P399" s="5" t="s">
        <v>983</v>
      </c>
      <c r="Q399" s="1">
        <v>0</v>
      </c>
      <c r="R399" s="1">
        <v>0</v>
      </c>
      <c r="S399" s="1" t="s">
        <v>194</v>
      </c>
      <c r="T399" s="1">
        <v>5</v>
      </c>
      <c r="U399" s="1">
        <v>5</v>
      </c>
      <c r="V399" s="1">
        <v>51</v>
      </c>
      <c r="W399" s="1">
        <v>1</v>
      </c>
      <c r="X399" s="1">
        <v>2</v>
      </c>
      <c r="Y399" s="1">
        <v>24</v>
      </c>
      <c r="Z399" s="1">
        <v>1400000</v>
      </c>
      <c r="AA399" s="1">
        <v>1</v>
      </c>
    </row>
    <row r="400" spans="1:27" ht="12.75" customHeight="1" x14ac:dyDescent="0.15">
      <c r="A400" s="5">
        <v>219</v>
      </c>
      <c r="B400" s="5" t="s">
        <v>238</v>
      </c>
      <c r="C400" s="1">
        <v>12</v>
      </c>
      <c r="D400" s="5" t="s">
        <v>983</v>
      </c>
      <c r="E400" s="1">
        <v>1</v>
      </c>
      <c r="F400" s="5" t="s">
        <v>983</v>
      </c>
      <c r="G400" s="1">
        <v>1</v>
      </c>
      <c r="H400" s="5" t="s">
        <v>983</v>
      </c>
      <c r="I400" s="1">
        <v>3</v>
      </c>
      <c r="J400" s="5" t="s">
        <v>982</v>
      </c>
      <c r="K400" s="1">
        <v>1</v>
      </c>
      <c r="L400" s="5" t="s">
        <v>983</v>
      </c>
      <c r="M400" s="1">
        <v>0</v>
      </c>
      <c r="N400" s="5" t="s">
        <v>983</v>
      </c>
      <c r="O400" s="1">
        <v>0</v>
      </c>
      <c r="P400" s="5" t="s">
        <v>983</v>
      </c>
      <c r="Q400" s="1">
        <v>0</v>
      </c>
      <c r="R400" s="1">
        <v>0</v>
      </c>
      <c r="S400" s="1" t="s">
        <v>194</v>
      </c>
      <c r="T400" s="1" t="s">
        <v>194</v>
      </c>
      <c r="U400" s="1">
        <v>2</v>
      </c>
      <c r="V400" s="1">
        <v>52</v>
      </c>
      <c r="W400" s="1">
        <v>1</v>
      </c>
      <c r="X400" s="1">
        <v>14</v>
      </c>
      <c r="Y400" s="1">
        <v>15</v>
      </c>
      <c r="Z400" s="1">
        <v>2300000</v>
      </c>
      <c r="AA400" s="1">
        <v>3</v>
      </c>
    </row>
    <row r="401" spans="1:27" ht="12.75" customHeight="1" x14ac:dyDescent="0.15">
      <c r="A401" s="5">
        <v>250</v>
      </c>
      <c r="B401" s="5" t="s">
        <v>238</v>
      </c>
      <c r="C401" s="1">
        <v>30</v>
      </c>
      <c r="D401" s="5" t="s">
        <v>981</v>
      </c>
      <c r="E401" s="1">
        <v>7</v>
      </c>
      <c r="F401" s="5" t="s">
        <v>981</v>
      </c>
      <c r="G401" s="1">
        <v>2</v>
      </c>
      <c r="H401" s="5" t="s">
        <v>982</v>
      </c>
      <c r="I401" s="1">
        <v>7</v>
      </c>
      <c r="J401" s="5" t="s">
        <v>981</v>
      </c>
      <c r="K401" s="1">
        <v>3</v>
      </c>
      <c r="L401" s="5" t="s">
        <v>982</v>
      </c>
      <c r="M401" s="1">
        <v>5</v>
      </c>
      <c r="N401" s="5" t="s">
        <v>982</v>
      </c>
      <c r="O401" s="1">
        <v>0</v>
      </c>
      <c r="P401" s="5" t="s">
        <v>983</v>
      </c>
      <c r="Q401" s="1">
        <v>0</v>
      </c>
      <c r="R401" s="1">
        <v>0</v>
      </c>
      <c r="S401" s="1" t="s">
        <v>194</v>
      </c>
      <c r="T401" s="1">
        <v>4</v>
      </c>
      <c r="U401" s="1">
        <v>2</v>
      </c>
      <c r="V401" s="1">
        <v>52</v>
      </c>
      <c r="W401" s="1">
        <v>0</v>
      </c>
      <c r="X401" s="1">
        <v>2</v>
      </c>
      <c r="Y401" s="1">
        <v>2</v>
      </c>
      <c r="Z401" s="1">
        <v>0</v>
      </c>
      <c r="AA401" s="1">
        <v>2</v>
      </c>
    </row>
    <row r="402" spans="1:27" ht="12.75" customHeight="1" x14ac:dyDescent="0.15">
      <c r="A402" s="5">
        <v>322</v>
      </c>
      <c r="B402" s="5" t="s">
        <v>238</v>
      </c>
      <c r="C402" s="1">
        <v>18</v>
      </c>
      <c r="D402" s="5" t="s">
        <v>983</v>
      </c>
      <c r="E402" s="1">
        <v>4</v>
      </c>
      <c r="F402" s="5" t="s">
        <v>982</v>
      </c>
      <c r="G402" s="1">
        <v>3</v>
      </c>
      <c r="H402" s="5" t="s">
        <v>982</v>
      </c>
      <c r="I402" s="1">
        <v>8</v>
      </c>
      <c r="J402" s="5" t="s">
        <v>981</v>
      </c>
      <c r="K402" s="1">
        <v>6</v>
      </c>
      <c r="L402" s="5" t="s">
        <v>981</v>
      </c>
      <c r="M402" s="1">
        <v>6</v>
      </c>
      <c r="N402" s="5" t="s">
        <v>981</v>
      </c>
      <c r="O402" s="1">
        <v>0</v>
      </c>
      <c r="P402" s="5" t="s">
        <v>983</v>
      </c>
      <c r="Q402" s="1">
        <v>1</v>
      </c>
      <c r="R402" s="1">
        <v>0</v>
      </c>
      <c r="S402" s="1">
        <v>1</v>
      </c>
      <c r="T402" s="1">
        <v>3</v>
      </c>
      <c r="U402" s="1">
        <v>3</v>
      </c>
      <c r="V402" s="1">
        <v>52</v>
      </c>
      <c r="W402" s="1">
        <v>1</v>
      </c>
      <c r="X402" s="1">
        <v>3</v>
      </c>
      <c r="Y402" s="1">
        <v>3</v>
      </c>
      <c r="Z402" s="1">
        <v>80000</v>
      </c>
      <c r="AA402" s="1">
        <v>5</v>
      </c>
    </row>
    <row r="403" spans="1:27" ht="12.75" customHeight="1" x14ac:dyDescent="0.15">
      <c r="A403" s="5">
        <v>341</v>
      </c>
      <c r="B403" s="5" t="s">
        <v>238</v>
      </c>
      <c r="C403" s="1">
        <v>19</v>
      </c>
      <c r="D403" s="5" t="s">
        <v>982</v>
      </c>
      <c r="E403" s="1">
        <v>3</v>
      </c>
      <c r="F403" s="5" t="s">
        <v>982</v>
      </c>
      <c r="G403" s="1">
        <v>0</v>
      </c>
      <c r="H403" s="5" t="s">
        <v>983</v>
      </c>
      <c r="I403" s="1">
        <v>14</v>
      </c>
      <c r="J403" s="5" t="s">
        <v>981</v>
      </c>
      <c r="K403" s="1">
        <v>3</v>
      </c>
      <c r="L403" s="5" t="s">
        <v>982</v>
      </c>
      <c r="M403" s="1">
        <v>3</v>
      </c>
      <c r="N403" s="5" t="s">
        <v>982</v>
      </c>
      <c r="O403" s="1">
        <v>0</v>
      </c>
      <c r="P403" s="5" t="s">
        <v>983</v>
      </c>
      <c r="Q403" s="1">
        <v>1</v>
      </c>
      <c r="R403" s="1">
        <v>0</v>
      </c>
      <c r="S403" s="1">
        <v>1</v>
      </c>
      <c r="T403" s="1">
        <v>5</v>
      </c>
      <c r="U403" s="1">
        <v>3</v>
      </c>
      <c r="V403" s="1">
        <v>52</v>
      </c>
      <c r="W403" s="1">
        <v>1</v>
      </c>
      <c r="X403" s="1">
        <v>11</v>
      </c>
      <c r="Y403" s="1">
        <v>34</v>
      </c>
      <c r="Z403" s="1">
        <v>600000</v>
      </c>
      <c r="AA403" s="1">
        <v>1</v>
      </c>
    </row>
    <row r="404" spans="1:27" ht="12.75" customHeight="1" x14ac:dyDescent="0.15">
      <c r="A404" s="5">
        <v>342</v>
      </c>
      <c r="B404" s="5" t="s">
        <v>984</v>
      </c>
      <c r="C404" s="1">
        <v>34</v>
      </c>
      <c r="D404" s="5" t="s">
        <v>981</v>
      </c>
      <c r="E404" s="1">
        <v>3</v>
      </c>
      <c r="F404" s="5" t="s">
        <v>982</v>
      </c>
      <c r="G404" s="1">
        <v>6</v>
      </c>
      <c r="H404" s="5" t="s">
        <v>981</v>
      </c>
      <c r="I404" s="1">
        <v>11</v>
      </c>
      <c r="J404" s="5" t="s">
        <v>981</v>
      </c>
      <c r="K404" s="1">
        <v>8</v>
      </c>
      <c r="L404" s="5" t="s">
        <v>981</v>
      </c>
      <c r="M404" s="1">
        <v>1</v>
      </c>
      <c r="N404" s="5" t="s">
        <v>983</v>
      </c>
      <c r="O404" s="1">
        <v>3</v>
      </c>
      <c r="P404" s="5" t="s">
        <v>982</v>
      </c>
      <c r="Q404" s="1">
        <v>0</v>
      </c>
      <c r="R404" s="1">
        <v>0</v>
      </c>
      <c r="S404" s="1" t="s">
        <v>194</v>
      </c>
      <c r="T404" s="1" t="s">
        <v>194</v>
      </c>
      <c r="U404" s="1">
        <v>3</v>
      </c>
      <c r="V404" s="1">
        <v>52</v>
      </c>
      <c r="W404" s="1">
        <v>1</v>
      </c>
      <c r="X404" s="1">
        <v>11</v>
      </c>
      <c r="Y404" s="1">
        <v>34</v>
      </c>
      <c r="Z404" s="1">
        <v>600000</v>
      </c>
      <c r="AA404" s="1">
        <v>1</v>
      </c>
    </row>
    <row r="405" spans="1:27" ht="12.75" customHeight="1" x14ac:dyDescent="0.15">
      <c r="A405" s="5">
        <v>65</v>
      </c>
      <c r="B405" s="5" t="s">
        <v>238</v>
      </c>
      <c r="C405" s="1">
        <v>23</v>
      </c>
      <c r="D405" s="5" t="s">
        <v>982</v>
      </c>
      <c r="E405" s="1">
        <v>2</v>
      </c>
      <c r="F405" s="5" t="s">
        <v>982</v>
      </c>
      <c r="G405" s="1">
        <v>0</v>
      </c>
      <c r="H405" s="5" t="s">
        <v>983</v>
      </c>
      <c r="I405" s="1">
        <v>3</v>
      </c>
      <c r="J405" s="5" t="s">
        <v>982</v>
      </c>
      <c r="K405" s="1">
        <v>0</v>
      </c>
      <c r="L405" s="5" t="s">
        <v>983</v>
      </c>
      <c r="M405" s="1">
        <v>0</v>
      </c>
      <c r="N405" s="5" t="s">
        <v>983</v>
      </c>
      <c r="O405" s="1">
        <v>0</v>
      </c>
      <c r="P405" s="5" t="s">
        <v>983</v>
      </c>
      <c r="Q405" s="1">
        <v>0</v>
      </c>
      <c r="R405" s="1">
        <v>0</v>
      </c>
      <c r="S405" s="1" t="s">
        <v>194</v>
      </c>
      <c r="T405" s="1">
        <v>3</v>
      </c>
      <c r="U405" s="1">
        <v>3</v>
      </c>
      <c r="V405" s="1">
        <v>52</v>
      </c>
      <c r="W405" s="1">
        <v>1</v>
      </c>
      <c r="X405" s="1">
        <v>14</v>
      </c>
      <c r="Y405" s="1">
        <v>1</v>
      </c>
      <c r="Z405" s="1">
        <v>0</v>
      </c>
      <c r="AA405" s="1">
        <v>4</v>
      </c>
    </row>
    <row r="406" spans="1:27" ht="12.75" customHeight="1" x14ac:dyDescent="0.15">
      <c r="A406" s="5">
        <v>303</v>
      </c>
      <c r="B406" s="5" t="s">
        <v>238</v>
      </c>
      <c r="C406" s="1">
        <v>25</v>
      </c>
      <c r="D406" s="5" t="s">
        <v>981</v>
      </c>
      <c r="E406" s="1">
        <v>6</v>
      </c>
      <c r="F406" s="5" t="s">
        <v>981</v>
      </c>
      <c r="G406" s="1">
        <v>0</v>
      </c>
      <c r="H406" s="5" t="s">
        <v>983</v>
      </c>
      <c r="I406" s="1">
        <v>12</v>
      </c>
      <c r="J406" s="5" t="s">
        <v>981</v>
      </c>
      <c r="K406" s="1">
        <v>0</v>
      </c>
      <c r="L406" s="5" t="s">
        <v>983</v>
      </c>
      <c r="M406" s="1">
        <v>0</v>
      </c>
      <c r="N406" s="5" t="s">
        <v>983</v>
      </c>
      <c r="O406" s="1">
        <v>0</v>
      </c>
      <c r="P406" s="5" t="s">
        <v>983</v>
      </c>
      <c r="Q406" s="1">
        <v>0</v>
      </c>
      <c r="R406" s="1">
        <v>1</v>
      </c>
      <c r="S406" s="1" t="s">
        <v>194</v>
      </c>
      <c r="T406" s="1">
        <v>3</v>
      </c>
      <c r="U406" s="1">
        <v>3</v>
      </c>
      <c r="V406" s="1">
        <v>52</v>
      </c>
      <c r="W406" s="1">
        <v>1</v>
      </c>
      <c r="X406" s="1">
        <v>14</v>
      </c>
      <c r="Y406" s="1">
        <v>2</v>
      </c>
      <c r="Z406" s="1">
        <v>1400000</v>
      </c>
      <c r="AA406" s="1">
        <v>3</v>
      </c>
    </row>
    <row r="407" spans="1:27" ht="12.75" customHeight="1" x14ac:dyDescent="0.15">
      <c r="A407" s="5">
        <v>157</v>
      </c>
      <c r="B407" s="5" t="s">
        <v>238</v>
      </c>
      <c r="C407" s="1">
        <v>26</v>
      </c>
      <c r="D407" s="5" t="s">
        <v>981</v>
      </c>
      <c r="E407" s="1">
        <v>6</v>
      </c>
      <c r="F407" s="5" t="s">
        <v>981</v>
      </c>
      <c r="G407" s="1">
        <v>6</v>
      </c>
      <c r="H407" s="5" t="s">
        <v>981</v>
      </c>
      <c r="I407" s="1">
        <v>8</v>
      </c>
      <c r="J407" s="5" t="s">
        <v>981</v>
      </c>
      <c r="K407" s="1">
        <v>6</v>
      </c>
      <c r="L407" s="5" t="s">
        <v>981</v>
      </c>
      <c r="M407" s="1">
        <v>6</v>
      </c>
      <c r="N407" s="5" t="s">
        <v>981</v>
      </c>
      <c r="O407" s="1">
        <v>0</v>
      </c>
      <c r="P407" s="5" t="s">
        <v>983</v>
      </c>
      <c r="Q407" s="1">
        <v>1</v>
      </c>
      <c r="R407" s="1">
        <v>0</v>
      </c>
      <c r="S407" s="1">
        <v>1</v>
      </c>
      <c r="T407" s="1" t="s">
        <v>194</v>
      </c>
      <c r="U407" s="1">
        <v>4</v>
      </c>
      <c r="V407" s="1">
        <v>52</v>
      </c>
      <c r="W407" s="1">
        <v>0</v>
      </c>
      <c r="X407" s="1">
        <v>15</v>
      </c>
      <c r="Y407" s="1">
        <v>24</v>
      </c>
      <c r="Z407" s="1">
        <v>1100</v>
      </c>
      <c r="AA407" s="1">
        <v>5</v>
      </c>
    </row>
    <row r="408" spans="1:27" ht="12.75" customHeight="1" x14ac:dyDescent="0.15">
      <c r="A408" s="5">
        <v>348</v>
      </c>
      <c r="B408" s="5" t="s">
        <v>238</v>
      </c>
      <c r="C408" s="1">
        <v>21</v>
      </c>
      <c r="D408" s="5" t="s">
        <v>982</v>
      </c>
      <c r="E408" s="1">
        <v>2</v>
      </c>
      <c r="F408" s="5" t="s">
        <v>982</v>
      </c>
      <c r="G408" s="1">
        <v>1</v>
      </c>
      <c r="H408" s="5" t="s">
        <v>983</v>
      </c>
      <c r="I408" s="1">
        <v>13</v>
      </c>
      <c r="J408" s="5" t="s">
        <v>981</v>
      </c>
      <c r="K408" s="1">
        <v>1</v>
      </c>
      <c r="L408" s="5" t="s">
        <v>983</v>
      </c>
      <c r="M408" s="1">
        <v>3</v>
      </c>
      <c r="N408" s="5" t="s">
        <v>982</v>
      </c>
      <c r="O408" s="1">
        <v>0</v>
      </c>
      <c r="P408" s="5" t="s">
        <v>983</v>
      </c>
      <c r="Q408" s="1">
        <v>1</v>
      </c>
      <c r="R408" s="1">
        <v>0</v>
      </c>
      <c r="S408" s="1">
        <v>1</v>
      </c>
      <c r="T408" s="1">
        <v>5</v>
      </c>
      <c r="U408" s="1">
        <v>4</v>
      </c>
      <c r="V408" s="1">
        <v>52</v>
      </c>
      <c r="W408" s="1">
        <v>1</v>
      </c>
      <c r="X408" s="1">
        <v>14</v>
      </c>
      <c r="Y408" s="1">
        <v>1</v>
      </c>
      <c r="Z408" s="1">
        <v>450000</v>
      </c>
      <c r="AA408" s="1">
        <v>3</v>
      </c>
    </row>
    <row r="409" spans="1:27" ht="12.75" customHeight="1" x14ac:dyDescent="0.15">
      <c r="A409" s="5">
        <v>251</v>
      </c>
      <c r="B409" s="5" t="s">
        <v>238</v>
      </c>
      <c r="C409" s="1">
        <v>23</v>
      </c>
      <c r="D409" s="5" t="s">
        <v>982</v>
      </c>
      <c r="E409" s="1">
        <v>4</v>
      </c>
      <c r="F409" s="5" t="s">
        <v>982</v>
      </c>
      <c r="G409" s="1">
        <v>2</v>
      </c>
      <c r="H409" s="5" t="s">
        <v>982</v>
      </c>
      <c r="I409" s="1">
        <v>7</v>
      </c>
      <c r="J409" s="5" t="s">
        <v>981</v>
      </c>
      <c r="K409" s="1">
        <v>3</v>
      </c>
      <c r="L409" s="5" t="s">
        <v>982</v>
      </c>
      <c r="M409" s="1">
        <v>3</v>
      </c>
      <c r="N409" s="5" t="s">
        <v>982</v>
      </c>
      <c r="O409" s="1">
        <v>0</v>
      </c>
      <c r="P409" s="5" t="s">
        <v>983</v>
      </c>
      <c r="Q409" s="1">
        <v>0</v>
      </c>
      <c r="R409" s="1">
        <v>0</v>
      </c>
      <c r="S409" s="1" t="s">
        <v>194</v>
      </c>
      <c r="T409" s="1" t="s">
        <v>194</v>
      </c>
      <c r="U409" s="1" t="s">
        <v>194</v>
      </c>
      <c r="V409" s="1">
        <v>52</v>
      </c>
      <c r="W409" s="1">
        <v>0</v>
      </c>
      <c r="X409" s="1">
        <v>2</v>
      </c>
      <c r="Y409" s="1">
        <v>2</v>
      </c>
      <c r="Z409" s="1">
        <v>0</v>
      </c>
      <c r="AA409" s="1">
        <v>2</v>
      </c>
    </row>
    <row r="410" spans="1:27" ht="12.75" customHeight="1" x14ac:dyDescent="0.15">
      <c r="A410" s="5">
        <v>39</v>
      </c>
      <c r="B410" s="5" t="s">
        <v>238</v>
      </c>
      <c r="C410" s="1">
        <v>16</v>
      </c>
      <c r="D410" s="5" t="s">
        <v>983</v>
      </c>
      <c r="E410" s="1">
        <v>5</v>
      </c>
      <c r="F410" s="5" t="s">
        <v>981</v>
      </c>
      <c r="G410" s="1">
        <v>4</v>
      </c>
      <c r="H410" s="5" t="s">
        <v>982</v>
      </c>
      <c r="I410" s="1">
        <v>12</v>
      </c>
      <c r="J410" s="5" t="s">
        <v>981</v>
      </c>
      <c r="K410" s="1">
        <v>8</v>
      </c>
      <c r="L410" s="5" t="s">
        <v>981</v>
      </c>
      <c r="M410" s="1">
        <v>4</v>
      </c>
      <c r="N410" s="5" t="s">
        <v>982</v>
      </c>
      <c r="O410" s="1">
        <v>0</v>
      </c>
      <c r="P410" s="5" t="s">
        <v>983</v>
      </c>
      <c r="Q410" s="1">
        <v>0</v>
      </c>
      <c r="R410" s="1">
        <v>0</v>
      </c>
      <c r="S410" s="1" t="s">
        <v>194</v>
      </c>
      <c r="T410" s="1">
        <v>4</v>
      </c>
      <c r="U410" s="1">
        <v>1</v>
      </c>
      <c r="V410" s="1">
        <v>53</v>
      </c>
      <c r="W410" s="1">
        <v>0</v>
      </c>
      <c r="X410" s="1">
        <v>2</v>
      </c>
      <c r="Y410" s="1">
        <v>2</v>
      </c>
      <c r="Z410" s="1">
        <v>300000</v>
      </c>
      <c r="AA410" s="1">
        <v>4</v>
      </c>
    </row>
    <row r="411" spans="1:27" ht="12.75" customHeight="1" x14ac:dyDescent="0.15">
      <c r="A411" s="5">
        <v>71</v>
      </c>
      <c r="B411" s="5" t="s">
        <v>238</v>
      </c>
      <c r="C411" s="1">
        <v>21</v>
      </c>
      <c r="D411" s="5" t="s">
        <v>982</v>
      </c>
      <c r="E411" s="1">
        <v>0</v>
      </c>
      <c r="F411" s="5" t="s">
        <v>983</v>
      </c>
      <c r="G411" s="1">
        <v>2</v>
      </c>
      <c r="H411" s="5" t="s">
        <v>982</v>
      </c>
      <c r="I411" s="1">
        <v>4</v>
      </c>
      <c r="J411" s="5" t="s">
        <v>982</v>
      </c>
      <c r="K411" s="1">
        <v>6</v>
      </c>
      <c r="L411" s="5" t="s">
        <v>981</v>
      </c>
      <c r="M411" s="1">
        <v>0</v>
      </c>
      <c r="N411" s="5" t="s">
        <v>983</v>
      </c>
      <c r="O411" s="1">
        <v>0</v>
      </c>
      <c r="P411" s="5" t="s">
        <v>983</v>
      </c>
      <c r="Q411" s="1">
        <v>0</v>
      </c>
      <c r="R411" s="1">
        <v>1</v>
      </c>
      <c r="S411" s="1">
        <v>0</v>
      </c>
      <c r="T411" s="1">
        <v>2</v>
      </c>
      <c r="U411" s="1">
        <v>2</v>
      </c>
      <c r="V411" s="1">
        <v>53</v>
      </c>
      <c r="W411" s="1">
        <v>0</v>
      </c>
      <c r="X411" s="1">
        <v>14</v>
      </c>
      <c r="Y411" s="1">
        <v>24</v>
      </c>
      <c r="Z411" s="1">
        <v>450000</v>
      </c>
      <c r="AA411" s="1">
        <v>4</v>
      </c>
    </row>
    <row r="412" spans="1:27" ht="12.75" customHeight="1" x14ac:dyDescent="0.15">
      <c r="A412" s="5">
        <v>257</v>
      </c>
      <c r="B412" s="5" t="s">
        <v>238</v>
      </c>
      <c r="C412" s="1">
        <v>14</v>
      </c>
      <c r="D412" s="5" t="s">
        <v>983</v>
      </c>
      <c r="E412" s="1">
        <v>3</v>
      </c>
      <c r="F412" s="5" t="s">
        <v>982</v>
      </c>
      <c r="G412" s="1">
        <v>1</v>
      </c>
      <c r="H412" s="5" t="s">
        <v>983</v>
      </c>
      <c r="I412" s="1">
        <v>16</v>
      </c>
      <c r="J412" s="5" t="s">
        <v>981</v>
      </c>
      <c r="K412" s="1">
        <v>0</v>
      </c>
      <c r="L412" s="5" t="s">
        <v>983</v>
      </c>
      <c r="M412" s="1">
        <v>0</v>
      </c>
      <c r="N412" s="5" t="s">
        <v>983</v>
      </c>
      <c r="O412" s="1">
        <v>0</v>
      </c>
      <c r="P412" s="5" t="s">
        <v>983</v>
      </c>
      <c r="Q412" s="1">
        <v>1</v>
      </c>
      <c r="R412" s="1">
        <v>1</v>
      </c>
      <c r="S412" s="1">
        <v>1</v>
      </c>
      <c r="T412" s="1">
        <v>5</v>
      </c>
      <c r="U412" s="1">
        <v>2</v>
      </c>
      <c r="V412" s="1">
        <v>53</v>
      </c>
      <c r="W412" s="1">
        <v>0</v>
      </c>
      <c r="X412" s="1">
        <v>14</v>
      </c>
      <c r="Y412" s="1">
        <v>2</v>
      </c>
      <c r="Z412" s="1">
        <v>600000</v>
      </c>
      <c r="AA412" s="1">
        <v>2</v>
      </c>
    </row>
    <row r="413" spans="1:27" ht="12.75" customHeight="1" x14ac:dyDescent="0.15">
      <c r="A413" s="5">
        <v>426</v>
      </c>
      <c r="B413" s="5" t="s">
        <v>238</v>
      </c>
      <c r="C413" s="1">
        <v>17</v>
      </c>
      <c r="D413" s="5" t="s">
        <v>983</v>
      </c>
      <c r="E413" s="1">
        <v>2</v>
      </c>
      <c r="F413" s="5" t="s">
        <v>982</v>
      </c>
      <c r="G413" s="1">
        <v>1</v>
      </c>
      <c r="H413" s="5" t="s">
        <v>983</v>
      </c>
      <c r="I413" s="1">
        <v>1</v>
      </c>
      <c r="J413" s="5" t="s">
        <v>982</v>
      </c>
      <c r="K413" s="1">
        <v>0</v>
      </c>
      <c r="L413" s="5" t="s">
        <v>983</v>
      </c>
      <c r="M413" s="1">
        <v>2</v>
      </c>
      <c r="N413" s="5" t="s">
        <v>983</v>
      </c>
      <c r="O413" s="1">
        <v>0</v>
      </c>
      <c r="P413" s="5" t="s">
        <v>983</v>
      </c>
      <c r="Q413" s="1">
        <v>0</v>
      </c>
      <c r="R413" s="1">
        <v>0</v>
      </c>
      <c r="S413" s="1" t="s">
        <v>194</v>
      </c>
      <c r="T413" s="1">
        <v>2</v>
      </c>
      <c r="U413" s="1">
        <v>2</v>
      </c>
      <c r="V413" s="1">
        <v>53</v>
      </c>
      <c r="W413" s="1">
        <v>1</v>
      </c>
      <c r="X413" s="1">
        <v>14</v>
      </c>
      <c r="Y413" s="1">
        <v>34</v>
      </c>
      <c r="Z413" s="1">
        <v>300000</v>
      </c>
      <c r="AA413" s="1">
        <v>5</v>
      </c>
    </row>
    <row r="414" spans="1:27" ht="12.75" customHeight="1" x14ac:dyDescent="0.15">
      <c r="A414" s="5">
        <v>353</v>
      </c>
      <c r="B414" s="5" t="s">
        <v>238</v>
      </c>
      <c r="C414" s="1">
        <v>23</v>
      </c>
      <c r="D414" s="5" t="s">
        <v>982</v>
      </c>
      <c r="E414" s="1">
        <v>9</v>
      </c>
      <c r="F414" s="5" t="s">
        <v>981</v>
      </c>
      <c r="G414" s="1">
        <v>9</v>
      </c>
      <c r="H414" s="5" t="s">
        <v>981</v>
      </c>
      <c r="I414" s="1">
        <v>4</v>
      </c>
      <c r="J414" s="5" t="s">
        <v>982</v>
      </c>
      <c r="K414" s="1">
        <v>9</v>
      </c>
      <c r="L414" s="5" t="s">
        <v>981</v>
      </c>
      <c r="M414" s="1">
        <v>9</v>
      </c>
      <c r="N414" s="5" t="s">
        <v>981</v>
      </c>
      <c r="O414" s="1">
        <v>0</v>
      </c>
      <c r="P414" s="5" t="s">
        <v>983</v>
      </c>
      <c r="Q414" s="1">
        <v>0</v>
      </c>
      <c r="R414" s="1">
        <v>0</v>
      </c>
      <c r="S414" s="1" t="s">
        <v>194</v>
      </c>
      <c r="T414" s="1">
        <v>5</v>
      </c>
      <c r="U414" s="1">
        <v>2</v>
      </c>
      <c r="V414" s="1">
        <v>53</v>
      </c>
      <c r="W414" s="1">
        <v>0</v>
      </c>
      <c r="X414" s="1">
        <v>12</v>
      </c>
      <c r="Y414" s="1">
        <v>1</v>
      </c>
      <c r="Z414" s="1">
        <v>400000</v>
      </c>
      <c r="AA414" s="1">
        <v>2</v>
      </c>
    </row>
    <row r="415" spans="1:27" ht="12.75" customHeight="1" x14ac:dyDescent="0.15">
      <c r="A415" s="5">
        <v>72</v>
      </c>
      <c r="B415" s="5" t="s">
        <v>984</v>
      </c>
      <c r="C415" s="1">
        <v>32</v>
      </c>
      <c r="D415" s="5" t="s">
        <v>981</v>
      </c>
      <c r="E415" s="1">
        <v>7</v>
      </c>
      <c r="F415" s="5" t="s">
        <v>981</v>
      </c>
      <c r="G415" s="1">
        <v>9</v>
      </c>
      <c r="H415" s="5" t="s">
        <v>981</v>
      </c>
      <c r="I415" s="1">
        <v>5</v>
      </c>
      <c r="J415" s="5" t="s">
        <v>981</v>
      </c>
      <c r="K415" s="1">
        <v>8</v>
      </c>
      <c r="L415" s="5" t="s">
        <v>981</v>
      </c>
      <c r="M415" s="1">
        <v>9</v>
      </c>
      <c r="N415" s="5" t="s">
        <v>981</v>
      </c>
      <c r="O415" s="1">
        <v>0</v>
      </c>
      <c r="P415" s="5" t="s">
        <v>983</v>
      </c>
      <c r="Q415" s="1">
        <v>0</v>
      </c>
      <c r="R415" s="1">
        <v>0</v>
      </c>
      <c r="S415" s="1" t="s">
        <v>194</v>
      </c>
      <c r="T415" s="1">
        <v>4</v>
      </c>
      <c r="U415" s="1">
        <v>2</v>
      </c>
      <c r="V415" s="1">
        <v>53</v>
      </c>
      <c r="W415" s="1">
        <v>0</v>
      </c>
      <c r="X415" s="1">
        <v>14</v>
      </c>
      <c r="Y415" s="1">
        <v>24</v>
      </c>
      <c r="Z415" s="1">
        <v>450000</v>
      </c>
      <c r="AA415" s="1">
        <v>4</v>
      </c>
    </row>
    <row r="416" spans="1:27" ht="12.75" customHeight="1" x14ac:dyDescent="0.15">
      <c r="A416" s="5">
        <v>114</v>
      </c>
      <c r="B416" s="5" t="s">
        <v>238</v>
      </c>
      <c r="C416" s="1">
        <v>14</v>
      </c>
      <c r="D416" s="5" t="s">
        <v>983</v>
      </c>
      <c r="E416" s="1">
        <v>3</v>
      </c>
      <c r="F416" s="5" t="s">
        <v>982</v>
      </c>
      <c r="G416" s="1">
        <v>3</v>
      </c>
      <c r="H416" s="5" t="s">
        <v>982</v>
      </c>
      <c r="I416" s="1">
        <v>16</v>
      </c>
      <c r="J416" s="5" t="s">
        <v>981</v>
      </c>
      <c r="K416" s="1">
        <v>0</v>
      </c>
      <c r="L416" s="5" t="s">
        <v>983</v>
      </c>
      <c r="M416" s="1">
        <v>2</v>
      </c>
      <c r="N416" s="5" t="s">
        <v>983</v>
      </c>
      <c r="O416" s="1">
        <v>0</v>
      </c>
      <c r="P416" s="5" t="s">
        <v>983</v>
      </c>
      <c r="Q416" s="1">
        <v>0</v>
      </c>
      <c r="R416" s="1">
        <v>0</v>
      </c>
      <c r="S416" s="1">
        <v>1</v>
      </c>
      <c r="T416" s="1">
        <v>3</v>
      </c>
      <c r="U416" s="1">
        <v>3</v>
      </c>
      <c r="V416" s="1">
        <v>53</v>
      </c>
      <c r="W416" s="1">
        <v>1</v>
      </c>
      <c r="X416" s="1">
        <v>15</v>
      </c>
      <c r="Y416" s="1">
        <v>3</v>
      </c>
      <c r="Z416" s="1">
        <v>300000</v>
      </c>
      <c r="AA416" s="1">
        <v>3</v>
      </c>
    </row>
    <row r="417" spans="1:27" ht="12.75" customHeight="1" x14ac:dyDescent="0.15">
      <c r="A417" s="5">
        <v>427</v>
      </c>
      <c r="B417" s="5" t="s">
        <v>984</v>
      </c>
      <c r="C417" s="1">
        <v>17</v>
      </c>
      <c r="D417" s="5" t="s">
        <v>983</v>
      </c>
      <c r="E417" s="1">
        <v>9</v>
      </c>
      <c r="F417" s="5" t="s">
        <v>981</v>
      </c>
      <c r="G417" s="1">
        <v>8</v>
      </c>
      <c r="H417" s="5" t="s">
        <v>981</v>
      </c>
      <c r="I417" s="1">
        <v>0</v>
      </c>
      <c r="J417" s="5" t="s">
        <v>983</v>
      </c>
      <c r="K417" s="1">
        <v>9</v>
      </c>
      <c r="L417" s="5" t="s">
        <v>981</v>
      </c>
      <c r="M417" s="1">
        <v>12</v>
      </c>
      <c r="N417" s="5" t="s">
        <v>981</v>
      </c>
      <c r="O417" s="1">
        <v>1</v>
      </c>
      <c r="P417" s="5" t="s">
        <v>982</v>
      </c>
      <c r="Q417" s="1">
        <v>1</v>
      </c>
      <c r="R417" s="1">
        <v>0</v>
      </c>
      <c r="S417" s="1">
        <v>1</v>
      </c>
      <c r="T417" s="1">
        <v>3</v>
      </c>
      <c r="U417" s="1">
        <v>3</v>
      </c>
      <c r="V417" s="1">
        <v>53</v>
      </c>
      <c r="W417" s="1">
        <v>1</v>
      </c>
      <c r="X417" s="1">
        <v>14</v>
      </c>
      <c r="Y417" s="1">
        <v>34</v>
      </c>
      <c r="Z417" s="1">
        <v>300000</v>
      </c>
      <c r="AA417" s="1">
        <v>5</v>
      </c>
    </row>
    <row r="418" spans="1:27" ht="12.75" customHeight="1" x14ac:dyDescent="0.15">
      <c r="A418" s="5">
        <v>442</v>
      </c>
      <c r="B418" s="5" t="s">
        <v>984</v>
      </c>
      <c r="C418" s="1">
        <v>21</v>
      </c>
      <c r="D418" s="5" t="s">
        <v>982</v>
      </c>
      <c r="E418" s="1">
        <v>1</v>
      </c>
      <c r="F418" s="5" t="s">
        <v>983</v>
      </c>
      <c r="G418" s="1">
        <v>12</v>
      </c>
      <c r="H418" s="5" t="s">
        <v>981</v>
      </c>
      <c r="I418" s="1">
        <v>2</v>
      </c>
      <c r="J418" s="5" t="s">
        <v>982</v>
      </c>
      <c r="K418" s="1">
        <v>10</v>
      </c>
      <c r="L418" s="5" t="s">
        <v>981</v>
      </c>
      <c r="M418" s="1">
        <v>4</v>
      </c>
      <c r="N418" s="5" t="s">
        <v>982</v>
      </c>
      <c r="O418" s="1">
        <v>5</v>
      </c>
      <c r="P418" s="5" t="s">
        <v>982</v>
      </c>
      <c r="Q418" s="1">
        <v>0</v>
      </c>
      <c r="R418" s="1">
        <v>0</v>
      </c>
      <c r="S418" s="1" t="s">
        <v>194</v>
      </c>
      <c r="T418" s="1" t="s">
        <v>194</v>
      </c>
      <c r="U418" s="1">
        <v>3</v>
      </c>
      <c r="V418" s="1">
        <v>53</v>
      </c>
      <c r="W418" s="1">
        <v>0</v>
      </c>
      <c r="X418" s="1">
        <v>14</v>
      </c>
      <c r="Y418" s="1">
        <v>24</v>
      </c>
      <c r="Z418" s="1">
        <v>550000</v>
      </c>
      <c r="AA418" s="1">
        <v>2</v>
      </c>
    </row>
    <row r="419" spans="1:27" ht="12.75" customHeight="1" x14ac:dyDescent="0.15">
      <c r="A419" s="5">
        <v>199</v>
      </c>
      <c r="B419" s="5" t="s">
        <v>238</v>
      </c>
      <c r="C419" s="1">
        <v>13</v>
      </c>
      <c r="D419" s="5" t="s">
        <v>983</v>
      </c>
      <c r="E419" s="1">
        <v>3</v>
      </c>
      <c r="F419" s="5" t="s">
        <v>982</v>
      </c>
      <c r="G419" s="1">
        <v>4</v>
      </c>
      <c r="H419" s="5" t="s">
        <v>982</v>
      </c>
      <c r="I419" s="1">
        <v>0</v>
      </c>
      <c r="J419" s="5" t="s">
        <v>983</v>
      </c>
      <c r="K419" s="1">
        <v>3</v>
      </c>
      <c r="L419" s="5" t="s">
        <v>982</v>
      </c>
      <c r="M419" s="1">
        <v>3</v>
      </c>
      <c r="N419" s="5" t="s">
        <v>982</v>
      </c>
      <c r="O419" s="1">
        <v>1</v>
      </c>
      <c r="P419" s="5" t="s">
        <v>982</v>
      </c>
      <c r="Q419" s="1">
        <v>0</v>
      </c>
      <c r="R419" s="1">
        <v>0</v>
      </c>
      <c r="S419" s="1" t="s">
        <v>194</v>
      </c>
      <c r="T419" s="1">
        <v>3</v>
      </c>
      <c r="U419" s="1">
        <v>3</v>
      </c>
      <c r="V419" s="1">
        <v>53</v>
      </c>
      <c r="W419" s="1">
        <v>0</v>
      </c>
      <c r="X419" s="1">
        <v>17</v>
      </c>
      <c r="Y419" s="1">
        <v>6</v>
      </c>
      <c r="Z419" s="1">
        <v>0</v>
      </c>
      <c r="AA419" s="1">
        <v>2</v>
      </c>
    </row>
    <row r="420" spans="1:27" ht="12.75" customHeight="1" x14ac:dyDescent="0.15">
      <c r="A420" s="5">
        <v>109</v>
      </c>
      <c r="B420" s="5" t="s">
        <v>238</v>
      </c>
      <c r="C420" s="1">
        <v>32</v>
      </c>
      <c r="D420" s="5" t="s">
        <v>981</v>
      </c>
      <c r="E420" s="1">
        <v>6</v>
      </c>
      <c r="F420" s="5" t="s">
        <v>981</v>
      </c>
      <c r="G420" s="1">
        <v>6</v>
      </c>
      <c r="H420" s="5" t="s">
        <v>981</v>
      </c>
      <c r="I420" s="1">
        <v>16</v>
      </c>
      <c r="J420" s="5" t="s">
        <v>981</v>
      </c>
      <c r="K420" s="1">
        <v>3</v>
      </c>
      <c r="L420" s="5" t="s">
        <v>982</v>
      </c>
      <c r="M420" s="1">
        <v>3</v>
      </c>
      <c r="N420" s="5" t="s">
        <v>982</v>
      </c>
      <c r="O420" s="1">
        <v>0</v>
      </c>
      <c r="P420" s="5" t="s">
        <v>983</v>
      </c>
      <c r="Q420" s="1">
        <v>0</v>
      </c>
      <c r="R420" s="1">
        <v>0</v>
      </c>
      <c r="S420" s="1" t="s">
        <v>194</v>
      </c>
      <c r="T420" s="1">
        <v>2</v>
      </c>
      <c r="U420" s="1">
        <v>3</v>
      </c>
      <c r="V420" s="1">
        <v>53</v>
      </c>
      <c r="W420" s="1">
        <v>0</v>
      </c>
      <c r="X420" s="1">
        <v>14</v>
      </c>
      <c r="Y420" s="1">
        <v>34</v>
      </c>
      <c r="Z420" s="1">
        <v>202000</v>
      </c>
      <c r="AA420" s="1">
        <v>4</v>
      </c>
    </row>
    <row r="421" spans="1:27" ht="12.75" customHeight="1" x14ac:dyDescent="0.15">
      <c r="A421" s="5">
        <v>11</v>
      </c>
      <c r="B421" s="5" t="s">
        <v>238</v>
      </c>
      <c r="C421" s="1">
        <v>39</v>
      </c>
      <c r="D421" s="5" t="s">
        <v>981</v>
      </c>
      <c r="E421" s="1">
        <v>9</v>
      </c>
      <c r="F421" s="5" t="s">
        <v>981</v>
      </c>
      <c r="G421" s="1">
        <v>4</v>
      </c>
      <c r="H421" s="5" t="s">
        <v>982</v>
      </c>
      <c r="I421" s="1">
        <v>11</v>
      </c>
      <c r="J421" s="5" t="s">
        <v>981</v>
      </c>
      <c r="K421" s="1">
        <v>7</v>
      </c>
      <c r="L421" s="5" t="s">
        <v>981</v>
      </c>
      <c r="M421" s="1">
        <v>6</v>
      </c>
      <c r="N421" s="5" t="s">
        <v>981</v>
      </c>
      <c r="O421" s="1">
        <v>4</v>
      </c>
      <c r="P421" s="5" t="s">
        <v>982</v>
      </c>
      <c r="Q421" s="1">
        <v>0</v>
      </c>
      <c r="R421" s="1">
        <v>0</v>
      </c>
      <c r="S421" s="1">
        <v>1</v>
      </c>
      <c r="T421" s="1">
        <v>5</v>
      </c>
      <c r="U421" s="1">
        <v>4</v>
      </c>
      <c r="V421" s="1">
        <v>53</v>
      </c>
      <c r="W421" s="1">
        <v>1</v>
      </c>
      <c r="X421" s="1">
        <v>14</v>
      </c>
      <c r="Y421" s="1">
        <v>4</v>
      </c>
      <c r="Z421" s="1">
        <v>300000</v>
      </c>
      <c r="AA421" s="1">
        <v>2</v>
      </c>
    </row>
    <row r="422" spans="1:27" ht="12.75" customHeight="1" x14ac:dyDescent="0.15">
      <c r="A422" s="5">
        <v>113</v>
      </c>
      <c r="B422" s="5" t="s">
        <v>238</v>
      </c>
      <c r="C422" s="1">
        <v>17</v>
      </c>
      <c r="D422" s="5" t="s">
        <v>983</v>
      </c>
      <c r="E422" s="1">
        <v>3</v>
      </c>
      <c r="F422" s="5" t="s">
        <v>982</v>
      </c>
      <c r="G422" s="1">
        <v>2</v>
      </c>
      <c r="H422" s="5" t="s">
        <v>982</v>
      </c>
      <c r="I422" s="1">
        <v>8</v>
      </c>
      <c r="J422" s="5" t="s">
        <v>981</v>
      </c>
      <c r="K422" s="1">
        <v>3</v>
      </c>
      <c r="L422" s="5" t="s">
        <v>982</v>
      </c>
      <c r="M422" s="1">
        <v>3</v>
      </c>
      <c r="N422" s="5" t="s">
        <v>982</v>
      </c>
      <c r="O422" s="1">
        <v>0</v>
      </c>
      <c r="P422" s="5" t="s">
        <v>983</v>
      </c>
      <c r="Q422" s="1">
        <v>0</v>
      </c>
      <c r="R422" s="1">
        <v>0</v>
      </c>
      <c r="S422" s="1" t="s">
        <v>194</v>
      </c>
      <c r="T422" s="1">
        <v>5</v>
      </c>
      <c r="U422" s="1">
        <v>4</v>
      </c>
      <c r="V422" s="1">
        <v>53</v>
      </c>
      <c r="W422" s="1">
        <v>1</v>
      </c>
      <c r="X422" s="1">
        <v>15</v>
      </c>
      <c r="Y422" s="1">
        <v>3</v>
      </c>
      <c r="Z422" s="1">
        <v>300000</v>
      </c>
      <c r="AA422" s="1">
        <v>3</v>
      </c>
    </row>
    <row r="423" spans="1:27" ht="12.75" customHeight="1" x14ac:dyDescent="0.15">
      <c r="A423" s="5">
        <v>481</v>
      </c>
      <c r="B423" s="5" t="s">
        <v>984</v>
      </c>
      <c r="C423" s="1">
        <v>24</v>
      </c>
      <c r="D423" s="5" t="s">
        <v>981</v>
      </c>
      <c r="E423" s="1">
        <v>6</v>
      </c>
      <c r="F423" s="5" t="s">
        <v>981</v>
      </c>
      <c r="G423" s="1">
        <v>6</v>
      </c>
      <c r="H423" s="5" t="s">
        <v>981</v>
      </c>
      <c r="I423" s="1">
        <v>8</v>
      </c>
      <c r="J423" s="5" t="s">
        <v>981</v>
      </c>
      <c r="K423" s="1">
        <v>6</v>
      </c>
      <c r="L423" s="5" t="s">
        <v>981</v>
      </c>
      <c r="M423" s="1">
        <v>6</v>
      </c>
      <c r="N423" s="5" t="s">
        <v>981</v>
      </c>
      <c r="O423" s="1">
        <v>0</v>
      </c>
      <c r="P423" s="5" t="s">
        <v>983</v>
      </c>
      <c r="Q423" s="1">
        <v>1</v>
      </c>
      <c r="R423" s="1">
        <v>0</v>
      </c>
      <c r="S423" s="1">
        <v>1</v>
      </c>
      <c r="T423" s="1">
        <v>5</v>
      </c>
      <c r="U423" s="1">
        <v>5</v>
      </c>
      <c r="V423" s="1">
        <v>53</v>
      </c>
      <c r="W423" s="1">
        <v>0</v>
      </c>
      <c r="X423" s="1">
        <v>14</v>
      </c>
      <c r="Y423" s="1">
        <v>7</v>
      </c>
      <c r="Z423" s="1">
        <v>250000</v>
      </c>
      <c r="AA423" s="1">
        <v>1</v>
      </c>
    </row>
    <row r="424" spans="1:27" ht="12.75" customHeight="1" x14ac:dyDescent="0.15">
      <c r="A424" s="5">
        <v>198</v>
      </c>
      <c r="B424" s="5" t="s">
        <v>238</v>
      </c>
      <c r="C424" s="1">
        <v>22</v>
      </c>
      <c r="D424" s="5" t="s">
        <v>982</v>
      </c>
      <c r="E424" s="1">
        <v>2</v>
      </c>
      <c r="F424" s="5" t="s">
        <v>982</v>
      </c>
      <c r="G424" s="1">
        <v>1</v>
      </c>
      <c r="H424" s="5" t="s">
        <v>983</v>
      </c>
      <c r="I424" s="1">
        <v>8</v>
      </c>
      <c r="J424" s="5" t="s">
        <v>981</v>
      </c>
      <c r="K424" s="1">
        <v>1</v>
      </c>
      <c r="L424" s="5" t="s">
        <v>983</v>
      </c>
      <c r="M424" s="1">
        <v>3</v>
      </c>
      <c r="N424" s="5" t="s">
        <v>982</v>
      </c>
      <c r="O424" s="1">
        <v>0</v>
      </c>
      <c r="P424" s="5" t="s">
        <v>983</v>
      </c>
      <c r="Q424" s="1">
        <v>0</v>
      </c>
      <c r="R424" s="1">
        <v>0</v>
      </c>
      <c r="S424" s="1" t="s">
        <v>194</v>
      </c>
      <c r="T424" s="1">
        <v>5</v>
      </c>
      <c r="U424" s="1">
        <v>5</v>
      </c>
      <c r="V424" s="1">
        <v>53</v>
      </c>
      <c r="W424" s="1">
        <v>0</v>
      </c>
      <c r="X424" s="1">
        <v>17</v>
      </c>
      <c r="Y424" s="1">
        <v>6</v>
      </c>
      <c r="Z424" s="1">
        <v>0</v>
      </c>
      <c r="AA424" s="1">
        <v>2</v>
      </c>
    </row>
    <row r="425" spans="1:27" ht="12.75" customHeight="1" x14ac:dyDescent="0.15">
      <c r="A425" s="5">
        <v>441</v>
      </c>
      <c r="B425" s="5" t="s">
        <v>238</v>
      </c>
      <c r="C425" s="1">
        <v>14</v>
      </c>
      <c r="D425" s="5" t="s">
        <v>983</v>
      </c>
      <c r="E425" s="1">
        <v>6</v>
      </c>
      <c r="F425" s="5" t="s">
        <v>981</v>
      </c>
      <c r="G425" s="1">
        <v>3</v>
      </c>
      <c r="H425" s="5" t="s">
        <v>982</v>
      </c>
      <c r="I425" s="1">
        <v>11</v>
      </c>
      <c r="J425" s="5" t="s">
        <v>981</v>
      </c>
      <c r="K425" s="1">
        <v>6</v>
      </c>
      <c r="L425" s="5" t="s">
        <v>981</v>
      </c>
      <c r="M425" s="1">
        <v>3</v>
      </c>
      <c r="N425" s="5" t="s">
        <v>982</v>
      </c>
      <c r="O425" s="1">
        <v>0</v>
      </c>
      <c r="P425" s="5" t="s">
        <v>983</v>
      </c>
      <c r="Q425" s="1">
        <v>0</v>
      </c>
      <c r="R425" s="1">
        <v>0</v>
      </c>
      <c r="S425" s="1" t="s">
        <v>194</v>
      </c>
      <c r="T425" s="1">
        <v>5</v>
      </c>
      <c r="U425" s="1">
        <v>5</v>
      </c>
      <c r="V425" s="1">
        <v>53</v>
      </c>
      <c r="W425" s="1">
        <v>0</v>
      </c>
      <c r="X425" s="1">
        <v>14</v>
      </c>
      <c r="Y425" s="1">
        <v>24</v>
      </c>
      <c r="Z425" s="1">
        <v>550000</v>
      </c>
      <c r="AA425" s="1">
        <v>2</v>
      </c>
    </row>
    <row r="426" spans="1:27" ht="12.75" customHeight="1" x14ac:dyDescent="0.15">
      <c r="A426" s="5">
        <v>176</v>
      </c>
      <c r="B426" s="5" t="s">
        <v>238</v>
      </c>
      <c r="C426" s="1">
        <v>35</v>
      </c>
      <c r="D426" s="5" t="s">
        <v>981</v>
      </c>
      <c r="E426" s="1">
        <v>6</v>
      </c>
      <c r="F426" s="5" t="s">
        <v>981</v>
      </c>
      <c r="G426" s="1">
        <v>5</v>
      </c>
      <c r="H426" s="5" t="s">
        <v>982</v>
      </c>
      <c r="I426" s="1">
        <v>2</v>
      </c>
      <c r="J426" s="5" t="s">
        <v>982</v>
      </c>
      <c r="K426" s="1">
        <v>10</v>
      </c>
      <c r="L426" s="5" t="s">
        <v>981</v>
      </c>
      <c r="M426" s="1">
        <v>6</v>
      </c>
      <c r="N426" s="5" t="s">
        <v>981</v>
      </c>
      <c r="O426" s="1">
        <v>2</v>
      </c>
      <c r="P426" s="5" t="s">
        <v>982</v>
      </c>
      <c r="Q426" s="1">
        <v>1</v>
      </c>
      <c r="R426" s="1">
        <v>0</v>
      </c>
      <c r="S426" s="1" t="s">
        <v>194</v>
      </c>
      <c r="T426" s="1">
        <v>3</v>
      </c>
      <c r="U426" s="1">
        <v>5</v>
      </c>
      <c r="V426" s="1">
        <v>53</v>
      </c>
      <c r="W426" s="1">
        <v>1</v>
      </c>
      <c r="X426" s="1">
        <v>14</v>
      </c>
      <c r="Y426" s="1">
        <v>3</v>
      </c>
      <c r="Z426" s="1">
        <v>1100000</v>
      </c>
      <c r="AA426" s="1">
        <v>2</v>
      </c>
    </row>
    <row r="427" spans="1:27" ht="12.75" customHeight="1" x14ac:dyDescent="0.15">
      <c r="A427" s="5">
        <v>207</v>
      </c>
      <c r="B427" s="5" t="s">
        <v>238</v>
      </c>
      <c r="C427" s="1">
        <v>15</v>
      </c>
      <c r="D427" s="5" t="s">
        <v>983</v>
      </c>
      <c r="E427" s="1">
        <v>6</v>
      </c>
      <c r="F427" s="5" t="s">
        <v>981</v>
      </c>
      <c r="G427" s="1">
        <v>2</v>
      </c>
      <c r="H427" s="5" t="s">
        <v>982</v>
      </c>
      <c r="I427" s="1">
        <v>11</v>
      </c>
      <c r="J427" s="5" t="s">
        <v>981</v>
      </c>
      <c r="K427" s="1">
        <v>3</v>
      </c>
      <c r="L427" s="5" t="s">
        <v>982</v>
      </c>
      <c r="M427" s="1">
        <v>4</v>
      </c>
      <c r="N427" s="5" t="s">
        <v>982</v>
      </c>
      <c r="O427" s="1">
        <v>21</v>
      </c>
      <c r="P427" s="5" t="s">
        <v>981</v>
      </c>
      <c r="Q427" s="1">
        <v>1</v>
      </c>
      <c r="R427" s="1">
        <v>0</v>
      </c>
      <c r="S427" s="1" t="s">
        <v>194</v>
      </c>
      <c r="T427" s="1" t="s">
        <v>194</v>
      </c>
      <c r="U427" s="1" t="s">
        <v>194</v>
      </c>
      <c r="V427" s="1">
        <v>53</v>
      </c>
      <c r="W427" s="1">
        <v>0</v>
      </c>
      <c r="X427" s="1"/>
      <c r="Y427" s="1">
        <v>24</v>
      </c>
      <c r="Z427" s="1">
        <v>300000</v>
      </c>
      <c r="AA427" s="1">
        <v>2</v>
      </c>
    </row>
    <row r="428" spans="1:27" ht="12.75" customHeight="1" x14ac:dyDescent="0.15">
      <c r="A428" s="5">
        <v>201</v>
      </c>
      <c r="B428" s="5" t="s">
        <v>984</v>
      </c>
      <c r="C428" s="1">
        <v>29</v>
      </c>
      <c r="D428" s="5" t="s">
        <v>981</v>
      </c>
      <c r="E428" s="1">
        <v>6</v>
      </c>
      <c r="F428" s="5" t="s">
        <v>981</v>
      </c>
      <c r="G428" s="1">
        <v>6</v>
      </c>
      <c r="H428" s="5" t="s">
        <v>981</v>
      </c>
      <c r="I428" s="1">
        <v>6</v>
      </c>
      <c r="J428" s="5" t="s">
        <v>981</v>
      </c>
      <c r="K428" s="1">
        <v>9</v>
      </c>
      <c r="L428" s="5" t="s">
        <v>981</v>
      </c>
      <c r="M428" s="1">
        <v>9</v>
      </c>
      <c r="N428" s="5" t="s">
        <v>981</v>
      </c>
      <c r="O428" s="1">
        <v>2</v>
      </c>
      <c r="P428" s="5" t="s">
        <v>982</v>
      </c>
      <c r="Q428" s="1">
        <v>0</v>
      </c>
      <c r="R428" s="1">
        <v>0</v>
      </c>
      <c r="S428" s="1" t="s">
        <v>194</v>
      </c>
      <c r="T428" s="1">
        <v>2</v>
      </c>
      <c r="U428" s="1">
        <v>1</v>
      </c>
      <c r="V428" s="1">
        <v>54</v>
      </c>
      <c r="W428" s="1">
        <v>0</v>
      </c>
      <c r="X428" s="1">
        <v>5</v>
      </c>
      <c r="Y428" s="1">
        <v>11</v>
      </c>
      <c r="Z428" s="1">
        <v>1500000</v>
      </c>
      <c r="AA428" s="1">
        <v>2</v>
      </c>
    </row>
    <row r="429" spans="1:27" ht="12.75" customHeight="1" x14ac:dyDescent="0.15">
      <c r="A429" s="5">
        <v>487</v>
      </c>
      <c r="B429" s="5" t="s">
        <v>238</v>
      </c>
      <c r="C429" s="1">
        <v>20</v>
      </c>
      <c r="D429" s="5" t="s">
        <v>982</v>
      </c>
      <c r="E429" s="1">
        <v>2</v>
      </c>
      <c r="F429" s="5" t="s">
        <v>982</v>
      </c>
      <c r="G429" s="1">
        <v>0</v>
      </c>
      <c r="H429" s="5" t="s">
        <v>983</v>
      </c>
      <c r="I429" s="1">
        <v>16</v>
      </c>
      <c r="J429" s="5" t="s">
        <v>981</v>
      </c>
      <c r="K429" s="1">
        <v>0</v>
      </c>
      <c r="L429" s="5" t="s">
        <v>983</v>
      </c>
      <c r="M429" s="1">
        <v>3</v>
      </c>
      <c r="N429" s="5" t="s">
        <v>982</v>
      </c>
      <c r="O429" s="1">
        <v>0</v>
      </c>
      <c r="P429" s="5" t="s">
        <v>983</v>
      </c>
      <c r="Q429" s="1">
        <v>0</v>
      </c>
      <c r="R429" s="1">
        <v>0</v>
      </c>
      <c r="S429" s="1" t="s">
        <v>194</v>
      </c>
      <c r="T429" s="1">
        <v>4</v>
      </c>
      <c r="U429" s="1">
        <v>2</v>
      </c>
      <c r="V429" s="1">
        <v>54</v>
      </c>
      <c r="W429" s="1">
        <v>1</v>
      </c>
      <c r="X429" s="1">
        <v>12</v>
      </c>
      <c r="Y429" s="1">
        <v>1</v>
      </c>
      <c r="Z429" s="1">
        <v>400000</v>
      </c>
      <c r="AA429" s="1">
        <v>1</v>
      </c>
    </row>
    <row r="430" spans="1:27" ht="12.75" customHeight="1" x14ac:dyDescent="0.15">
      <c r="A430" s="5">
        <v>362</v>
      </c>
      <c r="B430" s="5" t="s">
        <v>984</v>
      </c>
      <c r="C430" s="1">
        <v>41</v>
      </c>
      <c r="D430" s="5" t="s">
        <v>981</v>
      </c>
      <c r="E430" s="1">
        <v>2</v>
      </c>
      <c r="F430" s="5" t="s">
        <v>982</v>
      </c>
      <c r="G430" s="1">
        <v>5</v>
      </c>
      <c r="H430" s="5" t="s">
        <v>982</v>
      </c>
      <c r="I430" s="1">
        <v>6</v>
      </c>
      <c r="J430" s="5" t="s">
        <v>981</v>
      </c>
      <c r="K430" s="1">
        <v>0</v>
      </c>
      <c r="L430" s="5" t="s">
        <v>983</v>
      </c>
      <c r="M430" s="1">
        <v>3</v>
      </c>
      <c r="N430" s="5" t="s">
        <v>982</v>
      </c>
      <c r="O430" s="1">
        <v>1</v>
      </c>
      <c r="P430" s="5" t="s">
        <v>982</v>
      </c>
      <c r="Q430" s="1">
        <v>1</v>
      </c>
      <c r="R430" s="1">
        <v>0</v>
      </c>
      <c r="S430" s="1">
        <v>1</v>
      </c>
      <c r="T430" s="1" t="s">
        <v>194</v>
      </c>
      <c r="U430" s="1">
        <v>3</v>
      </c>
      <c r="V430" s="1">
        <v>54</v>
      </c>
      <c r="W430" s="1">
        <v>0</v>
      </c>
      <c r="X430" s="1">
        <v>2</v>
      </c>
      <c r="Y430" s="1">
        <v>3</v>
      </c>
      <c r="Z430" s="1">
        <v>250000</v>
      </c>
      <c r="AA430" s="1">
        <v>2</v>
      </c>
    </row>
    <row r="431" spans="1:27" ht="12.75" customHeight="1" x14ac:dyDescent="0.15">
      <c r="A431" s="5">
        <v>50</v>
      </c>
      <c r="B431" s="5" t="s">
        <v>984</v>
      </c>
      <c r="C431" s="1">
        <v>24</v>
      </c>
      <c r="D431" s="5" t="s">
        <v>981</v>
      </c>
      <c r="E431" s="1">
        <v>5</v>
      </c>
      <c r="F431" s="5" t="s">
        <v>981</v>
      </c>
      <c r="G431" s="1">
        <v>6</v>
      </c>
      <c r="H431" s="5" t="s">
        <v>981</v>
      </c>
      <c r="I431" s="1">
        <v>8</v>
      </c>
      <c r="J431" s="5" t="s">
        <v>981</v>
      </c>
      <c r="K431" s="1">
        <v>6</v>
      </c>
      <c r="L431" s="5" t="s">
        <v>981</v>
      </c>
      <c r="M431" s="1">
        <v>6</v>
      </c>
      <c r="N431" s="5" t="s">
        <v>981</v>
      </c>
      <c r="O431" s="1">
        <v>1</v>
      </c>
      <c r="P431" s="5" t="s">
        <v>982</v>
      </c>
      <c r="Q431" s="1">
        <v>1</v>
      </c>
      <c r="R431" s="1">
        <v>0</v>
      </c>
      <c r="S431" s="1">
        <v>1</v>
      </c>
      <c r="T431" s="1">
        <v>3</v>
      </c>
      <c r="U431" s="1">
        <v>3</v>
      </c>
      <c r="V431" s="1">
        <v>54</v>
      </c>
      <c r="W431" s="1">
        <v>0</v>
      </c>
      <c r="X431" s="1">
        <v>16</v>
      </c>
      <c r="Y431" s="1">
        <v>34</v>
      </c>
      <c r="Z431" s="1">
        <v>0</v>
      </c>
      <c r="AA431" s="1">
        <v>2</v>
      </c>
    </row>
    <row r="432" spans="1:27" ht="12.75" customHeight="1" x14ac:dyDescent="0.15">
      <c r="A432" s="5">
        <v>88</v>
      </c>
      <c r="B432" s="5" t="s">
        <v>984</v>
      </c>
      <c r="C432" s="1">
        <v>15</v>
      </c>
      <c r="D432" s="5" t="s">
        <v>983</v>
      </c>
      <c r="E432" s="1">
        <v>3</v>
      </c>
      <c r="F432" s="5" t="s">
        <v>982</v>
      </c>
      <c r="G432" s="1">
        <v>8</v>
      </c>
      <c r="H432" s="5" t="s">
        <v>981</v>
      </c>
      <c r="I432" s="1">
        <v>6</v>
      </c>
      <c r="J432" s="5" t="s">
        <v>981</v>
      </c>
      <c r="K432" s="1">
        <v>6</v>
      </c>
      <c r="L432" s="5" t="s">
        <v>981</v>
      </c>
      <c r="M432" s="1">
        <v>6</v>
      </c>
      <c r="N432" s="5" t="s">
        <v>981</v>
      </c>
      <c r="O432" s="1">
        <v>5</v>
      </c>
      <c r="P432" s="5" t="s">
        <v>982</v>
      </c>
      <c r="Q432" s="1">
        <v>1</v>
      </c>
      <c r="R432" s="1">
        <v>0</v>
      </c>
      <c r="S432" s="1">
        <v>1</v>
      </c>
      <c r="T432" s="1">
        <v>4</v>
      </c>
      <c r="U432" s="1">
        <v>3</v>
      </c>
      <c r="V432" s="1">
        <v>54</v>
      </c>
      <c r="W432" s="1">
        <v>1</v>
      </c>
      <c r="X432" s="1">
        <v>13</v>
      </c>
      <c r="Y432" s="1">
        <v>3</v>
      </c>
      <c r="Z432" s="1">
        <v>700000</v>
      </c>
      <c r="AA432" s="1">
        <v>3</v>
      </c>
    </row>
    <row r="433" spans="1:27" ht="12.75" customHeight="1" x14ac:dyDescent="0.15">
      <c r="A433" s="5">
        <v>343</v>
      </c>
      <c r="B433" s="5" t="s">
        <v>238</v>
      </c>
      <c r="C433" s="1">
        <v>15</v>
      </c>
      <c r="D433" s="5" t="s">
        <v>983</v>
      </c>
      <c r="E433" s="1">
        <v>0</v>
      </c>
      <c r="F433" s="5" t="s">
        <v>983</v>
      </c>
      <c r="G433" s="1">
        <v>1</v>
      </c>
      <c r="H433" s="5" t="s">
        <v>983</v>
      </c>
      <c r="I433" s="1">
        <v>16</v>
      </c>
      <c r="J433" s="5" t="s">
        <v>981</v>
      </c>
      <c r="K433" s="1">
        <v>0</v>
      </c>
      <c r="L433" s="5" t="s">
        <v>983</v>
      </c>
      <c r="M433" s="1">
        <v>0</v>
      </c>
      <c r="N433" s="5" t="s">
        <v>983</v>
      </c>
      <c r="O433" s="1">
        <v>0</v>
      </c>
      <c r="P433" s="5" t="s">
        <v>983</v>
      </c>
      <c r="Q433" s="1">
        <v>0</v>
      </c>
      <c r="R433" s="1">
        <v>0</v>
      </c>
      <c r="S433" s="1" t="s">
        <v>194</v>
      </c>
      <c r="T433" s="1">
        <v>2</v>
      </c>
      <c r="U433" s="1">
        <v>3</v>
      </c>
      <c r="V433" s="1">
        <v>54</v>
      </c>
      <c r="W433" s="1">
        <v>1</v>
      </c>
      <c r="X433" s="1">
        <v>2</v>
      </c>
      <c r="Y433" s="1">
        <v>34</v>
      </c>
      <c r="Z433" s="1">
        <v>400000</v>
      </c>
      <c r="AA433" s="1">
        <v>2</v>
      </c>
    </row>
    <row r="434" spans="1:27" ht="12.75" customHeight="1" x14ac:dyDescent="0.15">
      <c r="A434" s="5">
        <v>395</v>
      </c>
      <c r="B434" s="5" t="s">
        <v>238</v>
      </c>
      <c r="C434" s="1">
        <v>33</v>
      </c>
      <c r="D434" s="5" t="s">
        <v>981</v>
      </c>
      <c r="E434" s="1">
        <v>7</v>
      </c>
      <c r="F434" s="5" t="s">
        <v>981</v>
      </c>
      <c r="G434" s="1">
        <v>3</v>
      </c>
      <c r="H434" s="5" t="s">
        <v>982</v>
      </c>
      <c r="I434" s="1">
        <v>10</v>
      </c>
      <c r="J434" s="5" t="s">
        <v>981</v>
      </c>
      <c r="K434" s="1">
        <v>5</v>
      </c>
      <c r="L434" s="5" t="s">
        <v>982</v>
      </c>
      <c r="M434" s="1">
        <v>7</v>
      </c>
      <c r="N434" s="5" t="s">
        <v>981</v>
      </c>
      <c r="O434" s="1">
        <v>0</v>
      </c>
      <c r="P434" s="5" t="s">
        <v>983</v>
      </c>
      <c r="Q434" s="1">
        <v>1</v>
      </c>
      <c r="R434" s="1">
        <v>0</v>
      </c>
      <c r="S434" s="1">
        <v>1</v>
      </c>
      <c r="T434" s="1">
        <v>5</v>
      </c>
      <c r="U434" s="1">
        <v>5</v>
      </c>
      <c r="V434" s="1">
        <v>54</v>
      </c>
      <c r="W434" s="1">
        <v>0</v>
      </c>
      <c r="X434" s="1">
        <v>2</v>
      </c>
      <c r="Y434" s="1">
        <v>9</v>
      </c>
      <c r="Z434" s="1">
        <v>600000</v>
      </c>
      <c r="AA434" s="1">
        <v>1</v>
      </c>
    </row>
    <row r="435" spans="1:27" ht="12.75" customHeight="1" x14ac:dyDescent="0.15">
      <c r="A435" s="5">
        <v>367</v>
      </c>
      <c r="B435" s="5" t="s">
        <v>984</v>
      </c>
      <c r="C435" s="1">
        <v>20</v>
      </c>
      <c r="D435" s="5" t="s">
        <v>982</v>
      </c>
      <c r="E435" s="1">
        <v>6</v>
      </c>
      <c r="F435" s="5" t="s">
        <v>981</v>
      </c>
      <c r="G435" s="1">
        <v>3</v>
      </c>
      <c r="H435" s="5" t="s">
        <v>982</v>
      </c>
      <c r="I435" s="1">
        <v>4</v>
      </c>
      <c r="J435" s="5" t="s">
        <v>982</v>
      </c>
      <c r="K435" s="1">
        <v>3</v>
      </c>
      <c r="L435" s="5" t="s">
        <v>982</v>
      </c>
      <c r="M435" s="1">
        <v>3</v>
      </c>
      <c r="N435" s="5" t="s">
        <v>982</v>
      </c>
      <c r="O435" s="1">
        <v>0</v>
      </c>
      <c r="P435" s="5" t="s">
        <v>983</v>
      </c>
      <c r="Q435" s="1">
        <v>1</v>
      </c>
      <c r="R435" s="1">
        <v>0</v>
      </c>
      <c r="S435" s="1">
        <v>0</v>
      </c>
      <c r="T435" s="1" t="s">
        <v>194</v>
      </c>
      <c r="U435" s="1">
        <v>1</v>
      </c>
      <c r="V435" s="1">
        <v>55</v>
      </c>
      <c r="W435" s="1">
        <v>1</v>
      </c>
      <c r="X435" s="1">
        <v>14</v>
      </c>
      <c r="Y435" s="1">
        <v>24</v>
      </c>
      <c r="Z435" s="1">
        <v>250000</v>
      </c>
      <c r="AA435" s="1">
        <v>6</v>
      </c>
    </row>
    <row r="436" spans="1:27" ht="12.75" customHeight="1" x14ac:dyDescent="0.15">
      <c r="A436" s="5">
        <v>66</v>
      </c>
      <c r="B436" s="5" t="s">
        <v>238</v>
      </c>
      <c r="C436" s="1">
        <v>18</v>
      </c>
      <c r="D436" s="5" t="s">
        <v>983</v>
      </c>
      <c r="E436" s="1">
        <v>0</v>
      </c>
      <c r="F436" s="5" t="s">
        <v>983</v>
      </c>
      <c r="G436" s="1">
        <v>0</v>
      </c>
      <c r="H436" s="5" t="s">
        <v>983</v>
      </c>
      <c r="I436" s="1">
        <v>8</v>
      </c>
      <c r="J436" s="5" t="s">
        <v>981</v>
      </c>
      <c r="K436" s="1">
        <v>0</v>
      </c>
      <c r="L436" s="5" t="s">
        <v>983</v>
      </c>
      <c r="M436" s="1">
        <v>0</v>
      </c>
      <c r="N436" s="5" t="s">
        <v>983</v>
      </c>
      <c r="O436" s="1">
        <v>0</v>
      </c>
      <c r="P436" s="5" t="s">
        <v>983</v>
      </c>
      <c r="Q436" s="1">
        <v>1</v>
      </c>
      <c r="R436" s="1">
        <v>1</v>
      </c>
      <c r="S436" s="1" t="s">
        <v>194</v>
      </c>
      <c r="T436" s="1">
        <v>2</v>
      </c>
      <c r="U436" s="1">
        <v>1</v>
      </c>
      <c r="V436" s="1">
        <v>55</v>
      </c>
      <c r="W436" s="1">
        <v>0</v>
      </c>
      <c r="X436" s="1">
        <v>12</v>
      </c>
      <c r="Y436" s="1">
        <v>31</v>
      </c>
      <c r="Z436" s="1">
        <v>0</v>
      </c>
      <c r="AA436" s="1">
        <v>5</v>
      </c>
    </row>
    <row r="437" spans="1:27" ht="12.75" customHeight="1" x14ac:dyDescent="0.15">
      <c r="A437" s="5">
        <v>255</v>
      </c>
      <c r="B437" s="5" t="s">
        <v>984</v>
      </c>
      <c r="C437" s="1">
        <v>28</v>
      </c>
      <c r="D437" s="5" t="s">
        <v>981</v>
      </c>
      <c r="E437" s="1">
        <v>6</v>
      </c>
      <c r="F437" s="5" t="s">
        <v>981</v>
      </c>
      <c r="G437" s="1">
        <v>4</v>
      </c>
      <c r="H437" s="5" t="s">
        <v>982</v>
      </c>
      <c r="I437" s="1">
        <v>11</v>
      </c>
      <c r="J437" s="5" t="s">
        <v>981</v>
      </c>
      <c r="K437" s="1">
        <v>4</v>
      </c>
      <c r="L437" s="5" t="s">
        <v>982</v>
      </c>
      <c r="M437" s="1">
        <v>5</v>
      </c>
      <c r="N437" s="5" t="s">
        <v>982</v>
      </c>
      <c r="O437" s="1">
        <v>13</v>
      </c>
      <c r="P437" s="5" t="s">
        <v>982</v>
      </c>
      <c r="Q437" s="1">
        <v>1</v>
      </c>
      <c r="R437" s="1">
        <v>0</v>
      </c>
      <c r="S437" s="1">
        <v>1</v>
      </c>
      <c r="T437" s="1">
        <v>3</v>
      </c>
      <c r="U437" s="1">
        <v>2</v>
      </c>
      <c r="V437" s="1">
        <v>55</v>
      </c>
      <c r="W437" s="1">
        <v>0</v>
      </c>
      <c r="X437" s="1">
        <v>2</v>
      </c>
      <c r="Y437" s="1">
        <v>1</v>
      </c>
      <c r="Z437" s="1">
        <v>350000</v>
      </c>
      <c r="AA437" s="1">
        <v>5</v>
      </c>
    </row>
    <row r="438" spans="1:27" ht="12.75" customHeight="1" x14ac:dyDescent="0.15">
      <c r="A438" s="5">
        <v>298</v>
      </c>
      <c r="B438" s="5" t="s">
        <v>238</v>
      </c>
      <c r="C438" s="1">
        <v>26</v>
      </c>
      <c r="D438" s="5" t="s">
        <v>981</v>
      </c>
      <c r="E438" s="1">
        <v>5</v>
      </c>
      <c r="F438" s="5" t="s">
        <v>981</v>
      </c>
      <c r="G438" s="1">
        <v>6</v>
      </c>
      <c r="H438" s="5" t="s">
        <v>981</v>
      </c>
      <c r="I438" s="1">
        <v>6</v>
      </c>
      <c r="J438" s="5" t="s">
        <v>981</v>
      </c>
      <c r="K438" s="1">
        <v>1</v>
      </c>
      <c r="L438" s="5" t="s">
        <v>983</v>
      </c>
      <c r="M438" s="1">
        <v>8</v>
      </c>
      <c r="N438" s="5" t="s">
        <v>981</v>
      </c>
      <c r="O438" s="1">
        <v>4</v>
      </c>
      <c r="P438" s="5" t="s">
        <v>982</v>
      </c>
      <c r="Q438" s="1">
        <v>0</v>
      </c>
      <c r="R438" s="1">
        <v>0</v>
      </c>
      <c r="S438" s="1" t="s">
        <v>194</v>
      </c>
      <c r="T438" s="1" t="s">
        <v>194</v>
      </c>
      <c r="U438" s="1">
        <v>2</v>
      </c>
      <c r="V438" s="1">
        <v>55</v>
      </c>
      <c r="W438" s="1">
        <v>1</v>
      </c>
      <c r="X438" s="1">
        <v>2</v>
      </c>
      <c r="Y438" s="1">
        <v>11</v>
      </c>
      <c r="Z438" s="1">
        <v>800000</v>
      </c>
      <c r="AA438" s="1">
        <v>1</v>
      </c>
    </row>
    <row r="439" spans="1:27" ht="12.75" customHeight="1" x14ac:dyDescent="0.15">
      <c r="A439" s="5">
        <v>359</v>
      </c>
      <c r="B439" s="5" t="s">
        <v>238</v>
      </c>
      <c r="C439" s="1">
        <v>29</v>
      </c>
      <c r="D439" s="5" t="s">
        <v>981</v>
      </c>
      <c r="E439" s="1">
        <v>4</v>
      </c>
      <c r="F439" s="5" t="s">
        <v>982</v>
      </c>
      <c r="G439" s="1">
        <v>4</v>
      </c>
      <c r="H439" s="5" t="s">
        <v>982</v>
      </c>
      <c r="I439" s="1">
        <v>3</v>
      </c>
      <c r="J439" s="5" t="s">
        <v>982</v>
      </c>
      <c r="K439" s="1">
        <v>0</v>
      </c>
      <c r="L439" s="5" t="s">
        <v>983</v>
      </c>
      <c r="M439" s="1">
        <v>1</v>
      </c>
      <c r="N439" s="5" t="s">
        <v>983</v>
      </c>
      <c r="O439" s="1">
        <v>0</v>
      </c>
      <c r="P439" s="5" t="s">
        <v>983</v>
      </c>
      <c r="Q439" s="1">
        <v>1</v>
      </c>
      <c r="R439" s="1">
        <v>0</v>
      </c>
      <c r="S439" s="1">
        <v>1</v>
      </c>
      <c r="T439" s="1">
        <v>5</v>
      </c>
      <c r="U439" s="1">
        <v>3</v>
      </c>
      <c r="V439" s="1">
        <v>55</v>
      </c>
      <c r="W439" s="1">
        <v>1</v>
      </c>
      <c r="X439" s="1">
        <v>2</v>
      </c>
      <c r="Y439" s="1">
        <v>34</v>
      </c>
      <c r="Z439" s="1">
        <v>400000</v>
      </c>
      <c r="AA439" s="1">
        <v>1</v>
      </c>
    </row>
    <row r="440" spans="1:27" ht="12.75" customHeight="1" x14ac:dyDescent="0.15">
      <c r="A440" s="5">
        <v>256</v>
      </c>
      <c r="B440" s="5" t="s">
        <v>238</v>
      </c>
      <c r="C440" s="1">
        <v>14</v>
      </c>
      <c r="D440" s="5" t="s">
        <v>983</v>
      </c>
      <c r="E440" s="1">
        <v>0</v>
      </c>
      <c r="F440" s="5" t="s">
        <v>983</v>
      </c>
      <c r="G440" s="1">
        <v>0</v>
      </c>
      <c r="H440" s="5" t="s">
        <v>983</v>
      </c>
      <c r="I440" s="1">
        <v>7</v>
      </c>
      <c r="J440" s="5" t="s">
        <v>981</v>
      </c>
      <c r="K440" s="1">
        <v>2</v>
      </c>
      <c r="L440" s="5" t="s">
        <v>983</v>
      </c>
      <c r="M440" s="1">
        <v>2</v>
      </c>
      <c r="N440" s="5" t="s">
        <v>983</v>
      </c>
      <c r="O440" s="1">
        <v>3</v>
      </c>
      <c r="P440" s="5" t="s">
        <v>982</v>
      </c>
      <c r="Q440" s="1">
        <v>0</v>
      </c>
      <c r="R440" s="1">
        <v>0</v>
      </c>
      <c r="S440" s="1" t="s">
        <v>194</v>
      </c>
      <c r="T440" s="1">
        <v>4</v>
      </c>
      <c r="U440" s="1">
        <v>3</v>
      </c>
      <c r="V440" s="1">
        <v>55</v>
      </c>
      <c r="W440" s="1">
        <v>0</v>
      </c>
      <c r="X440" s="1">
        <v>2</v>
      </c>
      <c r="Y440" s="1">
        <v>1</v>
      </c>
      <c r="Z440" s="1">
        <v>350000</v>
      </c>
      <c r="AA440" s="1">
        <v>5</v>
      </c>
    </row>
    <row r="441" spans="1:27" ht="12.75" customHeight="1" x14ac:dyDescent="0.15">
      <c r="A441" s="5">
        <v>389</v>
      </c>
      <c r="B441" s="5" t="s">
        <v>238</v>
      </c>
      <c r="C441" s="1">
        <v>20</v>
      </c>
      <c r="D441" s="5" t="s">
        <v>982</v>
      </c>
      <c r="E441" s="1">
        <v>4</v>
      </c>
      <c r="F441" s="5" t="s">
        <v>982</v>
      </c>
      <c r="G441" s="1">
        <v>3</v>
      </c>
      <c r="H441" s="5" t="s">
        <v>982</v>
      </c>
      <c r="I441" s="1">
        <v>7</v>
      </c>
      <c r="J441" s="5" t="s">
        <v>981</v>
      </c>
      <c r="K441" s="1">
        <v>8</v>
      </c>
      <c r="L441" s="5" t="s">
        <v>981</v>
      </c>
      <c r="M441" s="1">
        <v>7</v>
      </c>
      <c r="N441" s="5" t="s">
        <v>981</v>
      </c>
      <c r="O441" s="1">
        <v>0</v>
      </c>
      <c r="P441" s="5" t="s">
        <v>983</v>
      </c>
      <c r="Q441" s="1">
        <v>1</v>
      </c>
      <c r="R441" s="1">
        <v>0</v>
      </c>
      <c r="S441" s="1" t="s">
        <v>194</v>
      </c>
      <c r="T441" s="1">
        <v>3</v>
      </c>
      <c r="U441" s="1">
        <v>3</v>
      </c>
      <c r="V441" s="1">
        <v>55</v>
      </c>
      <c r="W441" s="1">
        <v>0</v>
      </c>
      <c r="X441" s="1">
        <v>14</v>
      </c>
      <c r="Y441" s="1">
        <v>7</v>
      </c>
      <c r="Z441" s="1">
        <v>500000</v>
      </c>
      <c r="AA441" s="1">
        <v>3</v>
      </c>
    </row>
    <row r="442" spans="1:27" ht="12.75" customHeight="1" x14ac:dyDescent="0.15">
      <c r="A442" s="5">
        <v>448</v>
      </c>
      <c r="B442" s="5" t="s">
        <v>238</v>
      </c>
      <c r="C442" s="1">
        <v>16</v>
      </c>
      <c r="D442" s="5" t="s">
        <v>983</v>
      </c>
      <c r="E442" s="1">
        <v>0</v>
      </c>
      <c r="F442" s="5" t="s">
        <v>983</v>
      </c>
      <c r="G442" s="1">
        <v>1</v>
      </c>
      <c r="H442" s="5" t="s">
        <v>983</v>
      </c>
      <c r="I442" s="1">
        <v>15</v>
      </c>
      <c r="J442" s="5" t="s">
        <v>981</v>
      </c>
      <c r="K442" s="1">
        <v>0</v>
      </c>
      <c r="L442" s="5" t="s">
        <v>983</v>
      </c>
      <c r="M442" s="1">
        <v>0</v>
      </c>
      <c r="N442" s="5" t="s">
        <v>983</v>
      </c>
      <c r="O442" s="1">
        <v>0</v>
      </c>
      <c r="P442" s="5" t="s">
        <v>983</v>
      </c>
      <c r="Q442" s="1">
        <v>0</v>
      </c>
      <c r="R442" s="1">
        <v>0</v>
      </c>
      <c r="S442" s="1" t="s">
        <v>194</v>
      </c>
      <c r="T442" s="1">
        <v>5</v>
      </c>
      <c r="U442" s="1">
        <v>5</v>
      </c>
      <c r="V442" s="1">
        <v>55</v>
      </c>
      <c r="W442" s="1">
        <v>0</v>
      </c>
      <c r="X442" s="1">
        <v>16</v>
      </c>
      <c r="Y442" s="1">
        <v>34</v>
      </c>
      <c r="Z442" s="1">
        <v>800000</v>
      </c>
      <c r="AA442" s="1">
        <v>3</v>
      </c>
    </row>
    <row r="443" spans="1:27" ht="12.75" customHeight="1" x14ac:dyDescent="0.15">
      <c r="A443" s="5">
        <v>18</v>
      </c>
      <c r="B443" s="5" t="s">
        <v>238</v>
      </c>
      <c r="C443" s="1">
        <v>17</v>
      </c>
      <c r="D443" s="5" t="s">
        <v>983</v>
      </c>
      <c r="E443" s="1">
        <v>0</v>
      </c>
      <c r="F443" s="5" t="s">
        <v>983</v>
      </c>
      <c r="G443" s="1">
        <v>0</v>
      </c>
      <c r="H443" s="5" t="s">
        <v>983</v>
      </c>
      <c r="I443" s="1">
        <v>16</v>
      </c>
      <c r="J443" s="5" t="s">
        <v>981</v>
      </c>
      <c r="K443" s="1">
        <v>0</v>
      </c>
      <c r="L443" s="5" t="s">
        <v>983</v>
      </c>
      <c r="M443" s="1">
        <v>0</v>
      </c>
      <c r="N443" s="5" t="s">
        <v>983</v>
      </c>
      <c r="O443" s="1">
        <v>0</v>
      </c>
      <c r="P443" s="5" t="s">
        <v>983</v>
      </c>
      <c r="Q443" s="1">
        <v>1</v>
      </c>
      <c r="R443" s="1">
        <v>0</v>
      </c>
      <c r="S443" s="1">
        <v>1</v>
      </c>
      <c r="T443" s="1" t="s">
        <v>194</v>
      </c>
      <c r="U443" s="1" t="s">
        <v>194</v>
      </c>
      <c r="V443" s="1">
        <v>55</v>
      </c>
      <c r="W443" s="1">
        <v>0</v>
      </c>
      <c r="X443" s="1">
        <v>16</v>
      </c>
      <c r="Y443" s="1">
        <v>10</v>
      </c>
      <c r="Z443" s="1">
        <v>270000</v>
      </c>
      <c r="AA443" s="1">
        <v>3</v>
      </c>
    </row>
    <row r="444" spans="1:27" ht="12.75" customHeight="1" x14ac:dyDescent="0.15">
      <c r="A444" s="5">
        <v>499</v>
      </c>
      <c r="B444" s="5" t="s">
        <v>984</v>
      </c>
      <c r="C444" s="1">
        <v>20</v>
      </c>
      <c r="D444" s="5" t="s">
        <v>982</v>
      </c>
      <c r="E444" s="1">
        <v>2</v>
      </c>
      <c r="F444" s="5" t="s">
        <v>982</v>
      </c>
      <c r="G444" s="1">
        <v>1</v>
      </c>
      <c r="H444" s="5" t="s">
        <v>983</v>
      </c>
      <c r="I444" s="1">
        <v>10</v>
      </c>
      <c r="J444" s="5" t="s">
        <v>981</v>
      </c>
      <c r="K444" s="1">
        <v>0</v>
      </c>
      <c r="L444" s="5" t="s">
        <v>983</v>
      </c>
      <c r="M444" s="1">
        <v>3</v>
      </c>
      <c r="N444" s="5" t="s">
        <v>982</v>
      </c>
      <c r="O444" s="1">
        <v>1</v>
      </c>
      <c r="P444" s="5" t="s">
        <v>982</v>
      </c>
      <c r="Q444" s="1">
        <v>0</v>
      </c>
      <c r="R444" s="1">
        <v>1</v>
      </c>
      <c r="S444" s="1" t="s">
        <v>194</v>
      </c>
      <c r="T444" s="1">
        <v>1</v>
      </c>
      <c r="U444" s="1" t="s">
        <v>194</v>
      </c>
      <c r="V444" s="1">
        <v>55</v>
      </c>
      <c r="W444" s="1">
        <v>1</v>
      </c>
      <c r="X444" s="1">
        <v>14</v>
      </c>
      <c r="Y444" s="1">
        <v>24</v>
      </c>
      <c r="Z444" s="1">
        <v>600000</v>
      </c>
      <c r="AA444" s="1">
        <v>2</v>
      </c>
    </row>
    <row r="445" spans="1:27" ht="12.75" customHeight="1" x14ac:dyDescent="0.15">
      <c r="A445" s="5">
        <v>75</v>
      </c>
      <c r="B445" s="5" t="s">
        <v>238</v>
      </c>
      <c r="C445" s="1">
        <v>12</v>
      </c>
      <c r="D445" s="5" t="s">
        <v>983</v>
      </c>
      <c r="E445" s="1">
        <v>6</v>
      </c>
      <c r="F445" s="5" t="s">
        <v>981</v>
      </c>
      <c r="G445" s="1">
        <v>6</v>
      </c>
      <c r="H445" s="5" t="s">
        <v>981</v>
      </c>
      <c r="I445" s="1">
        <v>2</v>
      </c>
      <c r="J445" s="5" t="s">
        <v>982</v>
      </c>
      <c r="K445" s="1">
        <v>6</v>
      </c>
      <c r="L445" s="5" t="s">
        <v>981</v>
      </c>
      <c r="M445" s="1">
        <v>6</v>
      </c>
      <c r="N445" s="5" t="s">
        <v>981</v>
      </c>
      <c r="O445" s="1">
        <v>0</v>
      </c>
      <c r="P445" s="5" t="s">
        <v>983</v>
      </c>
      <c r="Q445" s="1">
        <v>1</v>
      </c>
      <c r="R445" s="1">
        <v>0</v>
      </c>
      <c r="S445" s="1">
        <v>1</v>
      </c>
      <c r="T445" s="1">
        <v>1</v>
      </c>
      <c r="U445" s="1">
        <v>1</v>
      </c>
      <c r="V445" s="1">
        <v>56</v>
      </c>
      <c r="W445" s="1">
        <v>0</v>
      </c>
      <c r="X445" s="1">
        <v>14</v>
      </c>
      <c r="Y445" s="1">
        <v>33</v>
      </c>
      <c r="Z445" s="1">
        <v>500000</v>
      </c>
      <c r="AA445" s="1">
        <v>3</v>
      </c>
    </row>
    <row r="446" spans="1:27" ht="12.75" customHeight="1" x14ac:dyDescent="0.15">
      <c r="A446" s="5">
        <v>364</v>
      </c>
      <c r="B446" s="5" t="s">
        <v>238</v>
      </c>
      <c r="C446" s="1">
        <v>13</v>
      </c>
      <c r="D446" s="5" t="s">
        <v>983</v>
      </c>
      <c r="E446" s="1">
        <v>2</v>
      </c>
      <c r="F446" s="5" t="s">
        <v>982</v>
      </c>
      <c r="G446" s="1">
        <v>1</v>
      </c>
      <c r="H446" s="5" t="s">
        <v>983</v>
      </c>
      <c r="I446" s="1">
        <v>6</v>
      </c>
      <c r="J446" s="5" t="s">
        <v>981</v>
      </c>
      <c r="K446" s="1">
        <v>0</v>
      </c>
      <c r="L446" s="5" t="s">
        <v>983</v>
      </c>
      <c r="M446" s="1">
        <v>1</v>
      </c>
      <c r="N446" s="5" t="s">
        <v>983</v>
      </c>
      <c r="O446" s="1">
        <v>0</v>
      </c>
      <c r="P446" s="5" t="s">
        <v>983</v>
      </c>
      <c r="Q446" s="1">
        <v>1</v>
      </c>
      <c r="R446" s="1">
        <v>0</v>
      </c>
      <c r="S446" s="1" t="s">
        <v>194</v>
      </c>
      <c r="T446" s="1" t="s">
        <v>194</v>
      </c>
      <c r="U446" s="1">
        <v>2</v>
      </c>
      <c r="V446" s="1">
        <v>56</v>
      </c>
      <c r="W446" s="1">
        <v>0</v>
      </c>
      <c r="X446" s="1">
        <v>2</v>
      </c>
      <c r="Y446" s="1">
        <v>11</v>
      </c>
      <c r="Z446" s="1">
        <v>0</v>
      </c>
      <c r="AA446" s="1">
        <v>2</v>
      </c>
    </row>
    <row r="447" spans="1:27" ht="12.75" customHeight="1" x14ac:dyDescent="0.15">
      <c r="A447" s="5">
        <v>365</v>
      </c>
      <c r="B447" s="5" t="s">
        <v>238</v>
      </c>
      <c r="C447" s="1">
        <v>34</v>
      </c>
      <c r="D447" s="5" t="s">
        <v>981</v>
      </c>
      <c r="E447" s="1">
        <v>6</v>
      </c>
      <c r="F447" s="5" t="s">
        <v>981</v>
      </c>
      <c r="G447" s="1">
        <v>5</v>
      </c>
      <c r="H447" s="5" t="s">
        <v>982</v>
      </c>
      <c r="I447" s="1">
        <v>15</v>
      </c>
      <c r="J447" s="5" t="s">
        <v>981</v>
      </c>
      <c r="K447" s="1">
        <v>2</v>
      </c>
      <c r="L447" s="5" t="s">
        <v>983</v>
      </c>
      <c r="M447" s="1">
        <v>0</v>
      </c>
      <c r="N447" s="5" t="s">
        <v>983</v>
      </c>
      <c r="O447" s="1">
        <v>0</v>
      </c>
      <c r="P447" s="5" t="s">
        <v>983</v>
      </c>
      <c r="Q447" s="1">
        <v>0</v>
      </c>
      <c r="R447" s="1">
        <v>0</v>
      </c>
      <c r="S447" s="1" t="s">
        <v>194</v>
      </c>
      <c r="T447" s="1">
        <v>3</v>
      </c>
      <c r="U447" s="1">
        <v>2</v>
      </c>
      <c r="V447" s="1">
        <v>56</v>
      </c>
      <c r="W447" s="1">
        <v>0</v>
      </c>
      <c r="X447" s="1">
        <v>2</v>
      </c>
      <c r="Y447" s="1">
        <v>11</v>
      </c>
      <c r="Z447" s="1">
        <v>0</v>
      </c>
      <c r="AA447" s="1">
        <v>2</v>
      </c>
    </row>
    <row r="448" spans="1:27" ht="12.75" customHeight="1" x14ac:dyDescent="0.15">
      <c r="A448" s="5">
        <v>6</v>
      </c>
      <c r="B448" s="5" t="s">
        <v>238</v>
      </c>
      <c r="C448" s="1">
        <v>26</v>
      </c>
      <c r="D448" s="5" t="s">
        <v>981</v>
      </c>
      <c r="E448" s="1">
        <v>3</v>
      </c>
      <c r="F448" s="5" t="s">
        <v>982</v>
      </c>
      <c r="G448" s="1">
        <v>0</v>
      </c>
      <c r="H448" s="5" t="s">
        <v>983</v>
      </c>
      <c r="I448" s="1">
        <v>0</v>
      </c>
      <c r="J448" s="5" t="s">
        <v>983</v>
      </c>
      <c r="K448" s="1">
        <v>12</v>
      </c>
      <c r="L448" s="5" t="s">
        <v>981</v>
      </c>
      <c r="M448" s="1">
        <v>1</v>
      </c>
      <c r="N448" s="5" t="s">
        <v>983</v>
      </c>
      <c r="O448" s="1">
        <v>0</v>
      </c>
      <c r="P448" s="5" t="s">
        <v>983</v>
      </c>
      <c r="Q448" s="1">
        <v>1</v>
      </c>
      <c r="R448" s="1">
        <v>0</v>
      </c>
      <c r="S448" s="1">
        <v>1</v>
      </c>
      <c r="T448" s="1" t="s">
        <v>194</v>
      </c>
      <c r="U448" s="1">
        <v>3</v>
      </c>
      <c r="V448" s="1">
        <v>56</v>
      </c>
      <c r="W448" s="1">
        <v>1</v>
      </c>
      <c r="X448" s="1">
        <v>14</v>
      </c>
      <c r="Y448" s="1">
        <v>28</v>
      </c>
      <c r="Z448" s="1">
        <v>150000</v>
      </c>
      <c r="AA448" s="1">
        <v>2</v>
      </c>
    </row>
    <row r="449" spans="1:27" ht="12.75" customHeight="1" x14ac:dyDescent="0.15">
      <c r="A449" s="5">
        <v>192</v>
      </c>
      <c r="B449" s="5" t="s">
        <v>238</v>
      </c>
      <c r="C449" s="1">
        <v>18</v>
      </c>
      <c r="D449" s="5" t="s">
        <v>983</v>
      </c>
      <c r="E449" s="1">
        <v>0</v>
      </c>
      <c r="F449" s="5" t="s">
        <v>983</v>
      </c>
      <c r="G449" s="1">
        <v>0</v>
      </c>
      <c r="H449" s="5" t="s">
        <v>983</v>
      </c>
      <c r="I449" s="1">
        <v>16</v>
      </c>
      <c r="J449" s="5" t="s">
        <v>981</v>
      </c>
      <c r="K449" s="1">
        <v>0</v>
      </c>
      <c r="L449" s="5" t="s">
        <v>983</v>
      </c>
      <c r="M449" s="1">
        <v>0</v>
      </c>
      <c r="N449" s="5" t="s">
        <v>983</v>
      </c>
      <c r="O449" s="1">
        <v>0</v>
      </c>
      <c r="P449" s="5" t="s">
        <v>983</v>
      </c>
      <c r="Q449" s="1">
        <v>0</v>
      </c>
      <c r="R449" s="1">
        <v>0</v>
      </c>
      <c r="S449" s="1" t="s">
        <v>194</v>
      </c>
      <c r="T449" s="1" t="s">
        <v>194</v>
      </c>
      <c r="U449" s="1">
        <v>3</v>
      </c>
      <c r="V449" s="1">
        <v>56</v>
      </c>
      <c r="W449" s="1">
        <v>0</v>
      </c>
      <c r="X449" s="1">
        <v>14</v>
      </c>
      <c r="Y449" s="1">
        <v>13</v>
      </c>
      <c r="Z449" s="1">
        <v>500000</v>
      </c>
      <c r="AA449" s="1">
        <v>3</v>
      </c>
    </row>
    <row r="450" spans="1:27" ht="12.75" customHeight="1" x14ac:dyDescent="0.15">
      <c r="A450" s="5">
        <v>74</v>
      </c>
      <c r="B450" s="5" t="s">
        <v>984</v>
      </c>
      <c r="C450" s="1">
        <v>24</v>
      </c>
      <c r="D450" s="5" t="s">
        <v>981</v>
      </c>
      <c r="E450" s="1">
        <v>5</v>
      </c>
      <c r="F450" s="5" t="s">
        <v>981</v>
      </c>
      <c r="G450" s="1">
        <v>2</v>
      </c>
      <c r="H450" s="5" t="s">
        <v>982</v>
      </c>
      <c r="I450" s="1">
        <v>8</v>
      </c>
      <c r="J450" s="5" t="s">
        <v>981</v>
      </c>
      <c r="K450" s="1">
        <v>1</v>
      </c>
      <c r="L450" s="5" t="s">
        <v>983</v>
      </c>
      <c r="M450" s="1">
        <v>6</v>
      </c>
      <c r="N450" s="5" t="s">
        <v>981</v>
      </c>
      <c r="O450" s="1">
        <v>0</v>
      </c>
      <c r="P450" s="5" t="s">
        <v>983</v>
      </c>
      <c r="Q450" s="1">
        <v>1</v>
      </c>
      <c r="R450" s="1">
        <v>0</v>
      </c>
      <c r="S450" s="1">
        <v>1</v>
      </c>
      <c r="T450" s="1">
        <v>5</v>
      </c>
      <c r="U450" s="1">
        <v>5</v>
      </c>
      <c r="V450" s="1">
        <v>56</v>
      </c>
      <c r="W450" s="1">
        <v>0</v>
      </c>
      <c r="X450" s="1">
        <v>14</v>
      </c>
      <c r="Y450" s="1">
        <v>24</v>
      </c>
      <c r="Z450" s="1">
        <v>0</v>
      </c>
      <c r="AA450" s="1">
        <v>5</v>
      </c>
    </row>
    <row r="451" spans="1:27" ht="12.75" customHeight="1" x14ac:dyDescent="0.15">
      <c r="A451" s="5">
        <v>78</v>
      </c>
      <c r="B451" s="5" t="s">
        <v>238</v>
      </c>
      <c r="C451" s="1">
        <v>17</v>
      </c>
      <c r="D451" s="5" t="s">
        <v>983</v>
      </c>
      <c r="E451" s="1">
        <v>10</v>
      </c>
      <c r="F451" s="5" t="s">
        <v>981</v>
      </c>
      <c r="G451" s="1">
        <v>9</v>
      </c>
      <c r="H451" s="5" t="s">
        <v>981</v>
      </c>
      <c r="I451" s="1">
        <v>3</v>
      </c>
      <c r="J451" s="5" t="s">
        <v>982</v>
      </c>
      <c r="K451" s="1">
        <v>10</v>
      </c>
      <c r="L451" s="5" t="s">
        <v>981</v>
      </c>
      <c r="M451" s="1">
        <v>9</v>
      </c>
      <c r="N451" s="5" t="s">
        <v>981</v>
      </c>
      <c r="O451" s="1">
        <v>0</v>
      </c>
      <c r="P451" s="5" t="s">
        <v>983</v>
      </c>
      <c r="Q451" s="1">
        <v>1</v>
      </c>
      <c r="R451" s="1">
        <v>0</v>
      </c>
      <c r="S451" s="1">
        <v>1</v>
      </c>
      <c r="T451" s="1">
        <v>2</v>
      </c>
      <c r="U451" s="1">
        <v>2</v>
      </c>
      <c r="V451" s="1">
        <v>57</v>
      </c>
      <c r="W451" s="1">
        <v>0</v>
      </c>
      <c r="X451" s="1">
        <v>14</v>
      </c>
      <c r="Y451" s="1">
        <v>5</v>
      </c>
      <c r="Z451" s="1">
        <v>650000</v>
      </c>
      <c r="AA451" s="1">
        <v>1</v>
      </c>
    </row>
    <row r="452" spans="1:27" ht="12.75" customHeight="1" x14ac:dyDescent="0.15">
      <c r="A452" s="5">
        <v>54</v>
      </c>
      <c r="B452" s="5" t="s">
        <v>238</v>
      </c>
      <c r="C452" s="1">
        <v>21</v>
      </c>
      <c r="D452" s="5" t="s">
        <v>982</v>
      </c>
      <c r="E452" s="1">
        <v>7</v>
      </c>
      <c r="F452" s="5" t="s">
        <v>981</v>
      </c>
      <c r="G452" s="1">
        <v>4</v>
      </c>
      <c r="H452" s="5" t="s">
        <v>982</v>
      </c>
      <c r="I452" s="1">
        <v>8</v>
      </c>
      <c r="J452" s="5" t="s">
        <v>981</v>
      </c>
      <c r="K452" s="1">
        <v>6</v>
      </c>
      <c r="L452" s="5" t="s">
        <v>981</v>
      </c>
      <c r="M452" s="1">
        <v>6</v>
      </c>
      <c r="N452" s="5" t="s">
        <v>981</v>
      </c>
      <c r="O452" s="1">
        <v>6</v>
      </c>
      <c r="P452" s="5" t="s">
        <v>982</v>
      </c>
      <c r="Q452" s="1">
        <v>1</v>
      </c>
      <c r="R452" s="1">
        <v>0</v>
      </c>
      <c r="S452" s="1" t="s">
        <v>194</v>
      </c>
      <c r="T452" s="1">
        <v>5</v>
      </c>
      <c r="U452" s="1">
        <v>2</v>
      </c>
      <c r="V452" s="1">
        <v>57</v>
      </c>
      <c r="W452" s="1">
        <v>0</v>
      </c>
      <c r="X452" s="1">
        <v>14</v>
      </c>
      <c r="Y452" s="1">
        <v>3</v>
      </c>
      <c r="Z452" s="1">
        <v>240000</v>
      </c>
      <c r="AA452" s="1">
        <v>3</v>
      </c>
    </row>
    <row r="453" spans="1:27" ht="12.75" customHeight="1" x14ac:dyDescent="0.15">
      <c r="A453" s="5">
        <v>479</v>
      </c>
      <c r="B453" s="5" t="s">
        <v>238</v>
      </c>
      <c r="C453" s="1">
        <v>19</v>
      </c>
      <c r="D453" s="5" t="s">
        <v>982</v>
      </c>
      <c r="E453" s="1">
        <v>9</v>
      </c>
      <c r="F453" s="5" t="s">
        <v>981</v>
      </c>
      <c r="G453" s="1">
        <v>3</v>
      </c>
      <c r="H453" s="5" t="s">
        <v>982</v>
      </c>
      <c r="I453" s="1">
        <v>5</v>
      </c>
      <c r="J453" s="5" t="s">
        <v>981</v>
      </c>
      <c r="K453" s="1">
        <v>7</v>
      </c>
      <c r="L453" s="5" t="s">
        <v>981</v>
      </c>
      <c r="M453" s="1">
        <v>6</v>
      </c>
      <c r="N453" s="5" t="s">
        <v>981</v>
      </c>
      <c r="O453" s="1">
        <v>3</v>
      </c>
      <c r="P453" s="5" t="s">
        <v>982</v>
      </c>
      <c r="Q453" s="1">
        <v>1</v>
      </c>
      <c r="R453" s="1">
        <v>0</v>
      </c>
      <c r="S453" s="1" t="s">
        <v>194</v>
      </c>
      <c r="T453" s="1">
        <v>1</v>
      </c>
      <c r="U453" s="1">
        <v>3</v>
      </c>
      <c r="V453" s="1">
        <v>57</v>
      </c>
      <c r="W453" s="1">
        <v>1</v>
      </c>
      <c r="X453" s="1">
        <v>14</v>
      </c>
      <c r="Y453" s="1">
        <v>24</v>
      </c>
      <c r="Z453" s="1">
        <v>0</v>
      </c>
      <c r="AA453" s="1">
        <v>2</v>
      </c>
    </row>
    <row r="454" spans="1:27" ht="12.75" customHeight="1" x14ac:dyDescent="0.15">
      <c r="A454" s="5">
        <v>112</v>
      </c>
      <c r="B454" s="5" t="s">
        <v>238</v>
      </c>
      <c r="C454" s="1">
        <v>23</v>
      </c>
      <c r="D454" s="5" t="s">
        <v>982</v>
      </c>
      <c r="E454" s="1">
        <v>6</v>
      </c>
      <c r="F454" s="5" t="s">
        <v>981</v>
      </c>
      <c r="G454" s="1">
        <v>4</v>
      </c>
      <c r="H454" s="5" t="s">
        <v>982</v>
      </c>
      <c r="I454" s="1">
        <v>11</v>
      </c>
      <c r="J454" s="5" t="s">
        <v>981</v>
      </c>
      <c r="K454" s="1">
        <v>5</v>
      </c>
      <c r="L454" s="5" t="s">
        <v>982</v>
      </c>
      <c r="M454" s="1">
        <v>4</v>
      </c>
      <c r="N454" s="5" t="s">
        <v>982</v>
      </c>
      <c r="O454" s="1">
        <v>0</v>
      </c>
      <c r="P454" s="5" t="s">
        <v>983</v>
      </c>
      <c r="Q454" s="1">
        <v>1</v>
      </c>
      <c r="R454" s="1">
        <v>0</v>
      </c>
      <c r="S454" s="1">
        <v>1</v>
      </c>
      <c r="T454" s="1">
        <v>1</v>
      </c>
      <c r="U454" s="1">
        <v>2</v>
      </c>
      <c r="V454" s="1">
        <v>58</v>
      </c>
      <c r="W454" s="1">
        <v>0</v>
      </c>
      <c r="X454" s="1">
        <v>16</v>
      </c>
      <c r="Y454" s="1">
        <v>1</v>
      </c>
      <c r="Z454" s="1">
        <v>800000</v>
      </c>
      <c r="AA454" s="1">
        <v>3</v>
      </c>
    </row>
    <row r="455" spans="1:27" ht="12.75" customHeight="1" x14ac:dyDescent="0.15">
      <c r="A455" s="5">
        <v>307</v>
      </c>
      <c r="B455" s="5" t="s">
        <v>238</v>
      </c>
      <c r="C455" s="1">
        <v>23</v>
      </c>
      <c r="D455" s="5" t="s">
        <v>982</v>
      </c>
      <c r="E455" s="1">
        <v>4</v>
      </c>
      <c r="F455" s="5" t="s">
        <v>982</v>
      </c>
      <c r="G455" s="1">
        <v>1</v>
      </c>
      <c r="H455" s="5" t="s">
        <v>983</v>
      </c>
      <c r="I455" s="1">
        <v>7</v>
      </c>
      <c r="J455" s="5" t="s">
        <v>981</v>
      </c>
      <c r="K455" s="1">
        <v>3</v>
      </c>
      <c r="L455" s="5" t="s">
        <v>982</v>
      </c>
      <c r="M455" s="1">
        <v>3</v>
      </c>
      <c r="N455" s="5" t="s">
        <v>982</v>
      </c>
      <c r="O455" s="1">
        <v>0</v>
      </c>
      <c r="P455" s="5" t="s">
        <v>983</v>
      </c>
      <c r="Q455" s="1">
        <v>1</v>
      </c>
      <c r="R455" s="1">
        <v>0</v>
      </c>
      <c r="S455" s="1" t="s">
        <v>194</v>
      </c>
      <c r="T455" s="1" t="s">
        <v>194</v>
      </c>
      <c r="U455" s="1">
        <v>2</v>
      </c>
      <c r="V455" s="1">
        <v>58</v>
      </c>
      <c r="W455" s="1">
        <v>1</v>
      </c>
      <c r="X455" s="1">
        <v>2</v>
      </c>
      <c r="Y455" s="1">
        <v>5</v>
      </c>
      <c r="Z455" s="1">
        <v>300000</v>
      </c>
      <c r="AA455" s="1">
        <v>2</v>
      </c>
    </row>
    <row r="456" spans="1:27" ht="12.75" customHeight="1" x14ac:dyDescent="0.15">
      <c r="A456" s="5">
        <v>360</v>
      </c>
      <c r="B456" s="5" t="s">
        <v>238</v>
      </c>
      <c r="C456" s="1">
        <v>19</v>
      </c>
      <c r="D456" s="5" t="s">
        <v>982</v>
      </c>
      <c r="E456" s="1">
        <v>5</v>
      </c>
      <c r="F456" s="5" t="s">
        <v>981</v>
      </c>
      <c r="G456" s="1">
        <v>2</v>
      </c>
      <c r="H456" s="5" t="s">
        <v>982</v>
      </c>
      <c r="I456" s="1">
        <v>10</v>
      </c>
      <c r="J456" s="5" t="s">
        <v>981</v>
      </c>
      <c r="K456" s="1">
        <v>2</v>
      </c>
      <c r="L456" s="5" t="s">
        <v>983</v>
      </c>
      <c r="M456" s="1">
        <v>6</v>
      </c>
      <c r="N456" s="5" t="s">
        <v>981</v>
      </c>
      <c r="O456" s="1">
        <v>1</v>
      </c>
      <c r="P456" s="5" t="s">
        <v>982</v>
      </c>
      <c r="Q456" s="1">
        <v>1</v>
      </c>
      <c r="R456" s="1">
        <v>1</v>
      </c>
      <c r="S456" s="1">
        <v>1</v>
      </c>
      <c r="T456" s="1">
        <v>4</v>
      </c>
      <c r="U456" s="1">
        <v>3</v>
      </c>
      <c r="V456" s="1">
        <v>58</v>
      </c>
      <c r="W456" s="1">
        <v>1</v>
      </c>
      <c r="X456" s="1">
        <v>14</v>
      </c>
      <c r="Y456" s="1">
        <v>3</v>
      </c>
      <c r="Z456" s="1">
        <v>0</v>
      </c>
      <c r="AA456" s="1">
        <v>1</v>
      </c>
    </row>
    <row r="457" spans="1:27" ht="12.75" customHeight="1" x14ac:dyDescent="0.15">
      <c r="A457" s="5">
        <v>262</v>
      </c>
      <c r="B457" s="5" t="s">
        <v>238</v>
      </c>
      <c r="C457" s="1">
        <v>15</v>
      </c>
      <c r="D457" s="5" t="s">
        <v>983</v>
      </c>
      <c r="E457" s="1">
        <v>0</v>
      </c>
      <c r="F457" s="5" t="s">
        <v>983</v>
      </c>
      <c r="G457" s="1">
        <v>3</v>
      </c>
      <c r="H457" s="5" t="s">
        <v>982</v>
      </c>
      <c r="I457" s="1">
        <v>4</v>
      </c>
      <c r="J457" s="5" t="s">
        <v>982</v>
      </c>
      <c r="K457" s="1">
        <v>7</v>
      </c>
      <c r="L457" s="5" t="s">
        <v>981</v>
      </c>
      <c r="M457" s="1">
        <v>3</v>
      </c>
      <c r="N457" s="5" t="s">
        <v>982</v>
      </c>
      <c r="O457" s="1">
        <v>0</v>
      </c>
      <c r="P457" s="5" t="s">
        <v>983</v>
      </c>
      <c r="Q457" s="1">
        <v>1</v>
      </c>
      <c r="R457" s="1">
        <v>0</v>
      </c>
      <c r="S457" s="1" t="s">
        <v>194</v>
      </c>
      <c r="T457" s="1">
        <v>4</v>
      </c>
      <c r="U457" s="1">
        <v>5</v>
      </c>
      <c r="V457" s="1">
        <v>58</v>
      </c>
      <c r="W457" s="1">
        <v>0</v>
      </c>
      <c r="X457" s="1">
        <v>2</v>
      </c>
      <c r="Y457" s="1">
        <v>1</v>
      </c>
      <c r="Z457" s="1">
        <v>600000</v>
      </c>
      <c r="AA457" s="1">
        <v>1</v>
      </c>
    </row>
    <row r="458" spans="1:27" ht="12.75" customHeight="1" x14ac:dyDescent="0.15">
      <c r="A458" s="5">
        <v>433</v>
      </c>
      <c r="B458" s="5" t="s">
        <v>238</v>
      </c>
      <c r="C458" s="1">
        <v>30</v>
      </c>
      <c r="D458" s="5" t="s">
        <v>981</v>
      </c>
      <c r="E458" s="1">
        <v>2</v>
      </c>
      <c r="F458" s="5" t="s">
        <v>982</v>
      </c>
      <c r="G458" s="1">
        <v>6</v>
      </c>
      <c r="H458" s="5" t="s">
        <v>981</v>
      </c>
      <c r="I458" s="1">
        <v>8</v>
      </c>
      <c r="J458" s="5" t="s">
        <v>981</v>
      </c>
      <c r="K458" s="1">
        <v>3</v>
      </c>
      <c r="L458" s="5" t="s">
        <v>982</v>
      </c>
      <c r="M458" s="1">
        <v>0</v>
      </c>
      <c r="N458" s="5" t="s">
        <v>983</v>
      </c>
      <c r="O458" s="1">
        <v>0</v>
      </c>
      <c r="P458" s="5" t="s">
        <v>983</v>
      </c>
      <c r="Q458" s="1">
        <v>0</v>
      </c>
      <c r="R458" s="1">
        <v>0</v>
      </c>
      <c r="S458" s="1" t="s">
        <v>194</v>
      </c>
      <c r="T458" s="1" t="s">
        <v>194</v>
      </c>
      <c r="U458" s="1">
        <v>1</v>
      </c>
      <c r="V458" s="1">
        <v>59</v>
      </c>
      <c r="W458" s="1">
        <v>0</v>
      </c>
      <c r="X458" s="1">
        <v>14</v>
      </c>
      <c r="Y458" s="1">
        <v>34</v>
      </c>
      <c r="Z458" s="1">
        <v>150000</v>
      </c>
      <c r="AA458" s="1">
        <v>3</v>
      </c>
    </row>
    <row r="459" spans="1:27" ht="12.75" customHeight="1" x14ac:dyDescent="0.15">
      <c r="A459" s="5">
        <v>401</v>
      </c>
      <c r="B459" s="5" t="s">
        <v>238</v>
      </c>
      <c r="C459" s="1">
        <v>14</v>
      </c>
      <c r="D459" s="5" t="s">
        <v>983</v>
      </c>
      <c r="E459" s="1">
        <v>1</v>
      </c>
      <c r="F459" s="5" t="s">
        <v>983</v>
      </c>
      <c r="G459" s="1">
        <v>2</v>
      </c>
      <c r="H459" s="5" t="s">
        <v>982</v>
      </c>
      <c r="I459" s="1">
        <v>0</v>
      </c>
      <c r="J459" s="5" t="s">
        <v>983</v>
      </c>
      <c r="K459" s="1">
        <v>0</v>
      </c>
      <c r="L459" s="5" t="s">
        <v>983</v>
      </c>
      <c r="M459" s="1">
        <v>0</v>
      </c>
      <c r="N459" s="5" t="s">
        <v>983</v>
      </c>
      <c r="O459" s="1">
        <v>0</v>
      </c>
      <c r="P459" s="5" t="s">
        <v>983</v>
      </c>
      <c r="Q459" s="1">
        <v>1</v>
      </c>
      <c r="R459" s="1">
        <v>0</v>
      </c>
      <c r="S459" s="1">
        <v>1</v>
      </c>
      <c r="T459" s="1">
        <v>3</v>
      </c>
      <c r="U459" s="1">
        <v>2</v>
      </c>
      <c r="V459" s="1">
        <v>59</v>
      </c>
      <c r="W459" s="1">
        <v>0</v>
      </c>
      <c r="X459" s="1">
        <v>1</v>
      </c>
      <c r="Y459" s="1">
        <v>5</v>
      </c>
      <c r="Z459" s="1">
        <v>500000</v>
      </c>
      <c r="AA459" s="1">
        <v>1</v>
      </c>
    </row>
    <row r="460" spans="1:27" ht="12.75" customHeight="1" x14ac:dyDescent="0.15">
      <c r="A460" s="5">
        <v>173</v>
      </c>
      <c r="B460" s="5" t="s">
        <v>984</v>
      </c>
      <c r="C460" s="1">
        <v>17</v>
      </c>
      <c r="D460" s="5" t="s">
        <v>983</v>
      </c>
      <c r="E460" s="1">
        <v>2</v>
      </c>
      <c r="F460" s="5" t="s">
        <v>982</v>
      </c>
      <c r="G460" s="1">
        <v>3</v>
      </c>
      <c r="H460" s="5" t="s">
        <v>982</v>
      </c>
      <c r="I460" s="1">
        <v>4</v>
      </c>
      <c r="J460" s="5" t="s">
        <v>982</v>
      </c>
      <c r="K460" s="1">
        <v>3</v>
      </c>
      <c r="L460" s="5" t="s">
        <v>982</v>
      </c>
      <c r="M460" s="1">
        <v>6</v>
      </c>
      <c r="N460" s="5" t="s">
        <v>981</v>
      </c>
      <c r="O460" s="1">
        <v>0</v>
      </c>
      <c r="P460" s="5" t="s">
        <v>983</v>
      </c>
      <c r="Q460" s="1">
        <v>1</v>
      </c>
      <c r="R460" s="1">
        <v>0</v>
      </c>
      <c r="S460" s="1">
        <v>1</v>
      </c>
      <c r="T460" s="1">
        <v>3</v>
      </c>
      <c r="U460" s="1">
        <v>3</v>
      </c>
      <c r="V460" s="1">
        <v>59</v>
      </c>
      <c r="W460" s="1">
        <v>1</v>
      </c>
      <c r="X460" s="1">
        <v>4</v>
      </c>
      <c r="Y460" s="1">
        <v>11</v>
      </c>
      <c r="Z460" s="1">
        <v>350000</v>
      </c>
      <c r="AA460" s="1">
        <v>3</v>
      </c>
    </row>
    <row r="461" spans="1:27" ht="12.75" customHeight="1" x14ac:dyDescent="0.15">
      <c r="A461" s="5">
        <v>99</v>
      </c>
      <c r="B461" s="5" t="s">
        <v>984</v>
      </c>
      <c r="C461" s="1">
        <v>42</v>
      </c>
      <c r="D461" s="5" t="s">
        <v>981</v>
      </c>
      <c r="E461" s="1">
        <v>4</v>
      </c>
      <c r="F461" s="5" t="s">
        <v>982</v>
      </c>
      <c r="G461" s="1">
        <v>9</v>
      </c>
      <c r="H461" s="5" t="s">
        <v>981</v>
      </c>
      <c r="I461" s="1">
        <v>7</v>
      </c>
      <c r="J461" s="5" t="s">
        <v>981</v>
      </c>
      <c r="K461" s="1">
        <v>11</v>
      </c>
      <c r="L461" s="5" t="s">
        <v>981</v>
      </c>
      <c r="M461" s="1">
        <v>7</v>
      </c>
      <c r="N461" s="5" t="s">
        <v>981</v>
      </c>
      <c r="O461" s="1">
        <v>1</v>
      </c>
      <c r="P461" s="5" t="s">
        <v>982</v>
      </c>
      <c r="Q461" s="1">
        <v>1</v>
      </c>
      <c r="R461" s="1">
        <v>0</v>
      </c>
      <c r="S461" s="1" t="s">
        <v>194</v>
      </c>
      <c r="T461" s="1" t="s">
        <v>194</v>
      </c>
      <c r="U461" s="1">
        <v>3</v>
      </c>
      <c r="V461" s="1">
        <v>59</v>
      </c>
      <c r="W461" s="1">
        <v>1</v>
      </c>
      <c r="X461" s="1">
        <v>14</v>
      </c>
      <c r="Y461" s="1">
        <v>6</v>
      </c>
      <c r="Z461" s="1">
        <v>3000000</v>
      </c>
      <c r="AA461" s="1">
        <v>3</v>
      </c>
    </row>
    <row r="462" spans="1:27" ht="12.75" customHeight="1" x14ac:dyDescent="0.15">
      <c r="A462" s="5">
        <v>295</v>
      </c>
      <c r="B462" s="5" t="s">
        <v>984</v>
      </c>
      <c r="C462" s="1">
        <v>27</v>
      </c>
      <c r="D462" s="5" t="s">
        <v>981</v>
      </c>
      <c r="E462" s="1">
        <v>9</v>
      </c>
      <c r="F462" s="5" t="s">
        <v>981</v>
      </c>
      <c r="G462" s="1">
        <v>9</v>
      </c>
      <c r="H462" s="5" t="s">
        <v>981</v>
      </c>
      <c r="I462" s="1">
        <v>4</v>
      </c>
      <c r="J462" s="5" t="s">
        <v>982</v>
      </c>
      <c r="K462" s="1">
        <v>7</v>
      </c>
      <c r="L462" s="5" t="s">
        <v>981</v>
      </c>
      <c r="M462" s="1">
        <v>12</v>
      </c>
      <c r="N462" s="5" t="s">
        <v>981</v>
      </c>
      <c r="O462" s="1">
        <v>0</v>
      </c>
      <c r="P462" s="5" t="s">
        <v>983</v>
      </c>
      <c r="Q462" s="1">
        <v>0</v>
      </c>
      <c r="R462" s="1">
        <v>0</v>
      </c>
      <c r="S462" s="1" t="s">
        <v>194</v>
      </c>
      <c r="T462" s="1">
        <v>2</v>
      </c>
      <c r="U462" s="1">
        <v>3</v>
      </c>
      <c r="V462" s="1">
        <v>59</v>
      </c>
      <c r="W462" s="1">
        <v>1</v>
      </c>
      <c r="X462" s="1">
        <v>16</v>
      </c>
      <c r="Y462" s="1">
        <v>24</v>
      </c>
      <c r="Z462" s="1">
        <v>400000</v>
      </c>
      <c r="AA462" s="1">
        <v>1</v>
      </c>
    </row>
    <row r="463" spans="1:27" ht="12.75" customHeight="1" x14ac:dyDescent="0.15">
      <c r="A463" s="5">
        <v>440</v>
      </c>
      <c r="B463" s="5" t="s">
        <v>984</v>
      </c>
      <c r="C463" s="1">
        <v>29</v>
      </c>
      <c r="D463" s="5" t="s">
        <v>981</v>
      </c>
      <c r="E463" s="1">
        <v>0</v>
      </c>
      <c r="F463" s="5" t="s">
        <v>983</v>
      </c>
      <c r="G463" s="1">
        <v>5</v>
      </c>
      <c r="H463" s="5" t="s">
        <v>982</v>
      </c>
      <c r="I463" s="1">
        <v>9</v>
      </c>
      <c r="J463" s="5" t="s">
        <v>981</v>
      </c>
      <c r="K463" s="1">
        <v>8</v>
      </c>
      <c r="L463" s="5" t="s">
        <v>981</v>
      </c>
      <c r="M463" s="1">
        <v>4</v>
      </c>
      <c r="N463" s="5" t="s">
        <v>982</v>
      </c>
      <c r="O463" s="1">
        <v>5</v>
      </c>
      <c r="P463" s="5" t="s">
        <v>982</v>
      </c>
      <c r="Q463" s="1">
        <v>0</v>
      </c>
      <c r="R463" s="1">
        <v>0</v>
      </c>
      <c r="S463" s="1">
        <v>0</v>
      </c>
      <c r="T463" s="1" t="s">
        <v>194</v>
      </c>
      <c r="U463" s="1">
        <v>4</v>
      </c>
      <c r="V463" s="1">
        <v>59</v>
      </c>
      <c r="W463" s="1">
        <v>0</v>
      </c>
      <c r="X463" s="1">
        <v>14</v>
      </c>
      <c r="Y463" s="1">
        <v>34</v>
      </c>
      <c r="Z463" s="1">
        <v>200000</v>
      </c>
      <c r="AA463" s="1">
        <v>5</v>
      </c>
    </row>
    <row r="464" spans="1:27" ht="12.75" customHeight="1" x14ac:dyDescent="0.15">
      <c r="A464" s="5">
        <v>294</v>
      </c>
      <c r="B464" s="5" t="s">
        <v>238</v>
      </c>
      <c r="C464" s="1">
        <v>26</v>
      </c>
      <c r="D464" s="5" t="s">
        <v>981</v>
      </c>
      <c r="E464" s="1">
        <v>2</v>
      </c>
      <c r="F464" s="5" t="s">
        <v>982</v>
      </c>
      <c r="G464" s="1">
        <v>6</v>
      </c>
      <c r="H464" s="5" t="s">
        <v>981</v>
      </c>
      <c r="I464" s="1">
        <v>6</v>
      </c>
      <c r="J464" s="5" t="s">
        <v>981</v>
      </c>
      <c r="K464" s="1">
        <v>1</v>
      </c>
      <c r="L464" s="5" t="s">
        <v>983</v>
      </c>
      <c r="M464" s="1">
        <v>3</v>
      </c>
      <c r="N464" s="5" t="s">
        <v>982</v>
      </c>
      <c r="O464" s="1">
        <v>1</v>
      </c>
      <c r="P464" s="5" t="s">
        <v>982</v>
      </c>
      <c r="Q464" s="1">
        <v>0</v>
      </c>
      <c r="R464" s="1">
        <v>0</v>
      </c>
      <c r="S464" s="1" t="s">
        <v>194</v>
      </c>
      <c r="T464" s="1">
        <v>3</v>
      </c>
      <c r="U464" s="1">
        <v>4</v>
      </c>
      <c r="V464" s="1">
        <v>59</v>
      </c>
      <c r="W464" s="1">
        <v>1</v>
      </c>
      <c r="X464" s="1">
        <v>16</v>
      </c>
      <c r="Y464" s="1">
        <v>24</v>
      </c>
      <c r="Z464" s="1">
        <v>400000</v>
      </c>
      <c r="AA464" s="1">
        <v>1</v>
      </c>
    </row>
    <row r="465" spans="1:27" ht="12.75" customHeight="1" x14ac:dyDescent="0.15">
      <c r="A465" s="5">
        <v>418</v>
      </c>
      <c r="B465" s="5" t="s">
        <v>238</v>
      </c>
      <c r="C465" s="1">
        <v>34</v>
      </c>
      <c r="D465" s="5" t="s">
        <v>981</v>
      </c>
      <c r="E465" s="1">
        <v>0</v>
      </c>
      <c r="F465" s="5" t="s">
        <v>983</v>
      </c>
      <c r="G465" s="1">
        <v>12</v>
      </c>
      <c r="H465" s="5" t="s">
        <v>981</v>
      </c>
      <c r="I465" s="1">
        <v>16</v>
      </c>
      <c r="J465" s="5" t="s">
        <v>981</v>
      </c>
      <c r="K465" s="1">
        <v>12</v>
      </c>
      <c r="L465" s="5" t="s">
        <v>981</v>
      </c>
      <c r="M465" s="1">
        <v>8</v>
      </c>
      <c r="N465" s="5" t="s">
        <v>981</v>
      </c>
      <c r="O465" s="1">
        <v>1</v>
      </c>
      <c r="P465" s="5" t="s">
        <v>982</v>
      </c>
      <c r="Q465" s="1">
        <v>1</v>
      </c>
      <c r="R465" s="1">
        <v>0</v>
      </c>
      <c r="S465" s="1" t="s">
        <v>194</v>
      </c>
      <c r="T465" s="1" t="s">
        <v>194</v>
      </c>
      <c r="U465" s="1">
        <v>5</v>
      </c>
      <c r="V465" s="1">
        <v>59</v>
      </c>
      <c r="W465" s="1">
        <v>1</v>
      </c>
      <c r="X465" s="1">
        <v>10</v>
      </c>
      <c r="Y465" s="1">
        <v>24</v>
      </c>
      <c r="Z465" s="1">
        <v>1000000</v>
      </c>
      <c r="AA465" s="1">
        <v>1</v>
      </c>
    </row>
    <row r="466" spans="1:27" ht="12.75" customHeight="1" x14ac:dyDescent="0.15">
      <c r="A466" s="5">
        <v>98</v>
      </c>
      <c r="B466" s="5" t="s">
        <v>238</v>
      </c>
      <c r="C466" s="1">
        <v>12</v>
      </c>
      <c r="D466" s="5" t="s">
        <v>983</v>
      </c>
      <c r="E466" s="1">
        <v>3</v>
      </c>
      <c r="F466" s="5" t="s">
        <v>982</v>
      </c>
      <c r="G466" s="1">
        <v>3</v>
      </c>
      <c r="H466" s="5" t="s">
        <v>982</v>
      </c>
      <c r="I466" s="1">
        <v>12</v>
      </c>
      <c r="J466" s="5" t="s">
        <v>981</v>
      </c>
      <c r="K466" s="1">
        <v>3</v>
      </c>
      <c r="L466" s="5" t="s">
        <v>982</v>
      </c>
      <c r="M466" s="1">
        <v>3</v>
      </c>
      <c r="N466" s="5" t="s">
        <v>982</v>
      </c>
      <c r="O466" s="1">
        <v>0</v>
      </c>
      <c r="P466" s="5" t="s">
        <v>983</v>
      </c>
      <c r="Q466" s="1">
        <v>0</v>
      </c>
      <c r="R466" s="1">
        <v>0</v>
      </c>
      <c r="S466" s="1" t="s">
        <v>194</v>
      </c>
      <c r="T466" s="1" t="s">
        <v>194</v>
      </c>
      <c r="U466" s="1" t="s">
        <v>194</v>
      </c>
      <c r="V466" s="1">
        <v>59</v>
      </c>
      <c r="W466" s="1">
        <v>1</v>
      </c>
      <c r="X466" s="1">
        <v>14</v>
      </c>
      <c r="Y466" s="1">
        <v>6</v>
      </c>
      <c r="Z466" s="1">
        <v>3000000</v>
      </c>
      <c r="AA466" s="1">
        <v>3</v>
      </c>
    </row>
    <row r="467" spans="1:27" ht="12.75" customHeight="1" x14ac:dyDescent="0.15">
      <c r="A467" s="5">
        <v>87</v>
      </c>
      <c r="B467" s="5" t="s">
        <v>238</v>
      </c>
      <c r="C467" s="1">
        <v>23</v>
      </c>
      <c r="D467" s="5" t="s">
        <v>982</v>
      </c>
      <c r="E467" s="1">
        <v>3</v>
      </c>
      <c r="F467" s="5" t="s">
        <v>982</v>
      </c>
      <c r="G467" s="1">
        <v>5</v>
      </c>
      <c r="H467" s="5" t="s">
        <v>982</v>
      </c>
      <c r="I467" s="1">
        <v>12</v>
      </c>
      <c r="J467" s="5" t="s">
        <v>981</v>
      </c>
      <c r="K467" s="1">
        <v>3</v>
      </c>
      <c r="L467" s="5" t="s">
        <v>982</v>
      </c>
      <c r="M467" s="1">
        <v>2</v>
      </c>
      <c r="N467" s="5" t="s">
        <v>983</v>
      </c>
      <c r="O467" s="1">
        <v>12</v>
      </c>
      <c r="P467" s="5" t="s">
        <v>982</v>
      </c>
      <c r="Q467" s="1">
        <v>0</v>
      </c>
      <c r="R467" s="1">
        <v>0</v>
      </c>
      <c r="S467" s="1" t="s">
        <v>194</v>
      </c>
      <c r="T467" s="1">
        <v>1</v>
      </c>
      <c r="U467" s="1" t="s">
        <v>194</v>
      </c>
      <c r="V467" s="1">
        <v>59</v>
      </c>
      <c r="W467" s="1">
        <v>0</v>
      </c>
      <c r="X467" s="1">
        <v>18</v>
      </c>
      <c r="Y467" s="1">
        <v>13</v>
      </c>
      <c r="Z467" s="1">
        <v>485000</v>
      </c>
      <c r="AA467" s="1">
        <v>1</v>
      </c>
    </row>
    <row r="468" spans="1:27" ht="12.75" customHeight="1" x14ac:dyDescent="0.15">
      <c r="A468" s="5">
        <v>337</v>
      </c>
      <c r="B468" s="5" t="s">
        <v>984</v>
      </c>
      <c r="C468" s="1">
        <v>30</v>
      </c>
      <c r="D468" s="5" t="s">
        <v>981</v>
      </c>
      <c r="E468" s="1">
        <v>3</v>
      </c>
      <c r="F468" s="5" t="s">
        <v>982</v>
      </c>
      <c r="G468" s="1">
        <v>10</v>
      </c>
      <c r="H468" s="5" t="s">
        <v>981</v>
      </c>
      <c r="I468" s="1">
        <v>2</v>
      </c>
      <c r="J468" s="5" t="s">
        <v>982</v>
      </c>
      <c r="K468" s="1">
        <v>0</v>
      </c>
      <c r="L468" s="5" t="s">
        <v>983</v>
      </c>
      <c r="M468" s="1">
        <v>7</v>
      </c>
      <c r="N468" s="5" t="s">
        <v>981</v>
      </c>
      <c r="O468" s="1">
        <v>2</v>
      </c>
      <c r="P468" s="5" t="s">
        <v>982</v>
      </c>
      <c r="Q468" s="1">
        <v>0</v>
      </c>
      <c r="R468" s="1">
        <v>0</v>
      </c>
      <c r="S468" s="1" t="s">
        <v>194</v>
      </c>
      <c r="T468" s="1">
        <v>5</v>
      </c>
      <c r="U468" s="1">
        <v>2</v>
      </c>
      <c r="V468" s="1">
        <v>60</v>
      </c>
      <c r="W468" s="1">
        <v>1</v>
      </c>
      <c r="X468" s="1">
        <v>17</v>
      </c>
      <c r="Y468" s="1">
        <v>16</v>
      </c>
      <c r="Z468" s="1">
        <v>1200000</v>
      </c>
      <c r="AA468" s="1">
        <v>2</v>
      </c>
    </row>
    <row r="469" spans="1:27" ht="12.75" customHeight="1" x14ac:dyDescent="0.15">
      <c r="A469" s="5">
        <v>2</v>
      </c>
      <c r="B469" s="5" t="s">
        <v>238</v>
      </c>
      <c r="C469" s="1">
        <v>27</v>
      </c>
      <c r="D469" s="5" t="s">
        <v>981</v>
      </c>
      <c r="E469" s="1">
        <v>9</v>
      </c>
      <c r="F469" s="5" t="s">
        <v>981</v>
      </c>
      <c r="G469" s="1">
        <v>10</v>
      </c>
      <c r="H469" s="5" t="s">
        <v>981</v>
      </c>
      <c r="I469" s="1">
        <v>0</v>
      </c>
      <c r="J469" s="5" t="s">
        <v>983</v>
      </c>
      <c r="K469" s="1">
        <v>10</v>
      </c>
      <c r="L469" s="5" t="s">
        <v>981</v>
      </c>
      <c r="M469" s="1">
        <v>11</v>
      </c>
      <c r="N469" s="5" t="s">
        <v>981</v>
      </c>
      <c r="O469" s="1">
        <v>3</v>
      </c>
      <c r="P469" s="5" t="s">
        <v>982</v>
      </c>
      <c r="Q469" s="1">
        <v>0</v>
      </c>
      <c r="R469" s="1">
        <v>0</v>
      </c>
      <c r="S469" s="1" t="s">
        <v>194</v>
      </c>
      <c r="T469" s="1">
        <v>5</v>
      </c>
      <c r="U469" s="1">
        <v>5</v>
      </c>
      <c r="V469" s="1">
        <v>60</v>
      </c>
      <c r="W469" s="1">
        <v>0</v>
      </c>
      <c r="X469" s="1">
        <v>16</v>
      </c>
      <c r="Y469" s="1">
        <v>18</v>
      </c>
      <c r="Z469" s="1">
        <v>1800000</v>
      </c>
      <c r="AA469" s="1">
        <v>2</v>
      </c>
    </row>
    <row r="470" spans="1:27" ht="12.75" customHeight="1" x14ac:dyDescent="0.15">
      <c r="A470" s="5">
        <v>265</v>
      </c>
      <c r="B470" s="5" t="s">
        <v>238</v>
      </c>
      <c r="C470" s="1">
        <v>14</v>
      </c>
      <c r="D470" s="5" t="s">
        <v>983</v>
      </c>
      <c r="E470" s="1">
        <v>4</v>
      </c>
      <c r="F470" s="5" t="s">
        <v>982</v>
      </c>
      <c r="G470" s="1">
        <v>4</v>
      </c>
      <c r="H470" s="5" t="s">
        <v>982</v>
      </c>
      <c r="I470" s="1">
        <v>3</v>
      </c>
      <c r="J470" s="5" t="s">
        <v>982</v>
      </c>
      <c r="K470" s="1">
        <v>3</v>
      </c>
      <c r="L470" s="5" t="s">
        <v>982</v>
      </c>
      <c r="M470" s="1">
        <v>3</v>
      </c>
      <c r="N470" s="5" t="s">
        <v>982</v>
      </c>
      <c r="O470" s="1">
        <v>0</v>
      </c>
      <c r="P470" s="5" t="s">
        <v>983</v>
      </c>
      <c r="Q470" s="1">
        <v>1</v>
      </c>
      <c r="R470" s="1">
        <v>0</v>
      </c>
      <c r="S470" s="1">
        <v>1</v>
      </c>
      <c r="T470" s="1">
        <v>3</v>
      </c>
      <c r="U470" s="1">
        <v>2</v>
      </c>
      <c r="V470" s="1">
        <v>61</v>
      </c>
      <c r="W470" s="1">
        <v>1</v>
      </c>
      <c r="X470" s="1">
        <v>15</v>
      </c>
      <c r="Y470" s="1">
        <v>1</v>
      </c>
      <c r="Z470" s="1">
        <v>0</v>
      </c>
      <c r="AA470" s="1">
        <v>2</v>
      </c>
    </row>
    <row r="471" spans="1:27" ht="12.75" customHeight="1" x14ac:dyDescent="0.15">
      <c r="A471" s="5">
        <v>280</v>
      </c>
      <c r="B471" s="5" t="s">
        <v>238</v>
      </c>
      <c r="C471" s="1">
        <v>14</v>
      </c>
      <c r="D471" s="5" t="s">
        <v>983</v>
      </c>
      <c r="E471" s="1">
        <v>2</v>
      </c>
      <c r="F471" s="5" t="s">
        <v>982</v>
      </c>
      <c r="G471" s="1">
        <v>1</v>
      </c>
      <c r="H471" s="5" t="s">
        <v>983</v>
      </c>
      <c r="I471" s="1">
        <v>16</v>
      </c>
      <c r="J471" s="5" t="s">
        <v>981</v>
      </c>
      <c r="K471" s="1">
        <v>0</v>
      </c>
      <c r="L471" s="5" t="s">
        <v>983</v>
      </c>
      <c r="M471" s="1">
        <v>0</v>
      </c>
      <c r="N471" s="5" t="s">
        <v>983</v>
      </c>
      <c r="O471" s="1">
        <v>0</v>
      </c>
      <c r="P471" s="5" t="s">
        <v>983</v>
      </c>
      <c r="Q471" s="1">
        <v>0</v>
      </c>
      <c r="R471" s="1">
        <v>0</v>
      </c>
      <c r="S471" s="1" t="s">
        <v>194</v>
      </c>
      <c r="T471" s="1" t="s">
        <v>194</v>
      </c>
      <c r="U471" s="1">
        <v>2</v>
      </c>
      <c r="V471" s="1">
        <v>61</v>
      </c>
      <c r="W471" s="1">
        <v>1</v>
      </c>
      <c r="X471" s="1">
        <v>14</v>
      </c>
      <c r="Y471" s="1">
        <v>27</v>
      </c>
      <c r="Z471" s="1">
        <v>600000</v>
      </c>
      <c r="AA471" s="1">
        <v>3</v>
      </c>
    </row>
    <row r="472" spans="1:27" ht="12.75" customHeight="1" x14ac:dyDescent="0.15">
      <c r="A472" s="5">
        <v>279</v>
      </c>
      <c r="B472" s="5" t="s">
        <v>238</v>
      </c>
      <c r="C472" s="1">
        <v>20</v>
      </c>
      <c r="D472" s="5" t="s">
        <v>982</v>
      </c>
      <c r="E472" s="1">
        <v>5</v>
      </c>
      <c r="F472" s="5" t="s">
        <v>981</v>
      </c>
      <c r="G472" s="1">
        <v>3</v>
      </c>
      <c r="H472" s="5" t="s">
        <v>982</v>
      </c>
      <c r="I472" s="1">
        <v>0</v>
      </c>
      <c r="J472" s="5" t="s">
        <v>983</v>
      </c>
      <c r="K472" s="1">
        <v>2</v>
      </c>
      <c r="L472" s="5" t="s">
        <v>983</v>
      </c>
      <c r="M472" s="1">
        <v>1</v>
      </c>
      <c r="N472" s="5" t="s">
        <v>983</v>
      </c>
      <c r="O472" s="1">
        <v>1</v>
      </c>
      <c r="P472" s="5" t="s">
        <v>982</v>
      </c>
      <c r="Q472" s="1">
        <v>0</v>
      </c>
      <c r="R472" s="1">
        <v>0</v>
      </c>
      <c r="S472" s="1">
        <v>1</v>
      </c>
      <c r="T472" s="1" t="s">
        <v>194</v>
      </c>
      <c r="U472" s="1">
        <v>3</v>
      </c>
      <c r="V472" s="1">
        <v>61</v>
      </c>
      <c r="W472" s="1">
        <v>1</v>
      </c>
      <c r="X472" s="1">
        <v>14</v>
      </c>
      <c r="Y472" s="1">
        <v>27</v>
      </c>
      <c r="Z472" s="1">
        <v>600000</v>
      </c>
      <c r="AA472" s="1">
        <v>3</v>
      </c>
    </row>
    <row r="473" spans="1:27" ht="12.75" customHeight="1" x14ac:dyDescent="0.15">
      <c r="A473" s="5">
        <v>16</v>
      </c>
      <c r="B473" s="5" t="s">
        <v>984</v>
      </c>
      <c r="C473" s="1">
        <v>19</v>
      </c>
      <c r="D473" s="5" t="s">
        <v>982</v>
      </c>
      <c r="E473" s="1">
        <v>0</v>
      </c>
      <c r="F473" s="5" t="s">
        <v>983</v>
      </c>
      <c r="G473" s="1">
        <v>7</v>
      </c>
      <c r="H473" s="5" t="s">
        <v>981</v>
      </c>
      <c r="I473" s="1">
        <v>0</v>
      </c>
      <c r="J473" s="5" t="s">
        <v>983</v>
      </c>
      <c r="K473" s="1">
        <v>0</v>
      </c>
      <c r="L473" s="5" t="s">
        <v>983</v>
      </c>
      <c r="M473" s="1">
        <v>11</v>
      </c>
      <c r="N473" s="5" t="s">
        <v>981</v>
      </c>
      <c r="O473" s="1">
        <v>2</v>
      </c>
      <c r="P473" s="5" t="s">
        <v>982</v>
      </c>
      <c r="Q473" s="1">
        <v>0</v>
      </c>
      <c r="R473" s="1">
        <v>0</v>
      </c>
      <c r="S473" s="1" t="s">
        <v>194</v>
      </c>
      <c r="T473" s="1">
        <v>5</v>
      </c>
      <c r="U473" s="1">
        <v>5</v>
      </c>
      <c r="V473" s="1">
        <v>61</v>
      </c>
      <c r="W473" s="1">
        <v>0</v>
      </c>
      <c r="X473" s="1">
        <v>16</v>
      </c>
      <c r="Y473" s="1">
        <v>11</v>
      </c>
      <c r="Z473" s="1">
        <v>665000</v>
      </c>
      <c r="AA473" s="1">
        <v>4</v>
      </c>
    </row>
    <row r="474" spans="1:27" ht="12.75" customHeight="1" x14ac:dyDescent="0.15">
      <c r="A474" s="5">
        <v>86</v>
      </c>
      <c r="B474" s="5" t="s">
        <v>984</v>
      </c>
      <c r="C474" s="1">
        <v>21</v>
      </c>
      <c r="D474" s="5" t="s">
        <v>982</v>
      </c>
      <c r="E474" s="1">
        <v>5</v>
      </c>
      <c r="F474" s="5" t="s">
        <v>981</v>
      </c>
      <c r="G474" s="1">
        <v>3</v>
      </c>
      <c r="H474" s="5" t="s">
        <v>982</v>
      </c>
      <c r="I474" s="1">
        <v>3</v>
      </c>
      <c r="J474" s="5" t="s">
        <v>982</v>
      </c>
      <c r="K474" s="1">
        <v>4</v>
      </c>
      <c r="L474" s="5" t="s">
        <v>982</v>
      </c>
      <c r="M474" s="1">
        <v>3</v>
      </c>
      <c r="N474" s="5" t="s">
        <v>982</v>
      </c>
      <c r="O474" s="1">
        <v>0</v>
      </c>
      <c r="P474" s="5" t="s">
        <v>983</v>
      </c>
      <c r="Q474" s="1">
        <v>1</v>
      </c>
      <c r="R474" s="1">
        <v>0</v>
      </c>
      <c r="S474" s="1">
        <v>0</v>
      </c>
      <c r="T474" s="1" t="s">
        <v>194</v>
      </c>
      <c r="U474" s="1">
        <v>2</v>
      </c>
      <c r="V474" s="1">
        <v>62</v>
      </c>
      <c r="W474" s="1">
        <v>0</v>
      </c>
      <c r="X474" s="1">
        <v>14</v>
      </c>
      <c r="Y474" s="1">
        <v>5</v>
      </c>
      <c r="Z474" s="1">
        <v>700000</v>
      </c>
      <c r="AA474" s="1">
        <v>3</v>
      </c>
    </row>
    <row r="475" spans="1:27" ht="12.75" customHeight="1" x14ac:dyDescent="0.15">
      <c r="A475" s="5">
        <v>22</v>
      </c>
      <c r="B475" s="5" t="s">
        <v>238</v>
      </c>
      <c r="C475" s="1">
        <v>18</v>
      </c>
      <c r="D475" s="5" t="s">
        <v>983</v>
      </c>
      <c r="E475" s="1">
        <v>5</v>
      </c>
      <c r="F475" s="5" t="s">
        <v>981</v>
      </c>
      <c r="G475" s="1">
        <v>3</v>
      </c>
      <c r="H475" s="5" t="s">
        <v>982</v>
      </c>
      <c r="I475" s="1">
        <v>16</v>
      </c>
      <c r="J475" s="5" t="s">
        <v>981</v>
      </c>
      <c r="K475" s="1">
        <v>0</v>
      </c>
      <c r="L475" s="5" t="s">
        <v>983</v>
      </c>
      <c r="M475" s="1">
        <v>0</v>
      </c>
      <c r="N475" s="5" t="s">
        <v>983</v>
      </c>
      <c r="O475" s="1">
        <v>0</v>
      </c>
      <c r="P475" s="5" t="s">
        <v>983</v>
      </c>
      <c r="Q475" s="1">
        <v>1</v>
      </c>
      <c r="R475" s="1">
        <v>1</v>
      </c>
      <c r="S475" s="1">
        <v>1</v>
      </c>
      <c r="T475" s="1">
        <v>5</v>
      </c>
      <c r="U475" s="1">
        <v>2</v>
      </c>
      <c r="V475" s="1">
        <v>62</v>
      </c>
      <c r="W475" s="1">
        <v>0</v>
      </c>
      <c r="X475" s="1">
        <v>16</v>
      </c>
      <c r="Y475" s="1">
        <v>11</v>
      </c>
      <c r="Z475" s="1">
        <v>800000</v>
      </c>
      <c r="AA475" s="1">
        <v>1</v>
      </c>
    </row>
    <row r="476" spans="1:27" ht="12.75" customHeight="1" x14ac:dyDescent="0.15">
      <c r="A476" s="5">
        <v>23</v>
      </c>
      <c r="B476" s="5" t="s">
        <v>238</v>
      </c>
      <c r="C476" s="1">
        <v>17</v>
      </c>
      <c r="D476" s="5" t="s">
        <v>983</v>
      </c>
      <c r="E476" s="1">
        <v>0</v>
      </c>
      <c r="F476" s="5" t="s">
        <v>983</v>
      </c>
      <c r="G476" s="1">
        <v>1</v>
      </c>
      <c r="H476" s="5" t="s">
        <v>983</v>
      </c>
      <c r="I476" s="1">
        <v>4</v>
      </c>
      <c r="J476" s="5" t="s">
        <v>982</v>
      </c>
      <c r="K476" s="1">
        <v>0</v>
      </c>
      <c r="L476" s="5" t="s">
        <v>983</v>
      </c>
      <c r="M476" s="1">
        <v>0</v>
      </c>
      <c r="N476" s="5" t="s">
        <v>983</v>
      </c>
      <c r="O476" s="1">
        <v>0</v>
      </c>
      <c r="P476" s="5" t="s">
        <v>983</v>
      </c>
      <c r="Q476" s="1">
        <v>1</v>
      </c>
      <c r="R476" s="1">
        <v>0</v>
      </c>
      <c r="S476" s="1">
        <v>1</v>
      </c>
      <c r="T476" s="1">
        <v>5</v>
      </c>
      <c r="U476" s="1">
        <v>2</v>
      </c>
      <c r="V476" s="1">
        <v>62</v>
      </c>
      <c r="W476" s="1">
        <v>0</v>
      </c>
      <c r="X476" s="1">
        <v>16</v>
      </c>
      <c r="Y476" s="1">
        <v>11</v>
      </c>
      <c r="Z476" s="1">
        <v>800000</v>
      </c>
      <c r="AA476" s="1">
        <v>1</v>
      </c>
    </row>
    <row r="477" spans="1:27" ht="12.75" customHeight="1" x14ac:dyDescent="0.15">
      <c r="A477" s="5">
        <v>218</v>
      </c>
      <c r="B477" s="5" t="s">
        <v>984</v>
      </c>
      <c r="C477" s="1">
        <v>23</v>
      </c>
      <c r="D477" s="5" t="s">
        <v>982</v>
      </c>
      <c r="E477" s="1">
        <v>6</v>
      </c>
      <c r="F477" s="5" t="s">
        <v>981</v>
      </c>
      <c r="G477" s="1">
        <v>8</v>
      </c>
      <c r="H477" s="5" t="s">
        <v>981</v>
      </c>
      <c r="I477" s="1">
        <v>10</v>
      </c>
      <c r="J477" s="5" t="s">
        <v>981</v>
      </c>
      <c r="K477" s="1">
        <v>4</v>
      </c>
      <c r="L477" s="5" t="s">
        <v>982</v>
      </c>
      <c r="M477" s="1">
        <v>5</v>
      </c>
      <c r="N477" s="5" t="s">
        <v>982</v>
      </c>
      <c r="O477" s="1">
        <v>2</v>
      </c>
      <c r="P477" s="5" t="s">
        <v>982</v>
      </c>
      <c r="Q477" s="1">
        <v>0</v>
      </c>
      <c r="R477" s="1">
        <v>1</v>
      </c>
      <c r="S477" s="1" t="s">
        <v>194</v>
      </c>
      <c r="T477" s="1">
        <v>3</v>
      </c>
      <c r="U477" s="1">
        <v>2</v>
      </c>
      <c r="V477" s="1">
        <v>62</v>
      </c>
      <c r="W477" s="1">
        <v>0</v>
      </c>
      <c r="X477" s="1">
        <v>16</v>
      </c>
      <c r="Y477" s="1">
        <v>8</v>
      </c>
      <c r="Z477" s="1">
        <v>600000</v>
      </c>
      <c r="AA477" s="1">
        <v>2</v>
      </c>
    </row>
    <row r="478" spans="1:27" ht="12.75" customHeight="1" x14ac:dyDescent="0.15">
      <c r="A478" s="5">
        <v>67</v>
      </c>
      <c r="B478" s="5" t="s">
        <v>238</v>
      </c>
      <c r="C478" s="1">
        <v>37</v>
      </c>
      <c r="D478" s="5" t="s">
        <v>981</v>
      </c>
      <c r="E478" s="1">
        <v>6</v>
      </c>
      <c r="F478" s="5" t="s">
        <v>981</v>
      </c>
      <c r="G478" s="1">
        <v>3</v>
      </c>
      <c r="H478" s="5" t="s">
        <v>982</v>
      </c>
      <c r="I478" s="1">
        <v>12</v>
      </c>
      <c r="J478" s="5" t="s">
        <v>981</v>
      </c>
      <c r="K478" s="1">
        <v>3</v>
      </c>
      <c r="L478" s="5" t="s">
        <v>982</v>
      </c>
      <c r="M478" s="1">
        <v>3</v>
      </c>
      <c r="N478" s="5" t="s">
        <v>982</v>
      </c>
      <c r="O478" s="1">
        <v>0</v>
      </c>
      <c r="P478" s="5" t="s">
        <v>983</v>
      </c>
      <c r="Q478" s="1">
        <v>1</v>
      </c>
      <c r="R478" s="1">
        <v>0</v>
      </c>
      <c r="S478" s="1">
        <v>1</v>
      </c>
      <c r="T478" s="1">
        <v>4</v>
      </c>
      <c r="U478" s="1">
        <v>4</v>
      </c>
      <c r="V478" s="1">
        <v>62</v>
      </c>
      <c r="W478" s="1">
        <v>0</v>
      </c>
      <c r="X478" s="1">
        <v>14</v>
      </c>
      <c r="Y478" s="1">
        <v>6</v>
      </c>
      <c r="Z478" s="1">
        <v>290000</v>
      </c>
      <c r="AA478" s="1">
        <v>3</v>
      </c>
    </row>
    <row r="479" spans="1:27" ht="12.75" customHeight="1" x14ac:dyDescent="0.15">
      <c r="A479" s="5">
        <v>270</v>
      </c>
      <c r="B479" s="5" t="s">
        <v>238</v>
      </c>
      <c r="C479" s="1">
        <v>25</v>
      </c>
      <c r="D479" s="5" t="s">
        <v>981</v>
      </c>
      <c r="E479" s="1">
        <v>1</v>
      </c>
      <c r="F479" s="5" t="s">
        <v>983</v>
      </c>
      <c r="G479" s="1">
        <v>4</v>
      </c>
      <c r="H479" s="5" t="s">
        <v>982</v>
      </c>
      <c r="I479" s="1">
        <v>7</v>
      </c>
      <c r="J479" s="5" t="s">
        <v>981</v>
      </c>
      <c r="K479" s="1">
        <v>0</v>
      </c>
      <c r="L479" s="5" t="s">
        <v>983</v>
      </c>
      <c r="M479" s="1">
        <v>4</v>
      </c>
      <c r="N479" s="5" t="s">
        <v>982</v>
      </c>
      <c r="O479" s="1">
        <v>0</v>
      </c>
      <c r="P479" s="5" t="s">
        <v>983</v>
      </c>
      <c r="Q479" s="1">
        <v>1</v>
      </c>
      <c r="R479" s="1">
        <v>0</v>
      </c>
      <c r="S479" s="1">
        <v>0</v>
      </c>
      <c r="T479" s="1">
        <v>4</v>
      </c>
      <c r="U479" s="1">
        <v>5</v>
      </c>
      <c r="V479" s="1">
        <v>62</v>
      </c>
      <c r="W479" s="1">
        <v>0</v>
      </c>
      <c r="X479" s="1">
        <v>14</v>
      </c>
      <c r="Y479" s="1">
        <v>1</v>
      </c>
      <c r="Z479" s="1">
        <v>150000</v>
      </c>
      <c r="AA479" s="1">
        <v>1</v>
      </c>
    </row>
    <row r="480" spans="1:27" ht="12.75" customHeight="1" x14ac:dyDescent="0.15">
      <c r="A480" s="5">
        <v>92</v>
      </c>
      <c r="B480" s="5" t="s">
        <v>238</v>
      </c>
      <c r="C480" s="1">
        <v>12</v>
      </c>
      <c r="D480" s="5" t="s">
        <v>983</v>
      </c>
      <c r="E480" s="1">
        <v>1</v>
      </c>
      <c r="F480" s="5" t="s">
        <v>983</v>
      </c>
      <c r="G480" s="1">
        <v>2</v>
      </c>
      <c r="H480" s="5" t="s">
        <v>982</v>
      </c>
      <c r="I480" s="1">
        <v>3</v>
      </c>
      <c r="J480" s="5" t="s">
        <v>982</v>
      </c>
      <c r="K480" s="1">
        <v>1</v>
      </c>
      <c r="L480" s="5" t="s">
        <v>983</v>
      </c>
      <c r="M480" s="1">
        <v>0</v>
      </c>
      <c r="N480" s="5" t="s">
        <v>983</v>
      </c>
      <c r="O480" s="1">
        <v>0</v>
      </c>
      <c r="P480" s="5" t="s">
        <v>983</v>
      </c>
      <c r="Q480" s="1">
        <v>1</v>
      </c>
      <c r="R480" s="1">
        <v>0</v>
      </c>
      <c r="S480" s="1">
        <v>1</v>
      </c>
      <c r="T480" s="1">
        <v>5</v>
      </c>
      <c r="U480" s="1">
        <v>5</v>
      </c>
      <c r="V480" s="1">
        <v>62</v>
      </c>
      <c r="W480" s="1">
        <v>1</v>
      </c>
      <c r="X480" s="1">
        <v>10</v>
      </c>
      <c r="Y480" s="1">
        <v>1</v>
      </c>
      <c r="Z480" s="1">
        <v>500000</v>
      </c>
      <c r="AA480" s="1">
        <v>3</v>
      </c>
    </row>
    <row r="481" spans="1:27" ht="12.75" customHeight="1" x14ac:dyDescent="0.15">
      <c r="A481" s="5">
        <v>435</v>
      </c>
      <c r="B481" s="5" t="s">
        <v>238</v>
      </c>
      <c r="C481" s="1">
        <v>13</v>
      </c>
      <c r="D481" s="5" t="s">
        <v>983</v>
      </c>
      <c r="E481" s="1">
        <v>3</v>
      </c>
      <c r="F481" s="5" t="s">
        <v>982</v>
      </c>
      <c r="G481" s="1">
        <v>1</v>
      </c>
      <c r="H481" s="5" t="s">
        <v>983</v>
      </c>
      <c r="I481" s="1">
        <v>11</v>
      </c>
      <c r="J481" s="5" t="s">
        <v>981</v>
      </c>
      <c r="K481" s="1">
        <v>3</v>
      </c>
      <c r="L481" s="5" t="s">
        <v>982</v>
      </c>
      <c r="M481" s="1">
        <v>3</v>
      </c>
      <c r="N481" s="5" t="s">
        <v>982</v>
      </c>
      <c r="O481" s="1">
        <v>0</v>
      </c>
      <c r="P481" s="5" t="s">
        <v>983</v>
      </c>
      <c r="Q481" s="1">
        <v>1</v>
      </c>
      <c r="R481" s="1">
        <v>1</v>
      </c>
      <c r="S481" s="1">
        <v>1</v>
      </c>
      <c r="T481" s="1">
        <v>2</v>
      </c>
      <c r="U481" s="1">
        <v>1</v>
      </c>
      <c r="V481" s="1">
        <v>63</v>
      </c>
      <c r="W481" s="1">
        <v>1</v>
      </c>
      <c r="X481" s="1">
        <v>14</v>
      </c>
      <c r="Y481" s="1">
        <v>34</v>
      </c>
      <c r="Z481" s="1">
        <v>0</v>
      </c>
      <c r="AA481" s="1">
        <v>1</v>
      </c>
    </row>
    <row r="482" spans="1:27" ht="12.75" customHeight="1" x14ac:dyDescent="0.15">
      <c r="A482" s="5">
        <v>447</v>
      </c>
      <c r="B482" s="5" t="s">
        <v>238</v>
      </c>
      <c r="C482" s="1">
        <v>27</v>
      </c>
      <c r="D482" s="5" t="s">
        <v>981</v>
      </c>
      <c r="E482" s="1">
        <v>5</v>
      </c>
      <c r="F482" s="5" t="s">
        <v>981</v>
      </c>
      <c r="G482" s="1">
        <v>7</v>
      </c>
      <c r="H482" s="5" t="s">
        <v>981</v>
      </c>
      <c r="I482" s="1">
        <v>0</v>
      </c>
      <c r="J482" s="5" t="s">
        <v>983</v>
      </c>
      <c r="K482" s="1">
        <v>3</v>
      </c>
      <c r="L482" s="5" t="s">
        <v>982</v>
      </c>
      <c r="M482" s="1">
        <v>3</v>
      </c>
      <c r="N482" s="5" t="s">
        <v>982</v>
      </c>
      <c r="O482" s="1">
        <v>0</v>
      </c>
      <c r="P482" s="5" t="s">
        <v>983</v>
      </c>
      <c r="Q482" s="1">
        <v>0</v>
      </c>
      <c r="R482" s="1">
        <v>0</v>
      </c>
      <c r="S482" s="1" t="s">
        <v>194</v>
      </c>
      <c r="T482" s="1">
        <v>5</v>
      </c>
      <c r="U482" s="1">
        <v>5</v>
      </c>
      <c r="V482" s="1">
        <v>63</v>
      </c>
      <c r="W482" s="1">
        <v>1</v>
      </c>
      <c r="X482" s="1">
        <v>3</v>
      </c>
      <c r="Y482" s="1">
        <v>13</v>
      </c>
      <c r="Z482" s="1">
        <v>400000</v>
      </c>
      <c r="AA482" s="1">
        <v>2</v>
      </c>
    </row>
    <row r="483" spans="1:27" ht="12.75" customHeight="1" x14ac:dyDescent="0.15">
      <c r="A483" s="5">
        <v>392</v>
      </c>
      <c r="B483" s="5" t="s">
        <v>238</v>
      </c>
      <c r="C483" s="1">
        <v>40</v>
      </c>
      <c r="D483" s="5" t="s">
        <v>981</v>
      </c>
      <c r="E483" s="1">
        <v>2</v>
      </c>
      <c r="F483" s="5" t="s">
        <v>982</v>
      </c>
      <c r="G483" s="1">
        <v>5</v>
      </c>
      <c r="H483" s="5" t="s">
        <v>982</v>
      </c>
      <c r="I483" s="1">
        <v>4</v>
      </c>
      <c r="J483" s="5" t="s">
        <v>982</v>
      </c>
      <c r="K483" s="1">
        <v>0</v>
      </c>
      <c r="L483" s="5" t="s">
        <v>983</v>
      </c>
      <c r="M483" s="1">
        <v>3</v>
      </c>
      <c r="N483" s="5" t="s">
        <v>982</v>
      </c>
      <c r="O483" s="1">
        <v>0</v>
      </c>
      <c r="P483" s="5" t="s">
        <v>983</v>
      </c>
      <c r="Q483" s="1">
        <v>1</v>
      </c>
      <c r="R483" s="1">
        <v>0</v>
      </c>
      <c r="S483" s="1">
        <v>1</v>
      </c>
      <c r="T483" s="1" t="s">
        <v>194</v>
      </c>
      <c r="U483" s="1">
        <v>2</v>
      </c>
      <c r="V483" s="1">
        <v>64</v>
      </c>
      <c r="W483" s="1">
        <v>1</v>
      </c>
      <c r="X483" s="1">
        <v>14</v>
      </c>
      <c r="Y483" s="1">
        <v>34</v>
      </c>
      <c r="Z483" s="1">
        <v>500000</v>
      </c>
      <c r="AA483" s="1">
        <v>1</v>
      </c>
    </row>
    <row r="484" spans="1:27" ht="12.75" customHeight="1" x14ac:dyDescent="0.15">
      <c r="A484" s="5">
        <v>41</v>
      </c>
      <c r="B484" s="5" t="s">
        <v>984</v>
      </c>
      <c r="C484" s="1">
        <v>34</v>
      </c>
      <c r="D484" s="5" t="s">
        <v>981</v>
      </c>
      <c r="E484" s="1">
        <v>7</v>
      </c>
      <c r="F484" s="5" t="s">
        <v>981</v>
      </c>
      <c r="G484" s="1">
        <v>12</v>
      </c>
      <c r="H484" s="5" t="s">
        <v>981</v>
      </c>
      <c r="I484" s="1">
        <v>6</v>
      </c>
      <c r="J484" s="5" t="s">
        <v>981</v>
      </c>
      <c r="K484" s="1">
        <v>9</v>
      </c>
      <c r="L484" s="5" t="s">
        <v>981</v>
      </c>
      <c r="M484" s="1">
        <v>7</v>
      </c>
      <c r="N484" s="5" t="s">
        <v>981</v>
      </c>
      <c r="O484" s="1">
        <v>9</v>
      </c>
      <c r="P484" s="5" t="s">
        <v>982</v>
      </c>
      <c r="Q484" s="1">
        <v>1</v>
      </c>
      <c r="R484" s="1">
        <v>0</v>
      </c>
      <c r="S484" s="1">
        <v>1</v>
      </c>
      <c r="T484" s="1">
        <v>2</v>
      </c>
      <c r="U484" s="1">
        <v>2</v>
      </c>
      <c r="V484" s="1">
        <v>64</v>
      </c>
      <c r="W484" s="1">
        <v>1</v>
      </c>
      <c r="X484" s="1">
        <v>13</v>
      </c>
      <c r="Y484" s="1">
        <v>24</v>
      </c>
      <c r="Z484" s="1">
        <v>600000</v>
      </c>
      <c r="AA484" s="1">
        <v>2</v>
      </c>
    </row>
    <row r="485" spans="1:27" ht="12.75" customHeight="1" x14ac:dyDescent="0.15">
      <c r="A485" s="5">
        <v>159</v>
      </c>
      <c r="B485" s="5" t="s">
        <v>238</v>
      </c>
      <c r="C485" s="1">
        <v>36</v>
      </c>
      <c r="D485" s="5" t="s">
        <v>981</v>
      </c>
      <c r="E485" s="1">
        <v>6</v>
      </c>
      <c r="F485" s="5" t="s">
        <v>981</v>
      </c>
      <c r="G485" s="1">
        <v>6</v>
      </c>
      <c r="H485" s="5" t="s">
        <v>981</v>
      </c>
      <c r="I485" s="1">
        <v>2</v>
      </c>
      <c r="J485" s="5" t="s">
        <v>982</v>
      </c>
      <c r="K485" s="1">
        <v>10</v>
      </c>
      <c r="L485" s="5" t="s">
        <v>981</v>
      </c>
      <c r="M485" s="1">
        <v>10</v>
      </c>
      <c r="N485" s="5" t="s">
        <v>981</v>
      </c>
      <c r="O485" s="1">
        <v>1</v>
      </c>
      <c r="P485" s="5" t="s">
        <v>982</v>
      </c>
      <c r="Q485" s="1">
        <v>1</v>
      </c>
      <c r="R485" s="1">
        <v>0</v>
      </c>
      <c r="S485" s="1">
        <v>1</v>
      </c>
      <c r="T485" s="1">
        <v>3</v>
      </c>
      <c r="U485" s="1">
        <v>3</v>
      </c>
      <c r="V485" s="1">
        <v>64</v>
      </c>
      <c r="W485" s="1">
        <v>1</v>
      </c>
      <c r="X485" s="1">
        <v>15</v>
      </c>
      <c r="Y485" s="1">
        <v>13</v>
      </c>
      <c r="Z485" s="1">
        <v>500000</v>
      </c>
      <c r="AA485" s="1">
        <v>3</v>
      </c>
    </row>
    <row r="486" spans="1:27" ht="12.75" customHeight="1" x14ac:dyDescent="0.15">
      <c r="A486" s="5">
        <v>495</v>
      </c>
      <c r="B486" s="5" t="s">
        <v>238</v>
      </c>
      <c r="C486" s="1">
        <v>24</v>
      </c>
      <c r="D486" s="5" t="s">
        <v>981</v>
      </c>
      <c r="E486" s="1">
        <v>9</v>
      </c>
      <c r="F486" s="5" t="s">
        <v>981</v>
      </c>
      <c r="G486" s="1">
        <v>9</v>
      </c>
      <c r="H486" s="5" t="s">
        <v>981</v>
      </c>
      <c r="I486" s="1">
        <v>4</v>
      </c>
      <c r="J486" s="5" t="s">
        <v>982</v>
      </c>
      <c r="K486" s="1">
        <v>9</v>
      </c>
      <c r="L486" s="5" t="s">
        <v>981</v>
      </c>
      <c r="M486" s="1">
        <v>9</v>
      </c>
      <c r="N486" s="5" t="s">
        <v>981</v>
      </c>
      <c r="O486" s="1">
        <v>0</v>
      </c>
      <c r="P486" s="5" t="s">
        <v>983</v>
      </c>
      <c r="Q486" s="1">
        <v>0</v>
      </c>
      <c r="R486" s="1">
        <v>0</v>
      </c>
      <c r="S486" s="1" t="s">
        <v>194</v>
      </c>
      <c r="T486" s="1">
        <v>2</v>
      </c>
      <c r="U486" s="1">
        <v>3</v>
      </c>
      <c r="V486" s="1">
        <v>64</v>
      </c>
      <c r="W486" s="1">
        <v>0</v>
      </c>
      <c r="X486" s="1">
        <v>16</v>
      </c>
      <c r="Y486" s="1">
        <v>14</v>
      </c>
      <c r="Z486" s="1">
        <v>616000</v>
      </c>
      <c r="AA486" s="1">
        <v>2</v>
      </c>
    </row>
    <row r="487" spans="1:27" ht="12.75" customHeight="1" x14ac:dyDescent="0.15">
      <c r="A487" s="5">
        <v>102</v>
      </c>
      <c r="B487" s="5" t="s">
        <v>238</v>
      </c>
      <c r="C487" s="1">
        <v>32</v>
      </c>
      <c r="D487" s="5" t="s">
        <v>981</v>
      </c>
      <c r="E487" s="1">
        <v>7</v>
      </c>
      <c r="F487" s="5" t="s">
        <v>981</v>
      </c>
      <c r="G487" s="1">
        <v>2</v>
      </c>
      <c r="H487" s="5" t="s">
        <v>982</v>
      </c>
      <c r="I487" s="1">
        <v>8</v>
      </c>
      <c r="J487" s="5" t="s">
        <v>981</v>
      </c>
      <c r="K487" s="1">
        <v>8</v>
      </c>
      <c r="L487" s="5" t="s">
        <v>981</v>
      </c>
      <c r="M487" s="1">
        <v>7</v>
      </c>
      <c r="N487" s="5" t="s">
        <v>981</v>
      </c>
      <c r="O487" s="1">
        <v>2</v>
      </c>
      <c r="P487" s="5" t="s">
        <v>982</v>
      </c>
      <c r="Q487" s="1">
        <v>0</v>
      </c>
      <c r="R487" s="1">
        <v>0</v>
      </c>
      <c r="S487" s="1" t="s">
        <v>194</v>
      </c>
      <c r="T487" s="1">
        <v>1</v>
      </c>
      <c r="U487" s="1">
        <v>3</v>
      </c>
      <c r="V487" s="1">
        <v>64</v>
      </c>
      <c r="W487" s="1">
        <v>0</v>
      </c>
      <c r="X487" s="1">
        <v>14</v>
      </c>
      <c r="Y487" s="1">
        <v>34</v>
      </c>
      <c r="Z487" s="1">
        <v>1890000</v>
      </c>
      <c r="AA487" s="1">
        <v>3</v>
      </c>
    </row>
    <row r="488" spans="1:27" ht="12.75" customHeight="1" x14ac:dyDescent="0.15">
      <c r="A488" s="5">
        <v>158</v>
      </c>
      <c r="B488" s="5" t="s">
        <v>238</v>
      </c>
      <c r="C488" s="1">
        <v>28</v>
      </c>
      <c r="D488" s="5" t="s">
        <v>981</v>
      </c>
      <c r="E488" s="1">
        <v>9</v>
      </c>
      <c r="F488" s="5" t="s">
        <v>981</v>
      </c>
      <c r="G488" s="1">
        <v>9</v>
      </c>
      <c r="H488" s="5" t="s">
        <v>981</v>
      </c>
      <c r="I488" s="1">
        <v>4</v>
      </c>
      <c r="J488" s="5" t="s">
        <v>982</v>
      </c>
      <c r="K488" s="1">
        <v>9</v>
      </c>
      <c r="L488" s="5" t="s">
        <v>981</v>
      </c>
      <c r="M488" s="1">
        <v>9</v>
      </c>
      <c r="N488" s="5" t="s">
        <v>981</v>
      </c>
      <c r="O488" s="1">
        <v>2</v>
      </c>
      <c r="P488" s="5" t="s">
        <v>982</v>
      </c>
      <c r="Q488" s="1">
        <v>1</v>
      </c>
      <c r="R488" s="1">
        <v>0</v>
      </c>
      <c r="S488" s="1">
        <v>1</v>
      </c>
      <c r="T488" s="1">
        <v>5</v>
      </c>
      <c r="U488" s="1">
        <v>5</v>
      </c>
      <c r="V488" s="1">
        <v>64</v>
      </c>
      <c r="W488" s="1">
        <v>1</v>
      </c>
      <c r="X488" s="1">
        <v>15</v>
      </c>
      <c r="Y488" s="1">
        <v>13</v>
      </c>
      <c r="Z488" s="1">
        <v>500000</v>
      </c>
      <c r="AA488" s="1">
        <v>3</v>
      </c>
    </row>
    <row r="489" spans="1:27" ht="12.75" customHeight="1" x14ac:dyDescent="0.15">
      <c r="A489" s="5">
        <v>494</v>
      </c>
      <c r="B489" s="5" t="s">
        <v>238</v>
      </c>
      <c r="C489" s="1">
        <v>28</v>
      </c>
      <c r="D489" s="5" t="s">
        <v>981</v>
      </c>
      <c r="E489" s="1">
        <v>0</v>
      </c>
      <c r="F489" s="5" t="s">
        <v>983</v>
      </c>
      <c r="G489" s="1">
        <v>0</v>
      </c>
      <c r="H489" s="5" t="s">
        <v>983</v>
      </c>
      <c r="I489" s="1">
        <v>16</v>
      </c>
      <c r="J489" s="5" t="s">
        <v>981</v>
      </c>
      <c r="K489" s="1">
        <v>0</v>
      </c>
      <c r="L489" s="5" t="s">
        <v>983</v>
      </c>
      <c r="M489" s="1">
        <v>0</v>
      </c>
      <c r="N489" s="5" t="s">
        <v>983</v>
      </c>
      <c r="O489" s="1">
        <v>0</v>
      </c>
      <c r="P489" s="5" t="s">
        <v>983</v>
      </c>
      <c r="Q489" s="1">
        <v>0</v>
      </c>
      <c r="R489" s="1">
        <v>0</v>
      </c>
      <c r="S489" s="1" t="s">
        <v>194</v>
      </c>
      <c r="T489" s="1">
        <v>5</v>
      </c>
      <c r="U489" s="1">
        <v>5</v>
      </c>
      <c r="V489" s="1">
        <v>64</v>
      </c>
      <c r="W489" s="1">
        <v>0</v>
      </c>
      <c r="X489" s="1">
        <v>16</v>
      </c>
      <c r="Y489" s="1">
        <v>14</v>
      </c>
      <c r="Z489" s="1">
        <v>616000</v>
      </c>
      <c r="AA489" s="1">
        <v>2</v>
      </c>
    </row>
    <row r="490" spans="1:27" ht="12.75" customHeight="1" x14ac:dyDescent="0.15">
      <c r="A490" s="5">
        <v>103</v>
      </c>
      <c r="B490" s="5" t="s">
        <v>238</v>
      </c>
      <c r="C490" s="1">
        <v>28</v>
      </c>
      <c r="D490" s="5" t="s">
        <v>981</v>
      </c>
      <c r="E490" s="1">
        <v>5</v>
      </c>
      <c r="F490" s="5" t="s">
        <v>981</v>
      </c>
      <c r="G490" s="1">
        <v>3</v>
      </c>
      <c r="H490" s="5" t="s">
        <v>982</v>
      </c>
      <c r="I490" s="1">
        <v>12</v>
      </c>
      <c r="J490" s="5" t="s">
        <v>981</v>
      </c>
      <c r="K490" s="1">
        <v>3</v>
      </c>
      <c r="L490" s="5" t="s">
        <v>982</v>
      </c>
      <c r="M490" s="1">
        <v>2</v>
      </c>
      <c r="N490" s="5" t="s">
        <v>983</v>
      </c>
      <c r="O490" s="1">
        <v>0</v>
      </c>
      <c r="P490" s="5" t="s">
        <v>983</v>
      </c>
      <c r="Q490" s="1">
        <v>0</v>
      </c>
      <c r="R490" s="1">
        <v>0</v>
      </c>
      <c r="S490" s="1" t="s">
        <v>194</v>
      </c>
      <c r="T490" s="1">
        <v>5</v>
      </c>
      <c r="U490" s="1">
        <v>5</v>
      </c>
      <c r="V490" s="1">
        <v>64</v>
      </c>
      <c r="W490" s="1">
        <v>0</v>
      </c>
      <c r="X490" s="1">
        <v>14</v>
      </c>
      <c r="Y490" s="1">
        <v>34</v>
      </c>
      <c r="Z490" s="1">
        <v>1890000</v>
      </c>
      <c r="AA490" s="1">
        <v>3</v>
      </c>
    </row>
    <row r="491" spans="1:27" ht="12.75" customHeight="1" x14ac:dyDescent="0.15">
      <c r="A491" s="5">
        <v>482</v>
      </c>
      <c r="B491" s="5" t="s">
        <v>238</v>
      </c>
      <c r="C491" s="1">
        <v>18</v>
      </c>
      <c r="D491" s="5" t="s">
        <v>983</v>
      </c>
      <c r="E491" s="1">
        <v>5</v>
      </c>
      <c r="F491" s="5" t="s">
        <v>981</v>
      </c>
      <c r="G491" s="1">
        <v>0</v>
      </c>
      <c r="H491" s="5" t="s">
        <v>983</v>
      </c>
      <c r="I491" s="1">
        <v>9</v>
      </c>
      <c r="J491" s="5" t="s">
        <v>981</v>
      </c>
      <c r="K491" s="1">
        <v>3</v>
      </c>
      <c r="L491" s="5" t="s">
        <v>982</v>
      </c>
      <c r="M491" s="1">
        <v>3</v>
      </c>
      <c r="N491" s="5" t="s">
        <v>982</v>
      </c>
      <c r="O491" s="1">
        <v>0</v>
      </c>
      <c r="P491" s="5" t="s">
        <v>983</v>
      </c>
      <c r="Q491" s="1">
        <v>0</v>
      </c>
      <c r="R491" s="1">
        <v>0</v>
      </c>
      <c r="S491" s="1" t="s">
        <v>194</v>
      </c>
      <c r="T491" s="1" t="s">
        <v>194</v>
      </c>
      <c r="U491" s="1">
        <v>3</v>
      </c>
      <c r="V491" s="1">
        <v>65</v>
      </c>
      <c r="W491" s="1">
        <v>1</v>
      </c>
      <c r="X491" s="1">
        <v>16</v>
      </c>
      <c r="Y491" s="1">
        <v>1</v>
      </c>
      <c r="Z491" s="1">
        <v>420000</v>
      </c>
      <c r="AA491" s="1">
        <v>3</v>
      </c>
    </row>
    <row r="492" spans="1:27" ht="12.75" customHeight="1" x14ac:dyDescent="0.15">
      <c r="A492" s="5">
        <v>19</v>
      </c>
      <c r="B492" s="5" t="s">
        <v>238</v>
      </c>
      <c r="C492" s="1">
        <v>37</v>
      </c>
      <c r="D492" s="5" t="s">
        <v>981</v>
      </c>
      <c r="E492" s="1">
        <v>8</v>
      </c>
      <c r="F492" s="5" t="s">
        <v>981</v>
      </c>
      <c r="G492" s="1">
        <v>2</v>
      </c>
      <c r="H492" s="5" t="s">
        <v>982</v>
      </c>
      <c r="I492" s="1">
        <v>8</v>
      </c>
      <c r="J492" s="5" t="s">
        <v>981</v>
      </c>
      <c r="K492" s="1">
        <v>12</v>
      </c>
      <c r="L492" s="5" t="s">
        <v>981</v>
      </c>
      <c r="M492" s="1">
        <v>12</v>
      </c>
      <c r="N492" s="5" t="s">
        <v>981</v>
      </c>
      <c r="O492" s="1">
        <v>0</v>
      </c>
      <c r="P492" s="5" t="s">
        <v>983</v>
      </c>
      <c r="Q492" s="1">
        <v>0</v>
      </c>
      <c r="R492" s="1">
        <v>0</v>
      </c>
      <c r="S492" s="1" t="s">
        <v>194</v>
      </c>
      <c r="T492" s="1">
        <v>5</v>
      </c>
      <c r="U492" s="1">
        <v>2</v>
      </c>
      <c r="V492" s="1">
        <v>66</v>
      </c>
      <c r="W492" s="1">
        <v>0</v>
      </c>
      <c r="X492" s="1">
        <v>10</v>
      </c>
      <c r="Y492" s="1">
        <v>3</v>
      </c>
      <c r="Z492" s="1">
        <v>800000</v>
      </c>
      <c r="AA492" s="1">
        <v>2</v>
      </c>
    </row>
    <row r="493" spans="1:27" ht="12.75" customHeight="1" x14ac:dyDescent="0.15">
      <c r="A493" s="5">
        <v>379</v>
      </c>
      <c r="B493" s="5" t="s">
        <v>238</v>
      </c>
      <c r="C493" s="1">
        <v>29</v>
      </c>
      <c r="D493" s="5" t="s">
        <v>981</v>
      </c>
      <c r="E493" s="1">
        <v>0</v>
      </c>
      <c r="F493" s="5" t="s">
        <v>983</v>
      </c>
      <c r="G493" s="1">
        <v>4</v>
      </c>
      <c r="H493" s="5" t="s">
        <v>982</v>
      </c>
      <c r="I493" s="1">
        <v>12</v>
      </c>
      <c r="J493" s="5" t="s">
        <v>981</v>
      </c>
      <c r="K493" s="1">
        <v>2</v>
      </c>
      <c r="L493" s="5" t="s">
        <v>983</v>
      </c>
      <c r="M493" s="1">
        <v>3</v>
      </c>
      <c r="N493" s="5" t="s">
        <v>982</v>
      </c>
      <c r="O493" s="1">
        <v>0</v>
      </c>
      <c r="P493" s="5" t="s">
        <v>983</v>
      </c>
      <c r="Q493" s="1">
        <v>0</v>
      </c>
      <c r="R493" s="1">
        <v>1</v>
      </c>
      <c r="S493" s="1">
        <v>1</v>
      </c>
      <c r="T493" s="1">
        <v>4</v>
      </c>
      <c r="U493" s="1">
        <v>2</v>
      </c>
      <c r="V493" s="1">
        <v>67</v>
      </c>
      <c r="W493" s="1">
        <v>0</v>
      </c>
      <c r="X493" s="1">
        <v>6</v>
      </c>
      <c r="Y493" s="1">
        <v>3</v>
      </c>
      <c r="Z493" s="1">
        <v>0</v>
      </c>
      <c r="AA493" s="1">
        <v>1</v>
      </c>
    </row>
    <row r="494" spans="1:27" ht="12.75" customHeight="1" x14ac:dyDescent="0.15">
      <c r="A494" s="5">
        <v>223</v>
      </c>
      <c r="B494" s="5" t="s">
        <v>238</v>
      </c>
      <c r="C494" s="1">
        <v>26</v>
      </c>
      <c r="D494" s="5" t="s">
        <v>981</v>
      </c>
      <c r="E494" s="1">
        <v>4</v>
      </c>
      <c r="F494" s="5" t="s">
        <v>982</v>
      </c>
      <c r="G494" s="1">
        <v>5</v>
      </c>
      <c r="H494" s="5" t="s">
        <v>982</v>
      </c>
      <c r="I494" s="1">
        <v>12</v>
      </c>
      <c r="J494" s="5" t="s">
        <v>981</v>
      </c>
      <c r="K494" s="1">
        <v>3</v>
      </c>
      <c r="L494" s="5" t="s">
        <v>982</v>
      </c>
      <c r="M494" s="1">
        <v>6</v>
      </c>
      <c r="N494" s="5" t="s">
        <v>981</v>
      </c>
      <c r="O494" s="1">
        <v>0</v>
      </c>
      <c r="P494" s="5" t="s">
        <v>983</v>
      </c>
      <c r="Q494" s="1">
        <v>1</v>
      </c>
      <c r="R494" s="1">
        <v>0</v>
      </c>
      <c r="S494" s="1">
        <v>1</v>
      </c>
      <c r="T494" s="1">
        <v>2</v>
      </c>
      <c r="U494" s="1">
        <v>2</v>
      </c>
      <c r="V494" s="1">
        <v>67</v>
      </c>
      <c r="W494" s="1">
        <v>0</v>
      </c>
      <c r="X494" s="1">
        <v>14</v>
      </c>
      <c r="Y494" s="1">
        <v>28</v>
      </c>
      <c r="Z494" s="1">
        <v>0</v>
      </c>
      <c r="AA494" s="1">
        <v>3</v>
      </c>
    </row>
    <row r="495" spans="1:27" ht="12.75" customHeight="1" x14ac:dyDescent="0.15">
      <c r="A495" s="5">
        <v>224</v>
      </c>
      <c r="B495" s="5" t="s">
        <v>238</v>
      </c>
      <c r="C495" s="1">
        <v>31</v>
      </c>
      <c r="D495" s="5" t="s">
        <v>981</v>
      </c>
      <c r="E495" s="1">
        <v>5</v>
      </c>
      <c r="F495" s="5" t="s">
        <v>981</v>
      </c>
      <c r="G495" s="1">
        <v>8</v>
      </c>
      <c r="H495" s="5" t="s">
        <v>981</v>
      </c>
      <c r="I495" s="1">
        <v>14</v>
      </c>
      <c r="J495" s="5" t="s">
        <v>981</v>
      </c>
      <c r="K495" s="1">
        <v>0</v>
      </c>
      <c r="L495" s="5" t="s">
        <v>983</v>
      </c>
      <c r="M495" s="1">
        <v>10</v>
      </c>
      <c r="N495" s="5" t="s">
        <v>981</v>
      </c>
      <c r="O495" s="1">
        <v>2</v>
      </c>
      <c r="P495" s="5" t="s">
        <v>982</v>
      </c>
      <c r="Q495" s="1">
        <v>0</v>
      </c>
      <c r="R495" s="1">
        <v>0</v>
      </c>
      <c r="S495" s="1" t="s">
        <v>194</v>
      </c>
      <c r="T495" s="1">
        <v>3</v>
      </c>
      <c r="U495" s="1">
        <v>2</v>
      </c>
      <c r="V495" s="1">
        <v>67</v>
      </c>
      <c r="W495" s="1">
        <v>0</v>
      </c>
      <c r="X495" s="1">
        <v>14</v>
      </c>
      <c r="Y495" s="1">
        <v>28</v>
      </c>
      <c r="Z495" s="1">
        <v>0</v>
      </c>
      <c r="AA495" s="1">
        <v>3</v>
      </c>
    </row>
    <row r="496" spans="1:27" ht="12.75" customHeight="1" x14ac:dyDescent="0.15">
      <c r="A496" s="5">
        <v>183</v>
      </c>
      <c r="B496" s="5" t="s">
        <v>238</v>
      </c>
      <c r="C496" s="1">
        <v>16</v>
      </c>
      <c r="D496" s="5" t="s">
        <v>983</v>
      </c>
      <c r="E496" s="1">
        <v>3</v>
      </c>
      <c r="F496" s="5" t="s">
        <v>982</v>
      </c>
      <c r="G496" s="1">
        <v>3</v>
      </c>
      <c r="H496" s="5" t="s">
        <v>982</v>
      </c>
      <c r="I496" s="1">
        <v>0</v>
      </c>
      <c r="J496" s="5" t="s">
        <v>983</v>
      </c>
      <c r="K496" s="1">
        <v>0</v>
      </c>
      <c r="L496" s="5" t="s">
        <v>983</v>
      </c>
      <c r="M496" s="1">
        <v>0</v>
      </c>
      <c r="N496" s="5" t="s">
        <v>983</v>
      </c>
      <c r="O496" s="1">
        <v>0</v>
      </c>
      <c r="P496" s="5" t="s">
        <v>983</v>
      </c>
      <c r="Q496" s="1">
        <v>1</v>
      </c>
      <c r="R496" s="1">
        <v>0</v>
      </c>
      <c r="S496" s="1">
        <v>1</v>
      </c>
      <c r="T496" s="1" t="s">
        <v>194</v>
      </c>
      <c r="U496" s="1">
        <v>1</v>
      </c>
      <c r="V496" s="1">
        <v>68</v>
      </c>
      <c r="W496" s="1">
        <v>0</v>
      </c>
      <c r="X496" s="1">
        <v>9</v>
      </c>
      <c r="Y496" s="1">
        <v>5</v>
      </c>
      <c r="Z496" s="1">
        <v>460000</v>
      </c>
      <c r="AA496" s="1">
        <v>1</v>
      </c>
    </row>
    <row r="497" spans="1:27" ht="12.75" customHeight="1" x14ac:dyDescent="0.15">
      <c r="A497" s="5">
        <v>221</v>
      </c>
      <c r="B497" s="5" t="s">
        <v>238</v>
      </c>
      <c r="C497" s="1">
        <v>29</v>
      </c>
      <c r="D497" s="5" t="s">
        <v>981</v>
      </c>
      <c r="E497" s="1">
        <v>6</v>
      </c>
      <c r="F497" s="5" t="s">
        <v>981</v>
      </c>
      <c r="G497" s="1">
        <v>7</v>
      </c>
      <c r="H497" s="5" t="s">
        <v>981</v>
      </c>
      <c r="I497" s="1">
        <v>9</v>
      </c>
      <c r="J497" s="5" t="s">
        <v>981</v>
      </c>
      <c r="K497" s="1">
        <v>5</v>
      </c>
      <c r="L497" s="5" t="s">
        <v>982</v>
      </c>
      <c r="M497" s="1">
        <v>6</v>
      </c>
      <c r="N497" s="5" t="s">
        <v>981</v>
      </c>
      <c r="O497" s="1">
        <v>1</v>
      </c>
      <c r="P497" s="5" t="s">
        <v>982</v>
      </c>
      <c r="Q497" s="1">
        <v>0</v>
      </c>
      <c r="R497" s="1">
        <v>0</v>
      </c>
      <c r="S497" s="1">
        <v>1</v>
      </c>
      <c r="T497" s="1" t="s">
        <v>194</v>
      </c>
      <c r="U497" s="1">
        <v>2</v>
      </c>
      <c r="V497" s="1">
        <v>68</v>
      </c>
      <c r="W497" s="1">
        <v>0</v>
      </c>
      <c r="X497" s="1">
        <v>3</v>
      </c>
      <c r="Y497" s="1">
        <v>2</v>
      </c>
      <c r="Z497" s="1">
        <v>500000</v>
      </c>
      <c r="AA497" s="1">
        <v>1</v>
      </c>
    </row>
    <row r="498" spans="1:27" ht="12.75" customHeight="1" x14ac:dyDescent="0.15">
      <c r="A498" s="5">
        <v>82</v>
      </c>
      <c r="B498" s="5" t="s">
        <v>984</v>
      </c>
      <c r="C498" s="1">
        <v>18</v>
      </c>
      <c r="D498" s="5" t="s">
        <v>983</v>
      </c>
      <c r="E498" s="1">
        <v>0</v>
      </c>
      <c r="F498" s="5" t="s">
        <v>983</v>
      </c>
      <c r="G498" s="1">
        <v>1</v>
      </c>
      <c r="H498" s="5" t="s">
        <v>983</v>
      </c>
      <c r="I498" s="1">
        <v>8</v>
      </c>
      <c r="J498" s="5" t="s">
        <v>981</v>
      </c>
      <c r="K498" s="1">
        <v>0</v>
      </c>
      <c r="L498" s="5" t="s">
        <v>983</v>
      </c>
      <c r="M498" s="1">
        <v>0</v>
      </c>
      <c r="N498" s="5" t="s">
        <v>983</v>
      </c>
      <c r="O498" s="1">
        <v>0</v>
      </c>
      <c r="P498" s="5" t="s">
        <v>983</v>
      </c>
      <c r="Q498" s="1">
        <v>0</v>
      </c>
      <c r="R498" s="1">
        <v>0</v>
      </c>
      <c r="S498" s="1" t="s">
        <v>194</v>
      </c>
      <c r="T498" s="1">
        <v>5</v>
      </c>
      <c r="U498" s="1">
        <v>2</v>
      </c>
      <c r="V498" s="1">
        <v>68</v>
      </c>
      <c r="W498" s="1">
        <v>0</v>
      </c>
      <c r="X498" s="1">
        <v>12</v>
      </c>
      <c r="Y498" s="1">
        <v>1</v>
      </c>
      <c r="Z498" s="1">
        <v>260000</v>
      </c>
      <c r="AA498" s="1">
        <v>2</v>
      </c>
    </row>
    <row r="499" spans="1:27" ht="12.75" customHeight="1" x14ac:dyDescent="0.15">
      <c r="A499" s="5">
        <v>43</v>
      </c>
      <c r="B499" s="5" t="s">
        <v>238</v>
      </c>
      <c r="C499" s="1">
        <v>34</v>
      </c>
      <c r="D499" s="5" t="s">
        <v>981</v>
      </c>
      <c r="E499" s="1">
        <v>9</v>
      </c>
      <c r="F499" s="5" t="s">
        <v>981</v>
      </c>
      <c r="G499" s="1">
        <v>12</v>
      </c>
      <c r="H499" s="5" t="s">
        <v>981</v>
      </c>
      <c r="I499" s="1">
        <v>16</v>
      </c>
      <c r="J499" s="5" t="s">
        <v>981</v>
      </c>
      <c r="K499" s="1">
        <v>10</v>
      </c>
      <c r="L499" s="5" t="s">
        <v>981</v>
      </c>
      <c r="M499" s="1">
        <v>12</v>
      </c>
      <c r="N499" s="5" t="s">
        <v>981</v>
      </c>
      <c r="O499" s="1">
        <v>10</v>
      </c>
      <c r="P499" s="5" t="s">
        <v>982</v>
      </c>
      <c r="Q499" s="1">
        <v>0</v>
      </c>
      <c r="R499" s="1">
        <v>0</v>
      </c>
      <c r="S499" s="1" t="s">
        <v>194</v>
      </c>
      <c r="T499" s="1">
        <v>4</v>
      </c>
      <c r="U499" s="1">
        <v>2</v>
      </c>
      <c r="V499" s="1">
        <v>68</v>
      </c>
      <c r="W499" s="1">
        <v>0</v>
      </c>
      <c r="X499" s="1">
        <v>12</v>
      </c>
      <c r="Y499" s="1">
        <v>5</v>
      </c>
      <c r="Z499" s="1">
        <v>400000</v>
      </c>
      <c r="AA499" s="1">
        <v>1</v>
      </c>
    </row>
    <row r="500" spans="1:27" ht="12.75" customHeight="1" x14ac:dyDescent="0.15">
      <c r="A500" s="5">
        <v>30</v>
      </c>
      <c r="B500" s="5" t="s">
        <v>984</v>
      </c>
      <c r="C500" s="1">
        <v>26</v>
      </c>
      <c r="D500" s="5" t="s">
        <v>981</v>
      </c>
      <c r="E500" s="1">
        <v>7</v>
      </c>
      <c r="F500" s="5" t="s">
        <v>981</v>
      </c>
      <c r="G500" s="1">
        <v>6</v>
      </c>
      <c r="H500" s="5" t="s">
        <v>981</v>
      </c>
      <c r="I500" s="1">
        <v>9</v>
      </c>
      <c r="J500" s="5" t="s">
        <v>981</v>
      </c>
      <c r="K500" s="1">
        <v>9</v>
      </c>
      <c r="L500" s="5" t="s">
        <v>981</v>
      </c>
      <c r="M500" s="1">
        <v>12</v>
      </c>
      <c r="N500" s="5" t="s">
        <v>981</v>
      </c>
      <c r="O500" s="1">
        <v>3</v>
      </c>
      <c r="P500" s="5" t="s">
        <v>982</v>
      </c>
      <c r="Q500" s="1">
        <v>0</v>
      </c>
      <c r="R500" s="1">
        <v>1</v>
      </c>
      <c r="S500" s="1" t="s">
        <v>194</v>
      </c>
      <c r="T500" s="1" t="s">
        <v>194</v>
      </c>
      <c r="U500" s="1" t="s">
        <v>194</v>
      </c>
      <c r="V500" s="1">
        <v>68</v>
      </c>
      <c r="W500" s="1">
        <v>0</v>
      </c>
      <c r="X500" s="1">
        <v>14</v>
      </c>
      <c r="Y500" s="1">
        <v>34</v>
      </c>
      <c r="Z500" s="1">
        <v>700000</v>
      </c>
      <c r="AA500" s="1">
        <v>2</v>
      </c>
    </row>
    <row r="501" spans="1:27" ht="12.75" customHeight="1" x14ac:dyDescent="0.15">
      <c r="A501" s="5">
        <v>331</v>
      </c>
      <c r="B501" s="5" t="s">
        <v>238</v>
      </c>
      <c r="C501" s="1">
        <v>29</v>
      </c>
      <c r="D501" s="5" t="s">
        <v>981</v>
      </c>
      <c r="E501" s="1">
        <v>3</v>
      </c>
      <c r="F501" s="5" t="s">
        <v>982</v>
      </c>
      <c r="G501" s="1">
        <v>0</v>
      </c>
      <c r="H501" s="5" t="s">
        <v>983</v>
      </c>
      <c r="I501" s="1">
        <v>6</v>
      </c>
      <c r="J501" s="5" t="s">
        <v>981</v>
      </c>
      <c r="K501" s="1">
        <v>5</v>
      </c>
      <c r="L501" s="5" t="s">
        <v>982</v>
      </c>
      <c r="M501" s="1">
        <v>5</v>
      </c>
      <c r="N501" s="5" t="s">
        <v>982</v>
      </c>
      <c r="O501" s="1">
        <v>0</v>
      </c>
      <c r="P501" s="5" t="s">
        <v>983</v>
      </c>
      <c r="Q501" s="1">
        <v>1</v>
      </c>
      <c r="R501" s="1">
        <v>0</v>
      </c>
      <c r="S501" s="1">
        <v>1</v>
      </c>
      <c r="T501" s="1">
        <v>4</v>
      </c>
      <c r="U501" s="1">
        <v>3</v>
      </c>
      <c r="V501" s="1">
        <v>69</v>
      </c>
      <c r="W501" s="1">
        <v>0</v>
      </c>
      <c r="X501" s="1">
        <v>12</v>
      </c>
      <c r="Y501" s="1">
        <v>5</v>
      </c>
      <c r="Z501" s="1">
        <v>230000</v>
      </c>
      <c r="AA501" s="1">
        <v>3</v>
      </c>
    </row>
    <row r="502" spans="1:27" ht="12.75" customHeight="1" x14ac:dyDescent="0.15">
      <c r="A502" s="5">
        <v>29</v>
      </c>
      <c r="B502" s="5" t="s">
        <v>238</v>
      </c>
      <c r="C502" s="1">
        <v>22</v>
      </c>
      <c r="D502" s="5" t="s">
        <v>982</v>
      </c>
      <c r="E502" s="1">
        <v>6</v>
      </c>
      <c r="F502" s="5" t="s">
        <v>981</v>
      </c>
      <c r="G502" s="1">
        <v>2</v>
      </c>
      <c r="H502" s="5" t="s">
        <v>982</v>
      </c>
      <c r="I502" s="1">
        <v>16</v>
      </c>
      <c r="J502" s="5" t="s">
        <v>981</v>
      </c>
      <c r="K502" s="1">
        <v>0</v>
      </c>
      <c r="L502" s="5" t="s">
        <v>983</v>
      </c>
      <c r="M502" s="1">
        <v>0</v>
      </c>
      <c r="N502" s="5" t="s">
        <v>983</v>
      </c>
      <c r="O502" s="1">
        <v>1</v>
      </c>
      <c r="P502" s="5" t="s">
        <v>982</v>
      </c>
      <c r="Q502" s="1">
        <v>0</v>
      </c>
      <c r="R502" s="1">
        <v>0</v>
      </c>
      <c r="S502" s="1" t="s">
        <v>194</v>
      </c>
      <c r="T502" s="1">
        <v>5</v>
      </c>
      <c r="U502" s="1">
        <v>5</v>
      </c>
      <c r="V502" s="1">
        <v>71</v>
      </c>
      <c r="W502" s="1">
        <v>0</v>
      </c>
      <c r="X502" s="1">
        <v>18</v>
      </c>
      <c r="Y502" s="1">
        <v>24</v>
      </c>
      <c r="Z502" s="1">
        <v>600000</v>
      </c>
      <c r="AA502" s="1">
        <v>1</v>
      </c>
    </row>
    <row r="503" spans="1:27" ht="12.75" customHeight="1" x14ac:dyDescent="0.15">
      <c r="A503" s="5">
        <v>485</v>
      </c>
      <c r="B503" s="5" t="s">
        <v>238</v>
      </c>
      <c r="C503" s="1">
        <v>17</v>
      </c>
      <c r="D503" s="5" t="s">
        <v>983</v>
      </c>
      <c r="E503" s="1">
        <v>1</v>
      </c>
      <c r="F503" s="5" t="s">
        <v>983</v>
      </c>
      <c r="G503" s="1">
        <v>6</v>
      </c>
      <c r="H503" s="5" t="s">
        <v>981</v>
      </c>
      <c r="I503" s="1">
        <v>3</v>
      </c>
      <c r="J503" s="5" t="s">
        <v>982</v>
      </c>
      <c r="K503" s="1">
        <v>1</v>
      </c>
      <c r="L503" s="5" t="s">
        <v>983</v>
      </c>
      <c r="M503" s="1">
        <v>0</v>
      </c>
      <c r="N503" s="5" t="s">
        <v>983</v>
      </c>
      <c r="O503" s="1">
        <v>0</v>
      </c>
      <c r="P503" s="5" t="s">
        <v>983</v>
      </c>
      <c r="Q503" s="1">
        <v>1</v>
      </c>
      <c r="R503" s="1">
        <v>0</v>
      </c>
      <c r="S503" s="1">
        <v>1</v>
      </c>
      <c r="T503" s="1">
        <v>3</v>
      </c>
      <c r="U503" s="1">
        <v>3</v>
      </c>
      <c r="V503" s="1">
        <v>73</v>
      </c>
      <c r="W503" s="1">
        <v>0</v>
      </c>
      <c r="X503" s="1">
        <v>1</v>
      </c>
      <c r="Y503" s="1">
        <v>34</v>
      </c>
      <c r="Z503" s="1">
        <v>500000</v>
      </c>
      <c r="AA503" s="1">
        <v>1</v>
      </c>
    </row>
    <row r="504" spans="1:27" ht="12.75" customHeight="1" x14ac:dyDescent="0.15"/>
    <row r="505" spans="1:27" ht="12.75" customHeight="1" x14ac:dyDescent="0.15"/>
    <row r="506" spans="1:27" ht="12.75" customHeight="1" x14ac:dyDescent="0.15"/>
    <row r="507" spans="1:27" ht="12.75" customHeight="1" x14ac:dyDescent="0.15"/>
    <row r="508" spans="1:27" ht="12.75" customHeight="1" x14ac:dyDescent="0.15"/>
    <row r="509" spans="1:27" ht="12.75" customHeight="1" x14ac:dyDescent="0.15"/>
    <row r="510" spans="1:27" ht="12.75" customHeight="1" x14ac:dyDescent="0.15"/>
    <row r="511" spans="1:27" ht="12.75" customHeight="1" x14ac:dyDescent="0.15"/>
    <row r="512" spans="1:27"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autoFilter ref="A1:AA503" xr:uid="{70253C95-1D15-419C-8AC6-DB5BBD176274}">
    <sortState xmlns:xlrd2="http://schemas.microsoft.com/office/spreadsheetml/2017/richdata2" ref="A2:AA503">
      <sortCondition ref="V2:V503"/>
    </sortState>
  </autoFilter>
  <sortState xmlns:xlrd2="http://schemas.microsoft.com/office/spreadsheetml/2017/richdata2" ref="A2:AA503">
    <sortCondition ref="V2:V503"/>
  </sortState>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2C6AE-474B-4D46-AA29-3D5C595E5374}">
  <dimension ref="A1:AA1001"/>
  <sheetViews>
    <sheetView workbookViewId="0">
      <selection activeCell="Q19" sqref="Q19"/>
    </sheetView>
  </sheetViews>
  <sheetFormatPr baseColWidth="10" defaultColWidth="12.5" defaultRowHeight="15" customHeight="1" x14ac:dyDescent="0.15"/>
  <cols>
    <col min="1" max="1" width="8.5" customWidth="1"/>
    <col min="2" max="2" width="15.5" customWidth="1"/>
    <col min="3" max="25" width="8.5" customWidth="1"/>
    <col min="26" max="26" width="11.5" customWidth="1"/>
    <col min="27" max="33" width="8.5" customWidth="1"/>
  </cols>
  <sheetData>
    <row r="1" spans="1:27" ht="15" customHeight="1" x14ac:dyDescent="0.15">
      <c r="C1" s="1" t="s">
        <v>966</v>
      </c>
      <c r="D1" s="1" t="s">
        <v>967</v>
      </c>
      <c r="E1" s="1" t="s">
        <v>968</v>
      </c>
      <c r="F1" s="1" t="s">
        <v>137</v>
      </c>
      <c r="G1" s="1" t="s">
        <v>144</v>
      </c>
      <c r="H1" s="1" t="s">
        <v>145</v>
      </c>
      <c r="I1" s="1" t="s">
        <v>154</v>
      </c>
      <c r="J1" s="1" t="s">
        <v>155</v>
      </c>
      <c r="K1" s="1" t="s">
        <v>162</v>
      </c>
      <c r="L1" s="1" t="s">
        <v>163</v>
      </c>
      <c r="M1" s="1" t="s">
        <v>170</v>
      </c>
      <c r="N1" s="1" t="s">
        <v>171</v>
      </c>
      <c r="O1" s="1" t="s">
        <v>186</v>
      </c>
      <c r="P1" s="1" t="s">
        <v>187</v>
      </c>
      <c r="Q1" s="1" t="s">
        <v>969</v>
      </c>
      <c r="R1" s="1" t="s">
        <v>970</v>
      </c>
      <c r="S1" s="11" t="s">
        <v>971</v>
      </c>
      <c r="T1" s="1" t="s">
        <v>973</v>
      </c>
      <c r="U1" s="1" t="s">
        <v>974</v>
      </c>
      <c r="V1" s="1" t="s">
        <v>975</v>
      </c>
      <c r="W1" s="1" t="s">
        <v>976</v>
      </c>
      <c r="X1" s="1" t="s">
        <v>977</v>
      </c>
      <c r="Y1" s="1" t="s">
        <v>978</v>
      </c>
      <c r="Z1" s="1" t="s">
        <v>979</v>
      </c>
      <c r="AA1" s="1" t="s">
        <v>980</v>
      </c>
    </row>
    <row r="2" spans="1:27" ht="12.75" customHeight="1" x14ac:dyDescent="0.15">
      <c r="A2" s="1" t="s">
        <v>1002</v>
      </c>
      <c r="B2" s="1" t="s">
        <v>36</v>
      </c>
      <c r="C2" t="s">
        <v>1003</v>
      </c>
      <c r="D2" t="s">
        <v>1004</v>
      </c>
      <c r="E2" t="s">
        <v>1005</v>
      </c>
      <c r="F2" t="s">
        <v>1006</v>
      </c>
      <c r="G2" t="s">
        <v>1007</v>
      </c>
      <c r="H2" t="s">
        <v>1008</v>
      </c>
      <c r="I2" t="s">
        <v>1009</v>
      </c>
      <c r="J2" t="s">
        <v>1010</v>
      </c>
      <c r="K2" t="s">
        <v>1011</v>
      </c>
      <c r="L2" t="s">
        <v>1012</v>
      </c>
      <c r="M2" t="s">
        <v>1013</v>
      </c>
      <c r="N2" t="s">
        <v>1014</v>
      </c>
      <c r="O2" t="s">
        <v>1015</v>
      </c>
      <c r="P2" t="s">
        <v>1016</v>
      </c>
      <c r="Q2" s="1" t="s">
        <v>969</v>
      </c>
      <c r="R2" s="1" t="s">
        <v>970</v>
      </c>
      <c r="S2" s="11" t="s">
        <v>971</v>
      </c>
      <c r="T2" t="s">
        <v>1017</v>
      </c>
      <c r="U2" t="s">
        <v>1018</v>
      </c>
      <c r="V2" t="s">
        <v>1019</v>
      </c>
      <c r="W2" t="s">
        <v>1020</v>
      </c>
      <c r="X2" t="s">
        <v>1021</v>
      </c>
      <c r="Y2" t="s">
        <v>1022</v>
      </c>
      <c r="Z2" t="s">
        <v>1023</v>
      </c>
      <c r="AA2" t="s">
        <v>1024</v>
      </c>
    </row>
    <row r="3" spans="1:27" ht="12.75" customHeight="1" x14ac:dyDescent="0.15">
      <c r="A3" s="5">
        <v>414</v>
      </c>
      <c r="B3" s="5" t="s">
        <v>984</v>
      </c>
      <c r="C3" s="1">
        <v>12</v>
      </c>
      <c r="D3" s="5" t="s">
        <v>983</v>
      </c>
      <c r="E3" s="1">
        <v>0</v>
      </c>
      <c r="F3" s="5" t="s">
        <v>983</v>
      </c>
      <c r="G3" s="1">
        <v>0</v>
      </c>
      <c r="H3" s="5" t="s">
        <v>983</v>
      </c>
      <c r="I3" s="1">
        <v>16</v>
      </c>
      <c r="J3" s="5" t="s">
        <v>981</v>
      </c>
      <c r="K3" s="1">
        <v>0</v>
      </c>
      <c r="L3" s="5" t="s">
        <v>983</v>
      </c>
      <c r="M3" s="1">
        <v>0</v>
      </c>
      <c r="N3" s="5" t="s">
        <v>983</v>
      </c>
      <c r="O3" s="1">
        <v>0</v>
      </c>
      <c r="P3" s="5" t="s">
        <v>983</v>
      </c>
      <c r="Q3" s="1">
        <v>0</v>
      </c>
      <c r="R3" s="1">
        <v>0</v>
      </c>
      <c r="S3" s="1" t="s">
        <v>194</v>
      </c>
      <c r="T3" s="1" t="s">
        <v>194</v>
      </c>
      <c r="U3" s="1" t="s">
        <v>194</v>
      </c>
      <c r="V3" s="1">
        <v>25</v>
      </c>
      <c r="W3" s="1">
        <v>1</v>
      </c>
      <c r="X3" s="1">
        <v>2</v>
      </c>
      <c r="Y3" s="1">
        <v>34</v>
      </c>
      <c r="Z3" s="1">
        <v>1200000</v>
      </c>
      <c r="AA3" s="1">
        <v>1</v>
      </c>
    </row>
    <row r="4" spans="1:27" ht="12.75" customHeight="1" x14ac:dyDescent="0.15">
      <c r="A4" s="5">
        <v>371</v>
      </c>
      <c r="B4" s="5" t="s">
        <v>984</v>
      </c>
      <c r="C4" s="1">
        <v>12</v>
      </c>
      <c r="D4" s="5" t="s">
        <v>983</v>
      </c>
      <c r="E4" s="1">
        <v>0</v>
      </c>
      <c r="F4" s="5" t="s">
        <v>983</v>
      </c>
      <c r="G4" s="1">
        <v>0</v>
      </c>
      <c r="H4" s="5" t="s">
        <v>983</v>
      </c>
      <c r="I4" s="1">
        <v>16</v>
      </c>
      <c r="J4" s="5" t="s">
        <v>981</v>
      </c>
      <c r="K4" s="1">
        <v>0</v>
      </c>
      <c r="L4" s="5" t="s">
        <v>983</v>
      </c>
      <c r="M4" s="1">
        <v>0</v>
      </c>
      <c r="N4" s="5" t="s">
        <v>983</v>
      </c>
      <c r="O4" s="1">
        <v>0</v>
      </c>
      <c r="P4" s="5" t="s">
        <v>983</v>
      </c>
      <c r="Q4" s="1">
        <v>1</v>
      </c>
      <c r="R4" s="1">
        <v>0</v>
      </c>
      <c r="S4" s="1" t="s">
        <v>194</v>
      </c>
      <c r="T4" s="1">
        <v>5</v>
      </c>
      <c r="U4" s="1">
        <v>5</v>
      </c>
      <c r="V4" s="1">
        <v>35</v>
      </c>
      <c r="W4" s="1">
        <v>0</v>
      </c>
      <c r="X4" s="1">
        <v>14</v>
      </c>
      <c r="Y4" s="1">
        <v>34</v>
      </c>
      <c r="Z4" s="1">
        <v>0</v>
      </c>
      <c r="AA4" s="1">
        <v>1</v>
      </c>
    </row>
    <row r="5" spans="1:27" ht="12.75" customHeight="1" x14ac:dyDescent="0.15">
      <c r="A5" s="5">
        <v>117</v>
      </c>
      <c r="B5" s="5" t="s">
        <v>984</v>
      </c>
      <c r="C5" s="1">
        <v>12</v>
      </c>
      <c r="D5" s="5" t="s">
        <v>983</v>
      </c>
      <c r="E5" s="1">
        <v>0</v>
      </c>
      <c r="F5" s="5" t="s">
        <v>983</v>
      </c>
      <c r="G5" s="1">
        <v>0</v>
      </c>
      <c r="H5" s="5" t="s">
        <v>983</v>
      </c>
      <c r="I5" s="1">
        <v>4</v>
      </c>
      <c r="J5" s="5" t="s">
        <v>982</v>
      </c>
      <c r="K5" s="1">
        <v>0</v>
      </c>
      <c r="L5" s="5" t="s">
        <v>983</v>
      </c>
      <c r="M5" s="1">
        <v>0</v>
      </c>
      <c r="N5" s="5" t="s">
        <v>983</v>
      </c>
      <c r="O5" s="1">
        <v>0</v>
      </c>
      <c r="P5" s="5" t="s">
        <v>983</v>
      </c>
      <c r="Q5" s="1">
        <v>1</v>
      </c>
      <c r="R5" s="1">
        <v>0</v>
      </c>
      <c r="S5" s="1">
        <v>1</v>
      </c>
      <c r="T5" s="1">
        <v>2</v>
      </c>
      <c r="U5" s="1">
        <v>1</v>
      </c>
      <c r="V5" s="1">
        <v>35</v>
      </c>
      <c r="W5" s="1">
        <v>0</v>
      </c>
      <c r="X5" s="1">
        <v>18</v>
      </c>
      <c r="Y5" s="1">
        <v>33</v>
      </c>
      <c r="Z5" s="1">
        <v>300000</v>
      </c>
      <c r="AA5" s="1">
        <v>3</v>
      </c>
    </row>
    <row r="6" spans="1:27" ht="12.75" customHeight="1" x14ac:dyDescent="0.15">
      <c r="A6" s="5">
        <v>20</v>
      </c>
      <c r="B6" s="5" t="s">
        <v>984</v>
      </c>
      <c r="C6" s="1">
        <v>12</v>
      </c>
      <c r="D6" s="5" t="s">
        <v>983</v>
      </c>
      <c r="E6" s="1">
        <v>0</v>
      </c>
      <c r="F6" s="5" t="s">
        <v>983</v>
      </c>
      <c r="G6" s="1">
        <v>0</v>
      </c>
      <c r="H6" s="5" t="s">
        <v>983</v>
      </c>
      <c r="I6" s="1">
        <v>16</v>
      </c>
      <c r="J6" s="5" t="s">
        <v>981</v>
      </c>
      <c r="K6" s="1">
        <v>0</v>
      </c>
      <c r="L6" s="5" t="s">
        <v>983</v>
      </c>
      <c r="M6" s="1">
        <v>0</v>
      </c>
      <c r="N6" s="5" t="s">
        <v>983</v>
      </c>
      <c r="O6" s="1">
        <v>0</v>
      </c>
      <c r="P6" s="5" t="s">
        <v>983</v>
      </c>
      <c r="Q6" s="1">
        <v>0</v>
      </c>
      <c r="R6" s="1">
        <v>0</v>
      </c>
      <c r="S6" s="1">
        <v>0</v>
      </c>
      <c r="T6" s="1" t="s">
        <v>194</v>
      </c>
      <c r="U6" s="1">
        <v>2</v>
      </c>
      <c r="V6" s="1"/>
      <c r="W6" s="1">
        <v>0</v>
      </c>
      <c r="Y6" s="1">
        <v>11</v>
      </c>
      <c r="AA6" s="1">
        <v>3</v>
      </c>
    </row>
    <row r="7" spans="1:27" ht="12.75" customHeight="1" x14ac:dyDescent="0.15">
      <c r="A7" s="5">
        <v>59</v>
      </c>
      <c r="B7" s="5" t="s">
        <v>984</v>
      </c>
      <c r="C7" s="1">
        <v>16</v>
      </c>
      <c r="D7" s="5" t="s">
        <v>983</v>
      </c>
      <c r="E7" s="1">
        <v>0</v>
      </c>
      <c r="F7" s="5" t="s">
        <v>983</v>
      </c>
      <c r="G7" s="1">
        <v>0</v>
      </c>
      <c r="H7" s="5" t="s">
        <v>983</v>
      </c>
      <c r="I7" s="1">
        <v>2</v>
      </c>
      <c r="J7" s="5" t="s">
        <v>982</v>
      </c>
      <c r="K7" s="1">
        <v>0</v>
      </c>
      <c r="L7" s="5" t="s">
        <v>983</v>
      </c>
      <c r="M7" s="1">
        <v>0</v>
      </c>
      <c r="N7" s="5" t="s">
        <v>983</v>
      </c>
      <c r="O7" s="1">
        <v>0</v>
      </c>
      <c r="P7" s="5" t="s">
        <v>983</v>
      </c>
      <c r="Q7" s="1">
        <v>1</v>
      </c>
      <c r="R7" s="1">
        <v>0</v>
      </c>
      <c r="S7" s="1">
        <v>1</v>
      </c>
      <c r="T7" s="1" t="s">
        <v>194</v>
      </c>
      <c r="U7" s="1">
        <v>1</v>
      </c>
      <c r="V7" s="1"/>
      <c r="W7" s="1">
        <v>0</v>
      </c>
      <c r="Y7" s="1">
        <v>24</v>
      </c>
      <c r="AA7" s="1">
        <v>4</v>
      </c>
    </row>
    <row r="8" spans="1:27" ht="12.75" customHeight="1" x14ac:dyDescent="0.15">
      <c r="A8" s="5">
        <v>412</v>
      </c>
      <c r="B8" s="5" t="s">
        <v>984</v>
      </c>
      <c r="C8" s="1">
        <v>18</v>
      </c>
      <c r="D8" s="5" t="s">
        <v>983</v>
      </c>
      <c r="E8" s="1">
        <v>0</v>
      </c>
      <c r="F8" s="5" t="s">
        <v>983</v>
      </c>
      <c r="G8" s="1">
        <v>0</v>
      </c>
      <c r="H8" s="5" t="s">
        <v>983</v>
      </c>
      <c r="I8" s="1">
        <v>10</v>
      </c>
      <c r="J8" s="5" t="s">
        <v>981</v>
      </c>
      <c r="K8" s="1">
        <v>0</v>
      </c>
      <c r="L8" s="5" t="s">
        <v>983</v>
      </c>
      <c r="M8" s="1">
        <v>0</v>
      </c>
      <c r="N8" s="5" t="s">
        <v>983</v>
      </c>
      <c r="O8" s="1">
        <v>0</v>
      </c>
      <c r="P8" s="5" t="s">
        <v>983</v>
      </c>
      <c r="Q8" s="1">
        <v>0</v>
      </c>
      <c r="R8" s="1">
        <v>1</v>
      </c>
      <c r="S8" s="1" t="s">
        <v>194</v>
      </c>
      <c r="T8" s="1" t="s">
        <v>194</v>
      </c>
      <c r="U8" s="1">
        <v>3</v>
      </c>
      <c r="V8" s="1">
        <v>48</v>
      </c>
      <c r="W8" s="1">
        <v>0</v>
      </c>
      <c r="X8" s="1">
        <v>14</v>
      </c>
      <c r="Y8" s="1">
        <v>5</v>
      </c>
      <c r="Z8" s="1">
        <v>450000</v>
      </c>
      <c r="AA8" s="1">
        <v>3</v>
      </c>
    </row>
    <row r="9" spans="1:27" ht="12.75" customHeight="1" x14ac:dyDescent="0.15">
      <c r="A9" s="5">
        <v>386</v>
      </c>
      <c r="B9" s="5" t="s">
        <v>984</v>
      </c>
      <c r="C9" s="1">
        <v>18</v>
      </c>
      <c r="D9" s="5" t="s">
        <v>983</v>
      </c>
      <c r="E9" s="1">
        <v>0</v>
      </c>
      <c r="F9" s="5" t="s">
        <v>983</v>
      </c>
      <c r="G9" s="1">
        <v>0</v>
      </c>
      <c r="H9" s="5" t="s">
        <v>983</v>
      </c>
      <c r="I9" s="1">
        <v>16</v>
      </c>
      <c r="J9" s="5" t="s">
        <v>981</v>
      </c>
      <c r="K9" s="1">
        <v>0</v>
      </c>
      <c r="L9" s="5" t="s">
        <v>983</v>
      </c>
      <c r="M9" s="1">
        <v>0</v>
      </c>
      <c r="N9" s="5" t="s">
        <v>983</v>
      </c>
      <c r="O9" s="1">
        <v>0</v>
      </c>
      <c r="P9" s="5" t="s">
        <v>983</v>
      </c>
      <c r="Q9" s="1">
        <v>1</v>
      </c>
      <c r="R9" s="1">
        <v>0</v>
      </c>
      <c r="S9" s="1" t="s">
        <v>194</v>
      </c>
      <c r="T9" s="1">
        <v>3</v>
      </c>
      <c r="U9" s="1">
        <v>2</v>
      </c>
      <c r="V9" s="1"/>
      <c r="W9" s="1">
        <v>1</v>
      </c>
      <c r="Y9" s="1">
        <v>3</v>
      </c>
      <c r="AA9" s="1">
        <v>3</v>
      </c>
    </row>
    <row r="10" spans="1:27" ht="12.75" customHeight="1" x14ac:dyDescent="0.15">
      <c r="A10" s="5">
        <v>35</v>
      </c>
      <c r="B10" s="5" t="s">
        <v>984</v>
      </c>
      <c r="C10" s="1">
        <v>27</v>
      </c>
      <c r="D10" s="5" t="s">
        <v>981</v>
      </c>
      <c r="E10" s="1">
        <v>0</v>
      </c>
      <c r="F10" s="5" t="s">
        <v>983</v>
      </c>
      <c r="G10" s="1">
        <v>0</v>
      </c>
      <c r="H10" s="5" t="s">
        <v>983</v>
      </c>
      <c r="I10" s="1">
        <v>16</v>
      </c>
      <c r="J10" s="5" t="s">
        <v>981</v>
      </c>
      <c r="K10" s="1">
        <v>0</v>
      </c>
      <c r="L10" s="5" t="s">
        <v>983</v>
      </c>
      <c r="M10" s="1">
        <v>0</v>
      </c>
      <c r="N10" s="5" t="s">
        <v>983</v>
      </c>
      <c r="O10" s="1">
        <v>0</v>
      </c>
      <c r="P10" s="5" t="s">
        <v>983</v>
      </c>
      <c r="Q10" s="1">
        <v>1</v>
      </c>
      <c r="R10" s="1">
        <v>0</v>
      </c>
      <c r="S10" s="1">
        <v>1</v>
      </c>
      <c r="T10" s="1" t="s">
        <v>194</v>
      </c>
      <c r="U10" s="1">
        <v>1</v>
      </c>
      <c r="V10" s="1">
        <v>37</v>
      </c>
      <c r="W10" s="1">
        <v>0</v>
      </c>
      <c r="X10" s="1">
        <v>14</v>
      </c>
      <c r="Y10" s="1">
        <v>3</v>
      </c>
      <c r="Z10" s="1">
        <v>380000</v>
      </c>
      <c r="AA10" s="1">
        <v>3</v>
      </c>
    </row>
    <row r="11" spans="1:27" ht="12.75" customHeight="1" x14ac:dyDescent="0.15">
      <c r="A11" s="5">
        <v>380</v>
      </c>
      <c r="B11" s="5" t="s">
        <v>984</v>
      </c>
      <c r="C11" s="1">
        <v>16</v>
      </c>
      <c r="D11" s="5" t="s">
        <v>983</v>
      </c>
      <c r="E11" s="1">
        <v>1</v>
      </c>
      <c r="F11" s="5" t="s">
        <v>983</v>
      </c>
      <c r="G11" s="1">
        <v>0</v>
      </c>
      <c r="H11" s="5" t="s">
        <v>983</v>
      </c>
      <c r="I11" s="1">
        <v>0</v>
      </c>
      <c r="J11" s="5" t="s">
        <v>983</v>
      </c>
      <c r="K11" s="1">
        <v>0</v>
      </c>
      <c r="L11" s="5" t="s">
        <v>983</v>
      </c>
      <c r="M11" s="1">
        <v>0</v>
      </c>
      <c r="N11" s="5" t="s">
        <v>983</v>
      </c>
      <c r="O11" s="1">
        <v>0</v>
      </c>
      <c r="P11" s="5" t="s">
        <v>983</v>
      </c>
      <c r="Q11" s="1">
        <v>1</v>
      </c>
      <c r="R11" s="1">
        <v>0</v>
      </c>
      <c r="S11" s="1">
        <v>1</v>
      </c>
      <c r="T11" s="1">
        <v>3</v>
      </c>
      <c r="U11" s="1">
        <v>2</v>
      </c>
      <c r="V11" s="1">
        <v>44</v>
      </c>
      <c r="W11" s="1">
        <v>0</v>
      </c>
      <c r="X11" s="1">
        <v>18</v>
      </c>
      <c r="Y11" s="1">
        <v>2</v>
      </c>
      <c r="Z11" s="1">
        <v>500000</v>
      </c>
      <c r="AA11" s="1">
        <v>2</v>
      </c>
    </row>
    <row r="12" spans="1:27" ht="12.75" customHeight="1" x14ac:dyDescent="0.15">
      <c r="A12" s="5">
        <v>394</v>
      </c>
      <c r="B12" s="5" t="s">
        <v>984</v>
      </c>
      <c r="C12" s="1">
        <v>21</v>
      </c>
      <c r="D12" s="5" t="s">
        <v>982</v>
      </c>
      <c r="E12" s="1">
        <v>1</v>
      </c>
      <c r="F12" s="5" t="s">
        <v>983</v>
      </c>
      <c r="G12" s="1">
        <v>0</v>
      </c>
      <c r="H12" s="5" t="s">
        <v>983</v>
      </c>
      <c r="I12" s="1">
        <v>0</v>
      </c>
      <c r="J12" s="5" t="s">
        <v>983</v>
      </c>
      <c r="K12" s="1">
        <v>0</v>
      </c>
      <c r="L12" s="5" t="s">
        <v>983</v>
      </c>
      <c r="M12" s="1">
        <v>0</v>
      </c>
      <c r="N12" s="5" t="s">
        <v>983</v>
      </c>
      <c r="O12" s="1">
        <v>0</v>
      </c>
      <c r="P12" s="5" t="s">
        <v>983</v>
      </c>
      <c r="Q12" s="1">
        <v>1</v>
      </c>
      <c r="R12" s="1">
        <v>0</v>
      </c>
      <c r="S12" s="1">
        <v>1</v>
      </c>
      <c r="T12" s="1">
        <v>5</v>
      </c>
      <c r="U12" s="1">
        <v>5</v>
      </c>
      <c r="V12" s="1">
        <v>36</v>
      </c>
      <c r="W12" s="1">
        <v>0</v>
      </c>
      <c r="X12" s="1">
        <v>14</v>
      </c>
      <c r="Y12" s="1">
        <v>7</v>
      </c>
      <c r="Z12" s="1">
        <v>800000</v>
      </c>
      <c r="AA12" s="1">
        <v>2</v>
      </c>
    </row>
    <row r="13" spans="1:27" ht="12.75" customHeight="1" x14ac:dyDescent="0.15">
      <c r="A13" s="5">
        <v>407</v>
      </c>
      <c r="B13" s="5" t="s">
        <v>984</v>
      </c>
      <c r="C13" s="1">
        <v>18</v>
      </c>
      <c r="D13" s="5" t="s">
        <v>983</v>
      </c>
      <c r="E13" s="1">
        <v>2</v>
      </c>
      <c r="F13" s="5" t="s">
        <v>982</v>
      </c>
      <c r="G13" s="1">
        <v>0</v>
      </c>
      <c r="H13" s="5" t="s">
        <v>983</v>
      </c>
      <c r="I13" s="1">
        <v>0</v>
      </c>
      <c r="J13" s="5" t="s">
        <v>983</v>
      </c>
      <c r="K13" s="1">
        <v>0</v>
      </c>
      <c r="L13" s="5" t="s">
        <v>983</v>
      </c>
      <c r="M13" s="1">
        <v>0</v>
      </c>
      <c r="N13" s="5" t="s">
        <v>983</v>
      </c>
      <c r="O13" s="1">
        <v>0</v>
      </c>
      <c r="P13" s="5" t="s">
        <v>983</v>
      </c>
      <c r="Q13" s="1">
        <v>0</v>
      </c>
      <c r="R13" s="1">
        <v>0</v>
      </c>
      <c r="S13" s="1">
        <v>0</v>
      </c>
      <c r="T13" s="1">
        <v>3</v>
      </c>
      <c r="U13" s="1">
        <v>3</v>
      </c>
      <c r="V13" s="1">
        <v>42</v>
      </c>
      <c r="W13" s="1">
        <v>0</v>
      </c>
      <c r="X13" s="1">
        <v>16</v>
      </c>
      <c r="Y13" s="1">
        <v>2</v>
      </c>
      <c r="Z13" s="1">
        <v>800000</v>
      </c>
      <c r="AA13" s="1">
        <v>3</v>
      </c>
    </row>
    <row r="14" spans="1:27" ht="12.75" customHeight="1" x14ac:dyDescent="0.15">
      <c r="A14" s="5">
        <v>463</v>
      </c>
      <c r="B14" s="5" t="s">
        <v>984</v>
      </c>
      <c r="C14" s="1">
        <v>20</v>
      </c>
      <c r="D14" s="5" t="s">
        <v>982</v>
      </c>
      <c r="E14" s="1">
        <v>4</v>
      </c>
      <c r="F14" s="5" t="s">
        <v>982</v>
      </c>
      <c r="G14" s="1">
        <v>0</v>
      </c>
      <c r="H14" s="5" t="s">
        <v>983</v>
      </c>
      <c r="I14" s="1">
        <v>8</v>
      </c>
      <c r="J14" s="5" t="s">
        <v>981</v>
      </c>
      <c r="K14" s="1">
        <v>0</v>
      </c>
      <c r="L14" s="5" t="s">
        <v>983</v>
      </c>
      <c r="M14" s="1">
        <v>0</v>
      </c>
      <c r="N14" s="5" t="s">
        <v>983</v>
      </c>
      <c r="O14" s="1">
        <v>0</v>
      </c>
      <c r="P14" s="5" t="s">
        <v>983</v>
      </c>
      <c r="Q14" s="1">
        <v>1</v>
      </c>
      <c r="R14" s="1">
        <v>0</v>
      </c>
      <c r="S14" s="1">
        <v>1</v>
      </c>
      <c r="T14" s="1">
        <v>4</v>
      </c>
      <c r="U14" s="1">
        <v>4</v>
      </c>
      <c r="V14" s="1">
        <v>34</v>
      </c>
      <c r="W14" s="1">
        <v>0</v>
      </c>
      <c r="X14" s="1">
        <v>14</v>
      </c>
      <c r="Y14" s="1">
        <v>24</v>
      </c>
      <c r="Z14" s="1">
        <v>450000</v>
      </c>
      <c r="AA14" s="1">
        <v>3</v>
      </c>
    </row>
    <row r="15" spans="1:27" ht="12.75" customHeight="1" x14ac:dyDescent="0.15">
      <c r="A15" s="5">
        <v>334</v>
      </c>
      <c r="B15" s="5" t="s">
        <v>984</v>
      </c>
      <c r="C15" s="1">
        <v>25</v>
      </c>
      <c r="D15" s="5" t="s">
        <v>981</v>
      </c>
      <c r="E15" s="1">
        <v>4</v>
      </c>
      <c r="F15" s="5" t="s">
        <v>982</v>
      </c>
      <c r="G15" s="1">
        <v>0</v>
      </c>
      <c r="H15" s="5" t="s">
        <v>983</v>
      </c>
      <c r="I15" s="1">
        <v>15</v>
      </c>
      <c r="J15" s="5" t="s">
        <v>981</v>
      </c>
      <c r="K15" s="1">
        <v>0</v>
      </c>
      <c r="L15" s="5" t="s">
        <v>983</v>
      </c>
      <c r="M15" s="1">
        <v>1</v>
      </c>
      <c r="N15" s="5" t="s">
        <v>983</v>
      </c>
      <c r="O15" s="1">
        <v>0</v>
      </c>
      <c r="P15" s="5" t="s">
        <v>983</v>
      </c>
      <c r="Q15" s="1">
        <v>1</v>
      </c>
      <c r="R15" s="1">
        <v>0</v>
      </c>
      <c r="S15" s="1">
        <v>1</v>
      </c>
      <c r="T15" s="1">
        <v>4</v>
      </c>
      <c r="U15" s="1">
        <v>4</v>
      </c>
      <c r="V15" s="1">
        <v>48</v>
      </c>
      <c r="W15" s="1">
        <v>0</v>
      </c>
      <c r="X15" s="1">
        <v>6</v>
      </c>
      <c r="Y15" s="1">
        <v>28</v>
      </c>
      <c r="Z15" s="1">
        <v>500000</v>
      </c>
      <c r="AA15" s="1">
        <v>2</v>
      </c>
    </row>
    <row r="16" spans="1:27" ht="12.75" customHeight="1" x14ac:dyDescent="0.15">
      <c r="A16" s="5">
        <v>222</v>
      </c>
      <c r="B16" s="5" t="s">
        <v>984</v>
      </c>
      <c r="C16" s="1">
        <v>26</v>
      </c>
      <c r="D16" s="5" t="s">
        <v>981</v>
      </c>
      <c r="E16" s="1">
        <v>5</v>
      </c>
      <c r="F16" s="5" t="s">
        <v>981</v>
      </c>
      <c r="G16" s="1">
        <v>0</v>
      </c>
      <c r="H16" s="5" t="s">
        <v>983</v>
      </c>
      <c r="I16" s="1">
        <v>16</v>
      </c>
      <c r="J16" s="5" t="s">
        <v>981</v>
      </c>
      <c r="K16" s="1">
        <v>0</v>
      </c>
      <c r="L16" s="5" t="s">
        <v>983</v>
      </c>
      <c r="M16" s="1">
        <v>0</v>
      </c>
      <c r="N16" s="5" t="s">
        <v>983</v>
      </c>
      <c r="O16" s="1">
        <v>3</v>
      </c>
      <c r="P16" s="5" t="s">
        <v>982</v>
      </c>
      <c r="Q16" s="1">
        <v>1</v>
      </c>
      <c r="R16" s="1">
        <v>0</v>
      </c>
      <c r="S16" s="1">
        <v>1</v>
      </c>
      <c r="T16" s="1">
        <v>3</v>
      </c>
      <c r="U16" s="1">
        <v>1</v>
      </c>
      <c r="V16" s="1"/>
      <c r="W16" s="1">
        <v>0</v>
      </c>
      <c r="X16" s="1"/>
      <c r="Y16" s="1">
        <v>1</v>
      </c>
      <c r="Z16" s="1">
        <v>0</v>
      </c>
      <c r="AA16" s="1">
        <v>1</v>
      </c>
    </row>
    <row r="17" spans="1:27" ht="12.75" customHeight="1" x14ac:dyDescent="0.15">
      <c r="A17" s="5">
        <v>311</v>
      </c>
      <c r="B17" s="5" t="s">
        <v>984</v>
      </c>
      <c r="C17" s="1">
        <v>12</v>
      </c>
      <c r="D17" s="5" t="s">
        <v>983</v>
      </c>
      <c r="E17" s="1">
        <v>0</v>
      </c>
      <c r="F17" s="5" t="s">
        <v>983</v>
      </c>
      <c r="G17" s="1">
        <v>1</v>
      </c>
      <c r="H17" s="5" t="s">
        <v>983</v>
      </c>
      <c r="I17" s="1">
        <v>15</v>
      </c>
      <c r="J17" s="5" t="s">
        <v>981</v>
      </c>
      <c r="K17" s="1">
        <v>0</v>
      </c>
      <c r="L17" s="5" t="s">
        <v>983</v>
      </c>
      <c r="M17" s="1">
        <v>0</v>
      </c>
      <c r="N17" s="5" t="s">
        <v>983</v>
      </c>
      <c r="O17" s="1">
        <v>0</v>
      </c>
      <c r="P17" s="5" t="s">
        <v>983</v>
      </c>
      <c r="Q17" s="1">
        <v>1</v>
      </c>
      <c r="R17" s="1">
        <v>0</v>
      </c>
      <c r="S17" s="1">
        <v>1</v>
      </c>
      <c r="T17" s="1" t="s">
        <v>194</v>
      </c>
      <c r="U17" s="1" t="s">
        <v>194</v>
      </c>
      <c r="V17" s="1">
        <v>45</v>
      </c>
      <c r="W17" s="1">
        <v>1</v>
      </c>
      <c r="X17" s="1">
        <v>1</v>
      </c>
      <c r="Y17" s="1">
        <v>31</v>
      </c>
      <c r="Z17" s="1">
        <v>300000</v>
      </c>
      <c r="AA17" s="1">
        <v>1</v>
      </c>
    </row>
    <row r="18" spans="1:27" ht="12.75" customHeight="1" x14ac:dyDescent="0.15">
      <c r="A18" s="5">
        <v>416</v>
      </c>
      <c r="B18" s="5" t="s">
        <v>984</v>
      </c>
      <c r="C18" s="1">
        <v>14</v>
      </c>
      <c r="D18" s="5" t="s">
        <v>983</v>
      </c>
      <c r="E18" s="1">
        <v>0</v>
      </c>
      <c r="F18" s="5" t="s">
        <v>983</v>
      </c>
      <c r="G18" s="1">
        <v>1</v>
      </c>
      <c r="H18" s="5" t="s">
        <v>983</v>
      </c>
      <c r="I18" s="1">
        <v>0</v>
      </c>
      <c r="J18" s="5" t="s">
        <v>983</v>
      </c>
      <c r="K18" s="1">
        <v>0</v>
      </c>
      <c r="L18" s="5" t="s">
        <v>983</v>
      </c>
      <c r="M18" s="1">
        <v>0</v>
      </c>
      <c r="N18" s="5" t="s">
        <v>983</v>
      </c>
      <c r="O18" s="1">
        <v>0</v>
      </c>
      <c r="P18" s="5" t="s">
        <v>983</v>
      </c>
      <c r="Q18" s="1">
        <v>1</v>
      </c>
      <c r="R18" s="1">
        <v>0</v>
      </c>
      <c r="S18" s="1">
        <v>1</v>
      </c>
      <c r="T18" s="1">
        <v>3</v>
      </c>
      <c r="U18" s="1">
        <v>2</v>
      </c>
      <c r="V18" s="1"/>
      <c r="W18" s="1">
        <v>0</v>
      </c>
      <c r="X18" s="1">
        <v>14</v>
      </c>
      <c r="Y18" s="1">
        <v>2</v>
      </c>
      <c r="Z18" s="1">
        <v>0</v>
      </c>
      <c r="AA18" s="1">
        <v>1</v>
      </c>
    </row>
    <row r="19" spans="1:27" ht="12.75" customHeight="1" x14ac:dyDescent="0.15">
      <c r="A19" s="5">
        <v>82</v>
      </c>
      <c r="B19" s="5" t="s">
        <v>984</v>
      </c>
      <c r="C19" s="1">
        <v>18</v>
      </c>
      <c r="D19" s="5" t="s">
        <v>983</v>
      </c>
      <c r="E19" s="1">
        <v>0</v>
      </c>
      <c r="F19" s="5" t="s">
        <v>983</v>
      </c>
      <c r="G19" s="1">
        <v>1</v>
      </c>
      <c r="H19" s="5" t="s">
        <v>983</v>
      </c>
      <c r="I19" s="1">
        <v>8</v>
      </c>
      <c r="J19" s="5" t="s">
        <v>981</v>
      </c>
      <c r="K19" s="1">
        <v>0</v>
      </c>
      <c r="L19" s="5" t="s">
        <v>983</v>
      </c>
      <c r="M19" s="1">
        <v>0</v>
      </c>
      <c r="N19" s="5" t="s">
        <v>983</v>
      </c>
      <c r="O19" s="1">
        <v>0</v>
      </c>
      <c r="P19" s="5" t="s">
        <v>983</v>
      </c>
      <c r="Q19" s="1">
        <v>0</v>
      </c>
      <c r="R19" s="1">
        <v>0</v>
      </c>
      <c r="S19" s="1" t="s">
        <v>194</v>
      </c>
      <c r="T19" s="1">
        <v>5</v>
      </c>
      <c r="U19" s="1">
        <v>2</v>
      </c>
      <c r="V19" s="1">
        <v>68</v>
      </c>
      <c r="W19" s="1">
        <v>0</v>
      </c>
      <c r="X19" s="1">
        <v>12</v>
      </c>
      <c r="Y19" s="1">
        <v>1</v>
      </c>
      <c r="Z19" s="1">
        <v>260000</v>
      </c>
      <c r="AA19" s="1">
        <v>2</v>
      </c>
    </row>
    <row r="20" spans="1:27" ht="12.75" customHeight="1" x14ac:dyDescent="0.15">
      <c r="A20" s="5">
        <v>499</v>
      </c>
      <c r="B20" s="5" t="s">
        <v>984</v>
      </c>
      <c r="C20" s="1">
        <v>20</v>
      </c>
      <c r="D20" s="5" t="s">
        <v>982</v>
      </c>
      <c r="E20" s="1">
        <v>2</v>
      </c>
      <c r="F20" s="5" t="s">
        <v>982</v>
      </c>
      <c r="G20" s="1">
        <v>1</v>
      </c>
      <c r="H20" s="5" t="s">
        <v>983</v>
      </c>
      <c r="I20" s="1">
        <v>10</v>
      </c>
      <c r="J20" s="5" t="s">
        <v>981</v>
      </c>
      <c r="K20" s="1">
        <v>0</v>
      </c>
      <c r="L20" s="5" t="s">
        <v>983</v>
      </c>
      <c r="M20" s="1">
        <v>3</v>
      </c>
      <c r="N20" s="5" t="s">
        <v>982</v>
      </c>
      <c r="O20" s="1">
        <v>1</v>
      </c>
      <c r="P20" s="5" t="s">
        <v>982</v>
      </c>
      <c r="Q20" s="1">
        <v>0</v>
      </c>
      <c r="R20" s="1">
        <v>1</v>
      </c>
      <c r="S20" s="1" t="s">
        <v>194</v>
      </c>
      <c r="T20" s="1">
        <v>1</v>
      </c>
      <c r="U20" s="1" t="s">
        <v>194</v>
      </c>
      <c r="V20" s="1">
        <v>55</v>
      </c>
      <c r="W20" s="1">
        <v>1</v>
      </c>
      <c r="X20" s="1">
        <v>14</v>
      </c>
      <c r="Y20" s="1">
        <v>24</v>
      </c>
      <c r="Z20" s="1">
        <v>600000</v>
      </c>
      <c r="AA20" s="1">
        <v>2</v>
      </c>
    </row>
    <row r="21" spans="1:27" ht="12.75" customHeight="1" x14ac:dyDescent="0.15">
      <c r="A21" s="5">
        <v>424</v>
      </c>
      <c r="B21" s="5" t="s">
        <v>984</v>
      </c>
      <c r="C21" s="1">
        <v>42</v>
      </c>
      <c r="D21" s="5" t="s">
        <v>981</v>
      </c>
      <c r="E21" s="1">
        <v>2</v>
      </c>
      <c r="F21" s="5" t="s">
        <v>982</v>
      </c>
      <c r="G21" s="1">
        <v>1</v>
      </c>
      <c r="H21" s="5" t="s">
        <v>983</v>
      </c>
      <c r="I21" s="1">
        <v>14</v>
      </c>
      <c r="J21" s="5" t="s">
        <v>981</v>
      </c>
      <c r="K21" s="1">
        <v>0</v>
      </c>
      <c r="L21" s="5" t="s">
        <v>983</v>
      </c>
      <c r="M21" s="1">
        <v>1</v>
      </c>
      <c r="N21" s="5" t="s">
        <v>983</v>
      </c>
      <c r="O21" s="1">
        <v>0</v>
      </c>
      <c r="P21" s="5" t="s">
        <v>983</v>
      </c>
      <c r="Q21" s="1">
        <v>1</v>
      </c>
      <c r="R21" s="1">
        <v>0</v>
      </c>
      <c r="S21" s="1">
        <v>1</v>
      </c>
      <c r="T21" s="1">
        <v>5</v>
      </c>
      <c r="U21" s="1">
        <v>5</v>
      </c>
      <c r="V21" s="1">
        <v>38</v>
      </c>
      <c r="W21" s="1">
        <v>1</v>
      </c>
      <c r="X21" s="1">
        <v>14</v>
      </c>
      <c r="Y21" s="1">
        <v>2</v>
      </c>
      <c r="Z21" s="1">
        <v>400000</v>
      </c>
      <c r="AA21" s="1">
        <v>4</v>
      </c>
    </row>
    <row r="22" spans="1:27" ht="12.75" customHeight="1" x14ac:dyDescent="0.15">
      <c r="A22" s="5">
        <v>469</v>
      </c>
      <c r="B22" s="5" t="s">
        <v>984</v>
      </c>
      <c r="C22" s="1">
        <v>30</v>
      </c>
      <c r="D22" s="5" t="s">
        <v>981</v>
      </c>
      <c r="E22" s="1">
        <v>3</v>
      </c>
      <c r="F22" s="5" t="s">
        <v>982</v>
      </c>
      <c r="G22" s="1">
        <v>1</v>
      </c>
      <c r="H22" s="5" t="s">
        <v>983</v>
      </c>
      <c r="I22" s="1">
        <v>16</v>
      </c>
      <c r="J22" s="5" t="s">
        <v>981</v>
      </c>
      <c r="K22" s="1">
        <v>0</v>
      </c>
      <c r="L22" s="5" t="s">
        <v>983</v>
      </c>
      <c r="M22" s="1">
        <v>0</v>
      </c>
      <c r="N22" s="5" t="s">
        <v>983</v>
      </c>
      <c r="O22" s="1">
        <v>0</v>
      </c>
      <c r="P22" s="5" t="s">
        <v>983</v>
      </c>
      <c r="Q22" s="1">
        <v>1</v>
      </c>
      <c r="R22" s="1">
        <v>0</v>
      </c>
      <c r="S22" s="1">
        <v>1</v>
      </c>
      <c r="T22" s="1">
        <v>4</v>
      </c>
      <c r="U22" s="1">
        <v>3</v>
      </c>
      <c r="V22" s="1"/>
      <c r="W22" s="1">
        <v>0</v>
      </c>
      <c r="Y22" s="1">
        <v>1</v>
      </c>
      <c r="AA22" s="1">
        <v>1</v>
      </c>
    </row>
    <row r="23" spans="1:27" ht="12.75" customHeight="1" x14ac:dyDescent="0.15">
      <c r="A23" s="5">
        <v>272</v>
      </c>
      <c r="B23" s="5" t="s">
        <v>984</v>
      </c>
      <c r="C23" s="1">
        <v>23</v>
      </c>
      <c r="D23" s="5" t="s">
        <v>982</v>
      </c>
      <c r="E23" s="1">
        <v>5</v>
      </c>
      <c r="F23" s="5" t="s">
        <v>981</v>
      </c>
      <c r="G23" s="1">
        <v>1</v>
      </c>
      <c r="H23" s="5" t="s">
        <v>983</v>
      </c>
      <c r="I23" s="1">
        <v>8</v>
      </c>
      <c r="J23" s="5" t="s">
        <v>981</v>
      </c>
      <c r="K23" s="1">
        <v>0</v>
      </c>
      <c r="L23" s="5" t="s">
        <v>983</v>
      </c>
      <c r="M23" s="1">
        <v>0</v>
      </c>
      <c r="N23" s="5" t="s">
        <v>983</v>
      </c>
      <c r="O23" s="1">
        <v>0</v>
      </c>
      <c r="P23" s="5" t="s">
        <v>983</v>
      </c>
      <c r="Q23" s="1">
        <v>0</v>
      </c>
      <c r="R23" s="1">
        <v>0</v>
      </c>
      <c r="S23" s="1" t="s">
        <v>194</v>
      </c>
      <c r="T23" s="1">
        <v>5</v>
      </c>
      <c r="U23" s="1">
        <v>4</v>
      </c>
      <c r="V23" s="1">
        <v>35</v>
      </c>
      <c r="W23" s="1">
        <v>0</v>
      </c>
      <c r="X23" s="1">
        <v>3</v>
      </c>
      <c r="Y23" s="1">
        <v>34</v>
      </c>
      <c r="Z23" s="1">
        <v>53000</v>
      </c>
      <c r="AA23" s="1">
        <v>2</v>
      </c>
    </row>
    <row r="24" spans="1:27" ht="12.75" customHeight="1" x14ac:dyDescent="0.15">
      <c r="A24" s="5">
        <v>194</v>
      </c>
      <c r="B24" s="5" t="s">
        <v>984</v>
      </c>
      <c r="C24" s="1">
        <v>23</v>
      </c>
      <c r="D24" s="5" t="s">
        <v>982</v>
      </c>
      <c r="E24" s="1">
        <v>0</v>
      </c>
      <c r="F24" s="5" t="s">
        <v>983</v>
      </c>
      <c r="G24" s="1">
        <v>2</v>
      </c>
      <c r="H24" s="5" t="s">
        <v>982</v>
      </c>
      <c r="I24" s="1">
        <v>0</v>
      </c>
      <c r="J24" s="5" t="s">
        <v>983</v>
      </c>
      <c r="K24" s="1">
        <v>0</v>
      </c>
      <c r="L24" s="5" t="s">
        <v>983</v>
      </c>
      <c r="M24" s="1">
        <v>0</v>
      </c>
      <c r="N24" s="5" t="s">
        <v>983</v>
      </c>
      <c r="O24" s="1">
        <v>0</v>
      </c>
      <c r="P24" s="5" t="s">
        <v>983</v>
      </c>
      <c r="Q24" s="1">
        <v>1</v>
      </c>
      <c r="R24" s="1">
        <v>0</v>
      </c>
      <c r="S24" s="1" t="s">
        <v>194</v>
      </c>
      <c r="T24" s="1" t="s">
        <v>194</v>
      </c>
      <c r="U24" s="1">
        <v>2</v>
      </c>
      <c r="V24" s="1">
        <v>39</v>
      </c>
      <c r="W24" s="1">
        <v>1</v>
      </c>
      <c r="X24" s="1">
        <v>14</v>
      </c>
      <c r="Y24" s="1">
        <v>34</v>
      </c>
      <c r="Z24" s="1">
        <v>450000</v>
      </c>
      <c r="AA24" s="1">
        <v>2</v>
      </c>
    </row>
    <row r="25" spans="1:27" ht="12.75" customHeight="1" x14ac:dyDescent="0.15">
      <c r="A25" s="5">
        <v>220</v>
      </c>
      <c r="B25" s="5" t="s">
        <v>984</v>
      </c>
      <c r="C25" s="1">
        <v>22</v>
      </c>
      <c r="D25" s="5" t="s">
        <v>982</v>
      </c>
      <c r="E25" s="1">
        <v>5</v>
      </c>
      <c r="F25" s="5" t="s">
        <v>981</v>
      </c>
      <c r="G25" s="1">
        <v>2</v>
      </c>
      <c r="H25" s="5" t="s">
        <v>982</v>
      </c>
      <c r="I25" s="1">
        <v>8</v>
      </c>
      <c r="J25" s="5" t="s">
        <v>981</v>
      </c>
      <c r="K25" s="1">
        <v>0</v>
      </c>
      <c r="L25" s="5" t="s">
        <v>983</v>
      </c>
      <c r="M25" s="1">
        <v>4</v>
      </c>
      <c r="N25" s="5" t="s">
        <v>982</v>
      </c>
      <c r="O25" s="1">
        <v>0</v>
      </c>
      <c r="P25" s="5" t="s">
        <v>983</v>
      </c>
      <c r="Q25" s="1">
        <v>0</v>
      </c>
      <c r="R25" s="1">
        <v>0</v>
      </c>
      <c r="S25" s="1" t="s">
        <v>194</v>
      </c>
      <c r="T25" s="1">
        <v>3</v>
      </c>
      <c r="U25" s="1">
        <v>2</v>
      </c>
      <c r="V25" s="1">
        <v>47</v>
      </c>
      <c r="W25" s="1">
        <v>1</v>
      </c>
      <c r="X25" s="1">
        <v>6</v>
      </c>
      <c r="Y25" s="1">
        <v>29</v>
      </c>
      <c r="Z25" s="1">
        <v>200000</v>
      </c>
      <c r="AA25" s="1">
        <v>2</v>
      </c>
    </row>
    <row r="26" spans="1:27" ht="12.75" customHeight="1" x14ac:dyDescent="0.15">
      <c r="A26" s="5">
        <v>387</v>
      </c>
      <c r="B26" s="5" t="s">
        <v>984</v>
      </c>
      <c r="C26" s="1">
        <v>15</v>
      </c>
      <c r="D26" s="5" t="s">
        <v>983</v>
      </c>
      <c r="E26" s="1">
        <v>8</v>
      </c>
      <c r="F26" s="5" t="s">
        <v>981</v>
      </c>
      <c r="G26" s="1">
        <v>2</v>
      </c>
      <c r="H26" s="5" t="s">
        <v>982</v>
      </c>
      <c r="I26" s="1">
        <v>4</v>
      </c>
      <c r="J26" s="5" t="s">
        <v>982</v>
      </c>
      <c r="K26" s="1">
        <v>0</v>
      </c>
      <c r="L26" s="5" t="s">
        <v>983</v>
      </c>
      <c r="M26" s="1">
        <v>6</v>
      </c>
      <c r="N26" s="5" t="s">
        <v>981</v>
      </c>
      <c r="O26" s="1">
        <v>0</v>
      </c>
      <c r="P26" s="5" t="s">
        <v>983</v>
      </c>
      <c r="Q26" s="1">
        <v>1</v>
      </c>
      <c r="R26" s="1">
        <v>0</v>
      </c>
      <c r="S26" s="1">
        <v>1</v>
      </c>
      <c r="T26" s="1" t="s">
        <v>194</v>
      </c>
      <c r="U26" s="1" t="s">
        <v>194</v>
      </c>
      <c r="V26" s="1">
        <v>41</v>
      </c>
      <c r="W26" s="1">
        <v>1</v>
      </c>
      <c r="X26" s="1">
        <v>2</v>
      </c>
      <c r="Y26" s="1">
        <v>9</v>
      </c>
      <c r="Z26" s="1">
        <v>650000</v>
      </c>
      <c r="AA26" s="1">
        <v>4</v>
      </c>
    </row>
    <row r="27" spans="1:27" ht="12.75" customHeight="1" x14ac:dyDescent="0.15">
      <c r="A27" s="5">
        <v>233</v>
      </c>
      <c r="B27" s="5" t="s">
        <v>984</v>
      </c>
      <c r="C27" s="1">
        <v>23</v>
      </c>
      <c r="D27" s="5" t="s">
        <v>982</v>
      </c>
      <c r="E27" s="1">
        <v>0</v>
      </c>
      <c r="F27" s="5" t="s">
        <v>983</v>
      </c>
      <c r="G27" s="1">
        <v>3</v>
      </c>
      <c r="H27" s="5" t="s">
        <v>982</v>
      </c>
      <c r="I27" s="1">
        <v>9</v>
      </c>
      <c r="J27" s="5" t="s">
        <v>981</v>
      </c>
      <c r="K27" s="1">
        <v>0</v>
      </c>
      <c r="L27" s="5" t="s">
        <v>983</v>
      </c>
      <c r="M27" s="1">
        <v>0</v>
      </c>
      <c r="N27" s="5" t="s">
        <v>983</v>
      </c>
      <c r="O27" s="1">
        <v>0</v>
      </c>
      <c r="P27" s="5" t="s">
        <v>983</v>
      </c>
      <c r="Q27" s="1">
        <v>0</v>
      </c>
      <c r="R27" s="1">
        <v>1</v>
      </c>
      <c r="S27" s="1" t="s">
        <v>194</v>
      </c>
      <c r="T27" s="1" t="s">
        <v>194</v>
      </c>
      <c r="U27" s="1">
        <v>3</v>
      </c>
      <c r="V27" s="1">
        <v>43</v>
      </c>
      <c r="W27" s="1">
        <v>0</v>
      </c>
      <c r="X27" s="1">
        <v>13</v>
      </c>
      <c r="Y27" s="1">
        <v>2</v>
      </c>
      <c r="Z27" s="1">
        <v>200000</v>
      </c>
      <c r="AA27" s="1">
        <v>3</v>
      </c>
    </row>
    <row r="28" spans="1:27" ht="12.75" customHeight="1" x14ac:dyDescent="0.15">
      <c r="A28" s="5">
        <v>271</v>
      </c>
      <c r="B28" s="5" t="s">
        <v>984</v>
      </c>
      <c r="C28" s="1">
        <v>18</v>
      </c>
      <c r="D28" s="5" t="s">
        <v>983</v>
      </c>
      <c r="E28" s="1">
        <v>1</v>
      </c>
      <c r="F28" s="5" t="s">
        <v>983</v>
      </c>
      <c r="G28" s="1">
        <v>3</v>
      </c>
      <c r="H28" s="5" t="s">
        <v>982</v>
      </c>
      <c r="I28" s="1">
        <v>16</v>
      </c>
      <c r="J28" s="5" t="s">
        <v>981</v>
      </c>
      <c r="K28" s="1">
        <v>0</v>
      </c>
      <c r="L28" s="5" t="s">
        <v>983</v>
      </c>
      <c r="M28" s="1">
        <v>0</v>
      </c>
      <c r="N28" s="5" t="s">
        <v>983</v>
      </c>
      <c r="O28" s="1">
        <v>0</v>
      </c>
      <c r="P28" s="5" t="s">
        <v>983</v>
      </c>
      <c r="Q28" s="1">
        <v>1</v>
      </c>
      <c r="R28" s="1">
        <v>0</v>
      </c>
      <c r="S28" s="1">
        <v>1</v>
      </c>
      <c r="T28" s="1">
        <v>1</v>
      </c>
      <c r="U28" s="1">
        <v>1</v>
      </c>
      <c r="V28" s="1">
        <v>47</v>
      </c>
      <c r="W28" s="1">
        <v>0</v>
      </c>
      <c r="X28" s="1">
        <v>15</v>
      </c>
      <c r="Y28" s="1">
        <v>31</v>
      </c>
      <c r="Z28" s="1">
        <v>0</v>
      </c>
      <c r="AA28" s="1">
        <v>3</v>
      </c>
    </row>
    <row r="29" spans="1:27" ht="12.75" customHeight="1" x14ac:dyDescent="0.15">
      <c r="A29" s="5">
        <v>243</v>
      </c>
      <c r="B29" s="5" t="s">
        <v>984</v>
      </c>
      <c r="C29" s="1">
        <v>18</v>
      </c>
      <c r="D29" s="5" t="s">
        <v>983</v>
      </c>
      <c r="E29" s="1">
        <v>1</v>
      </c>
      <c r="F29" s="5" t="s">
        <v>983</v>
      </c>
      <c r="G29" s="1">
        <v>3</v>
      </c>
      <c r="H29" s="5" t="s">
        <v>982</v>
      </c>
      <c r="I29" s="1">
        <v>3</v>
      </c>
      <c r="J29" s="5" t="s">
        <v>982</v>
      </c>
      <c r="K29" s="1">
        <v>0</v>
      </c>
      <c r="L29" s="5" t="s">
        <v>983</v>
      </c>
      <c r="M29" s="1">
        <v>0</v>
      </c>
      <c r="N29" s="5" t="s">
        <v>983</v>
      </c>
      <c r="O29" s="1">
        <v>0</v>
      </c>
      <c r="P29" s="5" t="s">
        <v>983</v>
      </c>
      <c r="Q29" s="1">
        <v>1</v>
      </c>
      <c r="R29" s="1">
        <v>0</v>
      </c>
      <c r="S29" s="1">
        <v>1</v>
      </c>
      <c r="T29" s="1">
        <v>3</v>
      </c>
      <c r="U29" s="1">
        <v>1</v>
      </c>
      <c r="V29" s="1"/>
      <c r="W29" s="1">
        <v>0</v>
      </c>
      <c r="Y29" s="1">
        <v>7</v>
      </c>
      <c r="AA29" s="1">
        <v>5</v>
      </c>
    </row>
    <row r="30" spans="1:27" ht="12.75" customHeight="1" x14ac:dyDescent="0.15">
      <c r="A30" s="5">
        <v>236</v>
      </c>
      <c r="B30" s="5" t="s">
        <v>984</v>
      </c>
      <c r="C30" s="1">
        <v>24</v>
      </c>
      <c r="D30" s="5" t="s">
        <v>981</v>
      </c>
      <c r="E30" s="1">
        <v>1</v>
      </c>
      <c r="F30" s="5" t="s">
        <v>983</v>
      </c>
      <c r="G30" s="1">
        <v>3</v>
      </c>
      <c r="H30" s="5" t="s">
        <v>982</v>
      </c>
      <c r="I30" s="1">
        <v>3</v>
      </c>
      <c r="J30" s="5" t="s">
        <v>982</v>
      </c>
      <c r="K30" s="1">
        <v>0</v>
      </c>
      <c r="L30" s="5" t="s">
        <v>983</v>
      </c>
      <c r="M30" s="1">
        <v>0</v>
      </c>
      <c r="N30" s="5" t="s">
        <v>983</v>
      </c>
      <c r="O30" s="1">
        <v>5</v>
      </c>
      <c r="P30" s="5" t="s">
        <v>982</v>
      </c>
      <c r="Q30" s="1">
        <v>0</v>
      </c>
      <c r="R30" s="1">
        <v>0</v>
      </c>
      <c r="S30" s="1" t="s">
        <v>194</v>
      </c>
      <c r="T30" s="1">
        <v>3</v>
      </c>
      <c r="U30" s="1">
        <v>3</v>
      </c>
      <c r="V30" s="1">
        <v>36</v>
      </c>
      <c r="W30" s="1">
        <v>1</v>
      </c>
      <c r="X30" s="1">
        <v>2</v>
      </c>
      <c r="Y30" s="1">
        <v>17</v>
      </c>
      <c r="Z30" s="1">
        <v>440000</v>
      </c>
      <c r="AA30" s="1">
        <v>2</v>
      </c>
    </row>
    <row r="31" spans="1:27" ht="12.75" customHeight="1" x14ac:dyDescent="0.15">
      <c r="A31" s="5">
        <v>300</v>
      </c>
      <c r="B31" s="5" t="s">
        <v>984</v>
      </c>
      <c r="C31" s="1">
        <v>34</v>
      </c>
      <c r="D31" s="5" t="s">
        <v>981</v>
      </c>
      <c r="E31" s="1">
        <v>0</v>
      </c>
      <c r="F31" s="5" t="s">
        <v>983</v>
      </c>
      <c r="G31" s="1">
        <v>4</v>
      </c>
      <c r="H31" s="5" t="s">
        <v>982</v>
      </c>
      <c r="I31" s="1">
        <v>16</v>
      </c>
      <c r="J31" s="5" t="s">
        <v>981</v>
      </c>
      <c r="K31" s="1">
        <v>0</v>
      </c>
      <c r="L31" s="5" t="s">
        <v>983</v>
      </c>
      <c r="M31" s="1">
        <v>0</v>
      </c>
      <c r="N31" s="5" t="s">
        <v>983</v>
      </c>
      <c r="O31" s="1">
        <v>0</v>
      </c>
      <c r="P31" s="5" t="s">
        <v>983</v>
      </c>
      <c r="Q31" s="1">
        <v>0</v>
      </c>
      <c r="R31" s="1">
        <v>0</v>
      </c>
      <c r="S31" s="1" t="s">
        <v>194</v>
      </c>
      <c r="T31" s="1" t="s">
        <v>194</v>
      </c>
      <c r="U31" s="1">
        <v>2</v>
      </c>
      <c r="V31" s="1"/>
      <c r="W31" s="1">
        <v>0</v>
      </c>
      <c r="Y31" s="1">
        <v>13</v>
      </c>
      <c r="AA31" s="1">
        <v>2</v>
      </c>
    </row>
    <row r="32" spans="1:27" ht="12.75" customHeight="1" x14ac:dyDescent="0.15">
      <c r="A32" s="5">
        <v>111</v>
      </c>
      <c r="B32" s="5" t="s">
        <v>984</v>
      </c>
      <c r="C32" s="1">
        <v>21</v>
      </c>
      <c r="D32" s="5" t="s">
        <v>982</v>
      </c>
      <c r="E32" s="1">
        <v>2</v>
      </c>
      <c r="F32" s="5" t="s">
        <v>982</v>
      </c>
      <c r="G32" s="1">
        <v>4</v>
      </c>
      <c r="H32" s="5" t="s">
        <v>982</v>
      </c>
      <c r="I32" s="1">
        <v>9</v>
      </c>
      <c r="J32" s="5" t="s">
        <v>981</v>
      </c>
      <c r="K32" s="1">
        <v>0</v>
      </c>
      <c r="L32" s="5" t="s">
        <v>983</v>
      </c>
      <c r="M32" s="1">
        <v>2</v>
      </c>
      <c r="N32" s="5" t="s">
        <v>983</v>
      </c>
      <c r="O32" s="1">
        <v>1</v>
      </c>
      <c r="P32" s="5" t="s">
        <v>982</v>
      </c>
      <c r="Q32" s="1">
        <v>1</v>
      </c>
      <c r="R32" s="1">
        <v>0</v>
      </c>
      <c r="S32" s="1" t="s">
        <v>194</v>
      </c>
      <c r="T32" s="1" t="s">
        <v>194</v>
      </c>
      <c r="U32" s="1" t="s">
        <v>194</v>
      </c>
      <c r="V32" s="1">
        <v>37</v>
      </c>
      <c r="W32" s="1">
        <v>1</v>
      </c>
      <c r="X32" s="1">
        <v>18</v>
      </c>
      <c r="Y32" s="1">
        <v>2</v>
      </c>
      <c r="Z32" s="1">
        <v>700000</v>
      </c>
      <c r="AA32" s="1">
        <v>5</v>
      </c>
    </row>
    <row r="33" spans="1:27" ht="12.75" customHeight="1" x14ac:dyDescent="0.15">
      <c r="A33" s="5">
        <v>390</v>
      </c>
      <c r="B33" s="5" t="s">
        <v>984</v>
      </c>
      <c r="C33" s="1">
        <v>30</v>
      </c>
      <c r="D33" s="5" t="s">
        <v>981</v>
      </c>
      <c r="E33" s="1">
        <v>3</v>
      </c>
      <c r="F33" s="5" t="s">
        <v>982</v>
      </c>
      <c r="G33" s="1">
        <v>4</v>
      </c>
      <c r="H33" s="5" t="s">
        <v>982</v>
      </c>
      <c r="I33" s="1">
        <v>7</v>
      </c>
      <c r="J33" s="5" t="s">
        <v>981</v>
      </c>
      <c r="K33" s="1">
        <v>0</v>
      </c>
      <c r="L33" s="5" t="s">
        <v>983</v>
      </c>
      <c r="M33" s="1">
        <v>0</v>
      </c>
      <c r="N33" s="5" t="s">
        <v>983</v>
      </c>
      <c r="O33" s="1">
        <v>2</v>
      </c>
      <c r="P33" s="5" t="s">
        <v>982</v>
      </c>
      <c r="Q33" s="1">
        <v>0</v>
      </c>
      <c r="R33" s="1">
        <v>0</v>
      </c>
      <c r="S33" s="1" t="s">
        <v>194</v>
      </c>
      <c r="T33" s="1">
        <v>4</v>
      </c>
      <c r="U33" s="1">
        <v>3</v>
      </c>
      <c r="V33" s="1">
        <v>47</v>
      </c>
      <c r="W33" s="1">
        <v>0</v>
      </c>
      <c r="X33" s="1">
        <v>5</v>
      </c>
      <c r="Y33" s="1">
        <v>1</v>
      </c>
      <c r="Z33" s="1">
        <v>200000</v>
      </c>
      <c r="AA33" s="1">
        <v>4</v>
      </c>
    </row>
    <row r="34" spans="1:27" ht="12.75" customHeight="1" x14ac:dyDescent="0.15">
      <c r="A34" s="5">
        <v>415</v>
      </c>
      <c r="B34" s="5" t="s">
        <v>984</v>
      </c>
      <c r="C34" s="1">
        <v>18</v>
      </c>
      <c r="D34" s="5" t="s">
        <v>983</v>
      </c>
      <c r="E34" s="1">
        <v>0</v>
      </c>
      <c r="F34" s="5" t="s">
        <v>983</v>
      </c>
      <c r="G34" s="1">
        <v>5</v>
      </c>
      <c r="H34" s="5" t="s">
        <v>982</v>
      </c>
      <c r="I34" s="1">
        <v>0</v>
      </c>
      <c r="J34" s="5" t="s">
        <v>983</v>
      </c>
      <c r="K34" s="1">
        <v>0</v>
      </c>
      <c r="L34" s="5" t="s">
        <v>983</v>
      </c>
      <c r="M34" s="1">
        <v>0</v>
      </c>
      <c r="N34" s="5" t="s">
        <v>983</v>
      </c>
      <c r="O34" s="1">
        <v>0</v>
      </c>
      <c r="P34" s="5" t="s">
        <v>983</v>
      </c>
      <c r="Q34" s="1">
        <v>0</v>
      </c>
      <c r="R34" s="1">
        <v>0</v>
      </c>
      <c r="S34" s="1" t="s">
        <v>194</v>
      </c>
      <c r="T34" s="1">
        <v>3</v>
      </c>
      <c r="U34" s="1">
        <v>3</v>
      </c>
      <c r="V34" s="1">
        <v>44</v>
      </c>
      <c r="W34" s="1">
        <v>0</v>
      </c>
      <c r="X34" s="1">
        <v>8</v>
      </c>
      <c r="Y34" s="1">
        <v>28</v>
      </c>
      <c r="Z34" s="1">
        <v>0</v>
      </c>
      <c r="AA34" s="1">
        <v>2</v>
      </c>
    </row>
    <row r="35" spans="1:27" ht="12.75" customHeight="1" x14ac:dyDescent="0.15">
      <c r="A35" s="5">
        <v>362</v>
      </c>
      <c r="B35" s="5" t="s">
        <v>984</v>
      </c>
      <c r="C35" s="1">
        <v>41</v>
      </c>
      <c r="D35" s="5" t="s">
        <v>981</v>
      </c>
      <c r="E35" s="1">
        <v>2</v>
      </c>
      <c r="F35" s="5" t="s">
        <v>982</v>
      </c>
      <c r="G35" s="1">
        <v>5</v>
      </c>
      <c r="H35" s="5" t="s">
        <v>982</v>
      </c>
      <c r="I35" s="1">
        <v>6</v>
      </c>
      <c r="J35" s="5" t="s">
        <v>981</v>
      </c>
      <c r="K35" s="1">
        <v>0</v>
      </c>
      <c r="L35" s="5" t="s">
        <v>983</v>
      </c>
      <c r="M35" s="1">
        <v>3</v>
      </c>
      <c r="N35" s="5" t="s">
        <v>982</v>
      </c>
      <c r="O35" s="1">
        <v>1</v>
      </c>
      <c r="P35" s="5" t="s">
        <v>982</v>
      </c>
      <c r="Q35" s="1">
        <v>1</v>
      </c>
      <c r="R35" s="1">
        <v>0</v>
      </c>
      <c r="S35" s="1">
        <v>1</v>
      </c>
      <c r="T35" s="1" t="s">
        <v>194</v>
      </c>
      <c r="U35" s="1">
        <v>3</v>
      </c>
      <c r="V35" s="1">
        <v>54</v>
      </c>
      <c r="W35" s="1">
        <v>0</v>
      </c>
      <c r="X35" s="1">
        <v>2</v>
      </c>
      <c r="Y35" s="1">
        <v>3</v>
      </c>
      <c r="Z35" s="1">
        <v>250000</v>
      </c>
      <c r="AA35" s="1">
        <v>2</v>
      </c>
    </row>
    <row r="36" spans="1:27" ht="12.75" customHeight="1" x14ac:dyDescent="0.15">
      <c r="A36" s="5">
        <v>500</v>
      </c>
      <c r="B36" s="5" t="s">
        <v>984</v>
      </c>
      <c r="C36" s="1">
        <v>15</v>
      </c>
      <c r="D36" s="5" t="s">
        <v>983</v>
      </c>
      <c r="E36" s="1">
        <v>3</v>
      </c>
      <c r="F36" s="5" t="s">
        <v>982</v>
      </c>
      <c r="G36" s="1">
        <v>5</v>
      </c>
      <c r="H36" s="5" t="s">
        <v>982</v>
      </c>
      <c r="I36" s="1">
        <v>1</v>
      </c>
      <c r="J36" s="5" t="s">
        <v>982</v>
      </c>
      <c r="K36" s="1">
        <v>0</v>
      </c>
      <c r="L36" s="5" t="s">
        <v>983</v>
      </c>
      <c r="M36" s="1">
        <v>2</v>
      </c>
      <c r="N36" s="5" t="s">
        <v>983</v>
      </c>
      <c r="O36" s="1">
        <v>5</v>
      </c>
      <c r="P36" s="5" t="s">
        <v>982</v>
      </c>
      <c r="Q36" s="1">
        <v>0</v>
      </c>
      <c r="R36" s="1">
        <v>0</v>
      </c>
      <c r="S36" s="1">
        <v>1</v>
      </c>
      <c r="T36" s="1">
        <v>3</v>
      </c>
      <c r="U36" s="1">
        <v>2</v>
      </c>
      <c r="V36" s="1"/>
      <c r="W36" s="1">
        <v>0</v>
      </c>
      <c r="Y36" s="1">
        <v>6</v>
      </c>
      <c r="AA36" s="1">
        <v>1</v>
      </c>
    </row>
    <row r="37" spans="1:27" ht="12.75" customHeight="1" x14ac:dyDescent="0.15">
      <c r="A37" s="5">
        <v>174</v>
      </c>
      <c r="B37" s="5" t="s">
        <v>984</v>
      </c>
      <c r="C37" s="1">
        <v>21</v>
      </c>
      <c r="D37" s="5" t="s">
        <v>982</v>
      </c>
      <c r="E37" s="1">
        <v>4</v>
      </c>
      <c r="F37" s="5" t="s">
        <v>982</v>
      </c>
      <c r="G37" s="1">
        <v>5</v>
      </c>
      <c r="H37" s="5" t="s">
        <v>982</v>
      </c>
      <c r="I37" s="1">
        <v>3</v>
      </c>
      <c r="J37" s="5" t="s">
        <v>982</v>
      </c>
      <c r="K37" s="1">
        <v>0</v>
      </c>
      <c r="L37" s="5" t="s">
        <v>983</v>
      </c>
      <c r="M37" s="1">
        <v>6</v>
      </c>
      <c r="N37" s="5" t="s">
        <v>981</v>
      </c>
      <c r="O37" s="1">
        <v>0</v>
      </c>
      <c r="P37" s="5" t="s">
        <v>983</v>
      </c>
      <c r="Q37" s="1">
        <v>1</v>
      </c>
      <c r="R37" s="1">
        <v>0</v>
      </c>
      <c r="S37" s="1">
        <v>1</v>
      </c>
      <c r="T37" s="1">
        <v>5</v>
      </c>
      <c r="U37" s="1">
        <v>4</v>
      </c>
      <c r="V37" s="1">
        <v>29</v>
      </c>
      <c r="W37" s="1">
        <v>0</v>
      </c>
      <c r="X37" s="1">
        <v>4</v>
      </c>
      <c r="Y37" s="1">
        <v>2</v>
      </c>
      <c r="Z37" s="1">
        <v>50000</v>
      </c>
      <c r="AA37" s="1">
        <v>3</v>
      </c>
    </row>
    <row r="38" spans="1:27" ht="12.75" customHeight="1" x14ac:dyDescent="0.15">
      <c r="A38" s="5">
        <v>333</v>
      </c>
      <c r="B38" s="5" t="s">
        <v>984</v>
      </c>
      <c r="C38" s="1">
        <v>38</v>
      </c>
      <c r="D38" s="5" t="s">
        <v>981</v>
      </c>
      <c r="E38" s="1">
        <v>4</v>
      </c>
      <c r="F38" s="5" t="s">
        <v>982</v>
      </c>
      <c r="G38" s="1">
        <v>5</v>
      </c>
      <c r="H38" s="5" t="s">
        <v>982</v>
      </c>
      <c r="I38" s="1">
        <v>0</v>
      </c>
      <c r="J38" s="5" t="s">
        <v>983</v>
      </c>
      <c r="K38" s="1">
        <v>0</v>
      </c>
      <c r="L38" s="5" t="s">
        <v>983</v>
      </c>
      <c r="M38" s="1">
        <v>3</v>
      </c>
      <c r="N38" s="5" t="s">
        <v>982</v>
      </c>
      <c r="O38" s="1">
        <v>1</v>
      </c>
      <c r="P38" s="5" t="s">
        <v>982</v>
      </c>
      <c r="Q38" s="1">
        <v>0</v>
      </c>
      <c r="R38" s="1">
        <v>0</v>
      </c>
      <c r="S38" s="1" t="s">
        <v>194</v>
      </c>
      <c r="T38" s="1">
        <v>3</v>
      </c>
      <c r="U38" s="1">
        <v>5</v>
      </c>
      <c r="V38" s="1">
        <v>48</v>
      </c>
      <c r="W38" s="1">
        <v>0</v>
      </c>
      <c r="X38" s="1">
        <v>6</v>
      </c>
      <c r="Y38" s="1">
        <v>28</v>
      </c>
      <c r="Z38" s="1">
        <v>500000</v>
      </c>
      <c r="AA38" s="1">
        <v>2</v>
      </c>
    </row>
    <row r="39" spans="1:27" ht="12.75" customHeight="1" x14ac:dyDescent="0.15">
      <c r="A39" s="5">
        <v>116</v>
      </c>
      <c r="B39" s="5" t="s">
        <v>984</v>
      </c>
      <c r="C39" s="1">
        <v>23</v>
      </c>
      <c r="D39" s="5" t="s">
        <v>982</v>
      </c>
      <c r="E39" s="1">
        <v>0</v>
      </c>
      <c r="F39" s="5" t="s">
        <v>983</v>
      </c>
      <c r="G39" s="1">
        <v>6</v>
      </c>
      <c r="H39" s="5" t="s">
        <v>981</v>
      </c>
      <c r="I39" s="1">
        <v>0</v>
      </c>
      <c r="J39" s="5" t="s">
        <v>983</v>
      </c>
      <c r="K39" s="1">
        <v>0</v>
      </c>
      <c r="L39" s="5" t="s">
        <v>983</v>
      </c>
      <c r="M39" s="1">
        <v>2</v>
      </c>
      <c r="N39" s="5" t="s">
        <v>983</v>
      </c>
      <c r="O39" s="1">
        <v>0</v>
      </c>
      <c r="P39" s="5" t="s">
        <v>983</v>
      </c>
      <c r="Q39" s="1">
        <v>0</v>
      </c>
      <c r="R39" s="1">
        <v>0</v>
      </c>
      <c r="S39" s="1" t="s">
        <v>194</v>
      </c>
      <c r="T39" s="1" t="s">
        <v>194</v>
      </c>
      <c r="U39" s="1">
        <v>2</v>
      </c>
      <c r="V39" s="1">
        <v>47</v>
      </c>
      <c r="W39" s="1">
        <v>1</v>
      </c>
      <c r="X39" s="1">
        <v>11</v>
      </c>
      <c r="Y39" s="1">
        <v>24</v>
      </c>
      <c r="Z39" s="1">
        <v>600000</v>
      </c>
      <c r="AA39" s="1">
        <v>1</v>
      </c>
    </row>
    <row r="40" spans="1:27" ht="12.75" customHeight="1" x14ac:dyDescent="0.15">
      <c r="A40" s="5">
        <v>16</v>
      </c>
      <c r="B40" s="5" t="s">
        <v>984</v>
      </c>
      <c r="C40" s="1">
        <v>19</v>
      </c>
      <c r="D40" s="5" t="s">
        <v>982</v>
      </c>
      <c r="E40" s="1">
        <v>0</v>
      </c>
      <c r="F40" s="5" t="s">
        <v>983</v>
      </c>
      <c r="G40" s="1">
        <v>7</v>
      </c>
      <c r="H40" s="5" t="s">
        <v>981</v>
      </c>
      <c r="I40" s="1">
        <v>0</v>
      </c>
      <c r="J40" s="5" t="s">
        <v>983</v>
      </c>
      <c r="K40" s="1">
        <v>0</v>
      </c>
      <c r="L40" s="5" t="s">
        <v>983</v>
      </c>
      <c r="M40" s="1">
        <v>11</v>
      </c>
      <c r="N40" s="5" t="s">
        <v>981</v>
      </c>
      <c r="O40" s="1">
        <v>2</v>
      </c>
      <c r="P40" s="5" t="s">
        <v>982</v>
      </c>
      <c r="Q40" s="1">
        <v>0</v>
      </c>
      <c r="R40" s="1">
        <v>0</v>
      </c>
      <c r="S40" s="1" t="s">
        <v>194</v>
      </c>
      <c r="T40" s="1">
        <v>5</v>
      </c>
      <c r="U40" s="1">
        <v>5</v>
      </c>
      <c r="V40" s="1">
        <v>61</v>
      </c>
      <c r="W40" s="1">
        <v>0</v>
      </c>
      <c r="X40" s="1">
        <v>16</v>
      </c>
      <c r="Y40" s="1">
        <v>11</v>
      </c>
      <c r="Z40" s="1">
        <v>665000</v>
      </c>
      <c r="AA40" s="1">
        <v>4</v>
      </c>
    </row>
    <row r="41" spans="1:27" ht="12.75" customHeight="1" x14ac:dyDescent="0.15">
      <c r="A41" s="5">
        <v>370</v>
      </c>
      <c r="B41" s="5" t="s">
        <v>984</v>
      </c>
      <c r="C41" s="1">
        <v>25</v>
      </c>
      <c r="D41" s="5" t="s">
        <v>981</v>
      </c>
      <c r="E41" s="1">
        <v>1</v>
      </c>
      <c r="F41" s="5" t="s">
        <v>983</v>
      </c>
      <c r="G41" s="1">
        <v>7</v>
      </c>
      <c r="H41" s="5" t="s">
        <v>981</v>
      </c>
      <c r="I41" s="1">
        <v>1</v>
      </c>
      <c r="J41" s="5" t="s">
        <v>982</v>
      </c>
      <c r="K41" s="1">
        <v>0</v>
      </c>
      <c r="L41" s="5" t="s">
        <v>983</v>
      </c>
      <c r="M41" s="1">
        <v>3</v>
      </c>
      <c r="N41" s="5" t="s">
        <v>982</v>
      </c>
      <c r="O41" s="1">
        <v>0</v>
      </c>
      <c r="P41" s="5" t="s">
        <v>983</v>
      </c>
      <c r="Q41" s="1">
        <v>1</v>
      </c>
      <c r="R41" s="1">
        <v>0</v>
      </c>
      <c r="S41" s="1">
        <v>1</v>
      </c>
      <c r="T41" s="1">
        <v>3</v>
      </c>
      <c r="U41" s="1">
        <v>2</v>
      </c>
      <c r="V41" s="1">
        <v>51</v>
      </c>
      <c r="W41" s="1">
        <v>0</v>
      </c>
      <c r="X41" s="1">
        <v>10</v>
      </c>
      <c r="Y41" s="1">
        <v>2</v>
      </c>
      <c r="Z41" s="1">
        <v>0</v>
      </c>
      <c r="AA41" s="1">
        <v>4</v>
      </c>
    </row>
    <row r="42" spans="1:27" ht="12.75" customHeight="1" x14ac:dyDescent="0.15">
      <c r="A42" s="5">
        <v>249</v>
      </c>
      <c r="B42" s="5" t="s">
        <v>984</v>
      </c>
      <c r="C42" s="1">
        <v>14</v>
      </c>
      <c r="D42" s="5" t="s">
        <v>983</v>
      </c>
      <c r="E42" s="1">
        <v>1</v>
      </c>
      <c r="F42" s="5" t="s">
        <v>983</v>
      </c>
      <c r="G42" s="1">
        <v>8</v>
      </c>
      <c r="H42" s="5" t="s">
        <v>981</v>
      </c>
      <c r="I42" s="1">
        <v>2</v>
      </c>
      <c r="J42" s="5" t="s">
        <v>982</v>
      </c>
      <c r="K42" s="1">
        <v>0</v>
      </c>
      <c r="L42" s="5" t="s">
        <v>983</v>
      </c>
      <c r="M42" s="1">
        <v>0</v>
      </c>
      <c r="N42" s="5" t="s">
        <v>983</v>
      </c>
      <c r="O42" s="1">
        <v>1</v>
      </c>
      <c r="P42" s="5" t="s">
        <v>982</v>
      </c>
      <c r="Q42" s="1">
        <v>1</v>
      </c>
      <c r="R42" s="1">
        <v>0</v>
      </c>
      <c r="S42" s="1">
        <v>1</v>
      </c>
      <c r="T42" s="1">
        <v>5</v>
      </c>
      <c r="U42" s="1">
        <v>5</v>
      </c>
      <c r="V42" s="1">
        <v>29</v>
      </c>
      <c r="W42" s="1">
        <v>0</v>
      </c>
      <c r="X42" s="1">
        <v>14</v>
      </c>
      <c r="Y42" s="1">
        <v>34</v>
      </c>
      <c r="Z42" s="1">
        <v>0</v>
      </c>
      <c r="AA42" s="1">
        <v>2</v>
      </c>
    </row>
    <row r="43" spans="1:27" ht="12.75" customHeight="1" x14ac:dyDescent="0.15">
      <c r="A43" s="5">
        <v>85</v>
      </c>
      <c r="B43" s="5" t="s">
        <v>984</v>
      </c>
      <c r="C43" s="1">
        <v>16</v>
      </c>
      <c r="D43" s="5" t="s">
        <v>983</v>
      </c>
      <c r="E43" s="1">
        <v>1</v>
      </c>
      <c r="F43" s="5" t="s">
        <v>983</v>
      </c>
      <c r="G43" s="1">
        <v>8</v>
      </c>
      <c r="H43" s="5" t="s">
        <v>981</v>
      </c>
      <c r="I43" s="1">
        <v>1</v>
      </c>
      <c r="J43" s="5" t="s">
        <v>982</v>
      </c>
      <c r="K43" s="1">
        <v>0</v>
      </c>
      <c r="L43" s="5" t="s">
        <v>983</v>
      </c>
      <c r="M43" s="1">
        <v>5</v>
      </c>
      <c r="N43" s="5" t="s">
        <v>982</v>
      </c>
      <c r="O43" s="1">
        <v>0</v>
      </c>
      <c r="P43" s="5" t="s">
        <v>983</v>
      </c>
      <c r="Q43" s="1">
        <v>1</v>
      </c>
      <c r="R43" s="1">
        <v>0</v>
      </c>
      <c r="S43" s="1" t="s">
        <v>194</v>
      </c>
      <c r="T43" s="1" t="s">
        <v>194</v>
      </c>
      <c r="U43" s="1" t="s">
        <v>194</v>
      </c>
      <c r="V43" s="1">
        <v>41</v>
      </c>
      <c r="W43" s="1">
        <v>1</v>
      </c>
      <c r="X43" s="1">
        <v>17</v>
      </c>
      <c r="Y43" s="1">
        <v>24</v>
      </c>
      <c r="Z43" s="1">
        <v>2000000</v>
      </c>
      <c r="AA43" s="1">
        <v>3</v>
      </c>
    </row>
    <row r="44" spans="1:27" ht="12.75" customHeight="1" x14ac:dyDescent="0.15">
      <c r="A44" s="5">
        <v>287</v>
      </c>
      <c r="B44" s="5" t="s">
        <v>984</v>
      </c>
      <c r="C44" s="1">
        <v>24</v>
      </c>
      <c r="D44" s="5" t="s">
        <v>981</v>
      </c>
      <c r="E44" s="1">
        <v>7</v>
      </c>
      <c r="F44" s="5" t="s">
        <v>981</v>
      </c>
      <c r="G44" s="1">
        <v>8</v>
      </c>
      <c r="H44" s="5" t="s">
        <v>981</v>
      </c>
      <c r="I44" s="1">
        <v>5</v>
      </c>
      <c r="J44" s="5" t="s">
        <v>981</v>
      </c>
      <c r="K44" s="1">
        <v>0</v>
      </c>
      <c r="L44" s="5" t="s">
        <v>983</v>
      </c>
      <c r="M44" s="1">
        <v>10</v>
      </c>
      <c r="N44" s="5" t="s">
        <v>981</v>
      </c>
      <c r="O44" s="1">
        <v>0</v>
      </c>
      <c r="P44" s="5" t="s">
        <v>983</v>
      </c>
      <c r="Q44" s="1">
        <v>1</v>
      </c>
      <c r="R44" s="1">
        <v>0</v>
      </c>
      <c r="S44" s="1">
        <v>1</v>
      </c>
      <c r="T44" s="1" t="s">
        <v>194</v>
      </c>
      <c r="U44" s="1">
        <v>2</v>
      </c>
      <c r="V44" s="1">
        <v>31</v>
      </c>
      <c r="W44" s="1">
        <v>0</v>
      </c>
      <c r="X44" s="1">
        <v>18</v>
      </c>
      <c r="Y44" s="1">
        <v>6</v>
      </c>
      <c r="Z44" s="1">
        <v>350000</v>
      </c>
      <c r="AA44" s="1">
        <v>2</v>
      </c>
    </row>
    <row r="45" spans="1:27" ht="12.75" customHeight="1" x14ac:dyDescent="0.15">
      <c r="A45" s="5">
        <v>337</v>
      </c>
      <c r="B45" s="5" t="s">
        <v>984</v>
      </c>
      <c r="C45" s="1">
        <v>30</v>
      </c>
      <c r="D45" s="5" t="s">
        <v>981</v>
      </c>
      <c r="E45" s="1">
        <v>3</v>
      </c>
      <c r="F45" s="5" t="s">
        <v>982</v>
      </c>
      <c r="G45" s="1">
        <v>10</v>
      </c>
      <c r="H45" s="5" t="s">
        <v>981</v>
      </c>
      <c r="I45" s="1">
        <v>2</v>
      </c>
      <c r="J45" s="5" t="s">
        <v>982</v>
      </c>
      <c r="K45" s="1">
        <v>0</v>
      </c>
      <c r="L45" s="5" t="s">
        <v>983</v>
      </c>
      <c r="M45" s="1">
        <v>7</v>
      </c>
      <c r="N45" s="5" t="s">
        <v>981</v>
      </c>
      <c r="O45" s="1">
        <v>2</v>
      </c>
      <c r="P45" s="5" t="s">
        <v>982</v>
      </c>
      <c r="Q45" s="1">
        <v>0</v>
      </c>
      <c r="R45" s="1">
        <v>0</v>
      </c>
      <c r="S45" s="1" t="s">
        <v>194</v>
      </c>
      <c r="T45" s="1">
        <v>5</v>
      </c>
      <c r="U45" s="1">
        <v>2</v>
      </c>
      <c r="V45" s="1">
        <v>60</v>
      </c>
      <c r="W45" s="1">
        <v>1</v>
      </c>
      <c r="X45" s="1">
        <v>17</v>
      </c>
      <c r="Y45" s="1">
        <v>16</v>
      </c>
      <c r="Z45" s="1">
        <v>1200000</v>
      </c>
      <c r="AA45" s="1">
        <v>2</v>
      </c>
    </row>
    <row r="46" spans="1:27" ht="12.75" customHeight="1" x14ac:dyDescent="0.15">
      <c r="A46" s="5">
        <v>124</v>
      </c>
      <c r="B46" s="5" t="s">
        <v>984</v>
      </c>
      <c r="C46" s="1">
        <v>27</v>
      </c>
      <c r="D46" s="5" t="s">
        <v>981</v>
      </c>
      <c r="E46" s="1">
        <v>1</v>
      </c>
      <c r="F46" s="5" t="s">
        <v>983</v>
      </c>
      <c r="G46" s="1">
        <v>0</v>
      </c>
      <c r="H46" s="5" t="s">
        <v>983</v>
      </c>
      <c r="I46" s="1">
        <v>3</v>
      </c>
      <c r="J46" s="5" t="s">
        <v>982</v>
      </c>
      <c r="K46" s="1">
        <v>1</v>
      </c>
      <c r="L46" s="5" t="s">
        <v>983</v>
      </c>
      <c r="M46" s="1">
        <v>0</v>
      </c>
      <c r="N46" s="5" t="s">
        <v>983</v>
      </c>
      <c r="O46" s="1">
        <v>0</v>
      </c>
      <c r="P46" s="5" t="s">
        <v>983</v>
      </c>
      <c r="Q46" s="1">
        <v>0</v>
      </c>
      <c r="R46" s="1">
        <v>0</v>
      </c>
      <c r="S46" s="1" t="s">
        <v>194</v>
      </c>
      <c r="T46" s="1">
        <v>2</v>
      </c>
      <c r="U46" s="1">
        <v>2</v>
      </c>
      <c r="V46" s="1">
        <v>49</v>
      </c>
      <c r="W46" s="1">
        <v>0</v>
      </c>
      <c r="X46" s="1">
        <v>17</v>
      </c>
      <c r="Y46" s="1">
        <v>34</v>
      </c>
      <c r="Z46" s="1">
        <v>800000</v>
      </c>
      <c r="AA46" s="1">
        <v>4</v>
      </c>
    </row>
    <row r="47" spans="1:27" ht="12.75" customHeight="1" x14ac:dyDescent="0.15">
      <c r="A47" s="5">
        <v>274</v>
      </c>
      <c r="B47" s="5" t="s">
        <v>984</v>
      </c>
      <c r="C47" s="1">
        <v>36</v>
      </c>
      <c r="D47" s="5" t="s">
        <v>981</v>
      </c>
      <c r="E47" s="1">
        <v>4</v>
      </c>
      <c r="F47" s="5" t="s">
        <v>982</v>
      </c>
      <c r="G47" s="1">
        <v>2</v>
      </c>
      <c r="H47" s="5" t="s">
        <v>982</v>
      </c>
      <c r="I47" s="1">
        <v>4</v>
      </c>
      <c r="J47" s="5" t="s">
        <v>982</v>
      </c>
      <c r="K47" s="1">
        <v>1</v>
      </c>
      <c r="L47" s="5" t="s">
        <v>983</v>
      </c>
      <c r="M47" s="1">
        <v>4</v>
      </c>
      <c r="N47" s="5" t="s">
        <v>982</v>
      </c>
      <c r="O47" s="1">
        <v>0</v>
      </c>
      <c r="P47" s="5" t="s">
        <v>983</v>
      </c>
      <c r="Q47" s="1">
        <v>0</v>
      </c>
      <c r="R47" s="1">
        <v>0</v>
      </c>
      <c r="S47" s="1" t="s">
        <v>194</v>
      </c>
      <c r="T47" s="1">
        <v>5</v>
      </c>
      <c r="U47" s="1">
        <v>5</v>
      </c>
      <c r="V47" s="1">
        <v>29</v>
      </c>
      <c r="W47" s="1">
        <v>1</v>
      </c>
      <c r="X47" s="1">
        <v>17</v>
      </c>
      <c r="Y47" s="1">
        <v>6</v>
      </c>
      <c r="Z47" s="1">
        <v>410000</v>
      </c>
      <c r="AA47" s="1">
        <v>3</v>
      </c>
    </row>
    <row r="48" spans="1:27" ht="12.75" customHeight="1" x14ac:dyDescent="0.15">
      <c r="A48" s="5">
        <v>74</v>
      </c>
      <c r="B48" s="5" t="s">
        <v>984</v>
      </c>
      <c r="C48" s="1">
        <v>24</v>
      </c>
      <c r="D48" s="5" t="s">
        <v>981</v>
      </c>
      <c r="E48" s="1">
        <v>5</v>
      </c>
      <c r="F48" s="5" t="s">
        <v>981</v>
      </c>
      <c r="G48" s="1">
        <v>2</v>
      </c>
      <c r="H48" s="5" t="s">
        <v>982</v>
      </c>
      <c r="I48" s="1">
        <v>8</v>
      </c>
      <c r="J48" s="5" t="s">
        <v>981</v>
      </c>
      <c r="K48" s="1">
        <v>1</v>
      </c>
      <c r="L48" s="5" t="s">
        <v>983</v>
      </c>
      <c r="M48" s="1">
        <v>6</v>
      </c>
      <c r="N48" s="5" t="s">
        <v>981</v>
      </c>
      <c r="O48" s="1">
        <v>0</v>
      </c>
      <c r="P48" s="5" t="s">
        <v>983</v>
      </c>
      <c r="Q48" s="1">
        <v>1</v>
      </c>
      <c r="R48" s="1">
        <v>0</v>
      </c>
      <c r="S48" s="1">
        <v>1</v>
      </c>
      <c r="T48" s="1">
        <v>5</v>
      </c>
      <c r="U48" s="1">
        <v>5</v>
      </c>
      <c r="V48" s="1">
        <v>56</v>
      </c>
      <c r="W48" s="1">
        <v>0</v>
      </c>
      <c r="X48" s="1">
        <v>14</v>
      </c>
      <c r="Y48" s="1">
        <v>24</v>
      </c>
      <c r="Z48" s="1">
        <v>0</v>
      </c>
      <c r="AA48" s="1">
        <v>5</v>
      </c>
    </row>
    <row r="49" spans="1:27" ht="12.75" customHeight="1" x14ac:dyDescent="0.15">
      <c r="A49" s="5">
        <v>321</v>
      </c>
      <c r="B49" s="5" t="s">
        <v>984</v>
      </c>
      <c r="C49" s="1">
        <v>24</v>
      </c>
      <c r="D49" s="5" t="s">
        <v>981</v>
      </c>
      <c r="E49" s="1">
        <v>4</v>
      </c>
      <c r="F49" s="5" t="s">
        <v>982</v>
      </c>
      <c r="G49" s="1">
        <v>3</v>
      </c>
      <c r="H49" s="5" t="s">
        <v>982</v>
      </c>
      <c r="I49" s="1">
        <v>2</v>
      </c>
      <c r="J49" s="5" t="s">
        <v>982</v>
      </c>
      <c r="K49" s="1">
        <v>1</v>
      </c>
      <c r="L49" s="5" t="s">
        <v>983</v>
      </c>
      <c r="M49" s="1">
        <v>3</v>
      </c>
      <c r="N49" s="5" t="s">
        <v>982</v>
      </c>
      <c r="O49" s="1">
        <v>1</v>
      </c>
      <c r="P49" s="5" t="s">
        <v>982</v>
      </c>
      <c r="Q49" s="1">
        <v>0</v>
      </c>
      <c r="R49" s="1">
        <v>0</v>
      </c>
      <c r="S49" s="1" t="s">
        <v>194</v>
      </c>
      <c r="T49" s="1">
        <v>2</v>
      </c>
      <c r="U49" s="1">
        <v>2</v>
      </c>
      <c r="V49" s="1">
        <v>49</v>
      </c>
      <c r="W49" s="1">
        <v>0</v>
      </c>
      <c r="X49" s="1">
        <v>14</v>
      </c>
      <c r="Y49" s="1">
        <v>1</v>
      </c>
      <c r="Z49" s="1">
        <v>49000</v>
      </c>
      <c r="AA49" s="1">
        <v>3</v>
      </c>
    </row>
    <row r="50" spans="1:27" ht="12.75" customHeight="1" x14ac:dyDescent="0.15">
      <c r="A50" s="5">
        <v>204</v>
      </c>
      <c r="B50" s="5" t="s">
        <v>984</v>
      </c>
      <c r="C50" s="1">
        <v>25</v>
      </c>
      <c r="D50" s="5" t="s">
        <v>981</v>
      </c>
      <c r="E50" s="1">
        <v>4</v>
      </c>
      <c r="F50" s="5" t="s">
        <v>982</v>
      </c>
      <c r="G50" s="1">
        <v>4</v>
      </c>
      <c r="H50" s="5" t="s">
        <v>982</v>
      </c>
      <c r="I50" s="1">
        <v>4</v>
      </c>
      <c r="J50" s="5" t="s">
        <v>982</v>
      </c>
      <c r="K50" s="1">
        <v>1</v>
      </c>
      <c r="L50" s="5" t="s">
        <v>983</v>
      </c>
      <c r="M50" s="1">
        <v>5</v>
      </c>
      <c r="N50" s="5" t="s">
        <v>982</v>
      </c>
      <c r="O50" s="1">
        <v>0</v>
      </c>
      <c r="P50" s="5" t="s">
        <v>983</v>
      </c>
      <c r="Q50" s="1">
        <v>0</v>
      </c>
      <c r="R50" s="1">
        <v>0</v>
      </c>
      <c r="S50" s="1" t="s">
        <v>194</v>
      </c>
      <c r="T50" s="1" t="s">
        <v>194</v>
      </c>
      <c r="U50" s="1">
        <v>3</v>
      </c>
      <c r="V50" s="1">
        <v>32</v>
      </c>
      <c r="W50" s="1">
        <v>0</v>
      </c>
      <c r="X50" s="1">
        <v>14</v>
      </c>
      <c r="Y50" s="1">
        <v>22</v>
      </c>
      <c r="Z50" s="1">
        <v>400000</v>
      </c>
      <c r="AA50" s="1">
        <v>3</v>
      </c>
    </row>
    <row r="51" spans="1:27" ht="12.75" customHeight="1" x14ac:dyDescent="0.15">
      <c r="A51" s="5">
        <v>49</v>
      </c>
      <c r="B51" s="5" t="s">
        <v>984</v>
      </c>
      <c r="C51" s="1">
        <v>40</v>
      </c>
      <c r="D51" s="5" t="s">
        <v>981</v>
      </c>
      <c r="E51" s="1">
        <v>5</v>
      </c>
      <c r="F51" s="5" t="s">
        <v>981</v>
      </c>
      <c r="G51" s="1">
        <v>4</v>
      </c>
      <c r="H51" s="5" t="s">
        <v>982</v>
      </c>
      <c r="I51" s="1">
        <v>4</v>
      </c>
      <c r="J51" s="5" t="s">
        <v>982</v>
      </c>
      <c r="K51" s="1">
        <v>1</v>
      </c>
      <c r="L51" s="5" t="s">
        <v>983</v>
      </c>
      <c r="M51" s="1">
        <v>5</v>
      </c>
      <c r="N51" s="5" t="s">
        <v>982</v>
      </c>
      <c r="O51" s="1">
        <v>2</v>
      </c>
      <c r="P51" s="5" t="s">
        <v>982</v>
      </c>
      <c r="Q51" s="1">
        <v>1</v>
      </c>
      <c r="R51" s="1">
        <v>0</v>
      </c>
      <c r="S51" s="1">
        <v>1</v>
      </c>
      <c r="T51" s="1" t="s">
        <v>194</v>
      </c>
      <c r="U51" s="1">
        <v>2</v>
      </c>
      <c r="V51" s="1">
        <v>38</v>
      </c>
      <c r="W51" s="1">
        <v>0</v>
      </c>
      <c r="X51" s="1">
        <v>14</v>
      </c>
      <c r="Y51" s="1">
        <v>13</v>
      </c>
      <c r="Z51" s="1">
        <v>210000</v>
      </c>
      <c r="AA51" s="1">
        <v>4</v>
      </c>
    </row>
    <row r="52" spans="1:27" ht="12.75" customHeight="1" x14ac:dyDescent="0.15">
      <c r="A52" s="5">
        <v>193</v>
      </c>
      <c r="B52" s="5" t="s">
        <v>984</v>
      </c>
      <c r="C52" s="1">
        <v>15</v>
      </c>
      <c r="D52" s="5" t="s">
        <v>983</v>
      </c>
      <c r="E52" s="1">
        <v>3</v>
      </c>
      <c r="F52" s="5" t="s">
        <v>982</v>
      </c>
      <c r="G52" s="1">
        <v>5</v>
      </c>
      <c r="H52" s="5" t="s">
        <v>982</v>
      </c>
      <c r="I52" s="1">
        <v>3</v>
      </c>
      <c r="J52" s="5" t="s">
        <v>982</v>
      </c>
      <c r="K52" s="1">
        <v>1</v>
      </c>
      <c r="L52" s="5" t="s">
        <v>983</v>
      </c>
      <c r="M52" s="1">
        <v>0</v>
      </c>
      <c r="N52" s="5" t="s">
        <v>983</v>
      </c>
      <c r="O52" s="1">
        <v>1</v>
      </c>
      <c r="P52" s="5" t="s">
        <v>982</v>
      </c>
      <c r="Q52" s="1">
        <v>0</v>
      </c>
      <c r="R52" s="1">
        <v>0</v>
      </c>
      <c r="S52" s="1">
        <v>1</v>
      </c>
      <c r="T52" s="1" t="s">
        <v>194</v>
      </c>
      <c r="U52" s="1">
        <v>2</v>
      </c>
      <c r="V52" s="1">
        <v>28</v>
      </c>
      <c r="W52" s="1">
        <v>1</v>
      </c>
      <c r="X52" s="1">
        <v>17</v>
      </c>
      <c r="Y52" s="1">
        <v>2</v>
      </c>
      <c r="Z52" s="1">
        <v>0</v>
      </c>
      <c r="AA52" s="1">
        <v>2</v>
      </c>
    </row>
    <row r="53" spans="1:27" ht="12.75" customHeight="1" x14ac:dyDescent="0.15">
      <c r="A53" s="5">
        <v>97</v>
      </c>
      <c r="B53" s="5" t="s">
        <v>984</v>
      </c>
      <c r="C53" s="1">
        <v>27</v>
      </c>
      <c r="D53" s="5" t="s">
        <v>981</v>
      </c>
      <c r="E53" s="1">
        <v>4</v>
      </c>
      <c r="F53" s="5" t="s">
        <v>982</v>
      </c>
      <c r="G53" s="1">
        <v>5</v>
      </c>
      <c r="H53" s="5" t="s">
        <v>982</v>
      </c>
      <c r="I53" s="1">
        <v>4</v>
      </c>
      <c r="J53" s="5" t="s">
        <v>982</v>
      </c>
      <c r="K53" s="1">
        <v>1</v>
      </c>
      <c r="L53" s="5" t="s">
        <v>983</v>
      </c>
      <c r="M53" s="1">
        <v>2</v>
      </c>
      <c r="N53" s="5" t="s">
        <v>983</v>
      </c>
      <c r="O53" s="1">
        <v>0</v>
      </c>
      <c r="P53" s="5" t="s">
        <v>983</v>
      </c>
      <c r="Q53" s="1">
        <v>1</v>
      </c>
      <c r="R53" s="1">
        <v>0</v>
      </c>
      <c r="S53" s="1">
        <v>1</v>
      </c>
      <c r="T53" s="1" t="s">
        <v>194</v>
      </c>
      <c r="U53" s="1">
        <v>2</v>
      </c>
      <c r="V53" s="1">
        <v>48</v>
      </c>
      <c r="W53" s="1">
        <v>0</v>
      </c>
      <c r="X53" s="1">
        <v>15</v>
      </c>
      <c r="Y53" s="1">
        <v>5</v>
      </c>
      <c r="Z53" s="1">
        <v>600000</v>
      </c>
      <c r="AA53" s="1">
        <v>1</v>
      </c>
    </row>
    <row r="54" spans="1:27" ht="12.75" customHeight="1" x14ac:dyDescent="0.15">
      <c r="A54" s="5">
        <v>419</v>
      </c>
      <c r="B54" s="5" t="s">
        <v>984</v>
      </c>
      <c r="C54" s="1">
        <v>21</v>
      </c>
      <c r="D54" s="5" t="s">
        <v>982</v>
      </c>
      <c r="E54" s="1">
        <v>5</v>
      </c>
      <c r="F54" s="5" t="s">
        <v>981</v>
      </c>
      <c r="G54" s="1">
        <v>6</v>
      </c>
      <c r="H54" s="5" t="s">
        <v>981</v>
      </c>
      <c r="I54" s="1">
        <v>1</v>
      </c>
      <c r="J54" s="5" t="s">
        <v>982</v>
      </c>
      <c r="K54" s="1">
        <v>1</v>
      </c>
      <c r="L54" s="5" t="s">
        <v>983</v>
      </c>
      <c r="M54" s="1">
        <v>4</v>
      </c>
      <c r="N54" s="5" t="s">
        <v>982</v>
      </c>
      <c r="O54" s="1">
        <v>0</v>
      </c>
      <c r="P54" s="5" t="s">
        <v>983</v>
      </c>
      <c r="Q54" s="1">
        <v>0</v>
      </c>
      <c r="R54" s="1">
        <v>0</v>
      </c>
      <c r="S54" s="1" t="s">
        <v>194</v>
      </c>
      <c r="T54" s="1">
        <v>3</v>
      </c>
      <c r="U54" s="1">
        <v>2</v>
      </c>
      <c r="V54" s="1"/>
      <c r="W54" s="1">
        <v>0</v>
      </c>
      <c r="Y54" s="1">
        <v>13</v>
      </c>
      <c r="AA54" s="1">
        <v>4</v>
      </c>
    </row>
    <row r="55" spans="1:27" ht="12.75" customHeight="1" x14ac:dyDescent="0.15">
      <c r="A55" s="5">
        <v>429</v>
      </c>
      <c r="B55" s="5" t="s">
        <v>984</v>
      </c>
      <c r="C55" s="1">
        <v>46</v>
      </c>
      <c r="D55" s="5" t="s">
        <v>981</v>
      </c>
      <c r="E55" s="1">
        <v>6</v>
      </c>
      <c r="F55" s="5" t="s">
        <v>981</v>
      </c>
      <c r="G55" s="1">
        <v>7</v>
      </c>
      <c r="H55" s="5" t="s">
        <v>981</v>
      </c>
      <c r="I55" s="1">
        <v>10</v>
      </c>
      <c r="J55" s="5" t="s">
        <v>981</v>
      </c>
      <c r="K55" s="1">
        <v>1</v>
      </c>
      <c r="L55" s="5" t="s">
        <v>983</v>
      </c>
      <c r="M55" s="1">
        <v>12</v>
      </c>
      <c r="N55" s="5" t="s">
        <v>981</v>
      </c>
      <c r="O55" s="1">
        <v>1</v>
      </c>
      <c r="P55" s="5" t="s">
        <v>982</v>
      </c>
      <c r="Q55" s="1">
        <v>0</v>
      </c>
      <c r="R55" s="1">
        <v>0</v>
      </c>
      <c r="S55" s="1" t="s">
        <v>194</v>
      </c>
      <c r="T55" s="1">
        <v>5</v>
      </c>
      <c r="U55" s="1">
        <v>5</v>
      </c>
      <c r="V55" s="1">
        <v>44</v>
      </c>
      <c r="W55" s="1">
        <v>0</v>
      </c>
      <c r="X55" s="1">
        <v>17</v>
      </c>
      <c r="Y55" s="1">
        <v>24</v>
      </c>
      <c r="Z55" s="1">
        <v>500000</v>
      </c>
      <c r="AA55" s="1">
        <v>3</v>
      </c>
    </row>
    <row r="56" spans="1:27" ht="12.75" customHeight="1" x14ac:dyDescent="0.15">
      <c r="A56" s="5">
        <v>166</v>
      </c>
      <c r="B56" s="5" t="s">
        <v>984</v>
      </c>
      <c r="C56" s="1">
        <v>15</v>
      </c>
      <c r="D56" s="5" t="s">
        <v>983</v>
      </c>
      <c r="E56" s="1">
        <v>1</v>
      </c>
      <c r="F56" s="5" t="s">
        <v>983</v>
      </c>
      <c r="G56" s="1">
        <v>0</v>
      </c>
      <c r="H56" s="5" t="s">
        <v>983</v>
      </c>
      <c r="I56" s="1">
        <v>0</v>
      </c>
      <c r="J56" s="5" t="s">
        <v>983</v>
      </c>
      <c r="K56" s="1">
        <v>2</v>
      </c>
      <c r="L56" s="5" t="s">
        <v>983</v>
      </c>
      <c r="M56" s="1">
        <v>0</v>
      </c>
      <c r="N56" s="5" t="s">
        <v>983</v>
      </c>
      <c r="O56" s="1">
        <v>0</v>
      </c>
      <c r="P56" s="5" t="s">
        <v>983</v>
      </c>
      <c r="Q56" s="1">
        <v>1</v>
      </c>
      <c r="R56" s="1">
        <v>0</v>
      </c>
      <c r="S56" s="1" t="s">
        <v>194</v>
      </c>
      <c r="T56" s="1">
        <v>2</v>
      </c>
      <c r="U56" s="1">
        <v>1</v>
      </c>
      <c r="V56" s="1"/>
      <c r="W56" s="1">
        <v>1</v>
      </c>
      <c r="Y56" s="1">
        <v>3</v>
      </c>
      <c r="AA56" s="1">
        <v>3</v>
      </c>
    </row>
    <row r="57" spans="1:27" ht="12.75" customHeight="1" x14ac:dyDescent="0.15">
      <c r="A57" s="5">
        <v>285</v>
      </c>
      <c r="B57" s="5" t="s">
        <v>984</v>
      </c>
      <c r="C57" s="1">
        <v>13</v>
      </c>
      <c r="D57" s="5" t="s">
        <v>983</v>
      </c>
      <c r="E57" s="1">
        <v>4</v>
      </c>
      <c r="F57" s="5" t="s">
        <v>982</v>
      </c>
      <c r="G57" s="1">
        <v>0</v>
      </c>
      <c r="H57" s="5" t="s">
        <v>983</v>
      </c>
      <c r="I57" s="1">
        <v>4</v>
      </c>
      <c r="J57" s="5" t="s">
        <v>982</v>
      </c>
      <c r="K57" s="1">
        <v>2</v>
      </c>
      <c r="L57" s="5" t="s">
        <v>983</v>
      </c>
      <c r="M57" s="1">
        <v>2</v>
      </c>
      <c r="N57" s="5" t="s">
        <v>983</v>
      </c>
      <c r="O57" s="1">
        <v>0</v>
      </c>
      <c r="P57" s="5" t="s">
        <v>983</v>
      </c>
      <c r="Q57" s="1">
        <v>0</v>
      </c>
      <c r="R57" s="1">
        <v>0</v>
      </c>
      <c r="S57" s="1">
        <v>1</v>
      </c>
      <c r="T57" s="1">
        <v>4</v>
      </c>
      <c r="U57" s="1">
        <v>4</v>
      </c>
      <c r="V57" s="1">
        <v>24</v>
      </c>
      <c r="W57" s="1">
        <v>0</v>
      </c>
      <c r="X57" s="1">
        <v>16</v>
      </c>
      <c r="Y57" s="1">
        <v>34</v>
      </c>
      <c r="Z57" s="1">
        <v>450000</v>
      </c>
      <c r="AA57" s="1">
        <v>6</v>
      </c>
    </row>
    <row r="58" spans="1:27" ht="12.75" customHeight="1" x14ac:dyDescent="0.15">
      <c r="A58" s="5">
        <v>231</v>
      </c>
      <c r="B58" s="5" t="s">
        <v>984</v>
      </c>
      <c r="C58" s="1">
        <v>23</v>
      </c>
      <c r="D58" s="5" t="s">
        <v>982</v>
      </c>
      <c r="E58" s="1">
        <v>4</v>
      </c>
      <c r="F58" s="5" t="s">
        <v>982</v>
      </c>
      <c r="G58" s="1">
        <v>2</v>
      </c>
      <c r="H58" s="5" t="s">
        <v>982</v>
      </c>
      <c r="I58" s="1">
        <v>8</v>
      </c>
      <c r="J58" s="5" t="s">
        <v>981</v>
      </c>
      <c r="K58" s="1">
        <v>2</v>
      </c>
      <c r="L58" s="5" t="s">
        <v>983</v>
      </c>
      <c r="M58" s="1">
        <v>3</v>
      </c>
      <c r="N58" s="5" t="s">
        <v>982</v>
      </c>
      <c r="O58" s="1">
        <v>3</v>
      </c>
      <c r="P58" s="5" t="s">
        <v>982</v>
      </c>
      <c r="Q58" s="1">
        <v>0</v>
      </c>
      <c r="R58" s="1">
        <v>0</v>
      </c>
      <c r="S58" s="1">
        <v>0</v>
      </c>
      <c r="T58" s="1" t="s">
        <v>194</v>
      </c>
      <c r="U58" s="1">
        <v>3</v>
      </c>
      <c r="V58" s="1">
        <v>49</v>
      </c>
      <c r="W58" s="1">
        <v>0</v>
      </c>
      <c r="X58" s="1">
        <v>3</v>
      </c>
      <c r="Y58" s="1">
        <v>3</v>
      </c>
      <c r="Z58" s="1">
        <v>400000</v>
      </c>
      <c r="AA58" s="1">
        <v>5</v>
      </c>
    </row>
    <row r="59" spans="1:27" ht="12.75" customHeight="1" x14ac:dyDescent="0.15">
      <c r="A59" s="5">
        <v>107</v>
      </c>
      <c r="B59" s="5" t="s">
        <v>984</v>
      </c>
      <c r="C59" s="1">
        <v>21</v>
      </c>
      <c r="D59" s="5" t="s">
        <v>982</v>
      </c>
      <c r="E59" s="1">
        <v>7</v>
      </c>
      <c r="F59" s="5" t="s">
        <v>981</v>
      </c>
      <c r="G59" s="1">
        <v>2</v>
      </c>
      <c r="H59" s="5" t="s">
        <v>982</v>
      </c>
      <c r="I59" s="1">
        <v>3</v>
      </c>
      <c r="J59" s="5" t="s">
        <v>982</v>
      </c>
      <c r="K59" s="1">
        <v>2</v>
      </c>
      <c r="L59" s="5" t="s">
        <v>983</v>
      </c>
      <c r="M59" s="1">
        <v>3</v>
      </c>
      <c r="N59" s="5" t="s">
        <v>982</v>
      </c>
      <c r="O59" s="1">
        <v>0</v>
      </c>
      <c r="P59" s="5" t="s">
        <v>983</v>
      </c>
      <c r="Q59" s="1">
        <v>1</v>
      </c>
      <c r="R59" s="1">
        <v>0</v>
      </c>
      <c r="S59" s="1" t="s">
        <v>194</v>
      </c>
      <c r="T59" s="1">
        <v>2</v>
      </c>
      <c r="U59" s="1">
        <v>2</v>
      </c>
      <c r="V59" s="1">
        <v>35</v>
      </c>
      <c r="W59" s="1">
        <v>1</v>
      </c>
      <c r="X59" s="1">
        <v>14</v>
      </c>
      <c r="Y59" s="1">
        <v>7</v>
      </c>
      <c r="Z59" s="1">
        <v>380000</v>
      </c>
      <c r="AA59" s="1">
        <v>4</v>
      </c>
    </row>
    <row r="60" spans="1:27" ht="12.75" customHeight="1" x14ac:dyDescent="0.15">
      <c r="A60" s="5">
        <v>202</v>
      </c>
      <c r="B60" s="5" t="s">
        <v>984</v>
      </c>
      <c r="C60" s="1">
        <v>23</v>
      </c>
      <c r="D60" s="5" t="s">
        <v>982</v>
      </c>
      <c r="E60" s="1">
        <v>5</v>
      </c>
      <c r="F60" s="5" t="s">
        <v>981</v>
      </c>
      <c r="G60" s="1">
        <v>9</v>
      </c>
      <c r="H60" s="5" t="s">
        <v>981</v>
      </c>
      <c r="I60" s="1">
        <v>10</v>
      </c>
      <c r="J60" s="5" t="s">
        <v>981</v>
      </c>
      <c r="K60" s="1">
        <v>2</v>
      </c>
      <c r="L60" s="5" t="s">
        <v>983</v>
      </c>
      <c r="M60" s="1">
        <v>3</v>
      </c>
      <c r="N60" s="5" t="s">
        <v>982</v>
      </c>
      <c r="O60" s="1">
        <v>2</v>
      </c>
      <c r="P60" s="5" t="s">
        <v>982</v>
      </c>
      <c r="Q60" s="1">
        <v>0</v>
      </c>
      <c r="R60" s="1">
        <v>0</v>
      </c>
      <c r="S60" s="1" t="s">
        <v>194</v>
      </c>
      <c r="T60" s="1">
        <v>5</v>
      </c>
      <c r="U60" s="1">
        <v>3</v>
      </c>
      <c r="V60" s="1">
        <v>37</v>
      </c>
      <c r="W60" s="1">
        <v>0</v>
      </c>
      <c r="X60" s="1">
        <v>4</v>
      </c>
      <c r="Y60" s="1">
        <v>17</v>
      </c>
      <c r="Z60" s="1">
        <v>500000</v>
      </c>
      <c r="AA60" s="1">
        <v>5</v>
      </c>
    </row>
    <row r="61" spans="1:27" ht="12.75" customHeight="1" x14ac:dyDescent="0.15">
      <c r="A61" s="5">
        <v>347</v>
      </c>
      <c r="B61" s="5" t="s">
        <v>984</v>
      </c>
      <c r="C61" s="1">
        <v>26</v>
      </c>
      <c r="D61" s="5" t="s">
        <v>981</v>
      </c>
      <c r="E61" s="1">
        <v>0</v>
      </c>
      <c r="F61" s="5" t="s">
        <v>983</v>
      </c>
      <c r="G61" s="1">
        <v>0</v>
      </c>
      <c r="H61" s="5" t="s">
        <v>983</v>
      </c>
      <c r="I61" s="1">
        <v>2</v>
      </c>
      <c r="J61" s="5" t="s">
        <v>982</v>
      </c>
      <c r="K61" s="1">
        <v>3</v>
      </c>
      <c r="L61" s="5" t="s">
        <v>982</v>
      </c>
      <c r="M61" s="1">
        <v>0</v>
      </c>
      <c r="N61" s="5" t="s">
        <v>983</v>
      </c>
      <c r="O61" s="1">
        <v>0</v>
      </c>
      <c r="P61" s="5" t="s">
        <v>983</v>
      </c>
      <c r="Q61" s="1">
        <v>0</v>
      </c>
      <c r="R61" s="1">
        <v>0</v>
      </c>
      <c r="S61" s="1" t="s">
        <v>194</v>
      </c>
      <c r="T61" s="1" t="s">
        <v>194</v>
      </c>
      <c r="U61" s="1" t="s">
        <v>194</v>
      </c>
      <c r="V61" s="1">
        <v>41</v>
      </c>
      <c r="W61" s="1">
        <v>0</v>
      </c>
      <c r="X61" s="1">
        <v>14</v>
      </c>
      <c r="Y61" s="1">
        <v>1</v>
      </c>
      <c r="Z61" s="1">
        <v>400000</v>
      </c>
      <c r="AA61" s="1">
        <v>5</v>
      </c>
    </row>
    <row r="62" spans="1:27" ht="12.75" customHeight="1" x14ac:dyDescent="0.15">
      <c r="A62" s="5">
        <v>323</v>
      </c>
      <c r="B62" s="5" t="s">
        <v>984</v>
      </c>
      <c r="C62" s="1">
        <v>20</v>
      </c>
      <c r="D62" s="5" t="s">
        <v>982</v>
      </c>
      <c r="E62" s="1">
        <v>4</v>
      </c>
      <c r="F62" s="5" t="s">
        <v>982</v>
      </c>
      <c r="G62" s="1">
        <v>0</v>
      </c>
      <c r="H62" s="5" t="s">
        <v>983</v>
      </c>
      <c r="I62" s="1">
        <v>8</v>
      </c>
      <c r="J62" s="5" t="s">
        <v>981</v>
      </c>
      <c r="K62" s="1">
        <v>3</v>
      </c>
      <c r="L62" s="5" t="s">
        <v>982</v>
      </c>
      <c r="M62" s="1">
        <v>1</v>
      </c>
      <c r="N62" s="5" t="s">
        <v>983</v>
      </c>
      <c r="O62" s="1">
        <v>0</v>
      </c>
      <c r="P62" s="5" t="s">
        <v>983</v>
      </c>
      <c r="Q62" s="1">
        <v>0</v>
      </c>
      <c r="R62" s="1">
        <v>0</v>
      </c>
      <c r="S62" s="1" t="s">
        <v>194</v>
      </c>
      <c r="T62" s="1">
        <v>4</v>
      </c>
      <c r="U62" s="1">
        <v>2</v>
      </c>
      <c r="V62" s="1">
        <v>35</v>
      </c>
      <c r="W62" s="1">
        <v>1</v>
      </c>
      <c r="X62" s="1">
        <v>18</v>
      </c>
      <c r="Y62" s="1">
        <v>3</v>
      </c>
      <c r="Z62" s="1">
        <v>900000</v>
      </c>
      <c r="AA62" s="1">
        <v>5</v>
      </c>
    </row>
    <row r="63" spans="1:27" ht="12.75" customHeight="1" x14ac:dyDescent="0.15">
      <c r="A63" s="5">
        <v>352</v>
      </c>
      <c r="B63" s="5" t="s">
        <v>984</v>
      </c>
      <c r="C63" s="1">
        <v>14</v>
      </c>
      <c r="D63" s="5" t="s">
        <v>983</v>
      </c>
      <c r="E63" s="1">
        <v>5</v>
      </c>
      <c r="F63" s="5" t="s">
        <v>981</v>
      </c>
      <c r="G63" s="1">
        <v>0</v>
      </c>
      <c r="H63" s="5" t="s">
        <v>983</v>
      </c>
      <c r="I63" s="1">
        <v>2</v>
      </c>
      <c r="J63" s="5" t="s">
        <v>982</v>
      </c>
      <c r="K63" s="1">
        <v>3</v>
      </c>
      <c r="L63" s="5" t="s">
        <v>982</v>
      </c>
      <c r="M63" s="1">
        <v>0</v>
      </c>
      <c r="N63" s="5" t="s">
        <v>983</v>
      </c>
      <c r="O63" s="1">
        <v>0</v>
      </c>
      <c r="P63" s="5" t="s">
        <v>983</v>
      </c>
      <c r="Q63" s="1">
        <v>0</v>
      </c>
      <c r="R63" s="1">
        <v>0</v>
      </c>
      <c r="S63" s="1">
        <v>0</v>
      </c>
      <c r="T63" s="1" t="s">
        <v>194</v>
      </c>
      <c r="U63" s="1">
        <v>1</v>
      </c>
      <c r="V63" s="1"/>
      <c r="W63" s="1">
        <v>1</v>
      </c>
      <c r="Y63" s="1">
        <v>24</v>
      </c>
      <c r="AA63" s="1">
        <v>3</v>
      </c>
    </row>
    <row r="64" spans="1:27" ht="12.75" customHeight="1" x14ac:dyDescent="0.15">
      <c r="A64" s="5">
        <v>89</v>
      </c>
      <c r="B64" s="5" t="s">
        <v>984</v>
      </c>
      <c r="C64" s="1">
        <v>47</v>
      </c>
      <c r="D64" s="5" t="s">
        <v>981</v>
      </c>
      <c r="E64" s="1">
        <v>0</v>
      </c>
      <c r="F64" s="5" t="s">
        <v>983</v>
      </c>
      <c r="G64" s="1">
        <v>1</v>
      </c>
      <c r="H64" s="5" t="s">
        <v>983</v>
      </c>
      <c r="I64" s="1">
        <v>5</v>
      </c>
      <c r="J64" s="5" t="s">
        <v>981</v>
      </c>
      <c r="K64" s="1">
        <v>3</v>
      </c>
      <c r="L64" s="5" t="s">
        <v>982</v>
      </c>
      <c r="M64" s="1">
        <v>0</v>
      </c>
      <c r="N64" s="5" t="s">
        <v>983</v>
      </c>
      <c r="O64" s="1">
        <v>0</v>
      </c>
      <c r="P64" s="5" t="s">
        <v>983</v>
      </c>
      <c r="Q64" s="1">
        <v>1</v>
      </c>
      <c r="R64" s="1">
        <v>0</v>
      </c>
      <c r="S64" s="1">
        <v>1</v>
      </c>
      <c r="T64" s="1">
        <v>5</v>
      </c>
      <c r="U64" s="1">
        <v>2</v>
      </c>
      <c r="V64" s="1">
        <v>49</v>
      </c>
      <c r="W64" s="1">
        <v>1</v>
      </c>
      <c r="X64" s="1">
        <v>12</v>
      </c>
      <c r="Y64" s="1">
        <v>15</v>
      </c>
      <c r="Z64" s="1">
        <v>750000</v>
      </c>
      <c r="AA64" s="1">
        <v>3</v>
      </c>
    </row>
    <row r="65" spans="1:27" ht="12.75" customHeight="1" x14ac:dyDescent="0.15">
      <c r="A65" s="5">
        <v>173</v>
      </c>
      <c r="B65" s="5" t="s">
        <v>984</v>
      </c>
      <c r="C65" s="1">
        <v>17</v>
      </c>
      <c r="D65" s="5" t="s">
        <v>983</v>
      </c>
      <c r="E65" s="1">
        <v>2</v>
      </c>
      <c r="F65" s="5" t="s">
        <v>982</v>
      </c>
      <c r="G65" s="1">
        <v>3</v>
      </c>
      <c r="H65" s="5" t="s">
        <v>982</v>
      </c>
      <c r="I65" s="1">
        <v>4</v>
      </c>
      <c r="J65" s="5" t="s">
        <v>982</v>
      </c>
      <c r="K65" s="1">
        <v>3</v>
      </c>
      <c r="L65" s="5" t="s">
        <v>982</v>
      </c>
      <c r="M65" s="1">
        <v>6</v>
      </c>
      <c r="N65" s="5" t="s">
        <v>981</v>
      </c>
      <c r="O65" s="1">
        <v>0</v>
      </c>
      <c r="P65" s="5" t="s">
        <v>983</v>
      </c>
      <c r="Q65" s="1">
        <v>1</v>
      </c>
      <c r="R65" s="1">
        <v>0</v>
      </c>
      <c r="S65" s="1">
        <v>1</v>
      </c>
      <c r="T65" s="1">
        <v>3</v>
      </c>
      <c r="U65" s="1">
        <v>3</v>
      </c>
      <c r="V65" s="1">
        <v>59</v>
      </c>
      <c r="W65" s="1">
        <v>1</v>
      </c>
      <c r="X65" s="1">
        <v>4</v>
      </c>
      <c r="Y65" s="1">
        <v>11</v>
      </c>
      <c r="Z65" s="1">
        <v>350000</v>
      </c>
      <c r="AA65" s="1">
        <v>3</v>
      </c>
    </row>
    <row r="66" spans="1:27" ht="12.75" customHeight="1" x14ac:dyDescent="0.15">
      <c r="A66" s="5">
        <v>373</v>
      </c>
      <c r="B66" s="5" t="s">
        <v>984</v>
      </c>
      <c r="C66" s="1">
        <v>24</v>
      </c>
      <c r="D66" s="5" t="s">
        <v>981</v>
      </c>
      <c r="E66" s="1">
        <v>3</v>
      </c>
      <c r="F66" s="5" t="s">
        <v>982</v>
      </c>
      <c r="G66" s="1">
        <v>3</v>
      </c>
      <c r="H66" s="5" t="s">
        <v>982</v>
      </c>
      <c r="I66" s="1">
        <v>12</v>
      </c>
      <c r="J66" s="5" t="s">
        <v>981</v>
      </c>
      <c r="K66" s="1">
        <v>3</v>
      </c>
      <c r="L66" s="5" t="s">
        <v>982</v>
      </c>
      <c r="M66" s="1">
        <v>3</v>
      </c>
      <c r="N66" s="5" t="s">
        <v>982</v>
      </c>
      <c r="O66" s="1">
        <v>0</v>
      </c>
      <c r="P66" s="5" t="s">
        <v>983</v>
      </c>
      <c r="Q66" s="1">
        <v>1</v>
      </c>
      <c r="R66" s="1">
        <v>0</v>
      </c>
      <c r="S66" s="1">
        <v>1</v>
      </c>
      <c r="T66" s="1">
        <v>4</v>
      </c>
      <c r="U66" s="1">
        <v>2</v>
      </c>
      <c r="V66" s="1">
        <v>40</v>
      </c>
      <c r="W66" s="1">
        <v>1</v>
      </c>
      <c r="X66" s="1">
        <v>2</v>
      </c>
      <c r="Y66" s="1">
        <v>24</v>
      </c>
      <c r="Z66" s="1">
        <v>600000</v>
      </c>
      <c r="AA66" s="1">
        <v>3</v>
      </c>
    </row>
    <row r="67" spans="1:27" ht="12.75" customHeight="1" x14ac:dyDescent="0.15">
      <c r="A67" s="5">
        <v>444</v>
      </c>
      <c r="B67" s="5" t="s">
        <v>984</v>
      </c>
      <c r="C67" s="1">
        <v>26</v>
      </c>
      <c r="D67" s="5" t="s">
        <v>981</v>
      </c>
      <c r="E67" s="1">
        <v>3</v>
      </c>
      <c r="F67" s="5" t="s">
        <v>982</v>
      </c>
      <c r="G67" s="1">
        <v>3</v>
      </c>
      <c r="H67" s="5" t="s">
        <v>982</v>
      </c>
      <c r="I67" s="1">
        <v>7</v>
      </c>
      <c r="J67" s="5" t="s">
        <v>981</v>
      </c>
      <c r="K67" s="1">
        <v>3</v>
      </c>
      <c r="L67" s="5" t="s">
        <v>982</v>
      </c>
      <c r="M67" s="1">
        <v>3</v>
      </c>
      <c r="N67" s="5" t="s">
        <v>982</v>
      </c>
      <c r="O67" s="1">
        <v>0</v>
      </c>
      <c r="P67" s="5" t="s">
        <v>983</v>
      </c>
      <c r="Q67" s="1">
        <v>0</v>
      </c>
      <c r="R67" s="1">
        <v>0</v>
      </c>
      <c r="S67" s="1" t="s">
        <v>194</v>
      </c>
      <c r="T67" s="1" t="s">
        <v>194</v>
      </c>
      <c r="U67" s="1">
        <v>1</v>
      </c>
      <c r="V67" s="1"/>
      <c r="W67" s="1">
        <v>0</v>
      </c>
      <c r="Y67" s="1">
        <v>34</v>
      </c>
      <c r="AA67" s="1">
        <v>2</v>
      </c>
    </row>
    <row r="68" spans="1:27" ht="12.75" customHeight="1" x14ac:dyDescent="0.15">
      <c r="A68" s="5">
        <v>129</v>
      </c>
      <c r="B68" s="5" t="s">
        <v>984</v>
      </c>
      <c r="C68" s="1">
        <v>31</v>
      </c>
      <c r="D68" s="5" t="s">
        <v>981</v>
      </c>
      <c r="E68" s="1">
        <v>3</v>
      </c>
      <c r="F68" s="5" t="s">
        <v>982</v>
      </c>
      <c r="G68" s="1">
        <v>3</v>
      </c>
      <c r="H68" s="5" t="s">
        <v>982</v>
      </c>
      <c r="I68" s="1">
        <v>4</v>
      </c>
      <c r="J68" s="5" t="s">
        <v>982</v>
      </c>
      <c r="K68" s="1">
        <v>3</v>
      </c>
      <c r="L68" s="5" t="s">
        <v>982</v>
      </c>
      <c r="M68" s="1">
        <v>3</v>
      </c>
      <c r="N68" s="5" t="s">
        <v>982</v>
      </c>
      <c r="O68" s="1">
        <v>0</v>
      </c>
      <c r="P68" s="5" t="s">
        <v>983</v>
      </c>
      <c r="Q68" s="1">
        <v>0</v>
      </c>
      <c r="R68" s="1">
        <v>0</v>
      </c>
      <c r="S68" s="1" t="s">
        <v>194</v>
      </c>
      <c r="T68" s="1">
        <v>5</v>
      </c>
      <c r="U68" s="1">
        <v>3</v>
      </c>
      <c r="V68" s="1">
        <v>50</v>
      </c>
      <c r="W68" s="1">
        <v>1</v>
      </c>
      <c r="X68" s="1">
        <v>16</v>
      </c>
      <c r="Y68" s="1">
        <v>34</v>
      </c>
      <c r="Z68" s="1">
        <v>5400000</v>
      </c>
      <c r="AA68" s="1">
        <v>1</v>
      </c>
    </row>
    <row r="69" spans="1:27" ht="12.75" customHeight="1" x14ac:dyDescent="0.15">
      <c r="A69" s="5">
        <v>306</v>
      </c>
      <c r="B69" s="5" t="s">
        <v>984</v>
      </c>
      <c r="C69" s="1">
        <v>32</v>
      </c>
      <c r="D69" s="5" t="s">
        <v>981</v>
      </c>
      <c r="E69" s="1">
        <v>3</v>
      </c>
      <c r="F69" s="5" t="s">
        <v>982</v>
      </c>
      <c r="G69" s="1">
        <v>3</v>
      </c>
      <c r="H69" s="5" t="s">
        <v>982</v>
      </c>
      <c r="I69" s="1">
        <v>12</v>
      </c>
      <c r="J69" s="5" t="s">
        <v>981</v>
      </c>
      <c r="K69" s="1">
        <v>3</v>
      </c>
      <c r="L69" s="5" t="s">
        <v>982</v>
      </c>
      <c r="M69" s="1">
        <v>3</v>
      </c>
      <c r="N69" s="5" t="s">
        <v>982</v>
      </c>
      <c r="O69" s="1">
        <v>7</v>
      </c>
      <c r="P69" s="5" t="s">
        <v>982</v>
      </c>
      <c r="Q69" s="1">
        <v>0</v>
      </c>
      <c r="R69" s="1">
        <v>0</v>
      </c>
      <c r="S69" s="1" t="s">
        <v>194</v>
      </c>
      <c r="T69" s="1">
        <v>3</v>
      </c>
      <c r="U69" s="1" t="s">
        <v>194</v>
      </c>
      <c r="V69" s="1">
        <v>33</v>
      </c>
      <c r="W69" s="1">
        <v>0</v>
      </c>
      <c r="X69" s="1">
        <v>16</v>
      </c>
      <c r="Y69" s="1">
        <v>7</v>
      </c>
      <c r="Z69" s="1">
        <v>360000</v>
      </c>
      <c r="AA69" s="1">
        <v>4</v>
      </c>
    </row>
    <row r="70" spans="1:27" ht="12.75" customHeight="1" x14ac:dyDescent="0.15">
      <c r="A70" s="5">
        <v>367</v>
      </c>
      <c r="B70" s="5" t="s">
        <v>984</v>
      </c>
      <c r="C70" s="1">
        <v>20</v>
      </c>
      <c r="D70" s="5" t="s">
        <v>982</v>
      </c>
      <c r="E70" s="1">
        <v>6</v>
      </c>
      <c r="F70" s="5" t="s">
        <v>981</v>
      </c>
      <c r="G70" s="1">
        <v>3</v>
      </c>
      <c r="H70" s="5" t="s">
        <v>982</v>
      </c>
      <c r="I70" s="1">
        <v>4</v>
      </c>
      <c r="J70" s="5" t="s">
        <v>982</v>
      </c>
      <c r="K70" s="1">
        <v>3</v>
      </c>
      <c r="L70" s="5" t="s">
        <v>982</v>
      </c>
      <c r="M70" s="1">
        <v>3</v>
      </c>
      <c r="N70" s="5" t="s">
        <v>982</v>
      </c>
      <c r="O70" s="1">
        <v>0</v>
      </c>
      <c r="P70" s="5" t="s">
        <v>983</v>
      </c>
      <c r="Q70" s="1">
        <v>1</v>
      </c>
      <c r="R70" s="1">
        <v>0</v>
      </c>
      <c r="S70" s="1">
        <v>0</v>
      </c>
      <c r="T70" s="1" t="s">
        <v>194</v>
      </c>
      <c r="U70" s="1">
        <v>1</v>
      </c>
      <c r="V70" s="1">
        <v>55</v>
      </c>
      <c r="W70" s="1">
        <v>1</v>
      </c>
      <c r="X70" s="1">
        <v>14</v>
      </c>
      <c r="Y70" s="1">
        <v>24</v>
      </c>
      <c r="Z70" s="1">
        <v>250000</v>
      </c>
      <c r="AA70" s="1">
        <v>6</v>
      </c>
    </row>
    <row r="71" spans="1:27" ht="12.75" customHeight="1" x14ac:dyDescent="0.15">
      <c r="A71" s="5">
        <v>400</v>
      </c>
      <c r="B71" s="5" t="s">
        <v>984</v>
      </c>
      <c r="C71" s="1">
        <v>24</v>
      </c>
      <c r="D71" s="5" t="s">
        <v>981</v>
      </c>
      <c r="E71" s="1">
        <v>6</v>
      </c>
      <c r="F71" s="5" t="s">
        <v>981</v>
      </c>
      <c r="G71" s="1">
        <v>3</v>
      </c>
      <c r="H71" s="5" t="s">
        <v>982</v>
      </c>
      <c r="I71" s="1">
        <v>12</v>
      </c>
      <c r="J71" s="5" t="s">
        <v>981</v>
      </c>
      <c r="K71" s="1">
        <v>3</v>
      </c>
      <c r="L71" s="5" t="s">
        <v>982</v>
      </c>
      <c r="M71" s="1">
        <v>3</v>
      </c>
      <c r="N71" s="5" t="s">
        <v>982</v>
      </c>
      <c r="O71" s="1">
        <v>7</v>
      </c>
      <c r="P71" s="5" t="s">
        <v>982</v>
      </c>
      <c r="Q71" s="1">
        <v>1</v>
      </c>
      <c r="R71" s="1">
        <v>0</v>
      </c>
      <c r="S71" s="1">
        <v>1</v>
      </c>
      <c r="T71" s="1">
        <v>5</v>
      </c>
      <c r="U71" s="1">
        <v>3</v>
      </c>
      <c r="V71" s="1">
        <v>41</v>
      </c>
      <c r="W71" s="1">
        <v>0</v>
      </c>
      <c r="X71" s="1">
        <v>6</v>
      </c>
      <c r="Y71" s="1">
        <v>6</v>
      </c>
      <c r="Z71" s="1">
        <v>800000</v>
      </c>
      <c r="AA71" s="1">
        <v>3</v>
      </c>
    </row>
    <row r="72" spans="1:27" ht="12.75" customHeight="1" x14ac:dyDescent="0.15">
      <c r="A72" s="5">
        <v>131</v>
      </c>
      <c r="B72" s="5" t="s">
        <v>984</v>
      </c>
      <c r="C72" s="1">
        <v>26</v>
      </c>
      <c r="D72" s="5" t="s">
        <v>981</v>
      </c>
      <c r="E72" s="1">
        <v>6</v>
      </c>
      <c r="F72" s="5" t="s">
        <v>981</v>
      </c>
      <c r="G72" s="1">
        <v>6</v>
      </c>
      <c r="H72" s="5" t="s">
        <v>981</v>
      </c>
      <c r="I72" s="1">
        <v>10</v>
      </c>
      <c r="J72" s="5" t="s">
        <v>981</v>
      </c>
      <c r="K72" s="1">
        <v>3</v>
      </c>
      <c r="L72" s="5" t="s">
        <v>982</v>
      </c>
      <c r="M72" s="1">
        <v>3</v>
      </c>
      <c r="N72" s="5" t="s">
        <v>982</v>
      </c>
      <c r="O72" s="1">
        <v>2</v>
      </c>
      <c r="P72" s="5" t="s">
        <v>982</v>
      </c>
      <c r="Q72" s="1">
        <v>1</v>
      </c>
      <c r="R72" s="1">
        <v>0</v>
      </c>
      <c r="S72" s="1">
        <v>1</v>
      </c>
      <c r="T72" s="1">
        <v>5</v>
      </c>
      <c r="U72" s="1">
        <v>2</v>
      </c>
      <c r="V72" s="1">
        <v>48</v>
      </c>
      <c r="W72" s="1">
        <v>0</v>
      </c>
      <c r="X72" s="1">
        <v>17</v>
      </c>
      <c r="Y72" s="1">
        <v>30</v>
      </c>
      <c r="Z72" s="1">
        <v>350000</v>
      </c>
      <c r="AA72" s="1">
        <v>4</v>
      </c>
    </row>
    <row r="73" spans="1:27" ht="12.75" customHeight="1" x14ac:dyDescent="0.15">
      <c r="A73" s="5">
        <v>134</v>
      </c>
      <c r="B73" s="5" t="s">
        <v>984</v>
      </c>
      <c r="C73" s="1">
        <v>31</v>
      </c>
      <c r="D73" s="5" t="s">
        <v>981</v>
      </c>
      <c r="E73" s="1">
        <v>4</v>
      </c>
      <c r="F73" s="5" t="s">
        <v>982</v>
      </c>
      <c r="G73" s="1">
        <v>12</v>
      </c>
      <c r="H73" s="5" t="s">
        <v>981</v>
      </c>
      <c r="I73" s="1">
        <v>12</v>
      </c>
      <c r="J73" s="5" t="s">
        <v>981</v>
      </c>
      <c r="K73" s="1">
        <v>3</v>
      </c>
      <c r="L73" s="5" t="s">
        <v>982</v>
      </c>
      <c r="M73" s="1">
        <v>7</v>
      </c>
      <c r="N73" s="5" t="s">
        <v>981</v>
      </c>
      <c r="O73" s="1">
        <v>5</v>
      </c>
      <c r="P73" s="5" t="s">
        <v>982</v>
      </c>
      <c r="Q73" s="1">
        <v>0</v>
      </c>
      <c r="R73" s="1">
        <v>0</v>
      </c>
      <c r="S73" s="1" t="s">
        <v>194</v>
      </c>
      <c r="T73" s="1" t="s">
        <v>194</v>
      </c>
      <c r="U73" s="1">
        <v>2</v>
      </c>
      <c r="V73" s="1">
        <v>47</v>
      </c>
      <c r="W73" s="1">
        <v>0</v>
      </c>
      <c r="X73" s="1">
        <v>18</v>
      </c>
      <c r="Y73" s="1">
        <v>12</v>
      </c>
      <c r="Z73" s="1">
        <v>0</v>
      </c>
      <c r="AA73" s="1">
        <v>3</v>
      </c>
    </row>
    <row r="74" spans="1:27" ht="12.75" customHeight="1" x14ac:dyDescent="0.15">
      <c r="A74" s="5">
        <v>168</v>
      </c>
      <c r="B74" s="5" t="s">
        <v>984</v>
      </c>
      <c r="C74" s="1">
        <v>14</v>
      </c>
      <c r="D74" s="5" t="s">
        <v>983</v>
      </c>
      <c r="E74" s="1">
        <v>3</v>
      </c>
      <c r="F74" s="5" t="s">
        <v>982</v>
      </c>
      <c r="G74" s="1">
        <v>1</v>
      </c>
      <c r="H74" s="5" t="s">
        <v>983</v>
      </c>
      <c r="I74" s="1">
        <v>8</v>
      </c>
      <c r="J74" s="5" t="s">
        <v>981</v>
      </c>
      <c r="K74" s="1">
        <v>4</v>
      </c>
      <c r="L74" s="5" t="s">
        <v>982</v>
      </c>
      <c r="M74" s="1">
        <v>1</v>
      </c>
      <c r="N74" s="5" t="s">
        <v>983</v>
      </c>
      <c r="O74" s="1">
        <v>2</v>
      </c>
      <c r="P74" s="5" t="s">
        <v>982</v>
      </c>
      <c r="Q74" s="1">
        <v>0</v>
      </c>
      <c r="R74" s="1">
        <v>0</v>
      </c>
      <c r="S74" s="1">
        <v>1</v>
      </c>
      <c r="T74" s="1">
        <v>3</v>
      </c>
      <c r="U74" s="1">
        <v>2</v>
      </c>
      <c r="V74" s="1">
        <v>32</v>
      </c>
      <c r="W74" s="1">
        <v>0</v>
      </c>
      <c r="X74" s="1">
        <v>14</v>
      </c>
      <c r="Y74" s="1">
        <v>2</v>
      </c>
      <c r="Z74" s="1">
        <v>450000</v>
      </c>
      <c r="AA74" s="1">
        <v>2</v>
      </c>
    </row>
    <row r="75" spans="1:27" ht="12.75" customHeight="1" x14ac:dyDescent="0.15">
      <c r="A75" s="5">
        <v>318</v>
      </c>
      <c r="B75" s="5" t="s">
        <v>984</v>
      </c>
      <c r="C75" s="1">
        <v>25</v>
      </c>
      <c r="D75" s="5" t="s">
        <v>981</v>
      </c>
      <c r="E75" s="1">
        <v>3</v>
      </c>
      <c r="F75" s="5" t="s">
        <v>982</v>
      </c>
      <c r="G75" s="1">
        <v>3</v>
      </c>
      <c r="H75" s="5" t="s">
        <v>982</v>
      </c>
      <c r="I75" s="1">
        <v>3</v>
      </c>
      <c r="J75" s="5" t="s">
        <v>982</v>
      </c>
      <c r="K75" s="1">
        <v>4</v>
      </c>
      <c r="L75" s="5" t="s">
        <v>982</v>
      </c>
      <c r="M75" s="1">
        <v>3</v>
      </c>
      <c r="N75" s="5" t="s">
        <v>982</v>
      </c>
      <c r="O75" s="1">
        <v>1</v>
      </c>
      <c r="P75" s="5" t="s">
        <v>982</v>
      </c>
      <c r="Q75" s="1">
        <v>1</v>
      </c>
      <c r="R75" s="1">
        <v>0</v>
      </c>
      <c r="S75" s="1">
        <v>1</v>
      </c>
      <c r="T75" s="1">
        <v>2</v>
      </c>
      <c r="U75" s="1">
        <v>2</v>
      </c>
      <c r="V75" s="1">
        <v>33</v>
      </c>
      <c r="W75" s="1">
        <v>0</v>
      </c>
      <c r="X75" s="1">
        <v>18</v>
      </c>
      <c r="Y75" s="1">
        <v>31</v>
      </c>
      <c r="Z75" s="1">
        <v>500000</v>
      </c>
      <c r="AA75" s="1">
        <v>4</v>
      </c>
    </row>
    <row r="76" spans="1:27" ht="12.75" customHeight="1" x14ac:dyDescent="0.15">
      <c r="A76" s="5">
        <v>86</v>
      </c>
      <c r="B76" s="5" t="s">
        <v>984</v>
      </c>
      <c r="C76" s="1">
        <v>21</v>
      </c>
      <c r="D76" s="5" t="s">
        <v>982</v>
      </c>
      <c r="E76" s="1">
        <v>5</v>
      </c>
      <c r="F76" s="5" t="s">
        <v>981</v>
      </c>
      <c r="G76" s="1">
        <v>3</v>
      </c>
      <c r="H76" s="5" t="s">
        <v>982</v>
      </c>
      <c r="I76" s="1">
        <v>3</v>
      </c>
      <c r="J76" s="5" t="s">
        <v>982</v>
      </c>
      <c r="K76" s="1">
        <v>4</v>
      </c>
      <c r="L76" s="5" t="s">
        <v>982</v>
      </c>
      <c r="M76" s="1">
        <v>3</v>
      </c>
      <c r="N76" s="5" t="s">
        <v>982</v>
      </c>
      <c r="O76" s="1">
        <v>0</v>
      </c>
      <c r="P76" s="5" t="s">
        <v>983</v>
      </c>
      <c r="Q76" s="1">
        <v>1</v>
      </c>
      <c r="R76" s="1">
        <v>0</v>
      </c>
      <c r="S76" s="1">
        <v>0</v>
      </c>
      <c r="T76" s="1" t="s">
        <v>194</v>
      </c>
      <c r="U76" s="1">
        <v>2</v>
      </c>
      <c r="V76" s="1">
        <v>62</v>
      </c>
      <c r="W76" s="1">
        <v>0</v>
      </c>
      <c r="X76" s="1">
        <v>14</v>
      </c>
      <c r="Y76" s="1">
        <v>5</v>
      </c>
      <c r="Z76" s="1">
        <v>700000</v>
      </c>
      <c r="AA76" s="1">
        <v>3</v>
      </c>
    </row>
    <row r="77" spans="1:27" ht="12.75" customHeight="1" x14ac:dyDescent="0.15">
      <c r="A77" s="5">
        <v>135</v>
      </c>
      <c r="B77" s="5" t="s">
        <v>984</v>
      </c>
      <c r="C77" s="1">
        <v>22</v>
      </c>
      <c r="D77" s="5" t="s">
        <v>982</v>
      </c>
      <c r="E77" s="1">
        <v>1</v>
      </c>
      <c r="F77" s="5" t="s">
        <v>983</v>
      </c>
      <c r="G77" s="1">
        <v>4</v>
      </c>
      <c r="H77" s="5" t="s">
        <v>982</v>
      </c>
      <c r="I77" s="1">
        <v>10</v>
      </c>
      <c r="J77" s="5" t="s">
        <v>981</v>
      </c>
      <c r="K77" s="1">
        <v>4</v>
      </c>
      <c r="L77" s="5" t="s">
        <v>982</v>
      </c>
      <c r="M77" s="1">
        <v>6</v>
      </c>
      <c r="N77" s="5" t="s">
        <v>981</v>
      </c>
      <c r="O77" s="1">
        <v>1</v>
      </c>
      <c r="P77" s="5" t="s">
        <v>982</v>
      </c>
      <c r="Q77" s="1">
        <v>1</v>
      </c>
      <c r="R77" s="1">
        <v>0</v>
      </c>
      <c r="S77" s="1" t="s">
        <v>194</v>
      </c>
      <c r="T77" s="1" t="s">
        <v>194</v>
      </c>
      <c r="U77" s="1" t="s">
        <v>194</v>
      </c>
      <c r="V77" s="1">
        <v>40</v>
      </c>
      <c r="W77" s="1">
        <v>0</v>
      </c>
      <c r="X77" s="1">
        <v>14</v>
      </c>
      <c r="Y77" s="1">
        <v>5</v>
      </c>
      <c r="Z77" s="1">
        <v>550000</v>
      </c>
      <c r="AA77" s="1">
        <v>1</v>
      </c>
    </row>
    <row r="78" spans="1:27" ht="12.75" customHeight="1" x14ac:dyDescent="0.15">
      <c r="A78" s="5">
        <v>366</v>
      </c>
      <c r="B78" s="5" t="s">
        <v>984</v>
      </c>
      <c r="C78" s="1">
        <v>28</v>
      </c>
      <c r="D78" s="5" t="s">
        <v>981</v>
      </c>
      <c r="E78" s="1">
        <v>4</v>
      </c>
      <c r="F78" s="5" t="s">
        <v>982</v>
      </c>
      <c r="G78" s="1">
        <v>4</v>
      </c>
      <c r="H78" s="5" t="s">
        <v>982</v>
      </c>
      <c r="I78" s="1">
        <v>5</v>
      </c>
      <c r="J78" s="5" t="s">
        <v>981</v>
      </c>
      <c r="K78" s="1">
        <v>4</v>
      </c>
      <c r="L78" s="5" t="s">
        <v>982</v>
      </c>
      <c r="M78" s="1">
        <v>3</v>
      </c>
      <c r="N78" s="5" t="s">
        <v>982</v>
      </c>
      <c r="O78" s="1">
        <v>2</v>
      </c>
      <c r="P78" s="5" t="s">
        <v>982</v>
      </c>
      <c r="Q78" s="1">
        <v>0</v>
      </c>
      <c r="R78" s="1">
        <v>0</v>
      </c>
      <c r="S78" s="1" t="s">
        <v>194</v>
      </c>
      <c r="T78" s="1">
        <v>5</v>
      </c>
      <c r="U78" s="1">
        <v>3</v>
      </c>
      <c r="V78" s="1">
        <v>33</v>
      </c>
      <c r="W78" s="1">
        <v>1</v>
      </c>
      <c r="X78" s="1">
        <v>16</v>
      </c>
      <c r="Y78" s="1">
        <v>2</v>
      </c>
      <c r="Z78" s="1">
        <v>0</v>
      </c>
      <c r="AA78" s="1">
        <v>1</v>
      </c>
    </row>
    <row r="79" spans="1:27" ht="12.75" customHeight="1" x14ac:dyDescent="0.15">
      <c r="A79" s="5">
        <v>255</v>
      </c>
      <c r="B79" s="5" t="s">
        <v>984</v>
      </c>
      <c r="C79" s="1">
        <v>28</v>
      </c>
      <c r="D79" s="5" t="s">
        <v>981</v>
      </c>
      <c r="E79" s="1">
        <v>6</v>
      </c>
      <c r="F79" s="5" t="s">
        <v>981</v>
      </c>
      <c r="G79" s="1">
        <v>4</v>
      </c>
      <c r="H79" s="5" t="s">
        <v>982</v>
      </c>
      <c r="I79" s="1">
        <v>11</v>
      </c>
      <c r="J79" s="5" t="s">
        <v>981</v>
      </c>
      <c r="K79" s="1">
        <v>4</v>
      </c>
      <c r="L79" s="5" t="s">
        <v>982</v>
      </c>
      <c r="M79" s="1">
        <v>5</v>
      </c>
      <c r="N79" s="5" t="s">
        <v>982</v>
      </c>
      <c r="O79" s="1">
        <v>13</v>
      </c>
      <c r="P79" s="5" t="s">
        <v>982</v>
      </c>
      <c r="Q79" s="1">
        <v>1</v>
      </c>
      <c r="R79" s="1">
        <v>0</v>
      </c>
      <c r="S79" s="1">
        <v>1</v>
      </c>
      <c r="T79" s="1">
        <v>3</v>
      </c>
      <c r="U79" s="1">
        <v>2</v>
      </c>
      <c r="V79" s="1">
        <v>55</v>
      </c>
      <c r="W79" s="1">
        <v>0</v>
      </c>
      <c r="X79" s="1">
        <v>2</v>
      </c>
      <c r="Y79" s="1">
        <v>1</v>
      </c>
      <c r="Z79" s="1">
        <v>350000</v>
      </c>
      <c r="AA79" s="1">
        <v>5</v>
      </c>
    </row>
    <row r="80" spans="1:27" ht="12.75" customHeight="1" x14ac:dyDescent="0.15">
      <c r="A80" s="5">
        <v>489</v>
      </c>
      <c r="B80" s="5" t="s">
        <v>984</v>
      </c>
      <c r="C80" s="1">
        <v>23</v>
      </c>
      <c r="D80" s="5" t="s">
        <v>982</v>
      </c>
      <c r="E80" s="1">
        <v>4</v>
      </c>
      <c r="F80" s="5" t="s">
        <v>982</v>
      </c>
      <c r="G80" s="1">
        <v>5</v>
      </c>
      <c r="H80" s="5" t="s">
        <v>982</v>
      </c>
      <c r="I80" s="1">
        <v>8</v>
      </c>
      <c r="J80" s="5" t="s">
        <v>981</v>
      </c>
      <c r="K80" s="1">
        <v>4</v>
      </c>
      <c r="L80" s="5" t="s">
        <v>982</v>
      </c>
      <c r="M80" s="1">
        <v>8</v>
      </c>
      <c r="N80" s="5" t="s">
        <v>981</v>
      </c>
      <c r="O80" s="1">
        <v>0</v>
      </c>
      <c r="P80" s="5" t="s">
        <v>983</v>
      </c>
      <c r="Q80" s="1">
        <v>0</v>
      </c>
      <c r="R80" s="1">
        <v>0</v>
      </c>
      <c r="S80" s="1">
        <v>1</v>
      </c>
      <c r="T80" s="1">
        <v>3</v>
      </c>
      <c r="U80" s="1">
        <v>3</v>
      </c>
      <c r="V80" s="1">
        <v>45</v>
      </c>
      <c r="W80" s="1">
        <v>0</v>
      </c>
      <c r="X80" s="1">
        <v>11</v>
      </c>
      <c r="Y80" s="1">
        <v>9</v>
      </c>
      <c r="Z80" s="1">
        <v>0</v>
      </c>
      <c r="AA80" s="1">
        <v>3</v>
      </c>
    </row>
    <row r="81" spans="1:27" ht="12.75" customHeight="1" x14ac:dyDescent="0.15">
      <c r="A81" s="5">
        <v>312</v>
      </c>
      <c r="B81" s="5" t="s">
        <v>984</v>
      </c>
      <c r="C81" s="1">
        <v>25</v>
      </c>
      <c r="D81" s="5" t="s">
        <v>981</v>
      </c>
      <c r="E81" s="1">
        <v>6</v>
      </c>
      <c r="F81" s="5" t="s">
        <v>981</v>
      </c>
      <c r="G81" s="1">
        <v>7</v>
      </c>
      <c r="H81" s="5" t="s">
        <v>981</v>
      </c>
      <c r="I81" s="1">
        <v>5</v>
      </c>
      <c r="J81" s="5" t="s">
        <v>981</v>
      </c>
      <c r="K81" s="1">
        <v>4</v>
      </c>
      <c r="L81" s="5" t="s">
        <v>982</v>
      </c>
      <c r="M81" s="1">
        <v>6</v>
      </c>
      <c r="N81" s="5" t="s">
        <v>981</v>
      </c>
      <c r="O81" s="1">
        <v>4</v>
      </c>
      <c r="P81" s="5" t="s">
        <v>982</v>
      </c>
      <c r="Q81" s="1">
        <v>0</v>
      </c>
      <c r="R81" s="1">
        <v>0</v>
      </c>
      <c r="S81" s="1" t="s">
        <v>194</v>
      </c>
      <c r="T81" s="1" t="s">
        <v>194</v>
      </c>
      <c r="U81" s="1">
        <v>1</v>
      </c>
      <c r="V81" s="1">
        <v>25</v>
      </c>
      <c r="W81" s="1">
        <v>1</v>
      </c>
      <c r="X81" s="1">
        <v>2</v>
      </c>
      <c r="Y81" s="1">
        <v>3</v>
      </c>
      <c r="Z81" s="1">
        <v>410000</v>
      </c>
      <c r="AA81" s="1">
        <v>3</v>
      </c>
    </row>
    <row r="82" spans="1:27" ht="12.75" customHeight="1" x14ac:dyDescent="0.15">
      <c r="A82" s="5">
        <v>218</v>
      </c>
      <c r="B82" s="5" t="s">
        <v>984</v>
      </c>
      <c r="C82" s="1">
        <v>23</v>
      </c>
      <c r="D82" s="5" t="s">
        <v>982</v>
      </c>
      <c r="E82" s="1">
        <v>6</v>
      </c>
      <c r="F82" s="5" t="s">
        <v>981</v>
      </c>
      <c r="G82" s="1">
        <v>8</v>
      </c>
      <c r="H82" s="5" t="s">
        <v>981</v>
      </c>
      <c r="I82" s="1">
        <v>10</v>
      </c>
      <c r="J82" s="5" t="s">
        <v>981</v>
      </c>
      <c r="K82" s="1">
        <v>4</v>
      </c>
      <c r="L82" s="5" t="s">
        <v>982</v>
      </c>
      <c r="M82" s="1">
        <v>5</v>
      </c>
      <c r="N82" s="5" t="s">
        <v>982</v>
      </c>
      <c r="O82" s="1">
        <v>2</v>
      </c>
      <c r="P82" s="5" t="s">
        <v>982</v>
      </c>
      <c r="Q82" s="1">
        <v>0</v>
      </c>
      <c r="R82" s="1">
        <v>1</v>
      </c>
      <c r="S82" s="1" t="s">
        <v>194</v>
      </c>
      <c r="T82" s="1">
        <v>3</v>
      </c>
      <c r="U82" s="1">
        <v>2</v>
      </c>
      <c r="V82" s="1">
        <v>62</v>
      </c>
      <c r="W82" s="1">
        <v>0</v>
      </c>
      <c r="X82" s="1">
        <v>16</v>
      </c>
      <c r="Y82" s="1">
        <v>8</v>
      </c>
      <c r="Z82" s="1">
        <v>600000</v>
      </c>
      <c r="AA82" s="1">
        <v>2</v>
      </c>
    </row>
    <row r="83" spans="1:27" ht="12.75" customHeight="1" x14ac:dyDescent="0.15">
      <c r="A83" s="5">
        <v>14</v>
      </c>
      <c r="B83" s="5" t="s">
        <v>984</v>
      </c>
      <c r="C83" s="1">
        <v>32</v>
      </c>
      <c r="D83" s="5" t="s">
        <v>981</v>
      </c>
      <c r="E83" s="1">
        <v>4</v>
      </c>
      <c r="F83" s="5" t="s">
        <v>982</v>
      </c>
      <c r="G83" s="1">
        <v>12</v>
      </c>
      <c r="H83" s="5" t="s">
        <v>981</v>
      </c>
      <c r="I83" s="1">
        <v>8</v>
      </c>
      <c r="J83" s="5" t="s">
        <v>981</v>
      </c>
      <c r="K83" s="1">
        <v>4</v>
      </c>
      <c r="L83" s="5" t="s">
        <v>982</v>
      </c>
      <c r="M83" s="1">
        <v>8</v>
      </c>
      <c r="N83" s="5" t="s">
        <v>981</v>
      </c>
      <c r="O83" s="1">
        <v>1</v>
      </c>
      <c r="P83" s="5" t="s">
        <v>982</v>
      </c>
      <c r="Q83" s="1">
        <v>0</v>
      </c>
      <c r="R83" s="1">
        <v>0</v>
      </c>
      <c r="S83" s="1" t="s">
        <v>194</v>
      </c>
      <c r="T83" s="1">
        <v>3</v>
      </c>
      <c r="U83" s="1">
        <v>3</v>
      </c>
      <c r="V83" s="1">
        <v>44</v>
      </c>
      <c r="W83" s="1">
        <v>1</v>
      </c>
      <c r="X83" s="1">
        <v>12</v>
      </c>
      <c r="Y83" s="1">
        <v>3</v>
      </c>
      <c r="Z83" s="1">
        <v>100000</v>
      </c>
      <c r="AA83" s="1">
        <v>3</v>
      </c>
    </row>
    <row r="84" spans="1:27" ht="12.75" customHeight="1" x14ac:dyDescent="0.15">
      <c r="A84" s="5">
        <v>48</v>
      </c>
      <c r="B84" s="5" t="s">
        <v>984</v>
      </c>
      <c r="C84" s="1">
        <v>17</v>
      </c>
      <c r="D84" s="5" t="s">
        <v>983</v>
      </c>
      <c r="E84" s="1">
        <v>0</v>
      </c>
      <c r="F84" s="5" t="s">
        <v>983</v>
      </c>
      <c r="G84" s="1">
        <v>0</v>
      </c>
      <c r="H84" s="5" t="s">
        <v>983</v>
      </c>
      <c r="I84" s="1">
        <v>6</v>
      </c>
      <c r="J84" s="5" t="s">
        <v>981</v>
      </c>
      <c r="K84" s="1">
        <v>5</v>
      </c>
      <c r="L84" s="5" t="s">
        <v>982</v>
      </c>
      <c r="M84" s="1">
        <v>1</v>
      </c>
      <c r="N84" s="5" t="s">
        <v>983</v>
      </c>
      <c r="O84" s="1">
        <v>0</v>
      </c>
      <c r="P84" s="5" t="s">
        <v>983</v>
      </c>
      <c r="Q84" s="1">
        <v>0</v>
      </c>
      <c r="R84" s="1">
        <v>0</v>
      </c>
      <c r="S84" s="1">
        <v>0</v>
      </c>
      <c r="T84" s="1">
        <v>5</v>
      </c>
      <c r="U84" s="1">
        <v>3</v>
      </c>
      <c r="V84" s="1">
        <v>47</v>
      </c>
      <c r="W84" s="1">
        <v>0</v>
      </c>
      <c r="X84" s="1">
        <v>14</v>
      </c>
      <c r="Y84" s="1">
        <v>33</v>
      </c>
      <c r="Z84" s="1">
        <v>500000</v>
      </c>
      <c r="AA84" s="1">
        <v>3</v>
      </c>
    </row>
    <row r="85" spans="1:27" ht="12.75" customHeight="1" x14ac:dyDescent="0.15">
      <c r="A85" s="5">
        <v>339</v>
      </c>
      <c r="B85" s="5" t="s">
        <v>984</v>
      </c>
      <c r="C85" s="1">
        <v>23</v>
      </c>
      <c r="D85" s="5" t="s">
        <v>982</v>
      </c>
      <c r="E85" s="1">
        <v>5</v>
      </c>
      <c r="F85" s="5" t="s">
        <v>981</v>
      </c>
      <c r="G85" s="1">
        <v>0</v>
      </c>
      <c r="H85" s="5" t="s">
        <v>983</v>
      </c>
      <c r="I85" s="1">
        <v>0</v>
      </c>
      <c r="J85" s="5" t="s">
        <v>983</v>
      </c>
      <c r="K85" s="1">
        <v>5</v>
      </c>
      <c r="L85" s="5" t="s">
        <v>982</v>
      </c>
      <c r="M85" s="1">
        <v>4</v>
      </c>
      <c r="N85" s="5" t="s">
        <v>982</v>
      </c>
      <c r="O85" s="1">
        <v>0</v>
      </c>
      <c r="P85" s="5" t="s">
        <v>983</v>
      </c>
      <c r="Q85" s="1">
        <v>0</v>
      </c>
      <c r="R85" s="1">
        <v>0</v>
      </c>
      <c r="S85" s="1" t="s">
        <v>194</v>
      </c>
      <c r="T85" s="1" t="s">
        <v>194</v>
      </c>
      <c r="U85" s="1">
        <v>1</v>
      </c>
      <c r="V85" s="1"/>
      <c r="W85" s="1">
        <v>0</v>
      </c>
      <c r="Y85" s="1">
        <v>7</v>
      </c>
      <c r="AA85" s="1">
        <v>1</v>
      </c>
    </row>
    <row r="86" spans="1:27" ht="12.75" customHeight="1" x14ac:dyDescent="0.15">
      <c r="A86" s="5">
        <v>406</v>
      </c>
      <c r="B86" s="5" t="s">
        <v>984</v>
      </c>
      <c r="C86" s="1">
        <v>33</v>
      </c>
      <c r="D86" s="5" t="s">
        <v>981</v>
      </c>
      <c r="E86" s="1">
        <v>4</v>
      </c>
      <c r="F86" s="5" t="s">
        <v>982</v>
      </c>
      <c r="G86" s="1">
        <v>3</v>
      </c>
      <c r="H86" s="5" t="s">
        <v>982</v>
      </c>
      <c r="I86" s="1">
        <v>12</v>
      </c>
      <c r="J86" s="5" t="s">
        <v>981</v>
      </c>
      <c r="K86" s="1">
        <v>5</v>
      </c>
      <c r="L86" s="5" t="s">
        <v>982</v>
      </c>
      <c r="M86" s="1">
        <v>4</v>
      </c>
      <c r="N86" s="5" t="s">
        <v>982</v>
      </c>
      <c r="O86" s="1">
        <v>4</v>
      </c>
      <c r="P86" s="5" t="s">
        <v>982</v>
      </c>
      <c r="Q86" s="1">
        <v>0</v>
      </c>
      <c r="R86" s="1">
        <v>0</v>
      </c>
      <c r="S86" s="1" t="s">
        <v>194</v>
      </c>
      <c r="T86" s="1">
        <v>2</v>
      </c>
      <c r="U86" s="1">
        <v>1</v>
      </c>
      <c r="V86" s="1">
        <v>33</v>
      </c>
      <c r="W86" s="1">
        <v>0</v>
      </c>
      <c r="X86" s="1">
        <v>16</v>
      </c>
      <c r="Y86" s="1">
        <v>34</v>
      </c>
      <c r="Z86" s="1">
        <v>120000</v>
      </c>
      <c r="AA86" s="1">
        <v>2</v>
      </c>
    </row>
    <row r="87" spans="1:27" ht="12.75" customHeight="1" x14ac:dyDescent="0.15">
      <c r="A87" s="5">
        <v>144</v>
      </c>
      <c r="B87" s="5" t="s">
        <v>984</v>
      </c>
      <c r="C87" s="1">
        <v>35</v>
      </c>
      <c r="D87" s="5" t="s">
        <v>981</v>
      </c>
      <c r="E87" s="1">
        <v>4</v>
      </c>
      <c r="F87" s="5" t="s">
        <v>982</v>
      </c>
      <c r="G87" s="1">
        <v>3</v>
      </c>
      <c r="H87" s="5" t="s">
        <v>982</v>
      </c>
      <c r="I87" s="1">
        <v>8</v>
      </c>
      <c r="J87" s="5" t="s">
        <v>981</v>
      </c>
      <c r="K87" s="1">
        <v>5</v>
      </c>
      <c r="L87" s="5" t="s">
        <v>982</v>
      </c>
      <c r="M87" s="1">
        <v>7</v>
      </c>
      <c r="N87" s="5" t="s">
        <v>981</v>
      </c>
      <c r="O87" s="1">
        <v>3</v>
      </c>
      <c r="P87" s="5" t="s">
        <v>982</v>
      </c>
      <c r="Q87" s="1">
        <v>0</v>
      </c>
      <c r="R87" s="1">
        <v>0</v>
      </c>
      <c r="S87" s="1" t="s">
        <v>194</v>
      </c>
      <c r="T87" s="1">
        <v>1</v>
      </c>
      <c r="U87" s="1">
        <v>2</v>
      </c>
      <c r="V87" s="1"/>
      <c r="W87" s="1">
        <v>0</v>
      </c>
      <c r="Y87" s="1">
        <v>3</v>
      </c>
      <c r="AA87" s="1">
        <v>3</v>
      </c>
    </row>
    <row r="88" spans="1:27" ht="12.75" customHeight="1" x14ac:dyDescent="0.15">
      <c r="A88" s="5">
        <v>304</v>
      </c>
      <c r="B88" s="5" t="s">
        <v>984</v>
      </c>
      <c r="C88" s="1">
        <v>15</v>
      </c>
      <c r="D88" s="5" t="s">
        <v>983</v>
      </c>
      <c r="E88" s="1">
        <v>5</v>
      </c>
      <c r="F88" s="5" t="s">
        <v>981</v>
      </c>
      <c r="G88" s="1">
        <v>3</v>
      </c>
      <c r="H88" s="5" t="s">
        <v>982</v>
      </c>
      <c r="I88" s="1">
        <v>0</v>
      </c>
      <c r="J88" s="5" t="s">
        <v>983</v>
      </c>
      <c r="K88" s="1">
        <v>5</v>
      </c>
      <c r="L88" s="5" t="s">
        <v>982</v>
      </c>
      <c r="M88" s="1">
        <v>1</v>
      </c>
      <c r="N88" s="5" t="s">
        <v>983</v>
      </c>
      <c r="O88" s="1">
        <v>0</v>
      </c>
      <c r="P88" s="5" t="s">
        <v>983</v>
      </c>
      <c r="Q88" s="1">
        <v>0</v>
      </c>
      <c r="R88" s="1">
        <v>0</v>
      </c>
      <c r="S88" s="1" t="s">
        <v>194</v>
      </c>
      <c r="T88" s="1">
        <v>5</v>
      </c>
      <c r="U88" s="1">
        <v>5</v>
      </c>
      <c r="V88" s="1">
        <v>36</v>
      </c>
      <c r="W88" s="1">
        <v>1</v>
      </c>
      <c r="X88" s="1">
        <v>14</v>
      </c>
      <c r="Y88" s="1">
        <v>3</v>
      </c>
      <c r="Z88" s="1">
        <v>0</v>
      </c>
      <c r="AA88" s="1">
        <v>4</v>
      </c>
    </row>
    <row r="89" spans="1:27" ht="12.75" customHeight="1" x14ac:dyDescent="0.15">
      <c r="A89" s="5">
        <v>81</v>
      </c>
      <c r="B89" s="5" t="s">
        <v>984</v>
      </c>
      <c r="C89" s="1">
        <v>15</v>
      </c>
      <c r="D89" s="5" t="s">
        <v>983</v>
      </c>
      <c r="E89" s="1">
        <v>6</v>
      </c>
      <c r="F89" s="5" t="s">
        <v>981</v>
      </c>
      <c r="G89" s="1">
        <v>6</v>
      </c>
      <c r="H89" s="5" t="s">
        <v>981</v>
      </c>
      <c r="I89" s="1">
        <v>8</v>
      </c>
      <c r="J89" s="5" t="s">
        <v>981</v>
      </c>
      <c r="K89" s="1">
        <v>5</v>
      </c>
      <c r="L89" s="5" t="s">
        <v>982</v>
      </c>
      <c r="M89" s="1">
        <v>3</v>
      </c>
      <c r="N89" s="5" t="s">
        <v>982</v>
      </c>
      <c r="O89" s="1">
        <v>1</v>
      </c>
      <c r="P89" s="5" t="s">
        <v>982</v>
      </c>
      <c r="Q89" s="1">
        <v>1</v>
      </c>
      <c r="R89" s="1">
        <v>0</v>
      </c>
      <c r="S89" s="1">
        <v>1</v>
      </c>
      <c r="T89" s="1">
        <v>2</v>
      </c>
      <c r="U89" s="1">
        <v>2</v>
      </c>
      <c r="V89" s="1"/>
      <c r="W89" s="1">
        <v>1</v>
      </c>
      <c r="Y89" s="1">
        <v>34</v>
      </c>
      <c r="AA89" s="1">
        <v>4</v>
      </c>
    </row>
    <row r="90" spans="1:27" ht="12.75" customHeight="1" x14ac:dyDescent="0.15">
      <c r="A90" s="5">
        <v>466</v>
      </c>
      <c r="B90" s="5" t="s">
        <v>984</v>
      </c>
      <c r="C90" s="1">
        <v>32</v>
      </c>
      <c r="D90" s="5" t="s">
        <v>981</v>
      </c>
      <c r="E90" s="1">
        <v>4</v>
      </c>
      <c r="F90" s="5" t="s">
        <v>982</v>
      </c>
      <c r="G90" s="1">
        <v>0</v>
      </c>
      <c r="H90" s="5" t="s">
        <v>983</v>
      </c>
      <c r="I90" s="1">
        <v>8</v>
      </c>
      <c r="J90" s="5" t="s">
        <v>981</v>
      </c>
      <c r="K90" s="1">
        <v>6</v>
      </c>
      <c r="L90" s="5" t="s">
        <v>981</v>
      </c>
      <c r="M90" s="1">
        <v>7</v>
      </c>
      <c r="N90" s="5" t="s">
        <v>981</v>
      </c>
      <c r="O90" s="1">
        <v>2</v>
      </c>
      <c r="P90" s="5" t="s">
        <v>982</v>
      </c>
      <c r="Q90" s="1">
        <v>0</v>
      </c>
      <c r="R90" s="1">
        <v>0</v>
      </c>
      <c r="S90" s="1" t="s">
        <v>194</v>
      </c>
      <c r="T90" s="1">
        <v>5</v>
      </c>
      <c r="U90" s="1">
        <v>5</v>
      </c>
      <c r="V90" s="1"/>
      <c r="W90" s="1">
        <v>0</v>
      </c>
      <c r="Y90" s="1">
        <v>10</v>
      </c>
      <c r="AA90" s="1">
        <v>4</v>
      </c>
    </row>
    <row r="91" spans="1:27" ht="12.75" customHeight="1" x14ac:dyDescent="0.15">
      <c r="A91" s="5">
        <v>25</v>
      </c>
      <c r="B91" s="5" t="s">
        <v>984</v>
      </c>
      <c r="C91" s="1">
        <v>22</v>
      </c>
      <c r="D91" s="5" t="s">
        <v>982</v>
      </c>
      <c r="E91" s="1">
        <v>3</v>
      </c>
      <c r="F91" s="5" t="s">
        <v>982</v>
      </c>
      <c r="G91" s="1">
        <v>2</v>
      </c>
      <c r="H91" s="5" t="s">
        <v>982</v>
      </c>
      <c r="I91" s="1">
        <v>6</v>
      </c>
      <c r="J91" s="5" t="s">
        <v>981</v>
      </c>
      <c r="K91" s="1">
        <v>6</v>
      </c>
      <c r="L91" s="5" t="s">
        <v>981</v>
      </c>
      <c r="M91" s="1">
        <v>6</v>
      </c>
      <c r="N91" s="5" t="s">
        <v>981</v>
      </c>
      <c r="O91" s="1">
        <v>3</v>
      </c>
      <c r="P91" s="5" t="s">
        <v>982</v>
      </c>
      <c r="Q91" s="1">
        <v>0</v>
      </c>
      <c r="R91" s="1">
        <v>1</v>
      </c>
      <c r="S91" s="1" t="s">
        <v>194</v>
      </c>
      <c r="T91" s="1">
        <v>3</v>
      </c>
      <c r="U91" s="1">
        <v>2</v>
      </c>
      <c r="V91" s="1">
        <v>39</v>
      </c>
      <c r="W91" s="1">
        <v>0</v>
      </c>
      <c r="X91" s="1">
        <v>15</v>
      </c>
      <c r="Y91" s="1">
        <v>29</v>
      </c>
      <c r="Z91" s="1">
        <v>350000</v>
      </c>
      <c r="AA91" s="1">
        <v>3</v>
      </c>
    </row>
    <row r="92" spans="1:27" ht="12.75" customHeight="1" x14ac:dyDescent="0.15">
      <c r="A92" s="5">
        <v>104</v>
      </c>
      <c r="B92" s="5" t="s">
        <v>984</v>
      </c>
      <c r="C92" s="1">
        <v>29</v>
      </c>
      <c r="D92" s="5" t="s">
        <v>981</v>
      </c>
      <c r="E92" s="1">
        <v>5</v>
      </c>
      <c r="F92" s="5" t="s">
        <v>981</v>
      </c>
      <c r="G92" s="1">
        <v>2</v>
      </c>
      <c r="H92" s="5" t="s">
        <v>982</v>
      </c>
      <c r="I92" s="1">
        <v>10</v>
      </c>
      <c r="J92" s="5" t="s">
        <v>981</v>
      </c>
      <c r="K92" s="1">
        <v>6</v>
      </c>
      <c r="L92" s="5" t="s">
        <v>981</v>
      </c>
      <c r="M92" s="1">
        <v>6</v>
      </c>
      <c r="N92" s="5" t="s">
        <v>981</v>
      </c>
      <c r="O92" s="1">
        <v>0</v>
      </c>
      <c r="P92" s="5" t="s">
        <v>983</v>
      </c>
      <c r="Q92" s="1">
        <v>0</v>
      </c>
      <c r="R92" s="1">
        <v>0</v>
      </c>
      <c r="S92" s="1">
        <v>1</v>
      </c>
      <c r="T92" s="1">
        <v>5</v>
      </c>
      <c r="U92" s="1">
        <v>3</v>
      </c>
      <c r="V92" s="1">
        <v>37</v>
      </c>
      <c r="W92" s="1">
        <v>0</v>
      </c>
      <c r="X92" s="1">
        <v>17</v>
      </c>
      <c r="Y92" s="1">
        <v>31</v>
      </c>
      <c r="Z92" s="1">
        <v>1800000</v>
      </c>
      <c r="AA92" s="1">
        <v>3</v>
      </c>
    </row>
    <row r="93" spans="1:27" ht="12.75" customHeight="1" x14ac:dyDescent="0.15">
      <c r="A93" s="5">
        <v>361</v>
      </c>
      <c r="B93" s="5" t="s">
        <v>984</v>
      </c>
      <c r="C93" s="1">
        <v>33</v>
      </c>
      <c r="D93" s="5" t="s">
        <v>981</v>
      </c>
      <c r="E93" s="1">
        <v>3</v>
      </c>
      <c r="F93" s="5" t="s">
        <v>982</v>
      </c>
      <c r="G93" s="1">
        <v>3</v>
      </c>
      <c r="H93" s="5" t="s">
        <v>982</v>
      </c>
      <c r="I93" s="1">
        <v>4</v>
      </c>
      <c r="J93" s="5" t="s">
        <v>982</v>
      </c>
      <c r="K93" s="1">
        <v>6</v>
      </c>
      <c r="L93" s="5" t="s">
        <v>981</v>
      </c>
      <c r="M93" s="1">
        <v>1</v>
      </c>
      <c r="N93" s="5" t="s">
        <v>983</v>
      </c>
      <c r="O93" s="1">
        <v>0</v>
      </c>
      <c r="P93" s="5" t="s">
        <v>983</v>
      </c>
      <c r="Q93" s="1">
        <v>0</v>
      </c>
      <c r="R93" s="1">
        <v>0</v>
      </c>
      <c r="S93" s="1" t="s">
        <v>194</v>
      </c>
      <c r="T93" s="1">
        <v>5</v>
      </c>
      <c r="U93" s="1">
        <v>4</v>
      </c>
      <c r="V93" s="1">
        <v>36</v>
      </c>
      <c r="W93" s="1">
        <v>0</v>
      </c>
      <c r="X93" s="1">
        <v>14</v>
      </c>
      <c r="Y93" s="1">
        <v>2</v>
      </c>
      <c r="Z93" s="1">
        <v>0</v>
      </c>
      <c r="AA93" s="1">
        <v>4</v>
      </c>
    </row>
    <row r="94" spans="1:27" ht="12.75" customHeight="1" x14ac:dyDescent="0.15">
      <c r="A94" s="5">
        <v>50</v>
      </c>
      <c r="B94" s="5" t="s">
        <v>984</v>
      </c>
      <c r="C94" s="1">
        <v>24</v>
      </c>
      <c r="D94" s="5" t="s">
        <v>981</v>
      </c>
      <c r="E94" s="1">
        <v>5</v>
      </c>
      <c r="F94" s="5" t="s">
        <v>981</v>
      </c>
      <c r="G94" s="1">
        <v>6</v>
      </c>
      <c r="H94" s="5" t="s">
        <v>981</v>
      </c>
      <c r="I94" s="1">
        <v>8</v>
      </c>
      <c r="J94" s="5" t="s">
        <v>981</v>
      </c>
      <c r="K94" s="1">
        <v>6</v>
      </c>
      <c r="L94" s="5" t="s">
        <v>981</v>
      </c>
      <c r="M94" s="1">
        <v>6</v>
      </c>
      <c r="N94" s="5" t="s">
        <v>981</v>
      </c>
      <c r="O94" s="1">
        <v>1</v>
      </c>
      <c r="P94" s="5" t="s">
        <v>982</v>
      </c>
      <c r="Q94" s="1">
        <v>1</v>
      </c>
      <c r="R94" s="1">
        <v>0</v>
      </c>
      <c r="S94" s="1">
        <v>1</v>
      </c>
      <c r="T94" s="1">
        <v>3</v>
      </c>
      <c r="U94" s="1">
        <v>3</v>
      </c>
      <c r="V94" s="1">
        <v>54</v>
      </c>
      <c r="W94" s="1">
        <v>0</v>
      </c>
      <c r="X94" s="1">
        <v>16</v>
      </c>
      <c r="Y94" s="1">
        <v>34</v>
      </c>
      <c r="Z94" s="1">
        <v>0</v>
      </c>
      <c r="AA94" s="1">
        <v>2</v>
      </c>
    </row>
    <row r="95" spans="1:27" ht="12.75" customHeight="1" x14ac:dyDescent="0.15">
      <c r="A95" s="5">
        <v>455</v>
      </c>
      <c r="B95" s="5" t="s">
        <v>984</v>
      </c>
      <c r="C95" s="1">
        <v>17</v>
      </c>
      <c r="D95" s="5" t="s">
        <v>983</v>
      </c>
      <c r="E95" s="1">
        <v>6</v>
      </c>
      <c r="F95" s="5" t="s">
        <v>981</v>
      </c>
      <c r="G95" s="1">
        <v>6</v>
      </c>
      <c r="H95" s="5" t="s">
        <v>981</v>
      </c>
      <c r="I95" s="1">
        <v>8</v>
      </c>
      <c r="J95" s="5" t="s">
        <v>981</v>
      </c>
      <c r="K95" s="1">
        <v>6</v>
      </c>
      <c r="L95" s="5" t="s">
        <v>981</v>
      </c>
      <c r="M95" s="1">
        <v>6</v>
      </c>
      <c r="N95" s="5" t="s">
        <v>981</v>
      </c>
      <c r="O95" s="1">
        <v>2</v>
      </c>
      <c r="P95" s="5" t="s">
        <v>982</v>
      </c>
      <c r="Q95" s="1">
        <v>1</v>
      </c>
      <c r="R95" s="1">
        <v>0</v>
      </c>
      <c r="S95" s="1">
        <v>1</v>
      </c>
      <c r="T95" s="1">
        <v>2</v>
      </c>
      <c r="U95" s="1">
        <v>2</v>
      </c>
      <c r="V95" s="1">
        <v>47</v>
      </c>
      <c r="W95" s="1">
        <v>0</v>
      </c>
      <c r="X95" s="1">
        <v>14</v>
      </c>
      <c r="Y95" s="1">
        <v>24</v>
      </c>
      <c r="Z95" s="1">
        <v>600000</v>
      </c>
      <c r="AA95" s="1">
        <v>2</v>
      </c>
    </row>
    <row r="96" spans="1:27" ht="12.75" customHeight="1" x14ac:dyDescent="0.15">
      <c r="A96" s="5">
        <v>481</v>
      </c>
      <c r="B96" s="5" t="s">
        <v>984</v>
      </c>
      <c r="C96" s="1">
        <v>24</v>
      </c>
      <c r="D96" s="5" t="s">
        <v>981</v>
      </c>
      <c r="E96" s="1">
        <v>6</v>
      </c>
      <c r="F96" s="5" t="s">
        <v>981</v>
      </c>
      <c r="G96" s="1">
        <v>6</v>
      </c>
      <c r="H96" s="5" t="s">
        <v>981</v>
      </c>
      <c r="I96" s="1">
        <v>8</v>
      </c>
      <c r="J96" s="5" t="s">
        <v>981</v>
      </c>
      <c r="K96" s="1">
        <v>6</v>
      </c>
      <c r="L96" s="5" t="s">
        <v>981</v>
      </c>
      <c r="M96" s="1">
        <v>6</v>
      </c>
      <c r="N96" s="5" t="s">
        <v>981</v>
      </c>
      <c r="O96" s="1">
        <v>0</v>
      </c>
      <c r="P96" s="5" t="s">
        <v>983</v>
      </c>
      <c r="Q96" s="1">
        <v>1</v>
      </c>
      <c r="R96" s="1">
        <v>0</v>
      </c>
      <c r="S96" s="1">
        <v>1</v>
      </c>
      <c r="T96" s="1">
        <v>5</v>
      </c>
      <c r="U96" s="1">
        <v>5</v>
      </c>
      <c r="V96" s="1">
        <v>53</v>
      </c>
      <c r="W96" s="1">
        <v>0</v>
      </c>
      <c r="X96" s="1">
        <v>14</v>
      </c>
      <c r="Y96" s="1">
        <v>7</v>
      </c>
      <c r="Z96" s="1">
        <v>250000</v>
      </c>
      <c r="AA96" s="1">
        <v>1</v>
      </c>
    </row>
    <row r="97" spans="1:27" ht="12.75" customHeight="1" x14ac:dyDescent="0.15">
      <c r="A97" s="5">
        <v>88</v>
      </c>
      <c r="B97" s="5" t="s">
        <v>984</v>
      </c>
      <c r="C97" s="1">
        <v>15</v>
      </c>
      <c r="D97" s="5" t="s">
        <v>983</v>
      </c>
      <c r="E97" s="1">
        <v>3</v>
      </c>
      <c r="F97" s="5" t="s">
        <v>982</v>
      </c>
      <c r="G97" s="1">
        <v>8</v>
      </c>
      <c r="H97" s="5" t="s">
        <v>981</v>
      </c>
      <c r="I97" s="1">
        <v>6</v>
      </c>
      <c r="J97" s="5" t="s">
        <v>981</v>
      </c>
      <c r="K97" s="1">
        <v>6</v>
      </c>
      <c r="L97" s="5" t="s">
        <v>981</v>
      </c>
      <c r="M97" s="1">
        <v>6</v>
      </c>
      <c r="N97" s="5" t="s">
        <v>981</v>
      </c>
      <c r="O97" s="1">
        <v>5</v>
      </c>
      <c r="P97" s="5" t="s">
        <v>982</v>
      </c>
      <c r="Q97" s="1">
        <v>1</v>
      </c>
      <c r="R97" s="1">
        <v>0</v>
      </c>
      <c r="S97" s="1">
        <v>1</v>
      </c>
      <c r="T97" s="1">
        <v>4</v>
      </c>
      <c r="U97" s="1">
        <v>3</v>
      </c>
      <c r="V97" s="1">
        <v>54</v>
      </c>
      <c r="W97" s="1">
        <v>1</v>
      </c>
      <c r="X97" s="1">
        <v>13</v>
      </c>
      <c r="Y97" s="1">
        <v>3</v>
      </c>
      <c r="Z97" s="1">
        <v>700000</v>
      </c>
      <c r="AA97" s="1">
        <v>3</v>
      </c>
    </row>
    <row r="98" spans="1:27" ht="12.75" customHeight="1" x14ac:dyDescent="0.15">
      <c r="A98" s="5">
        <v>95</v>
      </c>
      <c r="B98" s="5" t="s">
        <v>984</v>
      </c>
      <c r="C98" s="1">
        <v>13</v>
      </c>
      <c r="D98" s="5" t="s">
        <v>983</v>
      </c>
      <c r="E98" s="1">
        <v>6</v>
      </c>
      <c r="F98" s="5" t="s">
        <v>981</v>
      </c>
      <c r="G98" s="1">
        <v>9</v>
      </c>
      <c r="H98" s="5" t="s">
        <v>981</v>
      </c>
      <c r="I98" s="1">
        <v>9</v>
      </c>
      <c r="J98" s="5" t="s">
        <v>981</v>
      </c>
      <c r="K98" s="1">
        <v>6</v>
      </c>
      <c r="L98" s="5" t="s">
        <v>981</v>
      </c>
      <c r="M98" s="1">
        <v>6</v>
      </c>
      <c r="N98" s="5" t="s">
        <v>981</v>
      </c>
      <c r="O98" s="1">
        <v>0</v>
      </c>
      <c r="P98" s="5" t="s">
        <v>983</v>
      </c>
      <c r="Q98" s="1">
        <v>1</v>
      </c>
      <c r="R98" s="1">
        <v>0</v>
      </c>
      <c r="S98" s="1">
        <v>1</v>
      </c>
      <c r="T98" s="1">
        <v>5</v>
      </c>
      <c r="U98" s="1">
        <v>5</v>
      </c>
      <c r="V98" s="1">
        <v>44</v>
      </c>
      <c r="W98" s="1">
        <v>0</v>
      </c>
      <c r="X98" s="1">
        <v>16</v>
      </c>
      <c r="Y98" s="1">
        <v>13</v>
      </c>
      <c r="Z98" s="1">
        <v>1300000</v>
      </c>
      <c r="AA98" s="1">
        <v>3</v>
      </c>
    </row>
    <row r="99" spans="1:27" ht="12.75" customHeight="1" x14ac:dyDescent="0.15">
      <c r="A99" s="5">
        <v>228</v>
      </c>
      <c r="B99" s="5" t="s">
        <v>984</v>
      </c>
      <c r="C99" s="1">
        <v>13</v>
      </c>
      <c r="D99" s="5" t="s">
        <v>983</v>
      </c>
      <c r="E99" s="1">
        <v>4</v>
      </c>
      <c r="F99" s="5" t="s">
        <v>982</v>
      </c>
      <c r="G99" s="1">
        <v>11</v>
      </c>
      <c r="H99" s="5" t="s">
        <v>981</v>
      </c>
      <c r="I99" s="1">
        <v>4</v>
      </c>
      <c r="J99" s="5" t="s">
        <v>982</v>
      </c>
      <c r="K99" s="1">
        <v>6</v>
      </c>
      <c r="L99" s="5" t="s">
        <v>981</v>
      </c>
      <c r="M99" s="1">
        <v>6</v>
      </c>
      <c r="N99" s="5" t="s">
        <v>981</v>
      </c>
      <c r="O99" s="1">
        <v>0</v>
      </c>
      <c r="P99" s="5" t="s">
        <v>983</v>
      </c>
      <c r="Q99" s="1">
        <v>1</v>
      </c>
      <c r="R99" s="1">
        <v>0</v>
      </c>
      <c r="S99" s="1">
        <v>1</v>
      </c>
      <c r="T99" s="1">
        <v>5</v>
      </c>
      <c r="U99" s="1">
        <v>4</v>
      </c>
      <c r="V99" s="1">
        <v>49</v>
      </c>
      <c r="W99" s="1">
        <v>0</v>
      </c>
      <c r="X99" s="1">
        <v>16</v>
      </c>
      <c r="Y99" s="1">
        <v>24</v>
      </c>
      <c r="Z99" s="1">
        <v>0</v>
      </c>
      <c r="AA99" s="1">
        <v>3</v>
      </c>
    </row>
    <row r="100" spans="1:27" ht="12.75" customHeight="1" x14ac:dyDescent="0.15">
      <c r="A100" s="5">
        <v>385</v>
      </c>
      <c r="B100" s="5" t="s">
        <v>984</v>
      </c>
      <c r="C100" s="1">
        <v>34</v>
      </c>
      <c r="D100" s="5" t="s">
        <v>981</v>
      </c>
      <c r="E100" s="1">
        <v>5</v>
      </c>
      <c r="F100" s="5" t="s">
        <v>981</v>
      </c>
      <c r="G100" s="1">
        <v>11</v>
      </c>
      <c r="H100" s="5" t="s">
        <v>981</v>
      </c>
      <c r="I100" s="1">
        <v>15</v>
      </c>
      <c r="J100" s="5" t="s">
        <v>981</v>
      </c>
      <c r="K100" s="1">
        <v>6</v>
      </c>
      <c r="L100" s="5" t="s">
        <v>981</v>
      </c>
      <c r="M100" s="1">
        <v>11</v>
      </c>
      <c r="N100" s="5" t="s">
        <v>981</v>
      </c>
      <c r="O100" s="1">
        <v>11</v>
      </c>
      <c r="P100" s="5" t="s">
        <v>982</v>
      </c>
      <c r="Q100" s="1">
        <v>1</v>
      </c>
      <c r="R100" s="1">
        <v>0</v>
      </c>
      <c r="S100" s="1">
        <v>1</v>
      </c>
      <c r="T100" s="1">
        <v>2</v>
      </c>
      <c r="U100" s="1">
        <v>1</v>
      </c>
      <c r="V100" s="1"/>
      <c r="W100" s="1">
        <v>1</v>
      </c>
      <c r="Y100" s="1">
        <v>4</v>
      </c>
      <c r="AA100" s="1">
        <v>7</v>
      </c>
    </row>
    <row r="101" spans="1:27" ht="12.75" customHeight="1" x14ac:dyDescent="0.15">
      <c r="A101" s="5">
        <v>106</v>
      </c>
      <c r="B101" s="5" t="s">
        <v>984</v>
      </c>
      <c r="C101" s="1">
        <v>36</v>
      </c>
      <c r="D101" s="5" t="s">
        <v>981</v>
      </c>
      <c r="E101" s="1">
        <v>1</v>
      </c>
      <c r="F101" s="5" t="s">
        <v>983</v>
      </c>
      <c r="G101" s="1">
        <v>8</v>
      </c>
      <c r="H101" s="5" t="s">
        <v>981</v>
      </c>
      <c r="I101" s="1">
        <v>1</v>
      </c>
      <c r="J101" s="5" t="s">
        <v>982</v>
      </c>
      <c r="K101" s="1">
        <v>7</v>
      </c>
      <c r="L101" s="5" t="s">
        <v>981</v>
      </c>
      <c r="M101" s="1">
        <v>7</v>
      </c>
      <c r="N101" s="5" t="s">
        <v>981</v>
      </c>
      <c r="O101" s="1">
        <v>1</v>
      </c>
      <c r="P101" s="5" t="s">
        <v>982</v>
      </c>
      <c r="Q101" s="1">
        <v>0</v>
      </c>
      <c r="R101" s="1">
        <v>0</v>
      </c>
      <c r="S101" s="1" t="s">
        <v>194</v>
      </c>
      <c r="T101" s="1">
        <v>3</v>
      </c>
      <c r="U101" s="1">
        <v>3</v>
      </c>
      <c r="V101" s="1"/>
      <c r="W101" s="1">
        <v>1</v>
      </c>
      <c r="X101" s="1">
        <v>8</v>
      </c>
      <c r="Y101" s="1">
        <v>11</v>
      </c>
      <c r="Z101" s="1">
        <v>650000</v>
      </c>
      <c r="AA101" s="1">
        <v>3</v>
      </c>
    </row>
    <row r="102" spans="1:27" ht="12.75" customHeight="1" x14ac:dyDescent="0.15">
      <c r="A102" s="5">
        <v>398</v>
      </c>
      <c r="B102" s="5" t="s">
        <v>984</v>
      </c>
      <c r="C102" s="1">
        <v>29</v>
      </c>
      <c r="D102" s="5" t="s">
        <v>981</v>
      </c>
      <c r="E102" s="1">
        <v>6</v>
      </c>
      <c r="F102" s="5" t="s">
        <v>981</v>
      </c>
      <c r="G102" s="1">
        <v>8</v>
      </c>
      <c r="H102" s="5" t="s">
        <v>981</v>
      </c>
      <c r="I102" s="1">
        <v>5</v>
      </c>
      <c r="J102" s="5" t="s">
        <v>981</v>
      </c>
      <c r="K102" s="1">
        <v>7</v>
      </c>
      <c r="L102" s="5" t="s">
        <v>981</v>
      </c>
      <c r="M102" s="1">
        <v>9</v>
      </c>
      <c r="N102" s="5" t="s">
        <v>981</v>
      </c>
      <c r="O102" s="1">
        <v>0</v>
      </c>
      <c r="P102" s="5" t="s">
        <v>983</v>
      </c>
      <c r="Q102" s="1">
        <v>1</v>
      </c>
      <c r="R102" s="1">
        <v>0</v>
      </c>
      <c r="S102" s="1" t="s">
        <v>194</v>
      </c>
      <c r="T102" s="1" t="s">
        <v>194</v>
      </c>
      <c r="U102" s="1">
        <v>3</v>
      </c>
      <c r="V102" s="1"/>
      <c r="W102" s="1">
        <v>1</v>
      </c>
      <c r="Y102" s="1">
        <v>1</v>
      </c>
      <c r="AA102" s="1">
        <v>2</v>
      </c>
    </row>
    <row r="103" spans="1:27" ht="12.75" customHeight="1" x14ac:dyDescent="0.15">
      <c r="A103" s="5">
        <v>295</v>
      </c>
      <c r="B103" s="5" t="s">
        <v>984</v>
      </c>
      <c r="C103" s="1">
        <v>27</v>
      </c>
      <c r="D103" s="5" t="s">
        <v>981</v>
      </c>
      <c r="E103" s="1">
        <v>9</v>
      </c>
      <c r="F103" s="5" t="s">
        <v>981</v>
      </c>
      <c r="G103" s="1">
        <v>9</v>
      </c>
      <c r="H103" s="5" t="s">
        <v>981</v>
      </c>
      <c r="I103" s="1">
        <v>4</v>
      </c>
      <c r="J103" s="5" t="s">
        <v>982</v>
      </c>
      <c r="K103" s="1">
        <v>7</v>
      </c>
      <c r="L103" s="5" t="s">
        <v>981</v>
      </c>
      <c r="M103" s="1">
        <v>12</v>
      </c>
      <c r="N103" s="5" t="s">
        <v>981</v>
      </c>
      <c r="O103" s="1">
        <v>0</v>
      </c>
      <c r="P103" s="5" t="s">
        <v>983</v>
      </c>
      <c r="Q103" s="1">
        <v>0</v>
      </c>
      <c r="R103" s="1">
        <v>0</v>
      </c>
      <c r="S103" s="1" t="s">
        <v>194</v>
      </c>
      <c r="T103" s="1">
        <v>2</v>
      </c>
      <c r="U103" s="1">
        <v>3</v>
      </c>
      <c r="V103" s="1">
        <v>59</v>
      </c>
      <c r="W103" s="1">
        <v>1</v>
      </c>
      <c r="X103" s="1">
        <v>16</v>
      </c>
      <c r="Y103" s="1">
        <v>24</v>
      </c>
      <c r="Z103" s="1">
        <v>400000</v>
      </c>
      <c r="AA103" s="1">
        <v>1</v>
      </c>
    </row>
    <row r="104" spans="1:27" ht="12.75" customHeight="1" x14ac:dyDescent="0.15">
      <c r="A104" s="5">
        <v>440</v>
      </c>
      <c r="B104" s="5" t="s">
        <v>984</v>
      </c>
      <c r="C104" s="1">
        <v>29</v>
      </c>
      <c r="D104" s="5" t="s">
        <v>981</v>
      </c>
      <c r="E104" s="1">
        <v>0</v>
      </c>
      <c r="F104" s="5" t="s">
        <v>983</v>
      </c>
      <c r="G104" s="1">
        <v>5</v>
      </c>
      <c r="H104" s="5" t="s">
        <v>982</v>
      </c>
      <c r="I104" s="1">
        <v>9</v>
      </c>
      <c r="J104" s="5" t="s">
        <v>981</v>
      </c>
      <c r="K104" s="1">
        <v>8</v>
      </c>
      <c r="L104" s="5" t="s">
        <v>981</v>
      </c>
      <c r="M104" s="1">
        <v>4</v>
      </c>
      <c r="N104" s="5" t="s">
        <v>982</v>
      </c>
      <c r="O104" s="1">
        <v>5</v>
      </c>
      <c r="P104" s="5" t="s">
        <v>982</v>
      </c>
      <c r="Q104" s="1">
        <v>0</v>
      </c>
      <c r="R104" s="1">
        <v>0</v>
      </c>
      <c r="S104" s="1">
        <v>0</v>
      </c>
      <c r="T104" s="1" t="s">
        <v>194</v>
      </c>
      <c r="U104" s="1">
        <v>4</v>
      </c>
      <c r="V104" s="1">
        <v>59</v>
      </c>
      <c r="W104" s="1">
        <v>0</v>
      </c>
      <c r="X104" s="1">
        <v>14</v>
      </c>
      <c r="Y104" s="1">
        <v>34</v>
      </c>
      <c r="Z104" s="1">
        <v>200000</v>
      </c>
      <c r="AA104" s="1">
        <v>5</v>
      </c>
    </row>
    <row r="105" spans="1:27" ht="12.75" customHeight="1" x14ac:dyDescent="0.15">
      <c r="A105" s="5">
        <v>445</v>
      </c>
      <c r="B105" s="5" t="s">
        <v>984</v>
      </c>
      <c r="C105" s="1">
        <v>29</v>
      </c>
      <c r="D105" s="5" t="s">
        <v>981</v>
      </c>
      <c r="E105" s="1">
        <v>3</v>
      </c>
      <c r="F105" s="5" t="s">
        <v>982</v>
      </c>
      <c r="G105" s="1">
        <v>5</v>
      </c>
      <c r="H105" s="5" t="s">
        <v>982</v>
      </c>
      <c r="I105" s="1">
        <v>8</v>
      </c>
      <c r="J105" s="5" t="s">
        <v>981</v>
      </c>
      <c r="K105" s="1">
        <v>8</v>
      </c>
      <c r="L105" s="5" t="s">
        <v>981</v>
      </c>
      <c r="M105" s="1">
        <v>0</v>
      </c>
      <c r="N105" s="5" t="s">
        <v>983</v>
      </c>
      <c r="O105" s="1">
        <v>0</v>
      </c>
      <c r="P105" s="5" t="s">
        <v>983</v>
      </c>
      <c r="Q105" s="1">
        <v>1</v>
      </c>
      <c r="R105" s="1">
        <v>0</v>
      </c>
      <c r="S105" s="1">
        <v>1</v>
      </c>
      <c r="T105" s="1">
        <v>4</v>
      </c>
      <c r="U105" s="1">
        <v>3</v>
      </c>
      <c r="V105" s="1">
        <v>30</v>
      </c>
      <c r="W105" s="1">
        <v>1</v>
      </c>
      <c r="X105" s="1">
        <v>10</v>
      </c>
      <c r="Y105" s="1">
        <v>8</v>
      </c>
      <c r="Z105" s="1">
        <v>0</v>
      </c>
      <c r="AA105" s="1">
        <v>3</v>
      </c>
    </row>
    <row r="106" spans="1:27" ht="12.75" customHeight="1" x14ac:dyDescent="0.15">
      <c r="A106" s="5">
        <v>453</v>
      </c>
      <c r="B106" s="5" t="s">
        <v>984</v>
      </c>
      <c r="C106" s="1">
        <v>41</v>
      </c>
      <c r="D106" s="5" t="s">
        <v>981</v>
      </c>
      <c r="E106" s="1">
        <v>2</v>
      </c>
      <c r="F106" s="5" t="s">
        <v>982</v>
      </c>
      <c r="G106" s="1">
        <v>6</v>
      </c>
      <c r="H106" s="5" t="s">
        <v>981</v>
      </c>
      <c r="I106" s="1">
        <v>11</v>
      </c>
      <c r="J106" s="5" t="s">
        <v>981</v>
      </c>
      <c r="K106" s="1">
        <v>8</v>
      </c>
      <c r="L106" s="5" t="s">
        <v>981</v>
      </c>
      <c r="M106" s="1">
        <v>8</v>
      </c>
      <c r="N106" s="5" t="s">
        <v>981</v>
      </c>
      <c r="O106" s="1">
        <v>3</v>
      </c>
      <c r="P106" s="5" t="s">
        <v>982</v>
      </c>
      <c r="Q106" s="1">
        <v>1</v>
      </c>
      <c r="R106" s="1">
        <v>0</v>
      </c>
      <c r="S106" s="1">
        <v>1</v>
      </c>
      <c r="T106" s="1">
        <v>3</v>
      </c>
      <c r="U106" s="1">
        <v>3</v>
      </c>
      <c r="V106" s="1">
        <v>39</v>
      </c>
      <c r="W106" s="1">
        <v>0</v>
      </c>
      <c r="X106" s="1">
        <v>2</v>
      </c>
      <c r="Y106" s="1">
        <v>34</v>
      </c>
      <c r="Z106" s="1">
        <v>900000</v>
      </c>
      <c r="AA106" s="1">
        <v>1</v>
      </c>
    </row>
    <row r="107" spans="1:27" ht="12.75" customHeight="1" x14ac:dyDescent="0.15">
      <c r="A107" s="5">
        <v>342</v>
      </c>
      <c r="B107" s="5" t="s">
        <v>984</v>
      </c>
      <c r="C107" s="1">
        <v>34</v>
      </c>
      <c r="D107" s="5" t="s">
        <v>981</v>
      </c>
      <c r="E107" s="1">
        <v>3</v>
      </c>
      <c r="F107" s="5" t="s">
        <v>982</v>
      </c>
      <c r="G107" s="1">
        <v>6</v>
      </c>
      <c r="H107" s="5" t="s">
        <v>981</v>
      </c>
      <c r="I107" s="1">
        <v>11</v>
      </c>
      <c r="J107" s="5" t="s">
        <v>981</v>
      </c>
      <c r="K107" s="1">
        <v>8</v>
      </c>
      <c r="L107" s="5" t="s">
        <v>981</v>
      </c>
      <c r="M107" s="1">
        <v>1</v>
      </c>
      <c r="N107" s="5" t="s">
        <v>983</v>
      </c>
      <c r="O107" s="1">
        <v>3</v>
      </c>
      <c r="P107" s="5" t="s">
        <v>982</v>
      </c>
      <c r="Q107" s="1">
        <v>0</v>
      </c>
      <c r="R107" s="1">
        <v>0</v>
      </c>
      <c r="S107" s="1" t="s">
        <v>194</v>
      </c>
      <c r="T107" s="1" t="s">
        <v>194</v>
      </c>
      <c r="U107" s="1">
        <v>3</v>
      </c>
      <c r="V107" s="1">
        <v>52</v>
      </c>
      <c r="W107" s="1">
        <v>1</v>
      </c>
      <c r="X107" s="1">
        <v>11</v>
      </c>
      <c r="Y107" s="1">
        <v>34</v>
      </c>
      <c r="Z107" s="1">
        <v>600000</v>
      </c>
      <c r="AA107" s="1">
        <v>1</v>
      </c>
    </row>
    <row r="108" spans="1:27" ht="12.75" customHeight="1" x14ac:dyDescent="0.15">
      <c r="A108" s="5">
        <v>468</v>
      </c>
      <c r="B108" s="5" t="s">
        <v>984</v>
      </c>
      <c r="C108" s="1">
        <v>22</v>
      </c>
      <c r="D108" s="5" t="s">
        <v>982</v>
      </c>
      <c r="E108" s="1">
        <v>8</v>
      </c>
      <c r="F108" s="5" t="s">
        <v>981</v>
      </c>
      <c r="G108" s="1">
        <v>7</v>
      </c>
      <c r="H108" s="5" t="s">
        <v>981</v>
      </c>
      <c r="I108" s="1">
        <v>6</v>
      </c>
      <c r="J108" s="5" t="s">
        <v>981</v>
      </c>
      <c r="K108" s="1">
        <v>8</v>
      </c>
      <c r="L108" s="5" t="s">
        <v>981</v>
      </c>
      <c r="M108" s="1">
        <v>7</v>
      </c>
      <c r="N108" s="5" t="s">
        <v>981</v>
      </c>
      <c r="O108" s="1">
        <v>6</v>
      </c>
      <c r="P108" s="5" t="s">
        <v>982</v>
      </c>
      <c r="Q108" s="1">
        <v>0</v>
      </c>
      <c r="R108" s="1">
        <v>1</v>
      </c>
      <c r="S108" s="1" t="s">
        <v>194</v>
      </c>
      <c r="T108" s="1">
        <v>1</v>
      </c>
      <c r="U108" s="1">
        <v>2</v>
      </c>
      <c r="V108" s="1"/>
      <c r="W108" s="1">
        <v>0</v>
      </c>
      <c r="Y108" s="1">
        <v>1</v>
      </c>
      <c r="AA108" s="1">
        <v>1</v>
      </c>
    </row>
    <row r="109" spans="1:27" ht="12.75" customHeight="1" x14ac:dyDescent="0.15">
      <c r="A109" s="5">
        <v>72</v>
      </c>
      <c r="B109" s="5" t="s">
        <v>984</v>
      </c>
      <c r="C109" s="1">
        <v>32</v>
      </c>
      <c r="D109" s="5" t="s">
        <v>981</v>
      </c>
      <c r="E109" s="1">
        <v>7</v>
      </c>
      <c r="F109" s="5" t="s">
        <v>981</v>
      </c>
      <c r="G109" s="1">
        <v>9</v>
      </c>
      <c r="H109" s="5" t="s">
        <v>981</v>
      </c>
      <c r="I109" s="1">
        <v>5</v>
      </c>
      <c r="J109" s="5" t="s">
        <v>981</v>
      </c>
      <c r="K109" s="1">
        <v>8</v>
      </c>
      <c r="L109" s="5" t="s">
        <v>981</v>
      </c>
      <c r="M109" s="1">
        <v>9</v>
      </c>
      <c r="N109" s="5" t="s">
        <v>981</v>
      </c>
      <c r="O109" s="1">
        <v>0</v>
      </c>
      <c r="P109" s="5" t="s">
        <v>983</v>
      </c>
      <c r="Q109" s="1">
        <v>0</v>
      </c>
      <c r="R109" s="1">
        <v>0</v>
      </c>
      <c r="S109" s="1" t="s">
        <v>194</v>
      </c>
      <c r="T109" s="1">
        <v>4</v>
      </c>
      <c r="U109" s="1">
        <v>2</v>
      </c>
      <c r="V109" s="1">
        <v>53</v>
      </c>
      <c r="W109" s="1">
        <v>0</v>
      </c>
      <c r="X109" s="1">
        <v>14</v>
      </c>
      <c r="Y109" s="1">
        <v>24</v>
      </c>
      <c r="Z109" s="1">
        <v>450000</v>
      </c>
      <c r="AA109" s="1">
        <v>4</v>
      </c>
    </row>
    <row r="110" spans="1:27" ht="12.75" customHeight="1" x14ac:dyDescent="0.15">
      <c r="A110" s="5">
        <v>493</v>
      </c>
      <c r="B110" s="5" t="s">
        <v>984</v>
      </c>
      <c r="C110" s="1">
        <v>26</v>
      </c>
      <c r="D110" s="5" t="s">
        <v>981</v>
      </c>
      <c r="E110" s="1">
        <v>5</v>
      </c>
      <c r="F110" s="5" t="s">
        <v>981</v>
      </c>
      <c r="G110" s="1">
        <v>3</v>
      </c>
      <c r="H110" s="5" t="s">
        <v>982</v>
      </c>
      <c r="I110" s="1">
        <v>5</v>
      </c>
      <c r="J110" s="5" t="s">
        <v>981</v>
      </c>
      <c r="K110" s="1">
        <v>9</v>
      </c>
      <c r="L110" s="5" t="s">
        <v>981</v>
      </c>
      <c r="M110" s="1">
        <v>10</v>
      </c>
      <c r="N110" s="5" t="s">
        <v>981</v>
      </c>
      <c r="O110" s="1">
        <v>0</v>
      </c>
      <c r="P110" s="5" t="s">
        <v>983</v>
      </c>
      <c r="Q110" s="1">
        <v>1</v>
      </c>
      <c r="R110" s="1">
        <v>0</v>
      </c>
      <c r="S110" s="1">
        <v>1</v>
      </c>
      <c r="T110" s="1">
        <v>3</v>
      </c>
      <c r="U110" s="1">
        <v>3</v>
      </c>
      <c r="V110" s="1">
        <v>33</v>
      </c>
      <c r="W110" s="1">
        <v>0</v>
      </c>
      <c r="X110" s="1">
        <v>14</v>
      </c>
      <c r="Y110" s="1">
        <v>2</v>
      </c>
      <c r="Z110" s="1">
        <v>300000</v>
      </c>
      <c r="AA110" s="1">
        <v>4</v>
      </c>
    </row>
    <row r="111" spans="1:27" ht="12.75" customHeight="1" x14ac:dyDescent="0.15">
      <c r="A111" s="5">
        <v>189</v>
      </c>
      <c r="B111" s="5" t="s">
        <v>984</v>
      </c>
      <c r="C111" s="1">
        <v>18</v>
      </c>
      <c r="D111" s="5" t="s">
        <v>983</v>
      </c>
      <c r="E111" s="1">
        <v>6</v>
      </c>
      <c r="F111" s="5" t="s">
        <v>981</v>
      </c>
      <c r="G111" s="1">
        <v>4</v>
      </c>
      <c r="H111" s="5" t="s">
        <v>982</v>
      </c>
      <c r="I111" s="1">
        <v>4</v>
      </c>
      <c r="J111" s="5" t="s">
        <v>982</v>
      </c>
      <c r="K111" s="1">
        <v>9</v>
      </c>
      <c r="L111" s="5" t="s">
        <v>981</v>
      </c>
      <c r="M111" s="1">
        <v>9</v>
      </c>
      <c r="N111" s="5" t="s">
        <v>981</v>
      </c>
      <c r="O111" s="1">
        <v>0</v>
      </c>
      <c r="P111" s="5" t="s">
        <v>983</v>
      </c>
      <c r="Q111" s="1">
        <v>1</v>
      </c>
      <c r="R111" s="1">
        <v>0</v>
      </c>
      <c r="S111" s="1">
        <v>1</v>
      </c>
      <c r="T111" s="1">
        <v>3</v>
      </c>
      <c r="U111" s="1">
        <v>1</v>
      </c>
      <c r="V111" s="1">
        <v>29</v>
      </c>
      <c r="W111" s="1">
        <v>0</v>
      </c>
      <c r="X111" s="1">
        <v>15</v>
      </c>
      <c r="Y111" s="1">
        <v>2</v>
      </c>
      <c r="Z111" s="1">
        <v>250000</v>
      </c>
      <c r="AA111" s="1">
        <v>2</v>
      </c>
    </row>
    <row r="112" spans="1:27" ht="12.75" customHeight="1" x14ac:dyDescent="0.15">
      <c r="A112" s="5">
        <v>26</v>
      </c>
      <c r="B112" s="5" t="s">
        <v>984</v>
      </c>
      <c r="C112" s="1">
        <v>24</v>
      </c>
      <c r="D112" s="5" t="s">
        <v>981</v>
      </c>
      <c r="E112" s="1">
        <v>6</v>
      </c>
      <c r="F112" s="5" t="s">
        <v>981</v>
      </c>
      <c r="G112" s="1">
        <v>4</v>
      </c>
      <c r="H112" s="5" t="s">
        <v>982</v>
      </c>
      <c r="I112" s="1">
        <v>9</v>
      </c>
      <c r="J112" s="5" t="s">
        <v>981</v>
      </c>
      <c r="K112" s="1">
        <v>9</v>
      </c>
      <c r="L112" s="5" t="s">
        <v>981</v>
      </c>
      <c r="M112" s="1">
        <v>6</v>
      </c>
      <c r="N112" s="5" t="s">
        <v>981</v>
      </c>
      <c r="O112" s="1">
        <v>7</v>
      </c>
      <c r="P112" s="5" t="s">
        <v>982</v>
      </c>
      <c r="Q112" s="1">
        <v>1</v>
      </c>
      <c r="R112" s="1">
        <v>0</v>
      </c>
      <c r="S112" s="1" t="s">
        <v>194</v>
      </c>
      <c r="T112" s="1">
        <v>2</v>
      </c>
      <c r="U112" s="1">
        <v>1</v>
      </c>
      <c r="V112" s="1">
        <v>41</v>
      </c>
      <c r="W112" s="1">
        <v>0</v>
      </c>
      <c r="X112" s="1">
        <v>14</v>
      </c>
      <c r="Y112" s="1">
        <v>7</v>
      </c>
      <c r="Z112" s="1">
        <v>0</v>
      </c>
      <c r="AA112" s="1">
        <v>4</v>
      </c>
    </row>
    <row r="113" spans="1:27" ht="12.75" customHeight="1" x14ac:dyDescent="0.15">
      <c r="A113" s="5">
        <v>201</v>
      </c>
      <c r="B113" s="5" t="s">
        <v>984</v>
      </c>
      <c r="C113" s="1">
        <v>29</v>
      </c>
      <c r="D113" s="5" t="s">
        <v>981</v>
      </c>
      <c r="E113" s="1">
        <v>6</v>
      </c>
      <c r="F113" s="5" t="s">
        <v>981</v>
      </c>
      <c r="G113" s="1">
        <v>6</v>
      </c>
      <c r="H113" s="5" t="s">
        <v>981</v>
      </c>
      <c r="I113" s="1">
        <v>6</v>
      </c>
      <c r="J113" s="5" t="s">
        <v>981</v>
      </c>
      <c r="K113" s="1">
        <v>9</v>
      </c>
      <c r="L113" s="5" t="s">
        <v>981</v>
      </c>
      <c r="M113" s="1">
        <v>9</v>
      </c>
      <c r="N113" s="5" t="s">
        <v>981</v>
      </c>
      <c r="O113" s="1">
        <v>2</v>
      </c>
      <c r="P113" s="5" t="s">
        <v>982</v>
      </c>
      <c r="Q113" s="1">
        <v>0</v>
      </c>
      <c r="R113" s="1">
        <v>0</v>
      </c>
      <c r="S113" s="1" t="s">
        <v>194</v>
      </c>
      <c r="T113" s="1">
        <v>2</v>
      </c>
      <c r="U113" s="1">
        <v>1</v>
      </c>
      <c r="V113" s="1">
        <v>54</v>
      </c>
      <c r="W113" s="1">
        <v>0</v>
      </c>
      <c r="X113" s="1">
        <v>5</v>
      </c>
      <c r="Y113" s="1">
        <v>11</v>
      </c>
      <c r="Z113" s="1">
        <v>1500000</v>
      </c>
      <c r="AA113" s="1">
        <v>2</v>
      </c>
    </row>
    <row r="114" spans="1:27" ht="12.75" customHeight="1" x14ac:dyDescent="0.15">
      <c r="A114" s="5">
        <v>30</v>
      </c>
      <c r="B114" s="5" t="s">
        <v>984</v>
      </c>
      <c r="C114" s="1">
        <v>26</v>
      </c>
      <c r="D114" s="5" t="s">
        <v>981</v>
      </c>
      <c r="E114" s="1">
        <v>7</v>
      </c>
      <c r="F114" s="5" t="s">
        <v>981</v>
      </c>
      <c r="G114" s="1">
        <v>6</v>
      </c>
      <c r="H114" s="5" t="s">
        <v>981</v>
      </c>
      <c r="I114" s="1">
        <v>9</v>
      </c>
      <c r="J114" s="5" t="s">
        <v>981</v>
      </c>
      <c r="K114" s="1">
        <v>9</v>
      </c>
      <c r="L114" s="5" t="s">
        <v>981</v>
      </c>
      <c r="M114" s="1">
        <v>12</v>
      </c>
      <c r="N114" s="5" t="s">
        <v>981</v>
      </c>
      <c r="O114" s="1">
        <v>3</v>
      </c>
      <c r="P114" s="5" t="s">
        <v>982</v>
      </c>
      <c r="Q114" s="1">
        <v>0</v>
      </c>
      <c r="R114" s="1">
        <v>1</v>
      </c>
      <c r="S114" s="1" t="s">
        <v>194</v>
      </c>
      <c r="T114" s="1" t="s">
        <v>194</v>
      </c>
      <c r="U114" s="1" t="s">
        <v>194</v>
      </c>
      <c r="V114" s="1">
        <v>68</v>
      </c>
      <c r="W114" s="1">
        <v>0</v>
      </c>
      <c r="X114" s="1">
        <v>14</v>
      </c>
      <c r="Y114" s="1">
        <v>34</v>
      </c>
      <c r="Z114" s="1">
        <v>700000</v>
      </c>
      <c r="AA114" s="1">
        <v>2</v>
      </c>
    </row>
    <row r="115" spans="1:27" ht="12.75" customHeight="1" x14ac:dyDescent="0.15">
      <c r="A115" s="5">
        <v>122</v>
      </c>
      <c r="B115" s="5" t="s">
        <v>984</v>
      </c>
      <c r="C115" s="1">
        <v>22</v>
      </c>
      <c r="D115" s="5" t="s">
        <v>982</v>
      </c>
      <c r="E115" s="1">
        <v>3</v>
      </c>
      <c r="F115" s="5" t="s">
        <v>982</v>
      </c>
      <c r="G115" s="1">
        <v>7</v>
      </c>
      <c r="H115" s="5" t="s">
        <v>981</v>
      </c>
      <c r="I115" s="1">
        <v>3</v>
      </c>
      <c r="J115" s="5" t="s">
        <v>982</v>
      </c>
      <c r="K115" s="1">
        <v>9</v>
      </c>
      <c r="L115" s="5" t="s">
        <v>981</v>
      </c>
      <c r="M115" s="1">
        <v>4</v>
      </c>
      <c r="N115" s="5" t="s">
        <v>982</v>
      </c>
      <c r="O115" s="1">
        <v>0</v>
      </c>
      <c r="P115" s="5" t="s">
        <v>983</v>
      </c>
      <c r="Q115" s="1">
        <v>0</v>
      </c>
      <c r="R115" s="1">
        <v>0</v>
      </c>
      <c r="S115" s="1" t="s">
        <v>194</v>
      </c>
      <c r="T115" s="1">
        <v>2</v>
      </c>
      <c r="U115" s="1">
        <v>2</v>
      </c>
      <c r="V115" s="1">
        <v>34</v>
      </c>
      <c r="W115" s="1">
        <v>0</v>
      </c>
      <c r="X115" s="1">
        <v>14</v>
      </c>
      <c r="Y115" s="1">
        <v>34</v>
      </c>
      <c r="Z115" s="1">
        <v>190000</v>
      </c>
      <c r="AA115" s="1">
        <v>4</v>
      </c>
    </row>
    <row r="116" spans="1:27" ht="12.75" customHeight="1" x14ac:dyDescent="0.15">
      <c r="A116" s="5">
        <v>427</v>
      </c>
      <c r="B116" s="5" t="s">
        <v>984</v>
      </c>
      <c r="C116" s="1">
        <v>17</v>
      </c>
      <c r="D116" s="5" t="s">
        <v>983</v>
      </c>
      <c r="E116" s="1">
        <v>9</v>
      </c>
      <c r="F116" s="5" t="s">
        <v>981</v>
      </c>
      <c r="G116" s="1">
        <v>8</v>
      </c>
      <c r="H116" s="5" t="s">
        <v>981</v>
      </c>
      <c r="I116" s="1">
        <v>0</v>
      </c>
      <c r="J116" s="5" t="s">
        <v>983</v>
      </c>
      <c r="K116" s="1">
        <v>9</v>
      </c>
      <c r="L116" s="5" t="s">
        <v>981</v>
      </c>
      <c r="M116" s="1">
        <v>12</v>
      </c>
      <c r="N116" s="5" t="s">
        <v>981</v>
      </c>
      <c r="O116" s="1">
        <v>1</v>
      </c>
      <c r="P116" s="5" t="s">
        <v>982</v>
      </c>
      <c r="Q116" s="1">
        <v>1</v>
      </c>
      <c r="R116" s="1">
        <v>0</v>
      </c>
      <c r="S116" s="1">
        <v>1</v>
      </c>
      <c r="T116" s="1">
        <v>3</v>
      </c>
      <c r="U116" s="1">
        <v>3</v>
      </c>
      <c r="V116" s="1">
        <v>53</v>
      </c>
      <c r="W116" s="1">
        <v>1</v>
      </c>
      <c r="X116" s="1">
        <v>14</v>
      </c>
      <c r="Y116" s="1">
        <v>34</v>
      </c>
      <c r="Z116" s="1">
        <v>300000</v>
      </c>
      <c r="AA116" s="1">
        <v>5</v>
      </c>
    </row>
    <row r="117" spans="1:27" ht="12.75" customHeight="1" x14ac:dyDescent="0.15">
      <c r="A117" s="5">
        <v>450</v>
      </c>
      <c r="B117" s="5" t="s">
        <v>984</v>
      </c>
      <c r="C117" s="1">
        <v>13</v>
      </c>
      <c r="D117" s="5" t="s">
        <v>983</v>
      </c>
      <c r="E117" s="1">
        <v>9</v>
      </c>
      <c r="F117" s="5" t="s">
        <v>981</v>
      </c>
      <c r="G117" s="1">
        <v>9</v>
      </c>
      <c r="H117" s="5" t="s">
        <v>981</v>
      </c>
      <c r="I117" s="1">
        <v>4</v>
      </c>
      <c r="J117" s="5" t="s">
        <v>982</v>
      </c>
      <c r="K117" s="1">
        <v>9</v>
      </c>
      <c r="L117" s="5" t="s">
        <v>981</v>
      </c>
      <c r="M117" s="1">
        <v>9</v>
      </c>
      <c r="N117" s="5" t="s">
        <v>981</v>
      </c>
      <c r="O117" s="1">
        <v>3</v>
      </c>
      <c r="P117" s="5" t="s">
        <v>982</v>
      </c>
      <c r="Q117" s="1">
        <v>1</v>
      </c>
      <c r="R117" s="1">
        <v>1</v>
      </c>
      <c r="S117" s="1" t="s">
        <v>194</v>
      </c>
      <c r="T117" s="1">
        <v>4</v>
      </c>
      <c r="U117" s="1">
        <v>3</v>
      </c>
      <c r="V117" s="1">
        <v>33</v>
      </c>
      <c r="W117" s="1">
        <v>0</v>
      </c>
      <c r="X117" s="1">
        <v>2</v>
      </c>
      <c r="Y117" s="1">
        <v>10</v>
      </c>
      <c r="Z117" s="1">
        <v>150000</v>
      </c>
      <c r="AA117" s="1">
        <v>3</v>
      </c>
    </row>
    <row r="118" spans="1:27" ht="12.75" customHeight="1" x14ac:dyDescent="0.15">
      <c r="A118" s="5">
        <v>308</v>
      </c>
      <c r="B118" s="5" t="s">
        <v>984</v>
      </c>
      <c r="C118" s="1">
        <v>25</v>
      </c>
      <c r="D118" s="5" t="s">
        <v>981</v>
      </c>
      <c r="E118" s="1">
        <v>9</v>
      </c>
      <c r="F118" s="5" t="s">
        <v>981</v>
      </c>
      <c r="G118" s="1">
        <v>9</v>
      </c>
      <c r="H118" s="5" t="s">
        <v>981</v>
      </c>
      <c r="I118" s="1">
        <v>4</v>
      </c>
      <c r="J118" s="5" t="s">
        <v>982</v>
      </c>
      <c r="K118" s="1">
        <v>9</v>
      </c>
      <c r="L118" s="5" t="s">
        <v>981</v>
      </c>
      <c r="M118" s="1">
        <v>9</v>
      </c>
      <c r="N118" s="5" t="s">
        <v>981</v>
      </c>
      <c r="O118" s="1">
        <v>0</v>
      </c>
      <c r="P118" s="5" t="s">
        <v>983</v>
      </c>
      <c r="Q118" s="1">
        <v>0</v>
      </c>
      <c r="R118" s="1">
        <v>0</v>
      </c>
      <c r="S118" s="1" t="s">
        <v>194</v>
      </c>
      <c r="T118" s="1" t="s">
        <v>194</v>
      </c>
      <c r="U118" s="1">
        <v>2</v>
      </c>
      <c r="V118" s="1">
        <v>34</v>
      </c>
      <c r="W118" s="1">
        <v>0</v>
      </c>
      <c r="X118" s="1">
        <v>15</v>
      </c>
      <c r="Y118" s="1">
        <v>30</v>
      </c>
      <c r="Z118" s="1">
        <v>450000</v>
      </c>
      <c r="AA118" s="1">
        <v>2</v>
      </c>
    </row>
    <row r="119" spans="1:27" ht="12.75" customHeight="1" x14ac:dyDescent="0.15">
      <c r="A119" s="5">
        <v>405</v>
      </c>
      <c r="B119" s="5" t="s">
        <v>984</v>
      </c>
      <c r="C119" s="1">
        <v>26</v>
      </c>
      <c r="D119" s="5" t="s">
        <v>981</v>
      </c>
      <c r="E119" s="1">
        <v>9</v>
      </c>
      <c r="F119" s="5" t="s">
        <v>981</v>
      </c>
      <c r="G119" s="1">
        <v>9</v>
      </c>
      <c r="H119" s="5" t="s">
        <v>981</v>
      </c>
      <c r="I119" s="1">
        <v>3</v>
      </c>
      <c r="J119" s="5" t="s">
        <v>982</v>
      </c>
      <c r="K119" s="1">
        <v>9</v>
      </c>
      <c r="L119" s="5" t="s">
        <v>981</v>
      </c>
      <c r="M119" s="1">
        <v>9</v>
      </c>
      <c r="N119" s="5" t="s">
        <v>981</v>
      </c>
      <c r="O119" s="1">
        <v>0</v>
      </c>
      <c r="P119" s="5" t="s">
        <v>983</v>
      </c>
      <c r="Q119" s="1">
        <v>0</v>
      </c>
      <c r="R119" s="1">
        <v>0</v>
      </c>
      <c r="S119" s="1" t="s">
        <v>194</v>
      </c>
      <c r="T119" s="1" t="s">
        <v>194</v>
      </c>
      <c r="U119" s="1" t="s">
        <v>194</v>
      </c>
      <c r="V119" s="1">
        <v>33</v>
      </c>
      <c r="W119" s="1">
        <v>0</v>
      </c>
      <c r="X119" s="1">
        <v>16</v>
      </c>
      <c r="Y119" s="1">
        <v>34</v>
      </c>
      <c r="Z119" s="1">
        <v>120000</v>
      </c>
      <c r="AA119" s="1">
        <v>2</v>
      </c>
    </row>
    <row r="120" spans="1:27" ht="12.75" customHeight="1" x14ac:dyDescent="0.15">
      <c r="A120" s="5">
        <v>472</v>
      </c>
      <c r="B120" s="5" t="s">
        <v>984</v>
      </c>
      <c r="C120" s="1">
        <v>13</v>
      </c>
      <c r="D120" s="5" t="s">
        <v>983</v>
      </c>
      <c r="E120" s="1">
        <v>1</v>
      </c>
      <c r="F120" s="5" t="s">
        <v>983</v>
      </c>
      <c r="G120" s="1">
        <v>10</v>
      </c>
      <c r="H120" s="5" t="s">
        <v>981</v>
      </c>
      <c r="I120" s="1">
        <v>8</v>
      </c>
      <c r="J120" s="5" t="s">
        <v>981</v>
      </c>
      <c r="K120" s="1">
        <v>9</v>
      </c>
      <c r="L120" s="5" t="s">
        <v>981</v>
      </c>
      <c r="M120" s="1">
        <v>10</v>
      </c>
      <c r="N120" s="5" t="s">
        <v>981</v>
      </c>
      <c r="O120" s="1">
        <v>5</v>
      </c>
      <c r="P120" s="5" t="s">
        <v>982</v>
      </c>
      <c r="Q120" s="1">
        <v>1</v>
      </c>
      <c r="R120" s="1">
        <v>0</v>
      </c>
      <c r="S120" s="1">
        <v>1</v>
      </c>
      <c r="T120" s="1">
        <v>3</v>
      </c>
      <c r="U120" s="1">
        <v>3</v>
      </c>
      <c r="V120" s="1"/>
      <c r="W120" s="1">
        <v>0</v>
      </c>
      <c r="Y120" s="1">
        <v>7</v>
      </c>
      <c r="AA120" s="1">
        <v>4</v>
      </c>
    </row>
    <row r="121" spans="1:27" ht="12.75" customHeight="1" x14ac:dyDescent="0.15">
      <c r="A121" s="5">
        <v>403</v>
      </c>
      <c r="B121" s="5" t="s">
        <v>984</v>
      </c>
      <c r="C121" s="1">
        <v>25</v>
      </c>
      <c r="D121" s="5" t="s">
        <v>981</v>
      </c>
      <c r="E121" s="1">
        <v>4</v>
      </c>
      <c r="F121" s="5" t="s">
        <v>982</v>
      </c>
      <c r="G121" s="1">
        <v>10</v>
      </c>
      <c r="H121" s="5" t="s">
        <v>981</v>
      </c>
      <c r="I121" s="1">
        <v>7</v>
      </c>
      <c r="J121" s="5" t="s">
        <v>981</v>
      </c>
      <c r="K121" s="1">
        <v>9</v>
      </c>
      <c r="L121" s="5" t="s">
        <v>981</v>
      </c>
      <c r="M121" s="1">
        <v>10</v>
      </c>
      <c r="N121" s="5" t="s">
        <v>981</v>
      </c>
      <c r="O121" s="1">
        <v>3</v>
      </c>
      <c r="P121" s="5" t="s">
        <v>982</v>
      </c>
      <c r="Q121" s="1">
        <v>0</v>
      </c>
      <c r="R121" s="1">
        <v>0</v>
      </c>
      <c r="S121" s="1" t="s">
        <v>194</v>
      </c>
      <c r="T121" s="1">
        <v>5</v>
      </c>
      <c r="U121" s="1">
        <v>3</v>
      </c>
      <c r="V121" s="1"/>
      <c r="W121" s="1">
        <v>1</v>
      </c>
      <c r="Y121" s="1">
        <v>32</v>
      </c>
      <c r="AA121" s="1">
        <v>2</v>
      </c>
    </row>
    <row r="122" spans="1:27" ht="12.75" customHeight="1" x14ac:dyDescent="0.15">
      <c r="A122" s="5">
        <v>155</v>
      </c>
      <c r="B122" s="5" t="s">
        <v>984</v>
      </c>
      <c r="C122" s="1">
        <v>35</v>
      </c>
      <c r="D122" s="5" t="s">
        <v>981</v>
      </c>
      <c r="E122" s="1">
        <v>2</v>
      </c>
      <c r="F122" s="5" t="s">
        <v>982</v>
      </c>
      <c r="G122" s="1">
        <v>12</v>
      </c>
      <c r="H122" s="5" t="s">
        <v>981</v>
      </c>
      <c r="I122" s="1">
        <v>14</v>
      </c>
      <c r="J122" s="5" t="s">
        <v>981</v>
      </c>
      <c r="K122" s="1">
        <v>9</v>
      </c>
      <c r="L122" s="5" t="s">
        <v>981</v>
      </c>
      <c r="M122" s="1">
        <v>4</v>
      </c>
      <c r="N122" s="5" t="s">
        <v>982</v>
      </c>
      <c r="O122" s="1">
        <v>0</v>
      </c>
      <c r="P122" s="5" t="s">
        <v>983</v>
      </c>
      <c r="Q122" s="1">
        <v>1</v>
      </c>
      <c r="R122" s="1">
        <v>0</v>
      </c>
      <c r="S122" s="1" t="s">
        <v>194</v>
      </c>
      <c r="T122" s="1">
        <v>4</v>
      </c>
      <c r="U122" s="1">
        <v>4</v>
      </c>
      <c r="V122" s="1">
        <v>34</v>
      </c>
      <c r="W122" s="1">
        <v>1</v>
      </c>
      <c r="X122" s="1">
        <v>14</v>
      </c>
      <c r="Y122" s="1">
        <v>18</v>
      </c>
      <c r="Z122" s="1">
        <v>47000</v>
      </c>
      <c r="AA122" s="1">
        <v>1</v>
      </c>
    </row>
    <row r="123" spans="1:27" ht="12.75" customHeight="1" x14ac:dyDescent="0.15">
      <c r="A123" s="5">
        <v>41</v>
      </c>
      <c r="B123" s="5" t="s">
        <v>984</v>
      </c>
      <c r="C123" s="1">
        <v>34</v>
      </c>
      <c r="D123" s="5" t="s">
        <v>981</v>
      </c>
      <c r="E123" s="1">
        <v>7</v>
      </c>
      <c r="F123" s="5" t="s">
        <v>981</v>
      </c>
      <c r="G123" s="1">
        <v>12</v>
      </c>
      <c r="H123" s="5" t="s">
        <v>981</v>
      </c>
      <c r="I123" s="1">
        <v>6</v>
      </c>
      <c r="J123" s="5" t="s">
        <v>981</v>
      </c>
      <c r="K123" s="1">
        <v>9</v>
      </c>
      <c r="L123" s="5" t="s">
        <v>981</v>
      </c>
      <c r="M123" s="1">
        <v>7</v>
      </c>
      <c r="N123" s="5" t="s">
        <v>981</v>
      </c>
      <c r="O123" s="1">
        <v>9</v>
      </c>
      <c r="P123" s="5" t="s">
        <v>982</v>
      </c>
      <c r="Q123" s="1">
        <v>1</v>
      </c>
      <c r="R123" s="1">
        <v>0</v>
      </c>
      <c r="S123" s="1">
        <v>1</v>
      </c>
      <c r="T123" s="1">
        <v>2</v>
      </c>
      <c r="U123" s="1">
        <v>2</v>
      </c>
      <c r="V123" s="1">
        <v>64</v>
      </c>
      <c r="W123" s="1">
        <v>1</v>
      </c>
      <c r="X123" s="1">
        <v>13</v>
      </c>
      <c r="Y123" s="1">
        <v>24</v>
      </c>
      <c r="Z123" s="1">
        <v>600000</v>
      </c>
      <c r="AA123" s="1">
        <v>2</v>
      </c>
    </row>
    <row r="124" spans="1:27" ht="12.75" customHeight="1" x14ac:dyDescent="0.15">
      <c r="A124" s="5">
        <v>442</v>
      </c>
      <c r="B124" s="5" t="s">
        <v>984</v>
      </c>
      <c r="C124" s="1">
        <v>21</v>
      </c>
      <c r="D124" s="5" t="s">
        <v>982</v>
      </c>
      <c r="E124" s="1">
        <v>1</v>
      </c>
      <c r="F124" s="5" t="s">
        <v>983</v>
      </c>
      <c r="G124" s="1">
        <v>12</v>
      </c>
      <c r="H124" s="5" t="s">
        <v>981</v>
      </c>
      <c r="I124" s="1">
        <v>2</v>
      </c>
      <c r="J124" s="5" t="s">
        <v>982</v>
      </c>
      <c r="K124" s="1">
        <v>10</v>
      </c>
      <c r="L124" s="5" t="s">
        <v>981</v>
      </c>
      <c r="M124" s="1">
        <v>4</v>
      </c>
      <c r="N124" s="5" t="s">
        <v>982</v>
      </c>
      <c r="O124" s="1">
        <v>5</v>
      </c>
      <c r="P124" s="5" t="s">
        <v>982</v>
      </c>
      <c r="Q124" s="1">
        <v>0</v>
      </c>
      <c r="R124" s="1">
        <v>0</v>
      </c>
      <c r="S124" s="1" t="s">
        <v>194</v>
      </c>
      <c r="T124" s="1" t="s">
        <v>194</v>
      </c>
      <c r="U124" s="1">
        <v>3</v>
      </c>
      <c r="V124" s="1">
        <v>53</v>
      </c>
      <c r="W124" s="1">
        <v>0</v>
      </c>
      <c r="X124" s="1">
        <v>14</v>
      </c>
      <c r="Y124" s="1">
        <v>24</v>
      </c>
      <c r="Z124" s="1">
        <v>550000</v>
      </c>
      <c r="AA124" s="1">
        <v>2</v>
      </c>
    </row>
    <row r="125" spans="1:27" ht="12.75" customHeight="1" x14ac:dyDescent="0.15">
      <c r="A125" s="5">
        <v>99</v>
      </c>
      <c r="B125" s="5" t="s">
        <v>984</v>
      </c>
      <c r="C125" s="1">
        <v>42</v>
      </c>
      <c r="D125" s="5" t="s">
        <v>981</v>
      </c>
      <c r="E125" s="1">
        <v>4</v>
      </c>
      <c r="F125" s="5" t="s">
        <v>982</v>
      </c>
      <c r="G125" s="1">
        <v>9</v>
      </c>
      <c r="H125" s="5" t="s">
        <v>981</v>
      </c>
      <c r="I125" s="1">
        <v>7</v>
      </c>
      <c r="J125" s="5" t="s">
        <v>981</v>
      </c>
      <c r="K125" s="1">
        <v>11</v>
      </c>
      <c r="L125" s="5" t="s">
        <v>981</v>
      </c>
      <c r="M125" s="1">
        <v>7</v>
      </c>
      <c r="N125" s="5" t="s">
        <v>981</v>
      </c>
      <c r="O125" s="1">
        <v>1</v>
      </c>
      <c r="P125" s="5" t="s">
        <v>982</v>
      </c>
      <c r="Q125" s="1">
        <v>1</v>
      </c>
      <c r="R125" s="1">
        <v>0</v>
      </c>
      <c r="S125" s="1" t="s">
        <v>194</v>
      </c>
      <c r="T125" s="1" t="s">
        <v>194</v>
      </c>
      <c r="U125" s="1">
        <v>3</v>
      </c>
      <c r="V125" s="1">
        <v>59</v>
      </c>
      <c r="W125" s="1">
        <v>1</v>
      </c>
      <c r="X125" s="1">
        <v>14</v>
      </c>
      <c r="Y125" s="1">
        <v>6</v>
      </c>
      <c r="Z125" s="1">
        <v>3000000</v>
      </c>
      <c r="AA125" s="1">
        <v>3</v>
      </c>
    </row>
    <row r="126" spans="1:27" ht="12.75" customHeight="1" x14ac:dyDescent="0.15">
      <c r="A126" s="5">
        <v>128</v>
      </c>
      <c r="B126" s="5" t="s">
        <v>984</v>
      </c>
      <c r="C126" s="1">
        <v>22</v>
      </c>
      <c r="D126" s="5" t="s">
        <v>982</v>
      </c>
      <c r="E126" s="1">
        <v>7</v>
      </c>
      <c r="F126" s="5" t="s">
        <v>981</v>
      </c>
      <c r="G126" s="1">
        <v>1</v>
      </c>
      <c r="H126" s="5" t="s">
        <v>983</v>
      </c>
      <c r="I126" s="1">
        <v>8</v>
      </c>
      <c r="J126" s="5" t="s">
        <v>981</v>
      </c>
      <c r="K126" s="1">
        <v>12</v>
      </c>
      <c r="L126" s="5" t="s">
        <v>981</v>
      </c>
      <c r="M126" s="1">
        <v>12</v>
      </c>
      <c r="N126" s="5" t="s">
        <v>981</v>
      </c>
      <c r="O126" s="1">
        <v>0</v>
      </c>
      <c r="P126" s="5" t="s">
        <v>983</v>
      </c>
      <c r="Q126" s="1">
        <v>0</v>
      </c>
      <c r="R126" s="1">
        <v>0</v>
      </c>
      <c r="S126" s="1" t="s">
        <v>194</v>
      </c>
      <c r="T126" s="1">
        <v>3</v>
      </c>
      <c r="U126" s="1">
        <v>3</v>
      </c>
      <c r="V126" s="1">
        <v>45</v>
      </c>
      <c r="W126" s="1">
        <v>0</v>
      </c>
      <c r="X126" s="1">
        <v>14</v>
      </c>
      <c r="Y126" s="1">
        <v>7</v>
      </c>
      <c r="Z126" s="1">
        <v>650000</v>
      </c>
      <c r="AA126" s="1">
        <v>1</v>
      </c>
    </row>
    <row r="127" spans="1:27" ht="12.75" customHeight="1" x14ac:dyDescent="0.15">
      <c r="A127" s="5">
        <v>214</v>
      </c>
      <c r="B127" s="5" t="s">
        <v>984</v>
      </c>
      <c r="C127" s="1">
        <v>15</v>
      </c>
      <c r="D127" s="5" t="s">
        <v>983</v>
      </c>
      <c r="E127" s="1">
        <v>9</v>
      </c>
      <c r="F127" s="5" t="s">
        <v>981</v>
      </c>
      <c r="G127" s="1">
        <v>3</v>
      </c>
      <c r="H127" s="5" t="s">
        <v>982</v>
      </c>
      <c r="I127" s="1">
        <v>3</v>
      </c>
      <c r="J127" s="5" t="s">
        <v>982</v>
      </c>
      <c r="K127" s="1">
        <v>12</v>
      </c>
      <c r="L127" s="5" t="s">
        <v>981</v>
      </c>
      <c r="M127" s="1">
        <v>12</v>
      </c>
      <c r="N127" s="5" t="s">
        <v>981</v>
      </c>
      <c r="O127" s="1">
        <v>0</v>
      </c>
      <c r="P127" s="5" t="s">
        <v>983</v>
      </c>
      <c r="Q127" s="1">
        <v>0</v>
      </c>
      <c r="R127" s="1">
        <v>1</v>
      </c>
      <c r="S127" s="1" t="s">
        <v>194</v>
      </c>
      <c r="T127" s="1" t="s">
        <v>194</v>
      </c>
      <c r="U127" s="1">
        <v>1</v>
      </c>
      <c r="V127" s="1">
        <v>31</v>
      </c>
      <c r="W127" s="1">
        <v>1</v>
      </c>
      <c r="X127" s="1">
        <v>14</v>
      </c>
      <c r="Y127" s="1">
        <v>15</v>
      </c>
      <c r="Z127" s="1">
        <v>100000</v>
      </c>
      <c r="AA127" s="1">
        <v>4</v>
      </c>
    </row>
    <row r="128" spans="1:27" ht="12.75" customHeight="1" x14ac:dyDescent="0.15">
      <c r="A128" s="5">
        <v>115</v>
      </c>
      <c r="B128" s="5" t="s">
        <v>984</v>
      </c>
      <c r="C128" s="1">
        <v>45</v>
      </c>
      <c r="D128" s="5" t="s">
        <v>981</v>
      </c>
      <c r="E128" s="1">
        <v>7</v>
      </c>
      <c r="F128" s="5" t="s">
        <v>981</v>
      </c>
      <c r="G128" s="1">
        <v>11</v>
      </c>
      <c r="H128" s="5" t="s">
        <v>981</v>
      </c>
      <c r="I128" s="1">
        <v>5</v>
      </c>
      <c r="J128" s="5" t="s">
        <v>981</v>
      </c>
      <c r="K128" s="1">
        <v>12</v>
      </c>
      <c r="L128" s="5" t="s">
        <v>981</v>
      </c>
      <c r="M128" s="1">
        <v>12</v>
      </c>
      <c r="N128" s="5" t="s">
        <v>981</v>
      </c>
      <c r="O128" s="1">
        <v>17</v>
      </c>
      <c r="P128" s="5" t="s">
        <v>981</v>
      </c>
      <c r="Q128" s="1">
        <v>0</v>
      </c>
      <c r="R128" s="1">
        <v>0</v>
      </c>
      <c r="S128" s="1" t="s">
        <v>194</v>
      </c>
      <c r="T128" s="1">
        <v>5</v>
      </c>
      <c r="U128" s="1">
        <v>4</v>
      </c>
      <c r="V128" s="1">
        <v>47</v>
      </c>
      <c r="W128" s="1">
        <v>1</v>
      </c>
      <c r="X128" s="1">
        <v>11</v>
      </c>
      <c r="Y128" s="1">
        <v>24</v>
      </c>
      <c r="Z128" s="1">
        <v>600000</v>
      </c>
      <c r="AA128" s="1">
        <v>1</v>
      </c>
    </row>
    <row r="129" spans="1:27" ht="12.75" customHeight="1" x14ac:dyDescent="0.15">
      <c r="A129" s="5">
        <v>382</v>
      </c>
      <c r="B129" s="5" t="s">
        <v>984</v>
      </c>
      <c r="C129" s="1">
        <v>12</v>
      </c>
      <c r="D129" s="5" t="s">
        <v>983</v>
      </c>
      <c r="E129" s="1">
        <v>12</v>
      </c>
      <c r="F129" s="5" t="s">
        <v>981</v>
      </c>
      <c r="G129" s="1">
        <v>12</v>
      </c>
      <c r="H129" s="5" t="s">
        <v>981</v>
      </c>
      <c r="I129" s="1">
        <v>0</v>
      </c>
      <c r="J129" s="5" t="s">
        <v>983</v>
      </c>
      <c r="K129" s="1">
        <v>12</v>
      </c>
      <c r="L129" s="5" t="s">
        <v>981</v>
      </c>
      <c r="M129" s="1">
        <v>12</v>
      </c>
      <c r="N129" s="5" t="s">
        <v>981</v>
      </c>
      <c r="O129" s="1">
        <v>0</v>
      </c>
      <c r="P129" s="5" t="s">
        <v>983</v>
      </c>
      <c r="Q129" s="1">
        <v>0</v>
      </c>
      <c r="R129" s="1">
        <v>0</v>
      </c>
      <c r="S129" s="1" t="s">
        <v>194</v>
      </c>
      <c r="T129" s="1" t="s">
        <v>194</v>
      </c>
      <c r="U129" s="1" t="s">
        <v>194</v>
      </c>
      <c r="V129" s="1">
        <v>30</v>
      </c>
      <c r="W129" s="1">
        <v>1</v>
      </c>
      <c r="X129" s="1">
        <v>13</v>
      </c>
      <c r="Y129" s="1">
        <v>2</v>
      </c>
      <c r="Z129" s="1">
        <v>350000</v>
      </c>
      <c r="AA129" s="1">
        <v>3</v>
      </c>
    </row>
    <row r="130" spans="1:27" ht="12.75" customHeight="1" x14ac:dyDescent="0.15">
      <c r="A130" s="5">
        <v>376</v>
      </c>
      <c r="B130" s="5" t="s">
        <v>984</v>
      </c>
      <c r="C130" s="1">
        <v>12</v>
      </c>
      <c r="D130" s="5" t="s">
        <v>983</v>
      </c>
      <c r="E130" s="1">
        <v>12</v>
      </c>
      <c r="F130" s="5" t="s">
        <v>981</v>
      </c>
      <c r="G130" s="1">
        <v>12</v>
      </c>
      <c r="H130" s="5" t="s">
        <v>981</v>
      </c>
      <c r="I130" s="1">
        <v>0</v>
      </c>
      <c r="J130" s="5" t="s">
        <v>983</v>
      </c>
      <c r="K130" s="1">
        <v>12</v>
      </c>
      <c r="L130" s="5" t="s">
        <v>981</v>
      </c>
      <c r="M130" s="1">
        <v>12</v>
      </c>
      <c r="N130" s="5" t="s">
        <v>981</v>
      </c>
      <c r="O130" s="1">
        <v>0</v>
      </c>
      <c r="P130" s="5" t="s">
        <v>983</v>
      </c>
      <c r="Q130" s="1">
        <v>1</v>
      </c>
      <c r="R130" s="1">
        <v>0</v>
      </c>
      <c r="S130" s="1" t="s">
        <v>194</v>
      </c>
      <c r="T130" s="1" t="s">
        <v>194</v>
      </c>
      <c r="U130" s="1" t="s">
        <v>194</v>
      </c>
      <c r="V130" s="1">
        <v>37</v>
      </c>
      <c r="W130" s="1">
        <v>1</v>
      </c>
      <c r="X130" s="1">
        <v>14</v>
      </c>
      <c r="Y130" s="1">
        <v>6</v>
      </c>
      <c r="Z130" s="1">
        <v>500000</v>
      </c>
      <c r="AA130" s="1">
        <v>1</v>
      </c>
    </row>
    <row r="131" spans="1:27" ht="12.75" customHeight="1" x14ac:dyDescent="0.15">
      <c r="A131" s="5">
        <v>351</v>
      </c>
      <c r="B131" s="5" t="s">
        <v>984</v>
      </c>
      <c r="C131" s="1">
        <v>47</v>
      </c>
      <c r="D131" s="5" t="s">
        <v>981</v>
      </c>
      <c r="E131" s="1">
        <v>12</v>
      </c>
      <c r="F131" s="5" t="s">
        <v>981</v>
      </c>
      <c r="G131" s="1">
        <v>12</v>
      </c>
      <c r="H131" s="5" t="s">
        <v>981</v>
      </c>
      <c r="I131" s="1">
        <v>0</v>
      </c>
      <c r="J131" s="5" t="s">
        <v>983</v>
      </c>
      <c r="K131" s="1">
        <v>12</v>
      </c>
      <c r="L131" s="5" t="s">
        <v>981</v>
      </c>
      <c r="M131" s="1">
        <v>12</v>
      </c>
      <c r="N131" s="5" t="s">
        <v>981</v>
      </c>
      <c r="O131" s="1">
        <v>0</v>
      </c>
      <c r="P131" s="5" t="s">
        <v>983</v>
      </c>
      <c r="Q131" s="1">
        <v>1</v>
      </c>
      <c r="R131" s="1">
        <v>1</v>
      </c>
      <c r="S131" s="1">
        <v>0</v>
      </c>
      <c r="T131" s="1" t="s">
        <v>194</v>
      </c>
      <c r="U131" s="1" t="s">
        <v>194</v>
      </c>
      <c r="V131" s="1"/>
      <c r="W131" s="1">
        <v>1</v>
      </c>
      <c r="Y131" s="1">
        <v>24</v>
      </c>
      <c r="AA131" s="1">
        <v>3</v>
      </c>
    </row>
    <row r="132" spans="1:27" ht="12.75" customHeight="1" x14ac:dyDescent="0.15">
      <c r="A132" s="5">
        <v>278</v>
      </c>
      <c r="B132" s="5" t="s">
        <v>238</v>
      </c>
      <c r="C132" s="1">
        <v>12</v>
      </c>
      <c r="D132" s="5" t="s">
        <v>983</v>
      </c>
      <c r="E132" s="1">
        <v>0</v>
      </c>
      <c r="F132" s="5" t="s">
        <v>983</v>
      </c>
      <c r="G132" s="1">
        <v>0</v>
      </c>
      <c r="H132" s="5" t="s">
        <v>983</v>
      </c>
      <c r="I132" s="1">
        <v>16</v>
      </c>
      <c r="J132" s="5" t="s">
        <v>981</v>
      </c>
      <c r="K132" s="1">
        <v>0</v>
      </c>
      <c r="L132" s="5" t="s">
        <v>983</v>
      </c>
      <c r="M132" s="1">
        <v>0</v>
      </c>
      <c r="N132" s="5" t="s">
        <v>983</v>
      </c>
      <c r="O132" s="1">
        <v>0</v>
      </c>
      <c r="P132" s="5" t="s">
        <v>983</v>
      </c>
      <c r="Q132" s="1">
        <v>0</v>
      </c>
      <c r="R132" s="1">
        <v>0</v>
      </c>
      <c r="S132" s="1" t="s">
        <v>194</v>
      </c>
      <c r="T132" s="1">
        <v>3</v>
      </c>
      <c r="U132" s="1">
        <v>3</v>
      </c>
      <c r="V132" s="1">
        <v>30</v>
      </c>
      <c r="W132" s="1">
        <v>1</v>
      </c>
      <c r="X132" s="1">
        <v>17</v>
      </c>
      <c r="Y132" s="1">
        <v>24</v>
      </c>
      <c r="Z132" s="1">
        <v>400000</v>
      </c>
      <c r="AA132" s="1">
        <v>4</v>
      </c>
    </row>
    <row r="133" spans="1:27" ht="12.75" customHeight="1" x14ac:dyDescent="0.15">
      <c r="A133" s="5">
        <v>411</v>
      </c>
      <c r="B133" s="5" t="s">
        <v>238</v>
      </c>
      <c r="C133" s="1">
        <v>12</v>
      </c>
      <c r="D133" s="5" t="s">
        <v>983</v>
      </c>
      <c r="E133" s="1">
        <v>0</v>
      </c>
      <c r="F133" s="5" t="s">
        <v>983</v>
      </c>
      <c r="G133" s="1">
        <v>0</v>
      </c>
      <c r="H133" s="5" t="s">
        <v>983</v>
      </c>
      <c r="I133" s="1">
        <v>16</v>
      </c>
      <c r="J133" s="5" t="s">
        <v>981</v>
      </c>
      <c r="K133" s="1">
        <v>0</v>
      </c>
      <c r="L133" s="5" t="s">
        <v>983</v>
      </c>
      <c r="M133" s="1">
        <v>0</v>
      </c>
      <c r="N133" s="5" t="s">
        <v>983</v>
      </c>
      <c r="O133" s="1">
        <v>0</v>
      </c>
      <c r="P133" s="5" t="s">
        <v>983</v>
      </c>
      <c r="Q133" s="1">
        <v>1</v>
      </c>
      <c r="R133" s="1">
        <v>0</v>
      </c>
      <c r="S133" s="1">
        <v>1</v>
      </c>
      <c r="T133" s="1">
        <v>2</v>
      </c>
      <c r="U133" s="1">
        <v>2</v>
      </c>
      <c r="V133" s="1">
        <v>34</v>
      </c>
      <c r="W133" s="1">
        <v>0</v>
      </c>
      <c r="X133" s="1">
        <v>4</v>
      </c>
      <c r="Y133" s="1">
        <v>34</v>
      </c>
      <c r="Z133" s="1">
        <v>500000</v>
      </c>
      <c r="AA133" s="1">
        <v>1</v>
      </c>
    </row>
    <row r="134" spans="1:27" ht="12.75" customHeight="1" x14ac:dyDescent="0.15">
      <c r="A134" s="5">
        <v>417</v>
      </c>
      <c r="B134" s="5" t="s">
        <v>238</v>
      </c>
      <c r="C134" s="1">
        <v>12</v>
      </c>
      <c r="D134" s="5" t="s">
        <v>983</v>
      </c>
      <c r="E134" s="1">
        <v>0</v>
      </c>
      <c r="F134" s="5" t="s">
        <v>983</v>
      </c>
      <c r="G134" s="1">
        <v>0</v>
      </c>
      <c r="H134" s="5" t="s">
        <v>983</v>
      </c>
      <c r="I134" s="1">
        <v>16</v>
      </c>
      <c r="J134" s="5" t="s">
        <v>981</v>
      </c>
      <c r="K134" s="1">
        <v>0</v>
      </c>
      <c r="L134" s="5" t="s">
        <v>983</v>
      </c>
      <c r="M134" s="1">
        <v>0</v>
      </c>
      <c r="N134" s="5" t="s">
        <v>983</v>
      </c>
      <c r="O134" s="1">
        <v>0</v>
      </c>
      <c r="P134" s="5" t="s">
        <v>983</v>
      </c>
      <c r="Q134" s="1">
        <v>1</v>
      </c>
      <c r="R134" s="1">
        <v>0</v>
      </c>
      <c r="S134" s="1" t="s">
        <v>194</v>
      </c>
      <c r="T134" s="1" t="s">
        <v>194</v>
      </c>
      <c r="U134" s="1" t="s">
        <v>194</v>
      </c>
      <c r="V134" s="1">
        <v>41</v>
      </c>
      <c r="W134" s="1">
        <v>0</v>
      </c>
      <c r="X134" s="1">
        <v>14</v>
      </c>
      <c r="Y134" s="1">
        <v>1</v>
      </c>
      <c r="Z134" s="1">
        <v>600000</v>
      </c>
      <c r="AA134" s="1">
        <v>2</v>
      </c>
    </row>
    <row r="135" spans="1:27" ht="12.75" customHeight="1" x14ac:dyDescent="0.15">
      <c r="A135" s="5">
        <v>8</v>
      </c>
      <c r="B135" s="5" t="s">
        <v>238</v>
      </c>
      <c r="C135" s="1">
        <v>12</v>
      </c>
      <c r="D135" s="5" t="s">
        <v>983</v>
      </c>
      <c r="E135" s="1">
        <v>0</v>
      </c>
      <c r="F135" s="5" t="s">
        <v>983</v>
      </c>
      <c r="G135" s="1">
        <v>0</v>
      </c>
      <c r="H135" s="5" t="s">
        <v>983</v>
      </c>
      <c r="I135" s="1">
        <v>16</v>
      </c>
      <c r="J135" s="5" t="s">
        <v>981</v>
      </c>
      <c r="K135" s="1">
        <v>0</v>
      </c>
      <c r="L135" s="5" t="s">
        <v>983</v>
      </c>
      <c r="M135" s="1">
        <v>0</v>
      </c>
      <c r="N135" s="5" t="s">
        <v>983</v>
      </c>
      <c r="O135" s="1">
        <v>0</v>
      </c>
      <c r="P135" s="5" t="s">
        <v>983</v>
      </c>
      <c r="Q135" s="1">
        <v>0</v>
      </c>
      <c r="R135" s="1">
        <v>0</v>
      </c>
      <c r="S135" s="1" t="s">
        <v>194</v>
      </c>
      <c r="T135" s="1" t="s">
        <v>194</v>
      </c>
      <c r="U135" s="1" t="s">
        <v>194</v>
      </c>
      <c r="V135" s="1">
        <v>44</v>
      </c>
      <c r="W135" s="1">
        <v>0</v>
      </c>
      <c r="X135" s="1">
        <v>12</v>
      </c>
      <c r="Y135" s="1">
        <v>4</v>
      </c>
      <c r="Z135" s="1">
        <v>200000</v>
      </c>
      <c r="AA135" s="1">
        <v>4</v>
      </c>
    </row>
    <row r="136" spans="1:27" ht="12.75" customHeight="1" x14ac:dyDescent="0.15">
      <c r="A136" s="5">
        <v>210</v>
      </c>
      <c r="B136" s="5" t="s">
        <v>238</v>
      </c>
      <c r="C136" s="1">
        <v>12</v>
      </c>
      <c r="D136" s="5" t="s">
        <v>983</v>
      </c>
      <c r="E136" s="1">
        <v>0</v>
      </c>
      <c r="F136" s="5" t="s">
        <v>983</v>
      </c>
      <c r="G136" s="1">
        <v>0</v>
      </c>
      <c r="H136" s="5" t="s">
        <v>983</v>
      </c>
      <c r="I136" s="1">
        <v>0</v>
      </c>
      <c r="J136" s="5" t="s">
        <v>983</v>
      </c>
      <c r="K136" s="1">
        <v>0</v>
      </c>
      <c r="L136" s="5" t="s">
        <v>983</v>
      </c>
      <c r="M136" s="1">
        <v>0</v>
      </c>
      <c r="N136" s="5" t="s">
        <v>983</v>
      </c>
      <c r="O136" s="1">
        <v>0</v>
      </c>
      <c r="P136" s="5" t="s">
        <v>983</v>
      </c>
      <c r="Q136" s="1">
        <v>0</v>
      </c>
      <c r="R136" s="1">
        <v>0</v>
      </c>
      <c r="S136" s="1">
        <v>1</v>
      </c>
      <c r="T136" s="1">
        <v>2</v>
      </c>
      <c r="U136" s="1">
        <v>2</v>
      </c>
      <c r="V136" s="1">
        <v>45</v>
      </c>
      <c r="W136" s="1">
        <v>0</v>
      </c>
      <c r="X136" s="1">
        <v>18</v>
      </c>
      <c r="Y136" s="1">
        <v>6</v>
      </c>
      <c r="Z136" s="1">
        <v>1700000</v>
      </c>
      <c r="AA136" s="1">
        <v>4</v>
      </c>
    </row>
    <row r="137" spans="1:27" ht="12.75" customHeight="1" x14ac:dyDescent="0.15">
      <c r="A137" s="5">
        <v>497</v>
      </c>
      <c r="B137" s="5" t="s">
        <v>238</v>
      </c>
      <c r="C137" s="1">
        <v>12</v>
      </c>
      <c r="D137" s="5" t="s">
        <v>983</v>
      </c>
      <c r="E137" s="1">
        <v>0</v>
      </c>
      <c r="F137" s="5" t="s">
        <v>983</v>
      </c>
      <c r="G137" s="1">
        <v>0</v>
      </c>
      <c r="H137" s="5" t="s">
        <v>983</v>
      </c>
      <c r="I137" s="1">
        <v>16</v>
      </c>
      <c r="J137" s="5" t="s">
        <v>981</v>
      </c>
      <c r="K137" s="1">
        <v>0</v>
      </c>
      <c r="L137" s="5" t="s">
        <v>983</v>
      </c>
      <c r="M137" s="1">
        <v>0</v>
      </c>
      <c r="N137" s="5" t="s">
        <v>983</v>
      </c>
      <c r="O137" s="1">
        <v>6</v>
      </c>
      <c r="P137" s="5" t="s">
        <v>982</v>
      </c>
      <c r="Q137" s="1">
        <v>1</v>
      </c>
      <c r="R137" s="1">
        <v>0</v>
      </c>
      <c r="S137" s="1" t="s">
        <v>194</v>
      </c>
      <c r="T137" s="1">
        <v>2</v>
      </c>
      <c r="U137" s="1">
        <v>2</v>
      </c>
      <c r="V137" s="1">
        <v>48</v>
      </c>
      <c r="W137" s="1">
        <v>1</v>
      </c>
      <c r="X137" s="1">
        <v>14</v>
      </c>
      <c r="Y137" s="1">
        <v>34</v>
      </c>
      <c r="Z137" s="1">
        <v>0</v>
      </c>
      <c r="AA137" s="1">
        <v>2</v>
      </c>
    </row>
    <row r="138" spans="1:27" ht="12.75" customHeight="1" x14ac:dyDescent="0.15">
      <c r="A138" s="5">
        <v>58</v>
      </c>
      <c r="B138" s="5" t="s">
        <v>238</v>
      </c>
      <c r="C138" s="1">
        <v>13</v>
      </c>
      <c r="D138" s="5" t="s">
        <v>983</v>
      </c>
      <c r="E138" s="1">
        <v>0</v>
      </c>
      <c r="F138" s="5" t="s">
        <v>983</v>
      </c>
      <c r="G138" s="1">
        <v>0</v>
      </c>
      <c r="H138" s="5" t="s">
        <v>983</v>
      </c>
      <c r="I138" s="1">
        <v>4</v>
      </c>
      <c r="J138" s="5" t="s">
        <v>982</v>
      </c>
      <c r="K138" s="1">
        <v>0</v>
      </c>
      <c r="L138" s="5" t="s">
        <v>983</v>
      </c>
      <c r="M138" s="1">
        <v>0</v>
      </c>
      <c r="N138" s="5" t="s">
        <v>983</v>
      </c>
      <c r="O138" s="1">
        <v>0</v>
      </c>
      <c r="P138" s="5" t="s">
        <v>983</v>
      </c>
      <c r="Q138" s="1">
        <v>1</v>
      </c>
      <c r="R138" s="1">
        <v>0</v>
      </c>
      <c r="S138" s="1">
        <v>1</v>
      </c>
      <c r="T138" s="1">
        <v>3</v>
      </c>
      <c r="U138" s="1">
        <v>3</v>
      </c>
      <c r="V138" s="1">
        <v>46</v>
      </c>
      <c r="W138" s="1">
        <v>0</v>
      </c>
      <c r="X138" s="1">
        <v>14</v>
      </c>
      <c r="Y138" s="1">
        <v>2</v>
      </c>
      <c r="Z138" s="1">
        <v>350000</v>
      </c>
      <c r="AA138" s="1">
        <v>3</v>
      </c>
    </row>
    <row r="139" spans="1:27" ht="12.75" customHeight="1" x14ac:dyDescent="0.15">
      <c r="A139" s="5">
        <v>492</v>
      </c>
      <c r="B139" s="5" t="s">
        <v>238</v>
      </c>
      <c r="C139" s="1">
        <v>16</v>
      </c>
      <c r="D139" s="5" t="s">
        <v>983</v>
      </c>
      <c r="E139" s="1">
        <v>0</v>
      </c>
      <c r="F139" s="5" t="s">
        <v>983</v>
      </c>
      <c r="G139" s="1">
        <v>0</v>
      </c>
      <c r="H139" s="5" t="s">
        <v>983</v>
      </c>
      <c r="I139" s="1">
        <v>4</v>
      </c>
      <c r="J139" s="5" t="s">
        <v>982</v>
      </c>
      <c r="K139" s="1">
        <v>0</v>
      </c>
      <c r="L139" s="5" t="s">
        <v>983</v>
      </c>
      <c r="M139" s="1">
        <v>0</v>
      </c>
      <c r="N139" s="5" t="s">
        <v>983</v>
      </c>
      <c r="O139" s="1">
        <v>0</v>
      </c>
      <c r="P139" s="5" t="s">
        <v>983</v>
      </c>
      <c r="Q139" s="1">
        <v>1</v>
      </c>
      <c r="R139" s="1">
        <v>0</v>
      </c>
      <c r="S139" s="1">
        <v>1</v>
      </c>
      <c r="T139" s="1">
        <v>3</v>
      </c>
      <c r="U139" s="1">
        <v>3</v>
      </c>
      <c r="V139" s="1">
        <v>33</v>
      </c>
      <c r="W139" s="1">
        <v>0</v>
      </c>
      <c r="X139" s="1">
        <v>14</v>
      </c>
      <c r="Y139" s="1">
        <v>2</v>
      </c>
      <c r="Z139" s="1">
        <v>300000</v>
      </c>
      <c r="AA139" s="1">
        <v>4</v>
      </c>
    </row>
    <row r="140" spans="1:27" ht="12.75" customHeight="1" x14ac:dyDescent="0.15">
      <c r="A140" s="5">
        <v>195</v>
      </c>
      <c r="B140" s="5" t="s">
        <v>238</v>
      </c>
      <c r="C140" s="1">
        <v>16</v>
      </c>
      <c r="D140" s="5" t="s">
        <v>983</v>
      </c>
      <c r="E140" s="1">
        <v>0</v>
      </c>
      <c r="F140" s="5" t="s">
        <v>983</v>
      </c>
      <c r="G140" s="1">
        <v>0</v>
      </c>
      <c r="H140" s="5" t="s">
        <v>983</v>
      </c>
      <c r="I140" s="1">
        <v>16</v>
      </c>
      <c r="J140" s="5" t="s">
        <v>981</v>
      </c>
      <c r="K140" s="1">
        <v>0</v>
      </c>
      <c r="L140" s="5" t="s">
        <v>983</v>
      </c>
      <c r="M140" s="1">
        <v>0</v>
      </c>
      <c r="N140" s="5" t="s">
        <v>983</v>
      </c>
      <c r="O140" s="1">
        <v>0</v>
      </c>
      <c r="P140" s="5" t="s">
        <v>983</v>
      </c>
      <c r="Q140" s="1">
        <v>1</v>
      </c>
      <c r="R140" s="1">
        <v>0</v>
      </c>
      <c r="S140" s="1">
        <v>1</v>
      </c>
      <c r="T140" s="1">
        <v>5</v>
      </c>
      <c r="U140" s="1">
        <v>5</v>
      </c>
      <c r="V140" s="1">
        <v>35</v>
      </c>
      <c r="W140" s="1">
        <v>0</v>
      </c>
      <c r="X140" s="1">
        <v>15</v>
      </c>
      <c r="Y140" s="1">
        <v>1</v>
      </c>
      <c r="Z140" s="1">
        <v>460000</v>
      </c>
      <c r="AA140" s="1">
        <v>4</v>
      </c>
    </row>
    <row r="141" spans="1:27" ht="12.75" customHeight="1" x14ac:dyDescent="0.15">
      <c r="A141" s="5">
        <v>286</v>
      </c>
      <c r="B141" s="5" t="s">
        <v>238</v>
      </c>
      <c r="C141" s="1">
        <v>16</v>
      </c>
      <c r="D141" s="5" t="s">
        <v>983</v>
      </c>
      <c r="E141" s="1">
        <v>0</v>
      </c>
      <c r="F141" s="5" t="s">
        <v>983</v>
      </c>
      <c r="G141" s="1">
        <v>0</v>
      </c>
      <c r="H141" s="5" t="s">
        <v>983</v>
      </c>
      <c r="I141" s="1">
        <v>16</v>
      </c>
      <c r="J141" s="5" t="s">
        <v>981</v>
      </c>
      <c r="K141" s="1">
        <v>0</v>
      </c>
      <c r="L141" s="5" t="s">
        <v>983</v>
      </c>
      <c r="M141" s="1">
        <v>0</v>
      </c>
      <c r="N141" s="5" t="s">
        <v>983</v>
      </c>
      <c r="O141" s="1">
        <v>0</v>
      </c>
      <c r="P141" s="5" t="s">
        <v>983</v>
      </c>
      <c r="Q141" s="1">
        <v>0</v>
      </c>
      <c r="R141" s="1">
        <v>0</v>
      </c>
      <c r="S141" s="1">
        <v>0</v>
      </c>
      <c r="T141" s="1">
        <v>5</v>
      </c>
      <c r="U141" s="1">
        <v>3</v>
      </c>
      <c r="V141" s="1">
        <v>37</v>
      </c>
      <c r="W141" s="1">
        <v>0</v>
      </c>
      <c r="X141" s="1">
        <v>17</v>
      </c>
      <c r="Y141" s="1">
        <v>34</v>
      </c>
      <c r="Z141" s="1">
        <v>300000</v>
      </c>
      <c r="AA141" s="1">
        <v>2</v>
      </c>
    </row>
    <row r="142" spans="1:27" ht="12.75" customHeight="1" x14ac:dyDescent="0.15">
      <c r="A142" s="5">
        <v>18</v>
      </c>
      <c r="B142" s="5" t="s">
        <v>238</v>
      </c>
      <c r="C142" s="1">
        <v>17</v>
      </c>
      <c r="D142" s="5" t="s">
        <v>983</v>
      </c>
      <c r="E142" s="1">
        <v>0</v>
      </c>
      <c r="F142" s="5" t="s">
        <v>983</v>
      </c>
      <c r="G142" s="1">
        <v>0</v>
      </c>
      <c r="H142" s="5" t="s">
        <v>983</v>
      </c>
      <c r="I142" s="1">
        <v>16</v>
      </c>
      <c r="J142" s="5" t="s">
        <v>981</v>
      </c>
      <c r="K142" s="1">
        <v>0</v>
      </c>
      <c r="L142" s="5" t="s">
        <v>983</v>
      </c>
      <c r="M142" s="1">
        <v>0</v>
      </c>
      <c r="N142" s="5" t="s">
        <v>983</v>
      </c>
      <c r="O142" s="1">
        <v>0</v>
      </c>
      <c r="P142" s="5" t="s">
        <v>983</v>
      </c>
      <c r="Q142" s="1">
        <v>1</v>
      </c>
      <c r="R142" s="1">
        <v>0</v>
      </c>
      <c r="S142" s="1">
        <v>1</v>
      </c>
      <c r="T142" s="1" t="s">
        <v>194</v>
      </c>
      <c r="U142" s="1" t="s">
        <v>194</v>
      </c>
      <c r="V142" s="1">
        <v>55</v>
      </c>
      <c r="W142" s="1">
        <v>0</v>
      </c>
      <c r="X142" s="1">
        <v>16</v>
      </c>
      <c r="Y142" s="1">
        <v>10</v>
      </c>
      <c r="Z142" s="1">
        <v>270000</v>
      </c>
      <c r="AA142" s="1">
        <v>3</v>
      </c>
    </row>
    <row r="143" spans="1:27" ht="12.75" customHeight="1" x14ac:dyDescent="0.15">
      <c r="A143" s="5">
        <v>96</v>
      </c>
      <c r="B143" s="5" t="s">
        <v>238</v>
      </c>
      <c r="C143" s="1">
        <v>18</v>
      </c>
      <c r="D143" s="5" t="s">
        <v>983</v>
      </c>
      <c r="E143" s="1">
        <v>0</v>
      </c>
      <c r="F143" s="5" t="s">
        <v>983</v>
      </c>
      <c r="G143" s="1">
        <v>0</v>
      </c>
      <c r="H143" s="5" t="s">
        <v>983</v>
      </c>
      <c r="I143" s="1">
        <v>16</v>
      </c>
      <c r="J143" s="5" t="s">
        <v>981</v>
      </c>
      <c r="K143" s="1">
        <v>0</v>
      </c>
      <c r="L143" s="5" t="s">
        <v>983</v>
      </c>
      <c r="M143" s="1">
        <v>0</v>
      </c>
      <c r="N143" s="5" t="s">
        <v>983</v>
      </c>
      <c r="O143" s="1">
        <v>0</v>
      </c>
      <c r="P143" s="5" t="s">
        <v>983</v>
      </c>
      <c r="Q143" s="1">
        <v>1</v>
      </c>
      <c r="R143" s="1">
        <v>0</v>
      </c>
      <c r="S143" s="1">
        <v>1</v>
      </c>
      <c r="T143" s="1">
        <v>5</v>
      </c>
      <c r="U143" s="1">
        <v>5</v>
      </c>
      <c r="V143" s="1">
        <v>29</v>
      </c>
      <c r="W143" s="1">
        <v>0</v>
      </c>
      <c r="X143" s="1">
        <v>8</v>
      </c>
      <c r="Y143" s="1">
        <v>1</v>
      </c>
      <c r="Z143" s="1">
        <v>380000</v>
      </c>
      <c r="AA143" s="1">
        <v>3</v>
      </c>
    </row>
    <row r="144" spans="1:27" ht="12.75" customHeight="1" x14ac:dyDescent="0.15">
      <c r="A144" s="5">
        <v>66</v>
      </c>
      <c r="B144" s="5" t="s">
        <v>238</v>
      </c>
      <c r="C144" s="1">
        <v>18</v>
      </c>
      <c r="D144" s="5" t="s">
        <v>983</v>
      </c>
      <c r="E144" s="1">
        <v>0</v>
      </c>
      <c r="F144" s="5" t="s">
        <v>983</v>
      </c>
      <c r="G144" s="1">
        <v>0</v>
      </c>
      <c r="H144" s="5" t="s">
        <v>983</v>
      </c>
      <c r="I144" s="1">
        <v>8</v>
      </c>
      <c r="J144" s="5" t="s">
        <v>981</v>
      </c>
      <c r="K144" s="1">
        <v>0</v>
      </c>
      <c r="L144" s="5" t="s">
        <v>983</v>
      </c>
      <c r="M144" s="1">
        <v>0</v>
      </c>
      <c r="N144" s="5" t="s">
        <v>983</v>
      </c>
      <c r="O144" s="1">
        <v>0</v>
      </c>
      <c r="P144" s="5" t="s">
        <v>983</v>
      </c>
      <c r="Q144" s="1">
        <v>1</v>
      </c>
      <c r="R144" s="1">
        <v>1</v>
      </c>
      <c r="S144" s="1" t="s">
        <v>194</v>
      </c>
      <c r="T144" s="1">
        <v>2</v>
      </c>
      <c r="U144" s="1">
        <v>1</v>
      </c>
      <c r="V144" s="1">
        <v>55</v>
      </c>
      <c r="W144" s="1">
        <v>0</v>
      </c>
      <c r="X144" s="1">
        <v>12</v>
      </c>
      <c r="Y144" s="1">
        <v>31</v>
      </c>
      <c r="Z144" s="1">
        <v>0</v>
      </c>
      <c r="AA144" s="1">
        <v>5</v>
      </c>
    </row>
    <row r="145" spans="1:27" ht="12.75" customHeight="1" x14ac:dyDescent="0.15">
      <c r="A145" s="5">
        <v>192</v>
      </c>
      <c r="B145" s="5" t="s">
        <v>238</v>
      </c>
      <c r="C145" s="1">
        <v>18</v>
      </c>
      <c r="D145" s="5" t="s">
        <v>983</v>
      </c>
      <c r="E145" s="1">
        <v>0</v>
      </c>
      <c r="F145" s="5" t="s">
        <v>983</v>
      </c>
      <c r="G145" s="1">
        <v>0</v>
      </c>
      <c r="H145" s="5" t="s">
        <v>983</v>
      </c>
      <c r="I145" s="1">
        <v>16</v>
      </c>
      <c r="J145" s="5" t="s">
        <v>981</v>
      </c>
      <c r="K145" s="1">
        <v>0</v>
      </c>
      <c r="L145" s="5" t="s">
        <v>983</v>
      </c>
      <c r="M145" s="1">
        <v>0</v>
      </c>
      <c r="N145" s="5" t="s">
        <v>983</v>
      </c>
      <c r="O145" s="1">
        <v>0</v>
      </c>
      <c r="P145" s="5" t="s">
        <v>983</v>
      </c>
      <c r="Q145" s="1">
        <v>0</v>
      </c>
      <c r="R145" s="1">
        <v>0</v>
      </c>
      <c r="S145" s="1" t="s">
        <v>194</v>
      </c>
      <c r="T145" s="1" t="s">
        <v>194</v>
      </c>
      <c r="U145" s="1">
        <v>3</v>
      </c>
      <c r="V145" s="1">
        <v>56</v>
      </c>
      <c r="W145" s="1">
        <v>0</v>
      </c>
      <c r="X145" s="1">
        <v>14</v>
      </c>
      <c r="Y145" s="1">
        <v>13</v>
      </c>
      <c r="Z145" s="1">
        <v>500000</v>
      </c>
      <c r="AA145" s="1">
        <v>3</v>
      </c>
    </row>
    <row r="146" spans="1:27" ht="12.75" customHeight="1" x14ac:dyDescent="0.15">
      <c r="A146" s="5">
        <v>127</v>
      </c>
      <c r="B146" s="5" t="s">
        <v>238</v>
      </c>
      <c r="C146" s="1">
        <v>19</v>
      </c>
      <c r="D146" s="5" t="s">
        <v>982</v>
      </c>
      <c r="E146" s="1">
        <v>0</v>
      </c>
      <c r="F146" s="5" t="s">
        <v>983</v>
      </c>
      <c r="G146" s="1">
        <v>0</v>
      </c>
      <c r="H146" s="5" t="s">
        <v>983</v>
      </c>
      <c r="I146" s="1">
        <v>0</v>
      </c>
      <c r="J146" s="5" t="s">
        <v>983</v>
      </c>
      <c r="K146" s="1">
        <v>0</v>
      </c>
      <c r="L146" s="5" t="s">
        <v>983</v>
      </c>
      <c r="M146" s="1">
        <v>2</v>
      </c>
      <c r="N146" s="5" t="s">
        <v>983</v>
      </c>
      <c r="O146" s="1">
        <v>0</v>
      </c>
      <c r="P146" s="5" t="s">
        <v>983</v>
      </c>
      <c r="Q146" s="1">
        <v>0</v>
      </c>
      <c r="R146" s="1">
        <v>0</v>
      </c>
      <c r="S146" s="1">
        <v>1</v>
      </c>
      <c r="T146" s="1">
        <v>3</v>
      </c>
      <c r="U146" s="1">
        <v>3</v>
      </c>
      <c r="V146" s="1">
        <v>45</v>
      </c>
      <c r="W146" s="1">
        <v>0</v>
      </c>
      <c r="X146" s="1">
        <v>14</v>
      </c>
      <c r="Y146" s="1">
        <v>7</v>
      </c>
      <c r="Z146" s="1">
        <v>650000</v>
      </c>
      <c r="AA146" s="1">
        <v>1</v>
      </c>
    </row>
    <row r="147" spans="1:27" ht="12.75" customHeight="1" x14ac:dyDescent="0.15">
      <c r="A147" s="5">
        <v>477</v>
      </c>
      <c r="B147" s="5" t="s">
        <v>238</v>
      </c>
      <c r="C147" s="1">
        <v>21</v>
      </c>
      <c r="D147" s="5" t="s">
        <v>982</v>
      </c>
      <c r="E147" s="1">
        <v>0</v>
      </c>
      <c r="F147" s="5" t="s">
        <v>983</v>
      </c>
      <c r="G147" s="1">
        <v>0</v>
      </c>
      <c r="H147" s="5" t="s">
        <v>983</v>
      </c>
      <c r="I147" s="1">
        <v>16</v>
      </c>
      <c r="J147" s="5" t="s">
        <v>981</v>
      </c>
      <c r="K147" s="1">
        <v>0</v>
      </c>
      <c r="L147" s="5" t="s">
        <v>983</v>
      </c>
      <c r="M147" s="1">
        <v>0</v>
      </c>
      <c r="N147" s="5" t="s">
        <v>983</v>
      </c>
      <c r="O147" s="1">
        <v>0</v>
      </c>
      <c r="P147" s="5" t="s">
        <v>983</v>
      </c>
      <c r="Q147" s="1">
        <v>0</v>
      </c>
      <c r="R147" s="1">
        <v>0</v>
      </c>
      <c r="S147" s="1" t="s">
        <v>194</v>
      </c>
      <c r="T147" s="1">
        <v>2</v>
      </c>
      <c r="U147" s="1">
        <v>2</v>
      </c>
      <c r="V147" s="1">
        <v>30</v>
      </c>
      <c r="W147" s="1">
        <v>0</v>
      </c>
      <c r="X147" s="1">
        <v>2</v>
      </c>
      <c r="Y147" s="1">
        <v>15</v>
      </c>
      <c r="Z147" s="1">
        <v>300000</v>
      </c>
      <c r="AA147" s="1">
        <v>4</v>
      </c>
    </row>
    <row r="148" spans="1:27" ht="12.75" customHeight="1" x14ac:dyDescent="0.15">
      <c r="A148" s="5">
        <v>227</v>
      </c>
      <c r="B148" s="5" t="s">
        <v>238</v>
      </c>
      <c r="C148" s="1">
        <v>22</v>
      </c>
      <c r="D148" s="5" t="s">
        <v>982</v>
      </c>
      <c r="E148" s="1">
        <v>0</v>
      </c>
      <c r="F148" s="5" t="s">
        <v>983</v>
      </c>
      <c r="G148" s="1">
        <v>0</v>
      </c>
      <c r="H148" s="5" t="s">
        <v>983</v>
      </c>
      <c r="I148" s="1">
        <v>16</v>
      </c>
      <c r="J148" s="5" t="s">
        <v>981</v>
      </c>
      <c r="K148" s="1">
        <v>0</v>
      </c>
      <c r="L148" s="5" t="s">
        <v>983</v>
      </c>
      <c r="M148" s="1">
        <v>0</v>
      </c>
      <c r="N148" s="5" t="s">
        <v>983</v>
      </c>
      <c r="O148" s="1">
        <v>0</v>
      </c>
      <c r="P148" s="5" t="s">
        <v>983</v>
      </c>
      <c r="Q148" s="1">
        <v>0</v>
      </c>
      <c r="R148" s="1">
        <v>0</v>
      </c>
      <c r="S148" s="1">
        <v>1</v>
      </c>
      <c r="T148" s="1" t="s">
        <v>194</v>
      </c>
      <c r="U148" s="1">
        <v>1</v>
      </c>
      <c r="V148" s="1">
        <v>41</v>
      </c>
      <c r="W148" s="1">
        <v>0</v>
      </c>
      <c r="X148" s="1">
        <v>17</v>
      </c>
      <c r="Y148" s="1">
        <v>14</v>
      </c>
      <c r="Z148" s="1">
        <v>850000</v>
      </c>
      <c r="AA148" s="1">
        <v>2</v>
      </c>
    </row>
    <row r="149" spans="1:27" ht="12.75" customHeight="1" x14ac:dyDescent="0.15">
      <c r="A149" s="5">
        <v>494</v>
      </c>
      <c r="B149" s="5" t="s">
        <v>238</v>
      </c>
      <c r="C149" s="1">
        <v>28</v>
      </c>
      <c r="D149" s="5" t="s">
        <v>981</v>
      </c>
      <c r="E149" s="1">
        <v>0</v>
      </c>
      <c r="F149" s="5" t="s">
        <v>983</v>
      </c>
      <c r="G149" s="1">
        <v>0</v>
      </c>
      <c r="H149" s="5" t="s">
        <v>983</v>
      </c>
      <c r="I149" s="1">
        <v>16</v>
      </c>
      <c r="J149" s="5" t="s">
        <v>981</v>
      </c>
      <c r="K149" s="1">
        <v>0</v>
      </c>
      <c r="L149" s="5" t="s">
        <v>983</v>
      </c>
      <c r="M149" s="1">
        <v>0</v>
      </c>
      <c r="N149" s="5" t="s">
        <v>983</v>
      </c>
      <c r="O149" s="1">
        <v>0</v>
      </c>
      <c r="P149" s="5" t="s">
        <v>983</v>
      </c>
      <c r="Q149" s="1">
        <v>0</v>
      </c>
      <c r="R149" s="1">
        <v>0</v>
      </c>
      <c r="S149" s="1" t="s">
        <v>194</v>
      </c>
      <c r="T149" s="1">
        <v>5</v>
      </c>
      <c r="U149" s="1">
        <v>5</v>
      </c>
      <c r="V149" s="1">
        <v>64</v>
      </c>
      <c r="W149" s="1">
        <v>0</v>
      </c>
      <c r="X149" s="1">
        <v>16</v>
      </c>
      <c r="Y149" s="1">
        <v>14</v>
      </c>
      <c r="Z149" s="1">
        <v>616000</v>
      </c>
      <c r="AA149" s="1">
        <v>2</v>
      </c>
    </row>
    <row r="150" spans="1:27" ht="12.75" customHeight="1" x14ac:dyDescent="0.15">
      <c r="A150" s="5">
        <v>330</v>
      </c>
      <c r="B150" s="5" t="s">
        <v>238</v>
      </c>
      <c r="C150" s="1">
        <v>34</v>
      </c>
      <c r="D150" s="5" t="s">
        <v>981</v>
      </c>
      <c r="E150" s="1">
        <v>0</v>
      </c>
      <c r="F150" s="5" t="s">
        <v>983</v>
      </c>
      <c r="G150" s="1">
        <v>0</v>
      </c>
      <c r="H150" s="5" t="s">
        <v>983</v>
      </c>
      <c r="I150" s="1">
        <v>16</v>
      </c>
      <c r="J150" s="5" t="s">
        <v>981</v>
      </c>
      <c r="K150" s="1">
        <v>0</v>
      </c>
      <c r="L150" s="5" t="s">
        <v>983</v>
      </c>
      <c r="M150" s="1">
        <v>0</v>
      </c>
      <c r="N150" s="5" t="s">
        <v>983</v>
      </c>
      <c r="O150" s="1">
        <v>28</v>
      </c>
      <c r="P150" s="5" t="s">
        <v>981</v>
      </c>
      <c r="Q150" s="1">
        <v>1</v>
      </c>
      <c r="R150" s="1">
        <v>0</v>
      </c>
      <c r="S150" s="1" t="s">
        <v>194</v>
      </c>
      <c r="T150" s="1">
        <v>1</v>
      </c>
      <c r="U150" s="1">
        <v>1</v>
      </c>
      <c r="V150" s="1">
        <v>38</v>
      </c>
      <c r="W150" s="1">
        <v>0</v>
      </c>
      <c r="X150" s="1">
        <v>13</v>
      </c>
      <c r="Y150" s="1">
        <v>31</v>
      </c>
      <c r="Z150" s="1">
        <v>360000</v>
      </c>
      <c r="AA150" s="1">
        <v>3</v>
      </c>
    </row>
    <row r="151" spans="1:27" ht="12.75" customHeight="1" x14ac:dyDescent="0.15">
      <c r="A151" s="5">
        <v>137</v>
      </c>
      <c r="B151" s="5" t="s">
        <v>238</v>
      </c>
      <c r="C151" s="1">
        <v>39</v>
      </c>
      <c r="D151" s="5" t="s">
        <v>981</v>
      </c>
      <c r="E151" s="1">
        <v>0</v>
      </c>
      <c r="F151" s="5" t="s">
        <v>983</v>
      </c>
      <c r="G151" s="1">
        <v>0</v>
      </c>
      <c r="H151" s="5" t="s">
        <v>983</v>
      </c>
      <c r="I151" s="1">
        <v>16</v>
      </c>
      <c r="J151" s="5" t="s">
        <v>981</v>
      </c>
      <c r="K151" s="1">
        <v>0</v>
      </c>
      <c r="L151" s="5" t="s">
        <v>983</v>
      </c>
      <c r="M151" s="1">
        <v>0</v>
      </c>
      <c r="N151" s="5" t="s">
        <v>983</v>
      </c>
      <c r="O151" s="1">
        <v>0</v>
      </c>
      <c r="P151" s="5" t="s">
        <v>983</v>
      </c>
      <c r="Q151" s="1">
        <v>0</v>
      </c>
      <c r="R151" s="1">
        <v>0</v>
      </c>
      <c r="S151" s="1">
        <v>1</v>
      </c>
      <c r="T151" s="1">
        <v>3</v>
      </c>
      <c r="U151" s="1">
        <v>5</v>
      </c>
      <c r="V151" s="1">
        <v>27</v>
      </c>
      <c r="W151" s="1">
        <v>1</v>
      </c>
      <c r="X151" s="1">
        <v>18</v>
      </c>
      <c r="Y151" s="1">
        <v>24</v>
      </c>
      <c r="Z151" s="1">
        <v>900000</v>
      </c>
      <c r="AA151" s="1">
        <v>4</v>
      </c>
    </row>
    <row r="152" spans="1:27" ht="12.75" customHeight="1" x14ac:dyDescent="0.15">
      <c r="A152" s="5">
        <v>391</v>
      </c>
      <c r="B152" s="5" t="s">
        <v>238</v>
      </c>
      <c r="C152" s="1">
        <v>13</v>
      </c>
      <c r="D152" s="5" t="s">
        <v>983</v>
      </c>
      <c r="E152" s="1">
        <v>1</v>
      </c>
      <c r="F152" s="5" t="s">
        <v>983</v>
      </c>
      <c r="G152" s="1">
        <v>0</v>
      </c>
      <c r="H152" s="5" t="s">
        <v>983</v>
      </c>
      <c r="I152" s="1">
        <v>0</v>
      </c>
      <c r="J152" s="5" t="s">
        <v>983</v>
      </c>
      <c r="K152" s="1">
        <v>0</v>
      </c>
      <c r="L152" s="5" t="s">
        <v>983</v>
      </c>
      <c r="M152" s="1">
        <v>0</v>
      </c>
      <c r="N152" s="5" t="s">
        <v>983</v>
      </c>
      <c r="O152" s="1">
        <v>0</v>
      </c>
      <c r="P152" s="5" t="s">
        <v>983</v>
      </c>
      <c r="Q152" s="1">
        <v>0</v>
      </c>
      <c r="R152" s="1">
        <v>0</v>
      </c>
      <c r="S152" s="1">
        <v>1</v>
      </c>
      <c r="T152" s="1">
        <v>4</v>
      </c>
      <c r="U152" s="1">
        <v>2</v>
      </c>
      <c r="V152" s="1">
        <v>43</v>
      </c>
      <c r="W152" s="1">
        <v>0</v>
      </c>
      <c r="X152" s="1">
        <v>6</v>
      </c>
      <c r="Y152" s="1">
        <v>1</v>
      </c>
      <c r="Z152" s="1">
        <v>0</v>
      </c>
      <c r="AA152" s="1">
        <v>2</v>
      </c>
    </row>
    <row r="153" spans="1:27" ht="12.75" customHeight="1" x14ac:dyDescent="0.15">
      <c r="A153" s="5">
        <v>476</v>
      </c>
      <c r="B153" s="5" t="s">
        <v>238</v>
      </c>
      <c r="C153" s="1">
        <v>14</v>
      </c>
      <c r="D153" s="5" t="s">
        <v>983</v>
      </c>
      <c r="E153" s="1">
        <v>1</v>
      </c>
      <c r="F153" s="5" t="s">
        <v>983</v>
      </c>
      <c r="G153" s="1">
        <v>0</v>
      </c>
      <c r="H153" s="5" t="s">
        <v>983</v>
      </c>
      <c r="I153" s="1">
        <v>7</v>
      </c>
      <c r="J153" s="5" t="s">
        <v>981</v>
      </c>
      <c r="K153" s="1">
        <v>0</v>
      </c>
      <c r="L153" s="5" t="s">
        <v>983</v>
      </c>
      <c r="M153" s="1">
        <v>0</v>
      </c>
      <c r="N153" s="5" t="s">
        <v>983</v>
      </c>
      <c r="O153" s="1">
        <v>1</v>
      </c>
      <c r="P153" s="5" t="s">
        <v>982</v>
      </c>
      <c r="Q153" s="1">
        <v>1</v>
      </c>
      <c r="R153" s="1">
        <v>0</v>
      </c>
      <c r="S153" s="1">
        <v>1</v>
      </c>
      <c r="T153" s="1" t="s">
        <v>194</v>
      </c>
      <c r="U153" s="1">
        <v>1</v>
      </c>
      <c r="V153" s="1">
        <v>49</v>
      </c>
      <c r="W153" s="1">
        <v>1</v>
      </c>
      <c r="X153" s="1">
        <v>18</v>
      </c>
      <c r="Y153" s="1">
        <v>2</v>
      </c>
      <c r="Z153" s="1">
        <v>900000</v>
      </c>
      <c r="AA153" s="1">
        <v>1</v>
      </c>
    </row>
    <row r="154" spans="1:27" ht="12.75" customHeight="1" x14ac:dyDescent="0.15">
      <c r="A154" s="5">
        <v>299</v>
      </c>
      <c r="B154" s="5" t="s">
        <v>238</v>
      </c>
      <c r="C154" s="1">
        <v>17</v>
      </c>
      <c r="D154" s="5" t="s">
        <v>983</v>
      </c>
      <c r="E154" s="1">
        <v>1</v>
      </c>
      <c r="F154" s="5" t="s">
        <v>983</v>
      </c>
      <c r="G154" s="1">
        <v>0</v>
      </c>
      <c r="H154" s="5" t="s">
        <v>983</v>
      </c>
      <c r="I154" s="1">
        <v>2</v>
      </c>
      <c r="J154" s="5" t="s">
        <v>982</v>
      </c>
      <c r="K154" s="1">
        <v>0</v>
      </c>
      <c r="L154" s="5" t="s">
        <v>983</v>
      </c>
      <c r="M154" s="1">
        <v>2</v>
      </c>
      <c r="N154" s="5" t="s">
        <v>983</v>
      </c>
      <c r="O154" s="1">
        <v>0</v>
      </c>
      <c r="P154" s="5" t="s">
        <v>983</v>
      </c>
      <c r="Q154" s="1">
        <v>1</v>
      </c>
      <c r="R154" s="1">
        <v>0</v>
      </c>
      <c r="S154" s="1">
        <v>1</v>
      </c>
      <c r="T154" s="1">
        <v>3</v>
      </c>
      <c r="U154" s="1">
        <v>3</v>
      </c>
      <c r="V154" s="1"/>
      <c r="W154" s="1">
        <v>1</v>
      </c>
      <c r="Y154" s="1">
        <v>34</v>
      </c>
      <c r="AA154" s="1">
        <v>1</v>
      </c>
    </row>
    <row r="155" spans="1:27" ht="12.75" customHeight="1" x14ac:dyDescent="0.15">
      <c r="A155" s="5">
        <v>317</v>
      </c>
      <c r="B155" s="5" t="s">
        <v>238</v>
      </c>
      <c r="C155" s="1">
        <v>18</v>
      </c>
      <c r="D155" s="5" t="s">
        <v>983</v>
      </c>
      <c r="E155" s="1">
        <v>1</v>
      </c>
      <c r="F155" s="5" t="s">
        <v>983</v>
      </c>
      <c r="G155" s="1">
        <v>0</v>
      </c>
      <c r="H155" s="5" t="s">
        <v>983</v>
      </c>
      <c r="I155" s="1">
        <v>4</v>
      </c>
      <c r="J155" s="5" t="s">
        <v>982</v>
      </c>
      <c r="K155" s="1">
        <v>0</v>
      </c>
      <c r="L155" s="5" t="s">
        <v>983</v>
      </c>
      <c r="M155" s="1">
        <v>1</v>
      </c>
      <c r="N155" s="5" t="s">
        <v>983</v>
      </c>
      <c r="O155" s="1">
        <v>0</v>
      </c>
      <c r="P155" s="5" t="s">
        <v>983</v>
      </c>
      <c r="Q155" s="1">
        <v>0</v>
      </c>
      <c r="R155" s="1">
        <v>0</v>
      </c>
      <c r="S155" s="1" t="s">
        <v>194</v>
      </c>
      <c r="T155" s="1" t="s">
        <v>194</v>
      </c>
      <c r="U155" s="1">
        <v>2</v>
      </c>
      <c r="V155" s="1">
        <v>38</v>
      </c>
      <c r="W155" s="1">
        <v>1</v>
      </c>
      <c r="X155" s="1">
        <v>14</v>
      </c>
      <c r="Y155" s="1">
        <v>6</v>
      </c>
      <c r="Z155" s="1">
        <v>300000</v>
      </c>
      <c r="AA155" s="1">
        <v>5</v>
      </c>
    </row>
    <row r="156" spans="1:27" ht="12.75" customHeight="1" x14ac:dyDescent="0.15">
      <c r="A156" s="5">
        <v>282</v>
      </c>
      <c r="B156" s="5" t="s">
        <v>238</v>
      </c>
      <c r="C156" s="1">
        <v>18</v>
      </c>
      <c r="D156" s="5" t="s">
        <v>983</v>
      </c>
      <c r="E156" s="1">
        <v>1</v>
      </c>
      <c r="F156" s="5" t="s">
        <v>983</v>
      </c>
      <c r="G156" s="1">
        <v>0</v>
      </c>
      <c r="H156" s="5" t="s">
        <v>983</v>
      </c>
      <c r="I156" s="1">
        <v>16</v>
      </c>
      <c r="J156" s="5" t="s">
        <v>981</v>
      </c>
      <c r="K156" s="1">
        <v>0</v>
      </c>
      <c r="L156" s="5" t="s">
        <v>983</v>
      </c>
      <c r="M156" s="1">
        <v>0</v>
      </c>
      <c r="N156" s="5" t="s">
        <v>983</v>
      </c>
      <c r="O156" s="1">
        <v>0</v>
      </c>
      <c r="P156" s="5" t="s">
        <v>983</v>
      </c>
      <c r="Q156" s="1">
        <v>1</v>
      </c>
      <c r="R156" s="1">
        <v>0</v>
      </c>
      <c r="S156" s="1">
        <v>1</v>
      </c>
      <c r="T156" s="1">
        <v>5</v>
      </c>
      <c r="U156" s="1">
        <v>5</v>
      </c>
      <c r="V156" s="1"/>
      <c r="W156" s="1">
        <v>0</v>
      </c>
      <c r="Y156" s="1">
        <v>34</v>
      </c>
      <c r="AA156" s="1">
        <v>1</v>
      </c>
    </row>
    <row r="157" spans="1:27" ht="12.75" customHeight="1" x14ac:dyDescent="0.15">
      <c r="A157" s="5">
        <v>108</v>
      </c>
      <c r="B157" s="5" t="s">
        <v>238</v>
      </c>
      <c r="C157" s="1">
        <v>19</v>
      </c>
      <c r="D157" s="5" t="s">
        <v>982</v>
      </c>
      <c r="E157" s="1">
        <v>1</v>
      </c>
      <c r="F157" s="5" t="s">
        <v>983</v>
      </c>
      <c r="G157" s="1">
        <v>0</v>
      </c>
      <c r="H157" s="5" t="s">
        <v>983</v>
      </c>
      <c r="I157" s="1">
        <v>16</v>
      </c>
      <c r="J157" s="5" t="s">
        <v>981</v>
      </c>
      <c r="K157" s="1">
        <v>0</v>
      </c>
      <c r="L157" s="5" t="s">
        <v>983</v>
      </c>
      <c r="M157" s="1">
        <v>0</v>
      </c>
      <c r="N157" s="5" t="s">
        <v>983</v>
      </c>
      <c r="O157" s="1">
        <v>0</v>
      </c>
      <c r="P157" s="5" t="s">
        <v>983</v>
      </c>
      <c r="Q157" s="1">
        <v>1</v>
      </c>
      <c r="R157" s="1">
        <v>0</v>
      </c>
      <c r="S157" s="1" t="s">
        <v>194</v>
      </c>
      <c r="T157" s="1">
        <v>4</v>
      </c>
      <c r="U157" s="1">
        <v>3</v>
      </c>
      <c r="V157" s="1">
        <v>35</v>
      </c>
      <c r="W157" s="1">
        <v>1</v>
      </c>
      <c r="X157" s="1">
        <v>14</v>
      </c>
      <c r="Y157" s="1">
        <v>7</v>
      </c>
      <c r="Z157" s="1">
        <v>380000</v>
      </c>
      <c r="AA157" s="1">
        <v>4</v>
      </c>
    </row>
    <row r="158" spans="1:27" ht="12.75" customHeight="1" x14ac:dyDescent="0.15">
      <c r="A158" s="5">
        <v>344</v>
      </c>
      <c r="B158" s="5" t="s">
        <v>238</v>
      </c>
      <c r="C158" s="1">
        <v>12</v>
      </c>
      <c r="D158" s="5" t="s">
        <v>983</v>
      </c>
      <c r="E158" s="1">
        <v>2</v>
      </c>
      <c r="F158" s="5" t="s">
        <v>982</v>
      </c>
      <c r="G158" s="1">
        <v>0</v>
      </c>
      <c r="H158" s="5" t="s">
        <v>983</v>
      </c>
      <c r="I158" s="1">
        <v>8</v>
      </c>
      <c r="J158" s="5" t="s">
        <v>981</v>
      </c>
      <c r="K158" s="1">
        <v>0</v>
      </c>
      <c r="L158" s="5" t="s">
        <v>983</v>
      </c>
      <c r="M158" s="1">
        <v>0</v>
      </c>
      <c r="N158" s="5" t="s">
        <v>983</v>
      </c>
      <c r="O158" s="1">
        <v>0</v>
      </c>
      <c r="P158" s="5" t="s">
        <v>983</v>
      </c>
      <c r="Q158" s="1">
        <v>1</v>
      </c>
      <c r="R158" s="1">
        <v>1</v>
      </c>
      <c r="S158" s="1" t="s">
        <v>194</v>
      </c>
      <c r="T158" s="1">
        <v>2</v>
      </c>
      <c r="U158" s="1">
        <v>1</v>
      </c>
      <c r="V158" s="1">
        <v>26</v>
      </c>
      <c r="W158" s="1">
        <v>0</v>
      </c>
      <c r="X158" s="1">
        <v>18</v>
      </c>
      <c r="Y158" s="1">
        <v>2</v>
      </c>
      <c r="Z158" s="1">
        <v>550000</v>
      </c>
      <c r="AA158" s="1">
        <v>2</v>
      </c>
    </row>
    <row r="159" spans="1:27" ht="12.75" customHeight="1" x14ac:dyDescent="0.15">
      <c r="A159" s="5">
        <v>73</v>
      </c>
      <c r="B159" s="5" t="s">
        <v>238</v>
      </c>
      <c r="C159" s="1">
        <v>12</v>
      </c>
      <c r="D159" s="5" t="s">
        <v>983</v>
      </c>
      <c r="E159" s="1">
        <v>2</v>
      </c>
      <c r="F159" s="5" t="s">
        <v>982</v>
      </c>
      <c r="G159" s="1">
        <v>0</v>
      </c>
      <c r="H159" s="5" t="s">
        <v>983</v>
      </c>
      <c r="I159" s="1">
        <v>4</v>
      </c>
      <c r="J159" s="5" t="s">
        <v>982</v>
      </c>
      <c r="K159" s="1">
        <v>0</v>
      </c>
      <c r="L159" s="5" t="s">
        <v>983</v>
      </c>
      <c r="M159" s="1">
        <v>0</v>
      </c>
      <c r="N159" s="5" t="s">
        <v>983</v>
      </c>
      <c r="O159" s="1">
        <v>0</v>
      </c>
      <c r="P159" s="5" t="s">
        <v>983</v>
      </c>
      <c r="Q159" s="1">
        <v>1</v>
      </c>
      <c r="R159" s="1">
        <v>0</v>
      </c>
      <c r="S159" s="1">
        <v>1</v>
      </c>
      <c r="T159" s="1" t="s">
        <v>194</v>
      </c>
      <c r="U159" s="1">
        <v>2</v>
      </c>
      <c r="V159" s="1">
        <v>41</v>
      </c>
      <c r="W159" s="1">
        <v>0</v>
      </c>
      <c r="X159" s="1">
        <v>18</v>
      </c>
      <c r="Y159" s="1">
        <v>31</v>
      </c>
      <c r="Z159" s="1">
        <v>1200000</v>
      </c>
      <c r="AA159" s="1">
        <v>2</v>
      </c>
    </row>
    <row r="160" spans="1:27" ht="12.75" customHeight="1" x14ac:dyDescent="0.15">
      <c r="A160" s="5">
        <v>269</v>
      </c>
      <c r="B160" s="5" t="s">
        <v>238</v>
      </c>
      <c r="C160" s="1">
        <v>18</v>
      </c>
      <c r="D160" s="5" t="s">
        <v>983</v>
      </c>
      <c r="E160" s="1">
        <v>2</v>
      </c>
      <c r="F160" s="5" t="s">
        <v>982</v>
      </c>
      <c r="G160" s="1">
        <v>0</v>
      </c>
      <c r="H160" s="5" t="s">
        <v>983</v>
      </c>
      <c r="I160" s="1">
        <v>16</v>
      </c>
      <c r="J160" s="5" t="s">
        <v>981</v>
      </c>
      <c r="K160" s="1">
        <v>0</v>
      </c>
      <c r="L160" s="5" t="s">
        <v>983</v>
      </c>
      <c r="M160" s="1">
        <v>0</v>
      </c>
      <c r="N160" s="5" t="s">
        <v>983</v>
      </c>
      <c r="O160" s="1">
        <v>0</v>
      </c>
      <c r="P160" s="5" t="s">
        <v>983</v>
      </c>
      <c r="Q160" s="1">
        <v>0</v>
      </c>
      <c r="R160" s="1">
        <v>0</v>
      </c>
      <c r="S160" s="1" t="s">
        <v>194</v>
      </c>
      <c r="T160" s="1">
        <v>5</v>
      </c>
      <c r="U160" s="1">
        <v>5</v>
      </c>
      <c r="V160" s="1">
        <v>48</v>
      </c>
      <c r="W160" s="1">
        <v>0</v>
      </c>
      <c r="X160" s="1">
        <v>17</v>
      </c>
      <c r="Y160" s="1">
        <v>7</v>
      </c>
      <c r="Z160" s="1">
        <v>650000</v>
      </c>
      <c r="AA160" s="1">
        <v>2</v>
      </c>
    </row>
    <row r="161" spans="1:27" ht="12.75" customHeight="1" x14ac:dyDescent="0.15">
      <c r="A161" s="5">
        <v>147</v>
      </c>
      <c r="B161" s="5" t="s">
        <v>238</v>
      </c>
      <c r="C161" s="1">
        <v>20</v>
      </c>
      <c r="D161" s="5" t="s">
        <v>982</v>
      </c>
      <c r="E161" s="1">
        <v>2</v>
      </c>
      <c r="F161" s="5" t="s">
        <v>982</v>
      </c>
      <c r="G161" s="1">
        <v>0</v>
      </c>
      <c r="H161" s="5" t="s">
        <v>983</v>
      </c>
      <c r="I161" s="1">
        <v>4</v>
      </c>
      <c r="J161" s="5" t="s">
        <v>982</v>
      </c>
      <c r="K161" s="1">
        <v>0</v>
      </c>
      <c r="L161" s="5" t="s">
        <v>983</v>
      </c>
      <c r="M161" s="1">
        <v>2</v>
      </c>
      <c r="N161" s="5" t="s">
        <v>983</v>
      </c>
      <c r="O161" s="1">
        <v>0</v>
      </c>
      <c r="P161" s="5" t="s">
        <v>983</v>
      </c>
      <c r="Q161" s="1">
        <v>1</v>
      </c>
      <c r="R161" s="1">
        <v>0</v>
      </c>
      <c r="S161" s="1">
        <v>1</v>
      </c>
      <c r="T161" s="1">
        <v>5</v>
      </c>
      <c r="U161" s="1">
        <v>4</v>
      </c>
      <c r="V161" s="1">
        <v>38</v>
      </c>
      <c r="W161" s="1">
        <v>1</v>
      </c>
      <c r="X161" s="1">
        <v>14</v>
      </c>
      <c r="Y161" s="1">
        <v>1</v>
      </c>
      <c r="Z161" s="1">
        <v>0</v>
      </c>
      <c r="AA161" s="1">
        <v>3</v>
      </c>
    </row>
    <row r="162" spans="1:27" ht="12.75" customHeight="1" x14ac:dyDescent="0.15">
      <c r="A162" s="5">
        <v>487</v>
      </c>
      <c r="B162" s="5" t="s">
        <v>238</v>
      </c>
      <c r="C162" s="1">
        <v>20</v>
      </c>
      <c r="D162" s="5" t="s">
        <v>982</v>
      </c>
      <c r="E162" s="1">
        <v>2</v>
      </c>
      <c r="F162" s="5" t="s">
        <v>982</v>
      </c>
      <c r="G162" s="1">
        <v>0</v>
      </c>
      <c r="H162" s="5" t="s">
        <v>983</v>
      </c>
      <c r="I162" s="1">
        <v>16</v>
      </c>
      <c r="J162" s="5" t="s">
        <v>981</v>
      </c>
      <c r="K162" s="1">
        <v>0</v>
      </c>
      <c r="L162" s="5" t="s">
        <v>983</v>
      </c>
      <c r="M162" s="1">
        <v>3</v>
      </c>
      <c r="N162" s="5" t="s">
        <v>982</v>
      </c>
      <c r="O162" s="1">
        <v>0</v>
      </c>
      <c r="P162" s="5" t="s">
        <v>983</v>
      </c>
      <c r="Q162" s="1">
        <v>0</v>
      </c>
      <c r="R162" s="1">
        <v>0</v>
      </c>
      <c r="S162" s="1" t="s">
        <v>194</v>
      </c>
      <c r="T162" s="1">
        <v>4</v>
      </c>
      <c r="U162" s="1">
        <v>2</v>
      </c>
      <c r="V162" s="1">
        <v>54</v>
      </c>
      <c r="W162" s="1">
        <v>1</v>
      </c>
      <c r="X162" s="1">
        <v>12</v>
      </c>
      <c r="Y162" s="1">
        <v>1</v>
      </c>
      <c r="Z162" s="1">
        <v>400000</v>
      </c>
      <c r="AA162" s="1">
        <v>1</v>
      </c>
    </row>
    <row r="163" spans="1:27" ht="12.75" customHeight="1" x14ac:dyDescent="0.15">
      <c r="A163" s="5">
        <v>65</v>
      </c>
      <c r="B163" s="5" t="s">
        <v>238</v>
      </c>
      <c r="C163" s="1">
        <v>23</v>
      </c>
      <c r="D163" s="5" t="s">
        <v>982</v>
      </c>
      <c r="E163" s="1">
        <v>2</v>
      </c>
      <c r="F163" s="5" t="s">
        <v>982</v>
      </c>
      <c r="G163" s="1">
        <v>0</v>
      </c>
      <c r="H163" s="5" t="s">
        <v>983</v>
      </c>
      <c r="I163" s="1">
        <v>3</v>
      </c>
      <c r="J163" s="5" t="s">
        <v>982</v>
      </c>
      <c r="K163" s="1">
        <v>0</v>
      </c>
      <c r="L163" s="5" t="s">
        <v>983</v>
      </c>
      <c r="M163" s="1">
        <v>0</v>
      </c>
      <c r="N163" s="5" t="s">
        <v>983</v>
      </c>
      <c r="O163" s="1">
        <v>0</v>
      </c>
      <c r="P163" s="5" t="s">
        <v>983</v>
      </c>
      <c r="Q163" s="1">
        <v>0</v>
      </c>
      <c r="R163" s="1">
        <v>0</v>
      </c>
      <c r="S163" s="1" t="s">
        <v>194</v>
      </c>
      <c r="T163" s="1">
        <v>3</v>
      </c>
      <c r="U163" s="1">
        <v>3</v>
      </c>
      <c r="V163" s="1">
        <v>52</v>
      </c>
      <c r="W163" s="1">
        <v>1</v>
      </c>
      <c r="X163" s="1">
        <v>14</v>
      </c>
      <c r="Y163" s="1">
        <v>1</v>
      </c>
      <c r="Z163" s="1">
        <v>0</v>
      </c>
      <c r="AA163" s="1">
        <v>4</v>
      </c>
    </row>
    <row r="164" spans="1:27" ht="12.75" customHeight="1" x14ac:dyDescent="0.15">
      <c r="A164" s="5">
        <v>247</v>
      </c>
      <c r="B164" s="5" t="s">
        <v>238</v>
      </c>
      <c r="C164" s="1">
        <v>43</v>
      </c>
      <c r="D164" s="5" t="s">
        <v>981</v>
      </c>
      <c r="E164" s="1">
        <v>2</v>
      </c>
      <c r="F164" s="5" t="s">
        <v>982</v>
      </c>
      <c r="G164" s="1">
        <v>0</v>
      </c>
      <c r="H164" s="5" t="s">
        <v>983</v>
      </c>
      <c r="I164" s="1">
        <v>16</v>
      </c>
      <c r="J164" s="5" t="s">
        <v>981</v>
      </c>
      <c r="K164" s="1">
        <v>0</v>
      </c>
      <c r="L164" s="5" t="s">
        <v>983</v>
      </c>
      <c r="M164" s="1">
        <v>8</v>
      </c>
      <c r="N164" s="5" t="s">
        <v>981</v>
      </c>
      <c r="O164" s="1">
        <v>0</v>
      </c>
      <c r="P164" s="5" t="s">
        <v>983</v>
      </c>
      <c r="Q164" s="1">
        <v>0</v>
      </c>
      <c r="R164" s="1">
        <v>0</v>
      </c>
      <c r="S164" s="1" t="s">
        <v>194</v>
      </c>
      <c r="T164" s="1">
        <v>5</v>
      </c>
      <c r="U164" s="1">
        <v>5</v>
      </c>
      <c r="V164" s="1">
        <v>42</v>
      </c>
      <c r="W164" s="1">
        <v>0</v>
      </c>
      <c r="X164" s="1">
        <v>10</v>
      </c>
      <c r="Y164" s="1">
        <v>3</v>
      </c>
      <c r="Z164" s="1">
        <v>0</v>
      </c>
      <c r="AA164" s="1">
        <v>2</v>
      </c>
    </row>
    <row r="165" spans="1:27" ht="12.75" customHeight="1" x14ac:dyDescent="0.15">
      <c r="A165" s="5">
        <v>281</v>
      </c>
      <c r="B165" s="5" t="s">
        <v>238</v>
      </c>
      <c r="C165" s="1">
        <v>12</v>
      </c>
      <c r="D165" s="5" t="s">
        <v>983</v>
      </c>
      <c r="E165" s="1">
        <v>3</v>
      </c>
      <c r="F165" s="5" t="s">
        <v>982</v>
      </c>
      <c r="G165" s="1">
        <v>0</v>
      </c>
      <c r="H165" s="5" t="s">
        <v>983</v>
      </c>
      <c r="I165" s="1">
        <v>6</v>
      </c>
      <c r="J165" s="5" t="s">
        <v>981</v>
      </c>
      <c r="K165" s="1">
        <v>0</v>
      </c>
      <c r="L165" s="5" t="s">
        <v>983</v>
      </c>
      <c r="M165" s="1">
        <v>3</v>
      </c>
      <c r="N165" s="5" t="s">
        <v>982</v>
      </c>
      <c r="O165" s="1">
        <v>0</v>
      </c>
      <c r="P165" s="5" t="s">
        <v>983</v>
      </c>
      <c r="Q165" s="1">
        <v>1</v>
      </c>
      <c r="R165" s="1">
        <v>0</v>
      </c>
      <c r="S165" s="1">
        <v>1</v>
      </c>
      <c r="T165" s="1" t="s">
        <v>194</v>
      </c>
      <c r="U165" s="1">
        <v>4</v>
      </c>
      <c r="V165" s="1">
        <v>31</v>
      </c>
      <c r="W165" s="1">
        <v>0</v>
      </c>
      <c r="X165" s="1">
        <v>16</v>
      </c>
      <c r="Y165" s="1">
        <v>33</v>
      </c>
      <c r="Z165" s="1">
        <v>150000</v>
      </c>
      <c r="AA165" s="1">
        <v>1</v>
      </c>
    </row>
    <row r="166" spans="1:27" ht="12.75" customHeight="1" x14ac:dyDescent="0.15">
      <c r="A166" s="5">
        <v>123</v>
      </c>
      <c r="B166" s="5" t="s">
        <v>238</v>
      </c>
      <c r="C166" s="1">
        <v>12</v>
      </c>
      <c r="D166" s="5" t="s">
        <v>983</v>
      </c>
      <c r="E166" s="1">
        <v>3</v>
      </c>
      <c r="F166" s="5" t="s">
        <v>982</v>
      </c>
      <c r="G166" s="1">
        <v>0</v>
      </c>
      <c r="H166" s="5" t="s">
        <v>983</v>
      </c>
      <c r="I166" s="1">
        <v>4</v>
      </c>
      <c r="J166" s="5" t="s">
        <v>982</v>
      </c>
      <c r="K166" s="1">
        <v>0</v>
      </c>
      <c r="L166" s="5" t="s">
        <v>983</v>
      </c>
      <c r="M166" s="1">
        <v>0</v>
      </c>
      <c r="N166" s="5" t="s">
        <v>983</v>
      </c>
      <c r="O166" s="1">
        <v>0</v>
      </c>
      <c r="P166" s="5" t="s">
        <v>983</v>
      </c>
      <c r="Q166" s="1">
        <v>0</v>
      </c>
      <c r="R166" s="1">
        <v>0</v>
      </c>
      <c r="S166" s="1" t="s">
        <v>194</v>
      </c>
      <c r="T166" s="1" t="s">
        <v>194</v>
      </c>
      <c r="U166" s="1">
        <v>1</v>
      </c>
      <c r="V166" s="1">
        <v>33</v>
      </c>
      <c r="W166" s="1">
        <v>0</v>
      </c>
      <c r="X166" s="1">
        <v>18</v>
      </c>
      <c r="Y166" s="1">
        <v>34</v>
      </c>
      <c r="Z166" s="1">
        <v>800000</v>
      </c>
      <c r="AA166" s="1">
        <v>2</v>
      </c>
    </row>
    <row r="167" spans="1:27" ht="12.75" customHeight="1" x14ac:dyDescent="0.15">
      <c r="A167" s="5">
        <v>130</v>
      </c>
      <c r="B167" s="5" t="s">
        <v>238</v>
      </c>
      <c r="C167" s="1">
        <v>19</v>
      </c>
      <c r="D167" s="5" t="s">
        <v>982</v>
      </c>
      <c r="E167" s="1">
        <v>3</v>
      </c>
      <c r="F167" s="5" t="s">
        <v>982</v>
      </c>
      <c r="G167" s="1">
        <v>0</v>
      </c>
      <c r="H167" s="5" t="s">
        <v>983</v>
      </c>
      <c r="I167" s="1">
        <v>8</v>
      </c>
      <c r="J167" s="5" t="s">
        <v>981</v>
      </c>
      <c r="K167" s="1">
        <v>0</v>
      </c>
      <c r="L167" s="5" t="s">
        <v>983</v>
      </c>
      <c r="M167" s="1">
        <v>0</v>
      </c>
      <c r="N167" s="5" t="s">
        <v>983</v>
      </c>
      <c r="O167" s="1">
        <v>0</v>
      </c>
      <c r="P167" s="5" t="s">
        <v>983</v>
      </c>
      <c r="Q167" s="1">
        <v>1</v>
      </c>
      <c r="R167" s="1">
        <v>0</v>
      </c>
      <c r="S167" s="1">
        <v>1</v>
      </c>
      <c r="T167" s="1">
        <v>5</v>
      </c>
      <c r="U167" s="1">
        <v>4</v>
      </c>
      <c r="V167" s="1">
        <v>41</v>
      </c>
      <c r="W167" s="1">
        <v>0</v>
      </c>
      <c r="X167" s="1">
        <v>10</v>
      </c>
      <c r="Y167" s="1">
        <v>17</v>
      </c>
      <c r="Z167" s="1">
        <v>800000</v>
      </c>
      <c r="AA167" s="1">
        <v>5</v>
      </c>
    </row>
    <row r="168" spans="1:27" ht="12.75" customHeight="1" x14ac:dyDescent="0.15">
      <c r="A168" s="5">
        <v>42</v>
      </c>
      <c r="B168" s="5" t="s">
        <v>238</v>
      </c>
      <c r="C168" s="1">
        <v>29</v>
      </c>
      <c r="D168" s="5" t="s">
        <v>981</v>
      </c>
      <c r="E168" s="1">
        <v>3</v>
      </c>
      <c r="F168" s="5" t="s">
        <v>982</v>
      </c>
      <c r="G168" s="1">
        <v>0</v>
      </c>
      <c r="H168" s="5" t="s">
        <v>983</v>
      </c>
      <c r="I168" s="1">
        <v>16</v>
      </c>
      <c r="J168" s="5" t="s">
        <v>981</v>
      </c>
      <c r="K168" s="1">
        <v>0</v>
      </c>
      <c r="L168" s="5" t="s">
        <v>983</v>
      </c>
      <c r="M168" s="1">
        <v>0</v>
      </c>
      <c r="N168" s="5" t="s">
        <v>983</v>
      </c>
      <c r="O168" s="1">
        <v>0</v>
      </c>
      <c r="P168" s="5" t="s">
        <v>983</v>
      </c>
      <c r="Q168" s="1">
        <v>0</v>
      </c>
      <c r="R168" s="1">
        <v>0</v>
      </c>
      <c r="S168" s="1" t="s">
        <v>194</v>
      </c>
      <c r="T168" s="1">
        <v>1</v>
      </c>
      <c r="U168" s="1">
        <v>3</v>
      </c>
      <c r="V168" s="1">
        <v>51</v>
      </c>
      <c r="W168" s="1">
        <v>0</v>
      </c>
      <c r="X168" s="1">
        <v>14</v>
      </c>
      <c r="Y168" s="1">
        <v>29</v>
      </c>
      <c r="Z168" s="1">
        <v>800000</v>
      </c>
      <c r="AA168" s="1">
        <v>4</v>
      </c>
    </row>
    <row r="169" spans="1:27" ht="12.75" customHeight="1" x14ac:dyDescent="0.15">
      <c r="A169" s="5">
        <v>397</v>
      </c>
      <c r="B169" s="5" t="s">
        <v>238</v>
      </c>
      <c r="C169" s="1">
        <v>31</v>
      </c>
      <c r="D169" s="5" t="s">
        <v>981</v>
      </c>
      <c r="E169" s="1">
        <v>3</v>
      </c>
      <c r="F169" s="5" t="s">
        <v>982</v>
      </c>
      <c r="G169" s="1">
        <v>0</v>
      </c>
      <c r="H169" s="5" t="s">
        <v>983</v>
      </c>
      <c r="I169" s="1">
        <v>10</v>
      </c>
      <c r="J169" s="5" t="s">
        <v>981</v>
      </c>
      <c r="K169" s="1">
        <v>0</v>
      </c>
      <c r="L169" s="5" t="s">
        <v>983</v>
      </c>
      <c r="M169" s="1">
        <v>0</v>
      </c>
      <c r="N169" s="5" t="s">
        <v>983</v>
      </c>
      <c r="O169" s="1">
        <v>0</v>
      </c>
      <c r="P169" s="5" t="s">
        <v>983</v>
      </c>
      <c r="Q169" s="1">
        <v>1</v>
      </c>
      <c r="R169" s="1">
        <v>0</v>
      </c>
      <c r="S169" s="1">
        <v>1</v>
      </c>
      <c r="T169" s="1" t="s">
        <v>194</v>
      </c>
      <c r="U169" s="1">
        <v>2</v>
      </c>
      <c r="V169" s="1">
        <v>31</v>
      </c>
      <c r="W169" s="1">
        <v>1</v>
      </c>
      <c r="X169" s="1">
        <v>6</v>
      </c>
      <c r="Y169" s="1">
        <v>6</v>
      </c>
      <c r="Z169" s="1">
        <v>500000</v>
      </c>
      <c r="AA169" s="1">
        <v>2</v>
      </c>
    </row>
    <row r="170" spans="1:27" ht="12.75" customHeight="1" x14ac:dyDescent="0.15">
      <c r="A170" s="5">
        <v>197</v>
      </c>
      <c r="B170" s="5" t="s">
        <v>238</v>
      </c>
      <c r="C170" s="1">
        <v>18</v>
      </c>
      <c r="D170" s="5" t="s">
        <v>983</v>
      </c>
      <c r="E170" s="1">
        <v>4</v>
      </c>
      <c r="F170" s="5" t="s">
        <v>982</v>
      </c>
      <c r="G170" s="1">
        <v>0</v>
      </c>
      <c r="H170" s="5" t="s">
        <v>983</v>
      </c>
      <c r="I170" s="1">
        <v>2</v>
      </c>
      <c r="J170" s="5" t="s">
        <v>982</v>
      </c>
      <c r="K170" s="1">
        <v>0</v>
      </c>
      <c r="L170" s="5" t="s">
        <v>983</v>
      </c>
      <c r="M170" s="1">
        <v>0</v>
      </c>
      <c r="N170" s="5" t="s">
        <v>983</v>
      </c>
      <c r="O170" s="1">
        <v>0</v>
      </c>
      <c r="P170" s="5" t="s">
        <v>983</v>
      </c>
      <c r="Q170" s="1">
        <v>1</v>
      </c>
      <c r="R170" s="1">
        <v>0</v>
      </c>
      <c r="S170" s="1">
        <v>1</v>
      </c>
      <c r="T170" s="1">
        <v>2</v>
      </c>
      <c r="U170" s="1">
        <v>3</v>
      </c>
      <c r="V170" s="1"/>
      <c r="W170" s="1">
        <v>1</v>
      </c>
      <c r="X170" s="1"/>
      <c r="Y170" s="1">
        <v>14</v>
      </c>
      <c r="Z170" s="1">
        <v>0</v>
      </c>
      <c r="AA170" s="1">
        <v>1</v>
      </c>
    </row>
    <row r="171" spans="1:27" ht="12.75" customHeight="1" x14ac:dyDescent="0.15">
      <c r="A171" s="5">
        <v>483</v>
      </c>
      <c r="B171" s="5" t="s">
        <v>238</v>
      </c>
      <c r="C171" s="1">
        <v>21</v>
      </c>
      <c r="D171" s="5" t="s">
        <v>982</v>
      </c>
      <c r="E171" s="1">
        <v>4</v>
      </c>
      <c r="F171" s="5" t="s">
        <v>982</v>
      </c>
      <c r="G171" s="1">
        <v>0</v>
      </c>
      <c r="H171" s="5" t="s">
        <v>983</v>
      </c>
      <c r="I171" s="1">
        <v>7</v>
      </c>
      <c r="J171" s="5" t="s">
        <v>981</v>
      </c>
      <c r="K171" s="1">
        <v>0</v>
      </c>
      <c r="L171" s="5" t="s">
        <v>983</v>
      </c>
      <c r="M171" s="1">
        <v>1</v>
      </c>
      <c r="N171" s="5" t="s">
        <v>983</v>
      </c>
      <c r="O171" s="1">
        <v>0</v>
      </c>
      <c r="P171" s="5" t="s">
        <v>983</v>
      </c>
      <c r="Q171" s="1">
        <v>1</v>
      </c>
      <c r="R171" s="1">
        <v>0</v>
      </c>
      <c r="S171" s="1" t="s">
        <v>194</v>
      </c>
      <c r="T171" s="1">
        <v>2</v>
      </c>
      <c r="U171" s="1">
        <v>1</v>
      </c>
      <c r="V171" s="1">
        <v>39</v>
      </c>
      <c r="W171" s="1">
        <v>0</v>
      </c>
      <c r="X171" s="1">
        <v>2</v>
      </c>
      <c r="Y171" s="1">
        <v>8</v>
      </c>
      <c r="Z171" s="1">
        <v>0</v>
      </c>
      <c r="AA171" s="1">
        <v>4</v>
      </c>
    </row>
    <row r="172" spans="1:27" ht="12.75" customHeight="1" x14ac:dyDescent="0.15">
      <c r="A172" s="5">
        <v>375</v>
      </c>
      <c r="B172" s="5" t="s">
        <v>238</v>
      </c>
      <c r="C172" s="1">
        <v>26</v>
      </c>
      <c r="D172" s="5" t="s">
        <v>981</v>
      </c>
      <c r="E172" s="1">
        <v>4</v>
      </c>
      <c r="F172" s="5" t="s">
        <v>982</v>
      </c>
      <c r="G172" s="1">
        <v>0</v>
      </c>
      <c r="H172" s="5" t="s">
        <v>983</v>
      </c>
      <c r="I172" s="1">
        <v>8</v>
      </c>
      <c r="J172" s="5" t="s">
        <v>981</v>
      </c>
      <c r="K172" s="1">
        <v>0</v>
      </c>
      <c r="L172" s="5" t="s">
        <v>983</v>
      </c>
      <c r="M172" s="1">
        <v>1</v>
      </c>
      <c r="N172" s="5" t="s">
        <v>983</v>
      </c>
      <c r="O172" s="1">
        <v>0</v>
      </c>
      <c r="P172" s="5" t="s">
        <v>983</v>
      </c>
      <c r="Q172" s="1">
        <v>1</v>
      </c>
      <c r="R172" s="1">
        <v>0</v>
      </c>
      <c r="S172" s="1">
        <v>1</v>
      </c>
      <c r="T172" s="1" t="s">
        <v>194</v>
      </c>
      <c r="U172" s="1">
        <v>2</v>
      </c>
      <c r="V172" s="1">
        <v>50</v>
      </c>
      <c r="W172" s="1">
        <v>1</v>
      </c>
      <c r="X172" s="1">
        <v>4</v>
      </c>
      <c r="Y172" s="1">
        <v>2</v>
      </c>
      <c r="Z172" s="1">
        <v>0</v>
      </c>
      <c r="AA172" s="1">
        <v>3</v>
      </c>
    </row>
    <row r="173" spans="1:27" ht="12.75" customHeight="1" x14ac:dyDescent="0.15">
      <c r="A173" s="5">
        <v>164</v>
      </c>
      <c r="B173" s="5" t="s">
        <v>238</v>
      </c>
      <c r="C173" s="1">
        <v>29</v>
      </c>
      <c r="D173" s="5" t="s">
        <v>981</v>
      </c>
      <c r="E173" s="1">
        <v>4</v>
      </c>
      <c r="F173" s="5" t="s">
        <v>982</v>
      </c>
      <c r="G173" s="1">
        <v>0</v>
      </c>
      <c r="H173" s="5" t="s">
        <v>983</v>
      </c>
      <c r="I173" s="1">
        <v>16</v>
      </c>
      <c r="J173" s="5" t="s">
        <v>981</v>
      </c>
      <c r="K173" s="1">
        <v>0</v>
      </c>
      <c r="L173" s="5" t="s">
        <v>983</v>
      </c>
      <c r="M173" s="1">
        <v>0</v>
      </c>
      <c r="N173" s="5" t="s">
        <v>983</v>
      </c>
      <c r="O173" s="1">
        <v>0</v>
      </c>
      <c r="P173" s="5" t="s">
        <v>983</v>
      </c>
      <c r="Q173" s="1">
        <v>0</v>
      </c>
      <c r="R173" s="1">
        <v>0</v>
      </c>
      <c r="S173" s="1" t="s">
        <v>194</v>
      </c>
      <c r="T173" s="1">
        <v>3</v>
      </c>
      <c r="U173" s="1">
        <v>3</v>
      </c>
      <c r="V173" s="1">
        <v>45</v>
      </c>
      <c r="W173" s="1">
        <v>1</v>
      </c>
      <c r="X173" s="1">
        <v>18</v>
      </c>
      <c r="Y173" s="1">
        <v>21</v>
      </c>
      <c r="Z173" s="1">
        <v>900000</v>
      </c>
      <c r="AA173" s="1">
        <v>1</v>
      </c>
    </row>
    <row r="174" spans="1:27" ht="12.75" customHeight="1" x14ac:dyDescent="0.15">
      <c r="A174" s="5">
        <v>84</v>
      </c>
      <c r="B174" s="5" t="s">
        <v>238</v>
      </c>
      <c r="C174" s="1">
        <v>15</v>
      </c>
      <c r="D174" s="5" t="s">
        <v>983</v>
      </c>
      <c r="E174" s="1">
        <v>5</v>
      </c>
      <c r="F174" s="5" t="s">
        <v>981</v>
      </c>
      <c r="G174" s="1">
        <v>0</v>
      </c>
      <c r="H174" s="5" t="s">
        <v>983</v>
      </c>
      <c r="I174" s="1">
        <v>15</v>
      </c>
      <c r="J174" s="5" t="s">
        <v>981</v>
      </c>
      <c r="K174" s="1">
        <v>0</v>
      </c>
      <c r="L174" s="5" t="s">
        <v>983</v>
      </c>
      <c r="M174" s="1">
        <v>0</v>
      </c>
      <c r="N174" s="5" t="s">
        <v>983</v>
      </c>
      <c r="O174" s="1">
        <v>0</v>
      </c>
      <c r="P174" s="5" t="s">
        <v>983</v>
      </c>
      <c r="Q174" s="1">
        <v>0</v>
      </c>
      <c r="R174" s="1">
        <v>0</v>
      </c>
      <c r="S174" s="1">
        <v>1</v>
      </c>
      <c r="T174" s="1">
        <v>3</v>
      </c>
      <c r="U174" s="1">
        <v>5</v>
      </c>
      <c r="V174" s="1">
        <v>41</v>
      </c>
      <c r="W174" s="1">
        <v>1</v>
      </c>
      <c r="X174" s="1">
        <v>17</v>
      </c>
      <c r="Y174" s="1">
        <v>24</v>
      </c>
      <c r="Z174" s="1">
        <v>2000000</v>
      </c>
      <c r="AA174" s="1">
        <v>3</v>
      </c>
    </row>
    <row r="175" spans="1:27" ht="12.75" customHeight="1" x14ac:dyDescent="0.15">
      <c r="A175" s="5">
        <v>27</v>
      </c>
      <c r="B175" s="5" t="s">
        <v>238</v>
      </c>
      <c r="C175" s="1">
        <v>22</v>
      </c>
      <c r="D175" s="5" t="s">
        <v>982</v>
      </c>
      <c r="E175" s="1">
        <v>5</v>
      </c>
      <c r="F175" s="5" t="s">
        <v>981</v>
      </c>
      <c r="G175" s="1">
        <v>0</v>
      </c>
      <c r="H175" s="5" t="s">
        <v>983</v>
      </c>
      <c r="I175" s="1">
        <v>10</v>
      </c>
      <c r="J175" s="5" t="s">
        <v>981</v>
      </c>
      <c r="K175" s="1">
        <v>0</v>
      </c>
      <c r="L175" s="5" t="s">
        <v>983</v>
      </c>
      <c r="M175" s="1">
        <v>0</v>
      </c>
      <c r="N175" s="5" t="s">
        <v>983</v>
      </c>
      <c r="O175" s="1">
        <v>0</v>
      </c>
      <c r="P175" s="5" t="s">
        <v>983</v>
      </c>
      <c r="Q175" s="1">
        <v>0</v>
      </c>
      <c r="R175" s="1">
        <v>0</v>
      </c>
      <c r="S175" s="1">
        <v>1</v>
      </c>
      <c r="T175" s="1">
        <v>3</v>
      </c>
      <c r="U175" s="1">
        <v>2</v>
      </c>
      <c r="V175" s="1">
        <v>36</v>
      </c>
      <c r="W175" s="1">
        <v>1</v>
      </c>
      <c r="X175" s="1">
        <v>9</v>
      </c>
      <c r="Y175" s="1">
        <v>10</v>
      </c>
      <c r="Z175" s="1">
        <v>850000</v>
      </c>
      <c r="AA175" s="1">
        <v>1</v>
      </c>
    </row>
    <row r="176" spans="1:27" ht="12.75" customHeight="1" x14ac:dyDescent="0.15">
      <c r="A176" s="5">
        <v>77</v>
      </c>
      <c r="B176" s="5" t="s">
        <v>238</v>
      </c>
      <c r="C176" s="1">
        <v>12</v>
      </c>
      <c r="D176" s="5" t="s">
        <v>983</v>
      </c>
      <c r="E176" s="1">
        <v>6</v>
      </c>
      <c r="F176" s="5" t="s">
        <v>981</v>
      </c>
      <c r="G176" s="1">
        <v>0</v>
      </c>
      <c r="H176" s="5" t="s">
        <v>983</v>
      </c>
      <c r="I176" s="1">
        <v>16</v>
      </c>
      <c r="J176" s="5" t="s">
        <v>981</v>
      </c>
      <c r="K176" s="1">
        <v>0</v>
      </c>
      <c r="L176" s="5" t="s">
        <v>983</v>
      </c>
      <c r="M176" s="1">
        <v>0</v>
      </c>
      <c r="N176" s="5" t="s">
        <v>983</v>
      </c>
      <c r="O176" s="1">
        <v>0</v>
      </c>
      <c r="P176" s="5" t="s">
        <v>983</v>
      </c>
      <c r="Q176" s="1">
        <v>1</v>
      </c>
      <c r="R176" s="1">
        <v>0</v>
      </c>
      <c r="S176" s="1">
        <v>1</v>
      </c>
      <c r="T176" s="1">
        <v>5</v>
      </c>
      <c r="U176" s="1">
        <v>5</v>
      </c>
      <c r="V176" s="1"/>
      <c r="W176" s="1">
        <v>0</v>
      </c>
      <c r="Y176" s="1">
        <v>24</v>
      </c>
      <c r="AA176" s="1">
        <v>7</v>
      </c>
    </row>
    <row r="177" spans="1:27" ht="12.75" customHeight="1" x14ac:dyDescent="0.15">
      <c r="A177" s="5">
        <v>501</v>
      </c>
      <c r="B177" s="5" t="s">
        <v>238</v>
      </c>
      <c r="C177" s="1">
        <v>18</v>
      </c>
      <c r="D177" s="5" t="s">
        <v>983</v>
      </c>
      <c r="E177" s="1">
        <v>6</v>
      </c>
      <c r="F177" s="5" t="s">
        <v>981</v>
      </c>
      <c r="G177" s="1">
        <v>0</v>
      </c>
      <c r="H177" s="5" t="s">
        <v>983</v>
      </c>
      <c r="I177" s="1">
        <v>8</v>
      </c>
      <c r="J177" s="5" t="s">
        <v>981</v>
      </c>
      <c r="K177" s="1">
        <v>0</v>
      </c>
      <c r="L177" s="5" t="s">
        <v>983</v>
      </c>
      <c r="M177" s="1">
        <v>0</v>
      </c>
      <c r="N177" s="5" t="s">
        <v>983</v>
      </c>
      <c r="O177" s="1">
        <v>0</v>
      </c>
      <c r="P177" s="5" t="s">
        <v>983</v>
      </c>
      <c r="Q177" s="1">
        <v>0</v>
      </c>
      <c r="R177" s="1">
        <v>0</v>
      </c>
      <c r="S177" s="1" t="s">
        <v>194</v>
      </c>
      <c r="T177" s="1" t="s">
        <v>194</v>
      </c>
      <c r="U177" s="1">
        <v>2</v>
      </c>
      <c r="V177" s="1"/>
      <c r="W177" s="1">
        <v>0</v>
      </c>
      <c r="Y177" s="1">
        <v>29</v>
      </c>
      <c r="AA177" s="1">
        <v>2</v>
      </c>
    </row>
    <row r="178" spans="1:27" ht="12.75" customHeight="1" x14ac:dyDescent="0.15">
      <c r="A178" s="5">
        <v>303</v>
      </c>
      <c r="B178" s="5" t="s">
        <v>238</v>
      </c>
      <c r="C178" s="1">
        <v>25</v>
      </c>
      <c r="D178" s="5" t="s">
        <v>981</v>
      </c>
      <c r="E178" s="1">
        <v>6</v>
      </c>
      <c r="F178" s="5" t="s">
        <v>981</v>
      </c>
      <c r="G178" s="1">
        <v>0</v>
      </c>
      <c r="H178" s="5" t="s">
        <v>983</v>
      </c>
      <c r="I178" s="1">
        <v>12</v>
      </c>
      <c r="J178" s="5" t="s">
        <v>981</v>
      </c>
      <c r="K178" s="1">
        <v>0</v>
      </c>
      <c r="L178" s="5" t="s">
        <v>983</v>
      </c>
      <c r="M178" s="1">
        <v>0</v>
      </c>
      <c r="N178" s="5" t="s">
        <v>983</v>
      </c>
      <c r="O178" s="1">
        <v>0</v>
      </c>
      <c r="P178" s="5" t="s">
        <v>983</v>
      </c>
      <c r="Q178" s="1">
        <v>0</v>
      </c>
      <c r="R178" s="1">
        <v>1</v>
      </c>
      <c r="S178" s="1" t="s">
        <v>194</v>
      </c>
      <c r="T178" s="1">
        <v>3</v>
      </c>
      <c r="U178" s="1">
        <v>3</v>
      </c>
      <c r="V178" s="1">
        <v>52</v>
      </c>
      <c r="W178" s="1">
        <v>1</v>
      </c>
      <c r="X178" s="1">
        <v>14</v>
      </c>
      <c r="Y178" s="1">
        <v>2</v>
      </c>
      <c r="Z178" s="1">
        <v>1400000</v>
      </c>
      <c r="AA178" s="1">
        <v>3</v>
      </c>
    </row>
    <row r="179" spans="1:27" ht="12.75" customHeight="1" x14ac:dyDescent="0.15">
      <c r="A179" s="5">
        <v>467</v>
      </c>
      <c r="B179" s="5" t="s">
        <v>238</v>
      </c>
      <c r="C179" s="1">
        <v>36</v>
      </c>
      <c r="D179" s="5" t="s">
        <v>981</v>
      </c>
      <c r="E179" s="1">
        <v>12</v>
      </c>
      <c r="F179" s="5" t="s">
        <v>981</v>
      </c>
      <c r="G179" s="1">
        <v>0</v>
      </c>
      <c r="H179" s="5" t="s">
        <v>983</v>
      </c>
      <c r="I179" s="1">
        <v>16</v>
      </c>
      <c r="J179" s="5" t="s">
        <v>981</v>
      </c>
      <c r="K179" s="1">
        <v>0</v>
      </c>
      <c r="L179" s="5" t="s">
        <v>983</v>
      </c>
      <c r="M179" s="1">
        <v>12</v>
      </c>
      <c r="N179" s="5" t="s">
        <v>981</v>
      </c>
      <c r="O179" s="1">
        <v>3</v>
      </c>
      <c r="P179" s="5" t="s">
        <v>982</v>
      </c>
      <c r="Q179" s="1">
        <v>0</v>
      </c>
      <c r="R179" s="1">
        <v>0</v>
      </c>
      <c r="S179" s="1" t="s">
        <v>194</v>
      </c>
      <c r="T179" s="1">
        <v>5</v>
      </c>
      <c r="U179" s="1">
        <v>5</v>
      </c>
      <c r="V179" s="1"/>
      <c r="W179" s="1">
        <v>0</v>
      </c>
      <c r="Y179" s="1">
        <v>10</v>
      </c>
      <c r="AA179" s="1">
        <v>4</v>
      </c>
    </row>
    <row r="180" spans="1:27" ht="12.75" customHeight="1" x14ac:dyDescent="0.15">
      <c r="A180" s="5">
        <v>343</v>
      </c>
      <c r="B180" s="5" t="s">
        <v>238</v>
      </c>
      <c r="C180" s="1">
        <v>15</v>
      </c>
      <c r="D180" s="5" t="s">
        <v>983</v>
      </c>
      <c r="E180" s="1">
        <v>0</v>
      </c>
      <c r="F180" s="5" t="s">
        <v>983</v>
      </c>
      <c r="G180" s="1">
        <v>1</v>
      </c>
      <c r="H180" s="5" t="s">
        <v>983</v>
      </c>
      <c r="I180" s="1">
        <v>16</v>
      </c>
      <c r="J180" s="5" t="s">
        <v>981</v>
      </c>
      <c r="K180" s="1">
        <v>0</v>
      </c>
      <c r="L180" s="5" t="s">
        <v>983</v>
      </c>
      <c r="M180" s="1">
        <v>0</v>
      </c>
      <c r="N180" s="5" t="s">
        <v>983</v>
      </c>
      <c r="O180" s="1">
        <v>0</v>
      </c>
      <c r="P180" s="5" t="s">
        <v>983</v>
      </c>
      <c r="Q180" s="1">
        <v>0</v>
      </c>
      <c r="R180" s="1">
        <v>0</v>
      </c>
      <c r="S180" s="1" t="s">
        <v>194</v>
      </c>
      <c r="T180" s="1">
        <v>2</v>
      </c>
      <c r="U180" s="1">
        <v>3</v>
      </c>
      <c r="V180" s="1">
        <v>54</v>
      </c>
      <c r="W180" s="1">
        <v>1</v>
      </c>
      <c r="X180" s="1">
        <v>2</v>
      </c>
      <c r="Y180" s="1">
        <v>34</v>
      </c>
      <c r="Z180" s="1">
        <v>400000</v>
      </c>
      <c r="AA180" s="1">
        <v>2</v>
      </c>
    </row>
    <row r="181" spans="1:27" ht="12.75" customHeight="1" x14ac:dyDescent="0.15">
      <c r="A181" s="5">
        <v>448</v>
      </c>
      <c r="B181" s="5" t="s">
        <v>238</v>
      </c>
      <c r="C181" s="1">
        <v>16</v>
      </c>
      <c r="D181" s="5" t="s">
        <v>983</v>
      </c>
      <c r="E181" s="1">
        <v>0</v>
      </c>
      <c r="F181" s="5" t="s">
        <v>983</v>
      </c>
      <c r="G181" s="1">
        <v>1</v>
      </c>
      <c r="H181" s="5" t="s">
        <v>983</v>
      </c>
      <c r="I181" s="1">
        <v>15</v>
      </c>
      <c r="J181" s="5" t="s">
        <v>981</v>
      </c>
      <c r="K181" s="1">
        <v>0</v>
      </c>
      <c r="L181" s="5" t="s">
        <v>983</v>
      </c>
      <c r="M181" s="1">
        <v>0</v>
      </c>
      <c r="N181" s="5" t="s">
        <v>983</v>
      </c>
      <c r="O181" s="1">
        <v>0</v>
      </c>
      <c r="P181" s="5" t="s">
        <v>983</v>
      </c>
      <c r="Q181" s="1">
        <v>0</v>
      </c>
      <c r="R181" s="1">
        <v>0</v>
      </c>
      <c r="S181" s="1" t="s">
        <v>194</v>
      </c>
      <c r="T181" s="1">
        <v>5</v>
      </c>
      <c r="U181" s="1">
        <v>5</v>
      </c>
      <c r="V181" s="1">
        <v>55</v>
      </c>
      <c r="W181" s="1">
        <v>0</v>
      </c>
      <c r="X181" s="1">
        <v>16</v>
      </c>
      <c r="Y181" s="1">
        <v>34</v>
      </c>
      <c r="Z181" s="1">
        <v>800000</v>
      </c>
      <c r="AA181" s="1">
        <v>3</v>
      </c>
    </row>
    <row r="182" spans="1:27" ht="12.75" customHeight="1" x14ac:dyDescent="0.15">
      <c r="A182" s="5">
        <v>23</v>
      </c>
      <c r="B182" s="5" t="s">
        <v>238</v>
      </c>
      <c r="C182" s="1">
        <v>17</v>
      </c>
      <c r="D182" s="5" t="s">
        <v>983</v>
      </c>
      <c r="E182" s="1">
        <v>0</v>
      </c>
      <c r="F182" s="5" t="s">
        <v>983</v>
      </c>
      <c r="G182" s="1">
        <v>1</v>
      </c>
      <c r="H182" s="5" t="s">
        <v>983</v>
      </c>
      <c r="I182" s="1">
        <v>4</v>
      </c>
      <c r="J182" s="5" t="s">
        <v>982</v>
      </c>
      <c r="K182" s="1">
        <v>0</v>
      </c>
      <c r="L182" s="5" t="s">
        <v>983</v>
      </c>
      <c r="M182" s="1">
        <v>0</v>
      </c>
      <c r="N182" s="5" t="s">
        <v>983</v>
      </c>
      <c r="O182" s="1">
        <v>0</v>
      </c>
      <c r="P182" s="5" t="s">
        <v>983</v>
      </c>
      <c r="Q182" s="1">
        <v>1</v>
      </c>
      <c r="R182" s="1">
        <v>0</v>
      </c>
      <c r="S182" s="1">
        <v>1</v>
      </c>
      <c r="T182" s="1">
        <v>5</v>
      </c>
      <c r="U182" s="1">
        <v>2</v>
      </c>
      <c r="V182" s="1">
        <v>62</v>
      </c>
      <c r="W182" s="1">
        <v>0</v>
      </c>
      <c r="X182" s="1">
        <v>16</v>
      </c>
      <c r="Y182" s="1">
        <v>11</v>
      </c>
      <c r="Z182" s="1">
        <v>800000</v>
      </c>
      <c r="AA182" s="1">
        <v>1</v>
      </c>
    </row>
    <row r="183" spans="1:27" ht="12.75" customHeight="1" x14ac:dyDescent="0.15">
      <c r="A183" s="5">
        <v>12</v>
      </c>
      <c r="B183" s="5" t="s">
        <v>238</v>
      </c>
      <c r="C183" s="1">
        <v>13</v>
      </c>
      <c r="D183" s="5" t="s">
        <v>983</v>
      </c>
      <c r="E183" s="1">
        <v>1</v>
      </c>
      <c r="F183" s="5" t="s">
        <v>983</v>
      </c>
      <c r="G183" s="1">
        <v>1</v>
      </c>
      <c r="H183" s="5" t="s">
        <v>983</v>
      </c>
      <c r="I183" s="1">
        <v>0</v>
      </c>
      <c r="J183" s="5" t="s">
        <v>983</v>
      </c>
      <c r="K183" s="1">
        <v>0</v>
      </c>
      <c r="L183" s="5" t="s">
        <v>983</v>
      </c>
      <c r="M183" s="1">
        <v>0</v>
      </c>
      <c r="N183" s="5" t="s">
        <v>983</v>
      </c>
      <c r="O183" s="1">
        <v>0</v>
      </c>
      <c r="P183" s="5" t="s">
        <v>983</v>
      </c>
      <c r="Q183" s="1">
        <v>1</v>
      </c>
      <c r="R183" s="1">
        <v>0</v>
      </c>
      <c r="S183" s="1">
        <v>1</v>
      </c>
      <c r="T183" s="1">
        <v>3</v>
      </c>
      <c r="U183" s="1">
        <v>3</v>
      </c>
      <c r="V183" s="1"/>
      <c r="W183" s="1">
        <v>0</v>
      </c>
      <c r="X183" s="1">
        <v>14</v>
      </c>
      <c r="Y183" s="1">
        <v>3</v>
      </c>
      <c r="Z183" s="1">
        <v>0</v>
      </c>
      <c r="AA183" s="1">
        <v>3</v>
      </c>
    </row>
    <row r="184" spans="1:27" ht="12.75" customHeight="1" x14ac:dyDescent="0.15">
      <c r="A184" s="5">
        <v>175</v>
      </c>
      <c r="B184" s="5" t="s">
        <v>238</v>
      </c>
      <c r="C184" s="1">
        <v>16</v>
      </c>
      <c r="D184" s="5" t="s">
        <v>983</v>
      </c>
      <c r="E184" s="1">
        <v>1</v>
      </c>
      <c r="F184" s="5" t="s">
        <v>983</v>
      </c>
      <c r="G184" s="1">
        <v>1</v>
      </c>
      <c r="H184" s="5" t="s">
        <v>983</v>
      </c>
      <c r="I184" s="1">
        <v>7</v>
      </c>
      <c r="J184" s="5" t="s">
        <v>981</v>
      </c>
      <c r="K184" s="1">
        <v>0</v>
      </c>
      <c r="L184" s="5" t="s">
        <v>983</v>
      </c>
      <c r="M184" s="1">
        <v>0</v>
      </c>
      <c r="N184" s="5" t="s">
        <v>983</v>
      </c>
      <c r="O184" s="1">
        <v>0</v>
      </c>
      <c r="P184" s="5" t="s">
        <v>983</v>
      </c>
      <c r="Q184" s="1">
        <v>0</v>
      </c>
      <c r="R184" s="1">
        <v>0</v>
      </c>
      <c r="S184" s="1" t="s">
        <v>194</v>
      </c>
      <c r="T184" s="1">
        <v>5</v>
      </c>
      <c r="U184" s="1">
        <v>5</v>
      </c>
      <c r="V184" s="1">
        <v>39</v>
      </c>
      <c r="W184" s="1">
        <v>0</v>
      </c>
      <c r="X184" s="1">
        <v>18</v>
      </c>
      <c r="Y184" s="1">
        <v>24</v>
      </c>
      <c r="Z184" s="1">
        <v>1600</v>
      </c>
      <c r="AA184" s="1">
        <v>4</v>
      </c>
    </row>
    <row r="185" spans="1:27" ht="12.75" customHeight="1" x14ac:dyDescent="0.15">
      <c r="A185" s="5">
        <v>457</v>
      </c>
      <c r="B185" s="5" t="s">
        <v>238</v>
      </c>
      <c r="C185" s="1">
        <v>18</v>
      </c>
      <c r="D185" s="5" t="s">
        <v>983</v>
      </c>
      <c r="E185" s="1">
        <v>1</v>
      </c>
      <c r="F185" s="5" t="s">
        <v>983</v>
      </c>
      <c r="G185" s="1">
        <v>1</v>
      </c>
      <c r="H185" s="5" t="s">
        <v>983</v>
      </c>
      <c r="I185" s="1">
        <v>8</v>
      </c>
      <c r="J185" s="5" t="s">
        <v>981</v>
      </c>
      <c r="K185" s="1">
        <v>0</v>
      </c>
      <c r="L185" s="5" t="s">
        <v>983</v>
      </c>
      <c r="M185" s="1">
        <v>3</v>
      </c>
      <c r="N185" s="5" t="s">
        <v>982</v>
      </c>
      <c r="O185" s="1">
        <v>0</v>
      </c>
      <c r="P185" s="5" t="s">
        <v>983</v>
      </c>
      <c r="Q185" s="1">
        <v>1</v>
      </c>
      <c r="R185" s="1">
        <v>0</v>
      </c>
      <c r="S185" s="1">
        <v>1</v>
      </c>
      <c r="T185" s="1">
        <v>2</v>
      </c>
      <c r="U185" s="1">
        <v>1</v>
      </c>
      <c r="V185" s="1">
        <v>31</v>
      </c>
      <c r="W185" s="1">
        <v>0</v>
      </c>
      <c r="X185" s="1">
        <v>6</v>
      </c>
      <c r="Y185" s="1">
        <v>5</v>
      </c>
      <c r="Z185" s="1">
        <v>150000</v>
      </c>
      <c r="AA185" s="1">
        <v>1</v>
      </c>
    </row>
    <row r="186" spans="1:27" ht="12.75" customHeight="1" x14ac:dyDescent="0.15">
      <c r="A186" s="5">
        <v>421</v>
      </c>
      <c r="B186" s="5" t="s">
        <v>238</v>
      </c>
      <c r="C186" s="1">
        <v>18</v>
      </c>
      <c r="D186" s="5" t="s">
        <v>983</v>
      </c>
      <c r="E186" s="1">
        <v>1</v>
      </c>
      <c r="F186" s="5" t="s">
        <v>983</v>
      </c>
      <c r="G186" s="1">
        <v>1</v>
      </c>
      <c r="H186" s="5" t="s">
        <v>983</v>
      </c>
      <c r="I186" s="1">
        <v>5</v>
      </c>
      <c r="J186" s="5" t="s">
        <v>981</v>
      </c>
      <c r="K186" s="1">
        <v>0</v>
      </c>
      <c r="L186" s="5" t="s">
        <v>983</v>
      </c>
      <c r="M186" s="1">
        <v>0</v>
      </c>
      <c r="N186" s="5" t="s">
        <v>983</v>
      </c>
      <c r="O186" s="1">
        <v>0</v>
      </c>
      <c r="P186" s="5" t="s">
        <v>983</v>
      </c>
      <c r="Q186" s="1">
        <v>1</v>
      </c>
      <c r="R186" s="1">
        <v>0</v>
      </c>
      <c r="S186" s="1">
        <v>1</v>
      </c>
      <c r="T186" s="1" t="s">
        <v>194</v>
      </c>
      <c r="U186" s="1">
        <v>1</v>
      </c>
      <c r="V186" s="1">
        <v>45</v>
      </c>
      <c r="W186" s="1">
        <v>1</v>
      </c>
      <c r="X186" s="1">
        <v>14</v>
      </c>
      <c r="Y186" s="1">
        <v>34</v>
      </c>
      <c r="Z186" s="1">
        <v>500000</v>
      </c>
      <c r="AA186" s="1">
        <v>2</v>
      </c>
    </row>
    <row r="187" spans="1:27" ht="12.75" customHeight="1" x14ac:dyDescent="0.15">
      <c r="A187" s="5">
        <v>364</v>
      </c>
      <c r="B187" s="5" t="s">
        <v>238</v>
      </c>
      <c r="C187" s="1">
        <v>13</v>
      </c>
      <c r="D187" s="5" t="s">
        <v>983</v>
      </c>
      <c r="E187" s="1">
        <v>2</v>
      </c>
      <c r="F187" s="5" t="s">
        <v>982</v>
      </c>
      <c r="G187" s="1">
        <v>1</v>
      </c>
      <c r="H187" s="5" t="s">
        <v>983</v>
      </c>
      <c r="I187" s="1">
        <v>6</v>
      </c>
      <c r="J187" s="5" t="s">
        <v>981</v>
      </c>
      <c r="K187" s="1">
        <v>0</v>
      </c>
      <c r="L187" s="5" t="s">
        <v>983</v>
      </c>
      <c r="M187" s="1">
        <v>1</v>
      </c>
      <c r="N187" s="5" t="s">
        <v>983</v>
      </c>
      <c r="O187" s="1">
        <v>0</v>
      </c>
      <c r="P187" s="5" t="s">
        <v>983</v>
      </c>
      <c r="Q187" s="1">
        <v>1</v>
      </c>
      <c r="R187" s="1">
        <v>0</v>
      </c>
      <c r="S187" s="1" t="s">
        <v>194</v>
      </c>
      <c r="T187" s="1" t="s">
        <v>194</v>
      </c>
      <c r="U187" s="1">
        <v>2</v>
      </c>
      <c r="V187" s="1">
        <v>56</v>
      </c>
      <c r="W187" s="1">
        <v>0</v>
      </c>
      <c r="X187" s="1">
        <v>2</v>
      </c>
      <c r="Y187" s="1">
        <v>11</v>
      </c>
      <c r="Z187" s="1">
        <v>0</v>
      </c>
      <c r="AA187" s="1">
        <v>2</v>
      </c>
    </row>
    <row r="188" spans="1:27" ht="12.75" customHeight="1" x14ac:dyDescent="0.15">
      <c r="A188" s="5">
        <v>280</v>
      </c>
      <c r="B188" s="5" t="s">
        <v>238</v>
      </c>
      <c r="C188" s="1">
        <v>14</v>
      </c>
      <c r="D188" s="5" t="s">
        <v>983</v>
      </c>
      <c r="E188" s="1">
        <v>2</v>
      </c>
      <c r="F188" s="5" t="s">
        <v>982</v>
      </c>
      <c r="G188" s="1">
        <v>1</v>
      </c>
      <c r="H188" s="5" t="s">
        <v>983</v>
      </c>
      <c r="I188" s="1">
        <v>16</v>
      </c>
      <c r="J188" s="5" t="s">
        <v>981</v>
      </c>
      <c r="K188" s="1">
        <v>0</v>
      </c>
      <c r="L188" s="5" t="s">
        <v>983</v>
      </c>
      <c r="M188" s="1">
        <v>0</v>
      </c>
      <c r="N188" s="5" t="s">
        <v>983</v>
      </c>
      <c r="O188" s="1">
        <v>0</v>
      </c>
      <c r="P188" s="5" t="s">
        <v>983</v>
      </c>
      <c r="Q188" s="1">
        <v>0</v>
      </c>
      <c r="R188" s="1">
        <v>0</v>
      </c>
      <c r="S188" s="1" t="s">
        <v>194</v>
      </c>
      <c r="T188" s="1" t="s">
        <v>194</v>
      </c>
      <c r="U188" s="1">
        <v>2</v>
      </c>
      <c r="V188" s="1">
        <v>61</v>
      </c>
      <c r="W188" s="1">
        <v>1</v>
      </c>
      <c r="X188" s="1">
        <v>14</v>
      </c>
      <c r="Y188" s="1">
        <v>27</v>
      </c>
      <c r="Z188" s="1">
        <v>600000</v>
      </c>
      <c r="AA188" s="1">
        <v>3</v>
      </c>
    </row>
    <row r="189" spans="1:27" ht="12.75" customHeight="1" x14ac:dyDescent="0.15">
      <c r="A189" s="5">
        <v>345</v>
      </c>
      <c r="B189" s="5" t="s">
        <v>238</v>
      </c>
      <c r="C189" s="1">
        <v>17</v>
      </c>
      <c r="D189" s="5" t="s">
        <v>983</v>
      </c>
      <c r="E189" s="1">
        <v>2</v>
      </c>
      <c r="F189" s="5" t="s">
        <v>982</v>
      </c>
      <c r="G189" s="1">
        <v>1</v>
      </c>
      <c r="H189" s="5" t="s">
        <v>983</v>
      </c>
      <c r="I189" s="1">
        <v>16</v>
      </c>
      <c r="J189" s="5" t="s">
        <v>981</v>
      </c>
      <c r="K189" s="1">
        <v>0</v>
      </c>
      <c r="L189" s="5" t="s">
        <v>983</v>
      </c>
      <c r="M189" s="1">
        <v>0</v>
      </c>
      <c r="N189" s="5" t="s">
        <v>983</v>
      </c>
      <c r="O189" s="1">
        <v>0</v>
      </c>
      <c r="P189" s="5" t="s">
        <v>983</v>
      </c>
      <c r="Q189" s="1">
        <v>0</v>
      </c>
      <c r="R189" s="1">
        <v>0</v>
      </c>
      <c r="S189" s="1" t="s">
        <v>194</v>
      </c>
      <c r="T189" s="1" t="s">
        <v>194</v>
      </c>
      <c r="U189" s="1">
        <v>2</v>
      </c>
      <c r="V189" s="1">
        <v>32</v>
      </c>
      <c r="W189" s="1">
        <v>0</v>
      </c>
      <c r="X189" s="1">
        <v>14</v>
      </c>
      <c r="Y189" s="1">
        <v>34</v>
      </c>
      <c r="Z189" s="1">
        <v>560000</v>
      </c>
      <c r="AA189" s="1">
        <v>3</v>
      </c>
    </row>
    <row r="190" spans="1:27" ht="12.75" customHeight="1" x14ac:dyDescent="0.15">
      <c r="A190" s="5">
        <v>426</v>
      </c>
      <c r="B190" s="5" t="s">
        <v>238</v>
      </c>
      <c r="C190" s="1">
        <v>17</v>
      </c>
      <c r="D190" s="5" t="s">
        <v>983</v>
      </c>
      <c r="E190" s="1">
        <v>2</v>
      </c>
      <c r="F190" s="5" t="s">
        <v>982</v>
      </c>
      <c r="G190" s="1">
        <v>1</v>
      </c>
      <c r="H190" s="5" t="s">
        <v>983</v>
      </c>
      <c r="I190" s="1">
        <v>1</v>
      </c>
      <c r="J190" s="5" t="s">
        <v>982</v>
      </c>
      <c r="K190" s="1">
        <v>0</v>
      </c>
      <c r="L190" s="5" t="s">
        <v>983</v>
      </c>
      <c r="M190" s="1">
        <v>2</v>
      </c>
      <c r="N190" s="5" t="s">
        <v>983</v>
      </c>
      <c r="O190" s="1">
        <v>0</v>
      </c>
      <c r="P190" s="5" t="s">
        <v>983</v>
      </c>
      <c r="Q190" s="1">
        <v>0</v>
      </c>
      <c r="R190" s="1">
        <v>0</v>
      </c>
      <c r="S190" s="1" t="s">
        <v>194</v>
      </c>
      <c r="T190" s="1">
        <v>2</v>
      </c>
      <c r="U190" s="1">
        <v>2</v>
      </c>
      <c r="V190" s="1">
        <v>53</v>
      </c>
      <c r="W190" s="1">
        <v>1</v>
      </c>
      <c r="X190" s="1">
        <v>14</v>
      </c>
      <c r="Y190" s="1">
        <v>34</v>
      </c>
      <c r="Z190" s="1">
        <v>300000</v>
      </c>
      <c r="AA190" s="1">
        <v>5</v>
      </c>
    </row>
    <row r="191" spans="1:27" ht="12.75" customHeight="1" x14ac:dyDescent="0.15">
      <c r="A191" s="5">
        <v>465</v>
      </c>
      <c r="B191" s="5" t="s">
        <v>238</v>
      </c>
      <c r="C191" s="1">
        <v>23</v>
      </c>
      <c r="D191" s="5" t="s">
        <v>982</v>
      </c>
      <c r="E191" s="1">
        <v>2</v>
      </c>
      <c r="F191" s="5" t="s">
        <v>982</v>
      </c>
      <c r="G191" s="1">
        <v>1</v>
      </c>
      <c r="H191" s="5" t="s">
        <v>983</v>
      </c>
      <c r="I191" s="1">
        <v>8</v>
      </c>
      <c r="J191" s="5" t="s">
        <v>981</v>
      </c>
      <c r="K191" s="1">
        <v>0</v>
      </c>
      <c r="L191" s="5" t="s">
        <v>983</v>
      </c>
      <c r="M191" s="1">
        <v>3</v>
      </c>
      <c r="N191" s="5" t="s">
        <v>982</v>
      </c>
      <c r="O191" s="1">
        <v>0</v>
      </c>
      <c r="P191" s="5" t="s">
        <v>983</v>
      </c>
      <c r="Q191" s="1">
        <v>1</v>
      </c>
      <c r="R191" s="1">
        <v>0</v>
      </c>
      <c r="S191" s="1">
        <v>1</v>
      </c>
      <c r="T191" s="1">
        <v>5</v>
      </c>
      <c r="U191" s="1">
        <v>3</v>
      </c>
      <c r="V191" s="1"/>
      <c r="W191" s="1">
        <v>1</v>
      </c>
      <c r="X191" s="1">
        <v>18</v>
      </c>
      <c r="Y191" s="1">
        <v>31</v>
      </c>
      <c r="Z191" s="1">
        <v>0</v>
      </c>
      <c r="AA191" s="1">
        <v>3</v>
      </c>
    </row>
    <row r="192" spans="1:27" ht="12.75" customHeight="1" x14ac:dyDescent="0.15">
      <c r="A192" s="5">
        <v>156</v>
      </c>
      <c r="B192" s="5" t="s">
        <v>238</v>
      </c>
      <c r="C192" s="1">
        <v>25</v>
      </c>
      <c r="D192" s="5" t="s">
        <v>981</v>
      </c>
      <c r="E192" s="1">
        <v>2</v>
      </c>
      <c r="F192" s="5" t="s">
        <v>982</v>
      </c>
      <c r="G192" s="1">
        <v>1</v>
      </c>
      <c r="H192" s="5" t="s">
        <v>983</v>
      </c>
      <c r="I192" s="1">
        <v>8</v>
      </c>
      <c r="J192" s="5" t="s">
        <v>981</v>
      </c>
      <c r="K192" s="1">
        <v>0</v>
      </c>
      <c r="L192" s="5" t="s">
        <v>983</v>
      </c>
      <c r="M192" s="1">
        <v>2</v>
      </c>
      <c r="N192" s="5" t="s">
        <v>983</v>
      </c>
      <c r="O192" s="1">
        <v>0</v>
      </c>
      <c r="P192" s="5" t="s">
        <v>983</v>
      </c>
      <c r="Q192" s="1">
        <v>0</v>
      </c>
      <c r="R192" s="1">
        <v>0</v>
      </c>
      <c r="S192" s="1" t="s">
        <v>194</v>
      </c>
      <c r="T192" s="1">
        <v>3</v>
      </c>
      <c r="U192" s="1">
        <v>3</v>
      </c>
      <c r="V192" s="1">
        <v>34</v>
      </c>
      <c r="W192" s="1">
        <v>1</v>
      </c>
      <c r="X192" s="1">
        <v>14</v>
      </c>
      <c r="Y192" s="1">
        <v>18</v>
      </c>
      <c r="Z192" s="1">
        <v>47000</v>
      </c>
      <c r="AA192" s="1">
        <v>1</v>
      </c>
    </row>
    <row r="193" spans="1:27" ht="12.75" customHeight="1" x14ac:dyDescent="0.15">
      <c r="A193" s="5">
        <v>257</v>
      </c>
      <c r="B193" s="5" t="s">
        <v>238</v>
      </c>
      <c r="C193" s="1">
        <v>14</v>
      </c>
      <c r="D193" s="5" t="s">
        <v>983</v>
      </c>
      <c r="E193" s="1">
        <v>3</v>
      </c>
      <c r="F193" s="5" t="s">
        <v>982</v>
      </c>
      <c r="G193" s="1">
        <v>1</v>
      </c>
      <c r="H193" s="5" t="s">
        <v>983</v>
      </c>
      <c r="I193" s="1">
        <v>16</v>
      </c>
      <c r="J193" s="5" t="s">
        <v>981</v>
      </c>
      <c r="K193" s="1">
        <v>0</v>
      </c>
      <c r="L193" s="5" t="s">
        <v>983</v>
      </c>
      <c r="M193" s="1">
        <v>0</v>
      </c>
      <c r="N193" s="5" t="s">
        <v>983</v>
      </c>
      <c r="O193" s="1">
        <v>0</v>
      </c>
      <c r="P193" s="5" t="s">
        <v>983</v>
      </c>
      <c r="Q193" s="1">
        <v>1</v>
      </c>
      <c r="R193" s="1">
        <v>1</v>
      </c>
      <c r="S193" s="1">
        <v>1</v>
      </c>
      <c r="T193" s="1">
        <v>5</v>
      </c>
      <c r="U193" s="1">
        <v>2</v>
      </c>
      <c r="V193" s="1">
        <v>53</v>
      </c>
      <c r="W193" s="1">
        <v>0</v>
      </c>
      <c r="X193" s="1">
        <v>14</v>
      </c>
      <c r="Y193" s="1">
        <v>2</v>
      </c>
      <c r="Z193" s="1">
        <v>600000</v>
      </c>
      <c r="AA193" s="1">
        <v>2</v>
      </c>
    </row>
    <row r="194" spans="1:27" ht="12.75" customHeight="1" x14ac:dyDescent="0.15">
      <c r="A194" s="5">
        <v>277</v>
      </c>
      <c r="B194" s="5" t="s">
        <v>238</v>
      </c>
      <c r="C194" s="1">
        <v>14</v>
      </c>
      <c r="D194" s="5" t="s">
        <v>983</v>
      </c>
      <c r="E194" s="1">
        <v>3</v>
      </c>
      <c r="F194" s="5" t="s">
        <v>982</v>
      </c>
      <c r="G194" s="1">
        <v>1</v>
      </c>
      <c r="H194" s="5" t="s">
        <v>983</v>
      </c>
      <c r="I194" s="1">
        <v>5</v>
      </c>
      <c r="J194" s="5" t="s">
        <v>981</v>
      </c>
      <c r="K194" s="1">
        <v>0</v>
      </c>
      <c r="L194" s="5" t="s">
        <v>983</v>
      </c>
      <c r="M194" s="1">
        <v>3</v>
      </c>
      <c r="N194" s="5" t="s">
        <v>982</v>
      </c>
      <c r="O194" s="1">
        <v>0</v>
      </c>
      <c r="P194" s="5" t="s">
        <v>983</v>
      </c>
      <c r="Q194" s="1">
        <v>1</v>
      </c>
      <c r="R194" s="1">
        <v>0</v>
      </c>
      <c r="S194" s="1">
        <v>1</v>
      </c>
      <c r="T194" s="1" t="s">
        <v>194</v>
      </c>
      <c r="U194" s="1" t="s">
        <v>194</v>
      </c>
      <c r="V194" s="1"/>
      <c r="W194" s="1">
        <v>0</v>
      </c>
      <c r="Y194" s="1">
        <v>18</v>
      </c>
      <c r="AA194" s="1">
        <v>2</v>
      </c>
    </row>
    <row r="195" spans="1:27" ht="12.75" customHeight="1" x14ac:dyDescent="0.15">
      <c r="A195" s="5">
        <v>177</v>
      </c>
      <c r="B195" s="5" t="s">
        <v>238</v>
      </c>
      <c r="C195" s="1">
        <v>15</v>
      </c>
      <c r="D195" s="5" t="s">
        <v>983</v>
      </c>
      <c r="E195" s="1">
        <v>3</v>
      </c>
      <c r="F195" s="5" t="s">
        <v>982</v>
      </c>
      <c r="G195" s="1">
        <v>1</v>
      </c>
      <c r="H195" s="5" t="s">
        <v>983</v>
      </c>
      <c r="I195" s="1">
        <v>15</v>
      </c>
      <c r="J195" s="5" t="s">
        <v>981</v>
      </c>
      <c r="K195" s="1">
        <v>0</v>
      </c>
      <c r="L195" s="5" t="s">
        <v>983</v>
      </c>
      <c r="M195" s="1">
        <v>0</v>
      </c>
      <c r="N195" s="5" t="s">
        <v>983</v>
      </c>
      <c r="O195" s="1">
        <v>0</v>
      </c>
      <c r="P195" s="5" t="s">
        <v>983</v>
      </c>
      <c r="Q195" s="1">
        <v>1</v>
      </c>
      <c r="R195" s="1">
        <v>0</v>
      </c>
      <c r="S195" s="1" t="s">
        <v>194</v>
      </c>
      <c r="T195" s="1">
        <v>4</v>
      </c>
      <c r="U195" s="1">
        <v>3</v>
      </c>
      <c r="V195" s="1">
        <v>42</v>
      </c>
      <c r="W195" s="1">
        <v>1</v>
      </c>
      <c r="X195" s="1">
        <v>15</v>
      </c>
      <c r="Y195" s="1">
        <v>29</v>
      </c>
      <c r="Z195" s="1">
        <v>1000000</v>
      </c>
      <c r="AA195" s="1">
        <v>1</v>
      </c>
    </row>
    <row r="196" spans="1:27" ht="12.75" customHeight="1" x14ac:dyDescent="0.15">
      <c r="A196" s="5">
        <v>208</v>
      </c>
      <c r="B196" s="5" t="s">
        <v>238</v>
      </c>
      <c r="C196" s="1">
        <v>18</v>
      </c>
      <c r="D196" s="5" t="s">
        <v>983</v>
      </c>
      <c r="E196" s="1">
        <v>3</v>
      </c>
      <c r="F196" s="5" t="s">
        <v>982</v>
      </c>
      <c r="G196" s="1">
        <v>1</v>
      </c>
      <c r="H196" s="5" t="s">
        <v>983</v>
      </c>
      <c r="I196" s="1">
        <v>5</v>
      </c>
      <c r="J196" s="5" t="s">
        <v>981</v>
      </c>
      <c r="K196" s="1">
        <v>0</v>
      </c>
      <c r="L196" s="5" t="s">
        <v>983</v>
      </c>
      <c r="M196" s="1">
        <v>2</v>
      </c>
      <c r="N196" s="5" t="s">
        <v>983</v>
      </c>
      <c r="O196" s="1">
        <v>0</v>
      </c>
      <c r="P196" s="5" t="s">
        <v>983</v>
      </c>
      <c r="Q196" s="1">
        <v>0</v>
      </c>
      <c r="R196" s="1">
        <v>0</v>
      </c>
      <c r="S196" s="1">
        <v>1</v>
      </c>
      <c r="T196" s="1">
        <v>5</v>
      </c>
      <c r="U196" s="1">
        <v>4</v>
      </c>
      <c r="V196" s="1"/>
      <c r="W196" s="1">
        <v>0</v>
      </c>
      <c r="Y196" s="1">
        <v>31</v>
      </c>
      <c r="AA196" s="1">
        <v>8</v>
      </c>
    </row>
    <row r="197" spans="1:27" ht="12.75" customHeight="1" x14ac:dyDescent="0.15">
      <c r="A197" s="5">
        <v>349</v>
      </c>
      <c r="B197" s="5" t="s">
        <v>238</v>
      </c>
      <c r="C197" s="1">
        <v>30</v>
      </c>
      <c r="D197" s="5" t="s">
        <v>981</v>
      </c>
      <c r="E197" s="1">
        <v>3</v>
      </c>
      <c r="F197" s="5" t="s">
        <v>982</v>
      </c>
      <c r="G197" s="1">
        <v>1</v>
      </c>
      <c r="H197" s="5" t="s">
        <v>983</v>
      </c>
      <c r="I197" s="1">
        <v>7</v>
      </c>
      <c r="J197" s="5" t="s">
        <v>981</v>
      </c>
      <c r="K197" s="1">
        <v>0</v>
      </c>
      <c r="L197" s="5" t="s">
        <v>983</v>
      </c>
      <c r="M197" s="1">
        <v>0</v>
      </c>
      <c r="N197" s="5" t="s">
        <v>983</v>
      </c>
      <c r="O197" s="1">
        <v>0</v>
      </c>
      <c r="P197" s="5" t="s">
        <v>983</v>
      </c>
      <c r="Q197" s="1">
        <v>0</v>
      </c>
      <c r="R197" s="1">
        <v>0</v>
      </c>
      <c r="S197" s="1" t="s">
        <v>194</v>
      </c>
      <c r="T197" s="1">
        <v>5</v>
      </c>
      <c r="U197" s="1">
        <v>5</v>
      </c>
      <c r="V197" s="1">
        <v>51</v>
      </c>
      <c r="W197" s="1">
        <v>1</v>
      </c>
      <c r="X197" s="1">
        <v>2</v>
      </c>
      <c r="Y197" s="1">
        <v>24</v>
      </c>
      <c r="Z197" s="1">
        <v>1400000</v>
      </c>
      <c r="AA197" s="1">
        <v>1</v>
      </c>
    </row>
    <row r="198" spans="1:27" ht="12.75" customHeight="1" x14ac:dyDescent="0.15">
      <c r="A198" s="5">
        <v>120</v>
      </c>
      <c r="B198" s="5" t="s">
        <v>238</v>
      </c>
      <c r="C198" s="1">
        <v>12</v>
      </c>
      <c r="D198" s="5" t="s">
        <v>983</v>
      </c>
      <c r="E198" s="1">
        <v>4</v>
      </c>
      <c r="F198" s="5" t="s">
        <v>982</v>
      </c>
      <c r="G198" s="1">
        <v>1</v>
      </c>
      <c r="H198" s="5" t="s">
        <v>983</v>
      </c>
      <c r="I198" s="1">
        <v>16</v>
      </c>
      <c r="J198" s="5" t="s">
        <v>981</v>
      </c>
      <c r="K198" s="1">
        <v>0</v>
      </c>
      <c r="L198" s="5" t="s">
        <v>983</v>
      </c>
      <c r="M198" s="1">
        <v>0</v>
      </c>
      <c r="N198" s="5" t="s">
        <v>983</v>
      </c>
      <c r="O198" s="1">
        <v>0</v>
      </c>
      <c r="P198" s="5" t="s">
        <v>983</v>
      </c>
      <c r="Q198" s="1">
        <v>0</v>
      </c>
      <c r="R198" s="1">
        <v>0</v>
      </c>
      <c r="S198" s="1">
        <v>1</v>
      </c>
      <c r="T198" s="1">
        <v>5</v>
      </c>
      <c r="U198" s="1">
        <v>5</v>
      </c>
      <c r="V198" s="1">
        <v>36</v>
      </c>
      <c r="W198" s="1">
        <v>1</v>
      </c>
      <c r="X198" s="1">
        <v>14</v>
      </c>
      <c r="Y198" s="1">
        <v>8</v>
      </c>
      <c r="Z198" s="1">
        <v>0</v>
      </c>
      <c r="AA198" s="1">
        <v>1</v>
      </c>
    </row>
    <row r="199" spans="1:27" ht="12.75" customHeight="1" x14ac:dyDescent="0.15">
      <c r="A199" s="5">
        <v>252</v>
      </c>
      <c r="B199" s="5" t="s">
        <v>238</v>
      </c>
      <c r="C199" s="1">
        <v>19</v>
      </c>
      <c r="D199" s="5" t="s">
        <v>982</v>
      </c>
      <c r="E199" s="1">
        <v>4</v>
      </c>
      <c r="F199" s="5" t="s">
        <v>982</v>
      </c>
      <c r="G199" s="1">
        <v>1</v>
      </c>
      <c r="H199" s="5" t="s">
        <v>983</v>
      </c>
      <c r="I199" s="1">
        <v>12</v>
      </c>
      <c r="J199" s="5" t="s">
        <v>981</v>
      </c>
      <c r="K199" s="1">
        <v>0</v>
      </c>
      <c r="L199" s="5" t="s">
        <v>983</v>
      </c>
      <c r="M199" s="1">
        <v>0</v>
      </c>
      <c r="N199" s="5" t="s">
        <v>983</v>
      </c>
      <c r="O199" s="1">
        <v>0</v>
      </c>
      <c r="P199" s="5" t="s">
        <v>983</v>
      </c>
      <c r="Q199" s="1">
        <v>0</v>
      </c>
      <c r="R199" s="1">
        <v>0</v>
      </c>
      <c r="S199" s="1" t="s">
        <v>194</v>
      </c>
      <c r="T199" s="1">
        <v>5</v>
      </c>
      <c r="U199" s="1">
        <v>3</v>
      </c>
      <c r="V199" s="1">
        <v>28</v>
      </c>
      <c r="W199" s="1">
        <v>0</v>
      </c>
      <c r="X199" s="1">
        <v>14</v>
      </c>
      <c r="Y199" s="1">
        <v>14</v>
      </c>
      <c r="Z199" s="1">
        <v>100000</v>
      </c>
      <c r="AA199" s="1">
        <v>2</v>
      </c>
    </row>
    <row r="200" spans="1:27" ht="12.75" customHeight="1" x14ac:dyDescent="0.15">
      <c r="A200" s="5">
        <v>126</v>
      </c>
      <c r="B200" s="5" t="s">
        <v>238</v>
      </c>
      <c r="C200" s="1">
        <v>20</v>
      </c>
      <c r="D200" s="5" t="s">
        <v>982</v>
      </c>
      <c r="E200" s="1">
        <v>4</v>
      </c>
      <c r="F200" s="5" t="s">
        <v>982</v>
      </c>
      <c r="G200" s="1">
        <v>1</v>
      </c>
      <c r="H200" s="5" t="s">
        <v>983</v>
      </c>
      <c r="I200" s="1">
        <v>10</v>
      </c>
      <c r="J200" s="5" t="s">
        <v>981</v>
      </c>
      <c r="K200" s="1">
        <v>0</v>
      </c>
      <c r="L200" s="5" t="s">
        <v>983</v>
      </c>
      <c r="M200" s="1">
        <v>2</v>
      </c>
      <c r="N200" s="5" t="s">
        <v>983</v>
      </c>
      <c r="O200" s="1">
        <v>0</v>
      </c>
      <c r="P200" s="5" t="s">
        <v>983</v>
      </c>
      <c r="Q200" s="1">
        <v>1</v>
      </c>
      <c r="R200" s="1">
        <v>0</v>
      </c>
      <c r="S200" s="1">
        <v>1</v>
      </c>
      <c r="T200" s="1">
        <v>2</v>
      </c>
      <c r="U200" s="1">
        <v>4</v>
      </c>
      <c r="V200" s="1">
        <v>49</v>
      </c>
      <c r="W200" s="1">
        <v>0</v>
      </c>
      <c r="X200" s="1">
        <v>16</v>
      </c>
      <c r="Y200" s="1">
        <v>21</v>
      </c>
      <c r="Z200" s="1">
        <v>600000</v>
      </c>
      <c r="AA200" s="1">
        <v>2</v>
      </c>
    </row>
    <row r="201" spans="1:27" ht="12.75" customHeight="1" x14ac:dyDescent="0.15">
      <c r="A201" s="5">
        <v>425</v>
      </c>
      <c r="B201" s="5" t="s">
        <v>238</v>
      </c>
      <c r="C201" s="1">
        <v>19</v>
      </c>
      <c r="D201" s="5" t="s">
        <v>982</v>
      </c>
      <c r="E201" s="1">
        <v>0</v>
      </c>
      <c r="F201" s="5" t="s">
        <v>983</v>
      </c>
      <c r="G201" s="1">
        <v>2</v>
      </c>
      <c r="H201" s="5" t="s">
        <v>982</v>
      </c>
      <c r="I201" s="1">
        <v>8</v>
      </c>
      <c r="J201" s="5" t="s">
        <v>981</v>
      </c>
      <c r="K201" s="1">
        <v>0</v>
      </c>
      <c r="L201" s="5" t="s">
        <v>983</v>
      </c>
      <c r="M201" s="1">
        <v>0</v>
      </c>
      <c r="N201" s="5" t="s">
        <v>983</v>
      </c>
      <c r="O201" s="1">
        <v>0</v>
      </c>
      <c r="P201" s="5" t="s">
        <v>983</v>
      </c>
      <c r="Q201" s="1">
        <v>1</v>
      </c>
      <c r="R201" s="1">
        <v>0</v>
      </c>
      <c r="S201" s="1">
        <v>1</v>
      </c>
      <c r="T201" s="1">
        <v>1</v>
      </c>
      <c r="U201" s="1">
        <v>4</v>
      </c>
      <c r="V201" s="1">
        <v>38</v>
      </c>
      <c r="W201" s="1">
        <v>1</v>
      </c>
      <c r="X201" s="1">
        <v>1</v>
      </c>
      <c r="Y201" s="1">
        <v>34</v>
      </c>
      <c r="Z201" s="1">
        <v>200000</v>
      </c>
      <c r="AA201" s="1">
        <v>4</v>
      </c>
    </row>
    <row r="202" spans="1:27" ht="12.75" customHeight="1" x14ac:dyDescent="0.15">
      <c r="A202" s="5">
        <v>401</v>
      </c>
      <c r="B202" s="5" t="s">
        <v>238</v>
      </c>
      <c r="C202" s="1">
        <v>14</v>
      </c>
      <c r="D202" s="5" t="s">
        <v>983</v>
      </c>
      <c r="E202" s="1">
        <v>1</v>
      </c>
      <c r="F202" s="5" t="s">
        <v>983</v>
      </c>
      <c r="G202" s="1">
        <v>2</v>
      </c>
      <c r="H202" s="5" t="s">
        <v>982</v>
      </c>
      <c r="I202" s="1">
        <v>0</v>
      </c>
      <c r="J202" s="5" t="s">
        <v>983</v>
      </c>
      <c r="K202" s="1">
        <v>0</v>
      </c>
      <c r="L202" s="5" t="s">
        <v>983</v>
      </c>
      <c r="M202" s="1">
        <v>0</v>
      </c>
      <c r="N202" s="5" t="s">
        <v>983</v>
      </c>
      <c r="O202" s="1">
        <v>0</v>
      </c>
      <c r="P202" s="5" t="s">
        <v>983</v>
      </c>
      <c r="Q202" s="1">
        <v>1</v>
      </c>
      <c r="R202" s="1">
        <v>0</v>
      </c>
      <c r="S202" s="1">
        <v>1</v>
      </c>
      <c r="T202" s="1">
        <v>3</v>
      </c>
      <c r="U202" s="1">
        <v>2</v>
      </c>
      <c r="V202" s="1">
        <v>59</v>
      </c>
      <c r="W202" s="1">
        <v>0</v>
      </c>
      <c r="X202" s="1">
        <v>1</v>
      </c>
      <c r="Y202" s="1">
        <v>5</v>
      </c>
      <c r="Z202" s="1">
        <v>500000</v>
      </c>
      <c r="AA202" s="1">
        <v>1</v>
      </c>
    </row>
    <row r="203" spans="1:27" ht="12.75" customHeight="1" x14ac:dyDescent="0.15">
      <c r="A203" s="5">
        <v>139</v>
      </c>
      <c r="B203" s="5" t="s">
        <v>238</v>
      </c>
      <c r="C203" s="1">
        <v>15</v>
      </c>
      <c r="D203" s="5" t="s">
        <v>983</v>
      </c>
      <c r="E203" s="1">
        <v>1</v>
      </c>
      <c r="F203" s="5" t="s">
        <v>983</v>
      </c>
      <c r="G203" s="1">
        <v>2</v>
      </c>
      <c r="H203" s="5" t="s">
        <v>982</v>
      </c>
      <c r="I203" s="1">
        <v>16</v>
      </c>
      <c r="J203" s="5" t="s">
        <v>981</v>
      </c>
      <c r="K203" s="1">
        <v>0</v>
      </c>
      <c r="L203" s="5" t="s">
        <v>983</v>
      </c>
      <c r="M203" s="1">
        <v>0</v>
      </c>
      <c r="N203" s="5" t="s">
        <v>983</v>
      </c>
      <c r="O203" s="1">
        <v>0</v>
      </c>
      <c r="P203" s="5" t="s">
        <v>983</v>
      </c>
      <c r="Q203" s="1">
        <v>0</v>
      </c>
      <c r="R203" s="1">
        <v>0</v>
      </c>
      <c r="S203" s="1" t="s">
        <v>194</v>
      </c>
      <c r="T203" s="1">
        <v>5</v>
      </c>
      <c r="U203" s="1">
        <v>4</v>
      </c>
      <c r="V203" s="1"/>
      <c r="W203" s="1">
        <v>0</v>
      </c>
      <c r="Y203" s="1">
        <v>2</v>
      </c>
      <c r="AA203" s="1">
        <v>3</v>
      </c>
    </row>
    <row r="204" spans="1:27" ht="12.75" customHeight="1" x14ac:dyDescent="0.15">
      <c r="A204" s="5">
        <v>200</v>
      </c>
      <c r="B204" s="5" t="s">
        <v>238</v>
      </c>
      <c r="C204" s="1">
        <v>17</v>
      </c>
      <c r="D204" s="5" t="s">
        <v>983</v>
      </c>
      <c r="E204" s="1">
        <v>2</v>
      </c>
      <c r="F204" s="5" t="s">
        <v>982</v>
      </c>
      <c r="G204" s="1">
        <v>2</v>
      </c>
      <c r="H204" s="5" t="s">
        <v>982</v>
      </c>
      <c r="I204" s="1">
        <v>3</v>
      </c>
      <c r="J204" s="5" t="s">
        <v>982</v>
      </c>
      <c r="K204" s="1">
        <v>0</v>
      </c>
      <c r="L204" s="5" t="s">
        <v>983</v>
      </c>
      <c r="M204" s="1">
        <v>2</v>
      </c>
      <c r="N204" s="5" t="s">
        <v>983</v>
      </c>
      <c r="O204" s="1">
        <v>0</v>
      </c>
      <c r="P204" s="5" t="s">
        <v>983</v>
      </c>
      <c r="Q204" s="1">
        <v>1</v>
      </c>
      <c r="R204" s="1">
        <v>0</v>
      </c>
      <c r="S204" s="1">
        <v>1</v>
      </c>
      <c r="T204" s="1">
        <v>3</v>
      </c>
      <c r="U204" s="1">
        <v>2</v>
      </c>
      <c r="V204" s="1">
        <v>51</v>
      </c>
      <c r="W204" s="1">
        <v>1</v>
      </c>
      <c r="X204" s="1">
        <v>16</v>
      </c>
      <c r="Y204" s="1">
        <v>6</v>
      </c>
      <c r="Z204" s="1">
        <v>200000</v>
      </c>
      <c r="AA204" s="1">
        <v>4</v>
      </c>
    </row>
    <row r="205" spans="1:27" ht="12.75" customHeight="1" x14ac:dyDescent="0.15">
      <c r="A205" s="5">
        <v>488</v>
      </c>
      <c r="B205" s="5" t="s">
        <v>238</v>
      </c>
      <c r="C205" s="1">
        <v>19</v>
      </c>
      <c r="D205" s="5" t="s">
        <v>982</v>
      </c>
      <c r="E205" s="1">
        <v>2</v>
      </c>
      <c r="F205" s="5" t="s">
        <v>982</v>
      </c>
      <c r="G205" s="1">
        <v>2</v>
      </c>
      <c r="H205" s="5" t="s">
        <v>982</v>
      </c>
      <c r="I205" s="1">
        <v>16</v>
      </c>
      <c r="J205" s="5" t="s">
        <v>981</v>
      </c>
      <c r="K205" s="1">
        <v>0</v>
      </c>
      <c r="L205" s="5" t="s">
        <v>983</v>
      </c>
      <c r="M205" s="1">
        <v>0</v>
      </c>
      <c r="N205" s="5" t="s">
        <v>983</v>
      </c>
      <c r="O205" s="1">
        <v>0</v>
      </c>
      <c r="P205" s="5" t="s">
        <v>983</v>
      </c>
      <c r="Q205" s="1">
        <v>0</v>
      </c>
      <c r="R205" s="1">
        <v>0</v>
      </c>
      <c r="S205" s="1" t="s">
        <v>194</v>
      </c>
      <c r="T205" s="1">
        <v>4</v>
      </c>
      <c r="U205" s="1">
        <v>4</v>
      </c>
      <c r="V205" s="1">
        <v>25</v>
      </c>
      <c r="W205" s="1">
        <v>0</v>
      </c>
      <c r="X205" s="1">
        <v>6</v>
      </c>
      <c r="Y205" s="1">
        <v>9</v>
      </c>
      <c r="Z205" s="1">
        <v>100000</v>
      </c>
      <c r="AA205" s="1">
        <v>2</v>
      </c>
    </row>
    <row r="206" spans="1:27" ht="12.75" customHeight="1" x14ac:dyDescent="0.15">
      <c r="A206" s="5">
        <v>268</v>
      </c>
      <c r="B206" s="5" t="s">
        <v>238</v>
      </c>
      <c r="C206" s="1">
        <v>15</v>
      </c>
      <c r="D206" s="5" t="s">
        <v>983</v>
      </c>
      <c r="E206" s="1">
        <v>3</v>
      </c>
      <c r="F206" s="5" t="s">
        <v>982</v>
      </c>
      <c r="G206" s="1">
        <v>2</v>
      </c>
      <c r="H206" s="5" t="s">
        <v>982</v>
      </c>
      <c r="I206" s="1">
        <v>15</v>
      </c>
      <c r="J206" s="5" t="s">
        <v>981</v>
      </c>
      <c r="K206" s="1">
        <v>0</v>
      </c>
      <c r="L206" s="5" t="s">
        <v>983</v>
      </c>
      <c r="M206" s="1">
        <v>0</v>
      </c>
      <c r="N206" s="5" t="s">
        <v>983</v>
      </c>
      <c r="O206" s="1">
        <v>0</v>
      </c>
      <c r="P206" s="5" t="s">
        <v>983</v>
      </c>
      <c r="Q206" s="1">
        <v>1</v>
      </c>
      <c r="R206" s="1">
        <v>0</v>
      </c>
      <c r="S206" s="1">
        <v>1</v>
      </c>
      <c r="T206" s="1" t="s">
        <v>194</v>
      </c>
      <c r="U206" s="1">
        <v>5</v>
      </c>
      <c r="V206" s="1">
        <v>33</v>
      </c>
      <c r="W206" s="1">
        <v>0</v>
      </c>
      <c r="X206" s="1">
        <v>14</v>
      </c>
      <c r="Y206" s="1">
        <v>1</v>
      </c>
      <c r="Z206" s="1">
        <v>100000</v>
      </c>
      <c r="AA206" s="1">
        <v>3</v>
      </c>
    </row>
    <row r="207" spans="1:27" ht="12.75" customHeight="1" x14ac:dyDescent="0.15">
      <c r="A207" s="5">
        <v>266</v>
      </c>
      <c r="B207" s="5" t="s">
        <v>238</v>
      </c>
      <c r="C207" s="1">
        <v>19</v>
      </c>
      <c r="D207" s="5" t="s">
        <v>982</v>
      </c>
      <c r="E207" s="1">
        <v>3</v>
      </c>
      <c r="F207" s="5" t="s">
        <v>982</v>
      </c>
      <c r="G207" s="1">
        <v>2</v>
      </c>
      <c r="H207" s="5" t="s">
        <v>982</v>
      </c>
      <c r="I207" s="1">
        <v>0</v>
      </c>
      <c r="J207" s="5" t="s">
        <v>983</v>
      </c>
      <c r="K207" s="1">
        <v>0</v>
      </c>
      <c r="L207" s="5" t="s">
        <v>983</v>
      </c>
      <c r="M207" s="1">
        <v>0</v>
      </c>
      <c r="N207" s="5" t="s">
        <v>983</v>
      </c>
      <c r="O207" s="1">
        <v>0</v>
      </c>
      <c r="P207" s="5" t="s">
        <v>983</v>
      </c>
      <c r="Q207" s="1">
        <v>1</v>
      </c>
      <c r="R207" s="1">
        <v>0</v>
      </c>
      <c r="S207" s="1">
        <v>1</v>
      </c>
      <c r="T207" s="1">
        <v>3</v>
      </c>
      <c r="U207" s="1">
        <v>3</v>
      </c>
      <c r="V207" s="1"/>
      <c r="W207" s="1">
        <v>0</v>
      </c>
      <c r="Y207" s="1">
        <v>1</v>
      </c>
      <c r="AA207" s="1">
        <v>4</v>
      </c>
    </row>
    <row r="208" spans="1:27" ht="12.75" customHeight="1" x14ac:dyDescent="0.15">
      <c r="A208" s="5">
        <v>121</v>
      </c>
      <c r="B208" s="5" t="s">
        <v>238</v>
      </c>
      <c r="C208" s="1">
        <v>18</v>
      </c>
      <c r="D208" s="5" t="s">
        <v>983</v>
      </c>
      <c r="E208" s="1">
        <v>4</v>
      </c>
      <c r="F208" s="5" t="s">
        <v>982</v>
      </c>
      <c r="G208" s="1">
        <v>2</v>
      </c>
      <c r="H208" s="5" t="s">
        <v>982</v>
      </c>
      <c r="I208" s="1">
        <v>5</v>
      </c>
      <c r="J208" s="5" t="s">
        <v>981</v>
      </c>
      <c r="K208" s="1">
        <v>0</v>
      </c>
      <c r="L208" s="5" t="s">
        <v>983</v>
      </c>
      <c r="M208" s="1">
        <v>4</v>
      </c>
      <c r="N208" s="5" t="s">
        <v>982</v>
      </c>
      <c r="O208" s="1">
        <v>0</v>
      </c>
      <c r="P208" s="5" t="s">
        <v>983</v>
      </c>
      <c r="Q208" s="1">
        <v>0</v>
      </c>
      <c r="R208" s="1">
        <v>0</v>
      </c>
      <c r="S208" s="1" t="s">
        <v>194</v>
      </c>
      <c r="T208" s="1">
        <v>5</v>
      </c>
      <c r="U208" s="1">
        <v>5</v>
      </c>
      <c r="V208" s="1">
        <v>26</v>
      </c>
      <c r="W208" s="1">
        <v>0</v>
      </c>
      <c r="X208" s="1">
        <v>16</v>
      </c>
      <c r="Y208" s="1">
        <v>3</v>
      </c>
      <c r="Z208" s="1">
        <v>450000</v>
      </c>
      <c r="AA208" s="1">
        <v>2</v>
      </c>
    </row>
    <row r="209" spans="1:27" ht="12.75" customHeight="1" x14ac:dyDescent="0.15">
      <c r="A209" s="5">
        <v>37</v>
      </c>
      <c r="B209" s="5" t="s">
        <v>238</v>
      </c>
      <c r="C209" s="1">
        <v>23</v>
      </c>
      <c r="D209" s="5" t="s">
        <v>982</v>
      </c>
      <c r="E209" s="1">
        <v>5</v>
      </c>
      <c r="F209" s="5" t="s">
        <v>981</v>
      </c>
      <c r="G209" s="1">
        <v>2</v>
      </c>
      <c r="H209" s="5" t="s">
        <v>982</v>
      </c>
      <c r="I209" s="1">
        <v>3</v>
      </c>
      <c r="J209" s="5" t="s">
        <v>982</v>
      </c>
      <c r="K209" s="1">
        <v>0</v>
      </c>
      <c r="L209" s="5" t="s">
        <v>983</v>
      </c>
      <c r="M209" s="1">
        <v>2</v>
      </c>
      <c r="N209" s="5" t="s">
        <v>983</v>
      </c>
      <c r="O209" s="1">
        <v>0</v>
      </c>
      <c r="P209" s="5" t="s">
        <v>983</v>
      </c>
      <c r="Q209" s="1">
        <v>0</v>
      </c>
      <c r="R209" s="1">
        <v>0</v>
      </c>
      <c r="S209" s="1">
        <v>1</v>
      </c>
      <c r="T209" s="1">
        <v>5</v>
      </c>
      <c r="U209" s="1">
        <v>5</v>
      </c>
      <c r="V209" s="1"/>
      <c r="W209" s="1">
        <v>0</v>
      </c>
      <c r="Y209" s="1">
        <v>11</v>
      </c>
      <c r="AA209" s="1">
        <v>5</v>
      </c>
    </row>
    <row r="210" spans="1:27" ht="12.75" customHeight="1" x14ac:dyDescent="0.15">
      <c r="A210" s="5">
        <v>209</v>
      </c>
      <c r="B210" s="5" t="s">
        <v>238</v>
      </c>
      <c r="C210" s="1">
        <v>24</v>
      </c>
      <c r="D210" s="5" t="s">
        <v>981</v>
      </c>
      <c r="E210" s="1">
        <v>5</v>
      </c>
      <c r="F210" s="5" t="s">
        <v>981</v>
      </c>
      <c r="G210" s="1">
        <v>2</v>
      </c>
      <c r="H210" s="5" t="s">
        <v>982</v>
      </c>
      <c r="I210" s="1">
        <v>16</v>
      </c>
      <c r="J210" s="5" t="s">
        <v>981</v>
      </c>
      <c r="K210" s="1">
        <v>0</v>
      </c>
      <c r="L210" s="5" t="s">
        <v>983</v>
      </c>
      <c r="M210" s="1">
        <v>3</v>
      </c>
      <c r="N210" s="5" t="s">
        <v>982</v>
      </c>
      <c r="O210" s="1">
        <v>0</v>
      </c>
      <c r="P210" s="5" t="s">
        <v>983</v>
      </c>
      <c r="Q210" s="1">
        <v>0</v>
      </c>
      <c r="R210" s="1">
        <v>0</v>
      </c>
      <c r="S210" s="1" t="s">
        <v>194</v>
      </c>
      <c r="T210" s="1">
        <v>3</v>
      </c>
      <c r="U210" s="1">
        <v>3</v>
      </c>
      <c r="V210" s="1">
        <v>30</v>
      </c>
      <c r="W210" s="1">
        <v>0</v>
      </c>
      <c r="X210" s="1">
        <v>16</v>
      </c>
      <c r="Y210" s="1">
        <v>1</v>
      </c>
      <c r="Z210" s="1">
        <v>600000</v>
      </c>
      <c r="AA210" s="1">
        <v>1</v>
      </c>
    </row>
    <row r="211" spans="1:27" ht="12.75" customHeight="1" x14ac:dyDescent="0.15">
      <c r="A211" s="5">
        <v>235</v>
      </c>
      <c r="B211" s="5" t="s">
        <v>238</v>
      </c>
      <c r="C211" s="1">
        <v>18</v>
      </c>
      <c r="D211" s="5" t="s">
        <v>983</v>
      </c>
      <c r="E211" s="1">
        <v>6</v>
      </c>
      <c r="F211" s="5" t="s">
        <v>981</v>
      </c>
      <c r="G211" s="1">
        <v>2</v>
      </c>
      <c r="H211" s="5" t="s">
        <v>982</v>
      </c>
      <c r="I211" s="1">
        <v>16</v>
      </c>
      <c r="J211" s="5" t="s">
        <v>981</v>
      </c>
      <c r="K211" s="1">
        <v>0</v>
      </c>
      <c r="L211" s="5" t="s">
        <v>983</v>
      </c>
      <c r="M211" s="1">
        <v>4</v>
      </c>
      <c r="N211" s="5" t="s">
        <v>982</v>
      </c>
      <c r="O211" s="1">
        <v>0</v>
      </c>
      <c r="P211" s="5" t="s">
        <v>983</v>
      </c>
      <c r="Q211" s="1">
        <v>1</v>
      </c>
      <c r="R211" s="1">
        <v>0</v>
      </c>
      <c r="S211" s="1">
        <v>1</v>
      </c>
      <c r="T211" s="1">
        <v>5</v>
      </c>
      <c r="U211" s="1">
        <v>3</v>
      </c>
      <c r="V211" s="1"/>
      <c r="W211" s="1">
        <v>1</v>
      </c>
      <c r="X211" s="1">
        <v>8</v>
      </c>
      <c r="Y211" s="1">
        <v>34</v>
      </c>
      <c r="Z211" s="1">
        <v>0</v>
      </c>
      <c r="AA211" s="1">
        <v>1</v>
      </c>
    </row>
    <row r="212" spans="1:27" ht="12.75" customHeight="1" x14ac:dyDescent="0.15">
      <c r="A212" s="5">
        <v>29</v>
      </c>
      <c r="B212" s="5" t="s">
        <v>238</v>
      </c>
      <c r="C212" s="1">
        <v>22</v>
      </c>
      <c r="D212" s="5" t="s">
        <v>982</v>
      </c>
      <c r="E212" s="1">
        <v>6</v>
      </c>
      <c r="F212" s="5" t="s">
        <v>981</v>
      </c>
      <c r="G212" s="1">
        <v>2</v>
      </c>
      <c r="H212" s="5" t="s">
        <v>982</v>
      </c>
      <c r="I212" s="1">
        <v>16</v>
      </c>
      <c r="J212" s="5" t="s">
        <v>981</v>
      </c>
      <c r="K212" s="1">
        <v>0</v>
      </c>
      <c r="L212" s="5" t="s">
        <v>983</v>
      </c>
      <c r="M212" s="1">
        <v>0</v>
      </c>
      <c r="N212" s="5" t="s">
        <v>983</v>
      </c>
      <c r="O212" s="1">
        <v>1</v>
      </c>
      <c r="P212" s="5" t="s">
        <v>982</v>
      </c>
      <c r="Q212" s="1">
        <v>0</v>
      </c>
      <c r="R212" s="1">
        <v>0</v>
      </c>
      <c r="S212" s="1" t="s">
        <v>194</v>
      </c>
      <c r="T212" s="1">
        <v>5</v>
      </c>
      <c r="U212" s="1">
        <v>5</v>
      </c>
      <c r="V212" s="1">
        <v>71</v>
      </c>
      <c r="W212" s="1">
        <v>0</v>
      </c>
      <c r="X212" s="1">
        <v>18</v>
      </c>
      <c r="Y212" s="1">
        <v>24</v>
      </c>
      <c r="Z212" s="1">
        <v>600000</v>
      </c>
      <c r="AA212" s="1">
        <v>1</v>
      </c>
    </row>
    <row r="213" spans="1:27" ht="12.75" customHeight="1" x14ac:dyDescent="0.15">
      <c r="A213" s="5">
        <v>461</v>
      </c>
      <c r="B213" s="5" t="s">
        <v>238</v>
      </c>
      <c r="C213" s="1">
        <v>19</v>
      </c>
      <c r="D213" s="5" t="s">
        <v>982</v>
      </c>
      <c r="E213" s="1">
        <v>8</v>
      </c>
      <c r="F213" s="5" t="s">
        <v>981</v>
      </c>
      <c r="G213" s="1">
        <v>2</v>
      </c>
      <c r="H213" s="5" t="s">
        <v>982</v>
      </c>
      <c r="I213" s="1">
        <v>3</v>
      </c>
      <c r="J213" s="5" t="s">
        <v>982</v>
      </c>
      <c r="K213" s="1">
        <v>0</v>
      </c>
      <c r="L213" s="5" t="s">
        <v>983</v>
      </c>
      <c r="M213" s="1">
        <v>0</v>
      </c>
      <c r="N213" s="5" t="s">
        <v>983</v>
      </c>
      <c r="O213" s="1">
        <v>0</v>
      </c>
      <c r="P213" s="5" t="s">
        <v>983</v>
      </c>
      <c r="Q213" s="1">
        <v>1</v>
      </c>
      <c r="R213" s="1">
        <v>0</v>
      </c>
      <c r="S213" s="1" t="s">
        <v>194</v>
      </c>
      <c r="T213" s="1">
        <v>3</v>
      </c>
      <c r="U213" s="1">
        <v>3</v>
      </c>
      <c r="V213" s="1">
        <v>45</v>
      </c>
      <c r="W213" s="1">
        <v>1</v>
      </c>
      <c r="X213" s="1">
        <v>16</v>
      </c>
      <c r="Y213" s="1">
        <v>2</v>
      </c>
      <c r="Z213" s="1">
        <v>700000</v>
      </c>
      <c r="AA213" s="1">
        <v>4</v>
      </c>
    </row>
    <row r="214" spans="1:27" ht="12.75" customHeight="1" x14ac:dyDescent="0.15">
      <c r="A214" s="5">
        <v>458</v>
      </c>
      <c r="B214" s="5" t="s">
        <v>238</v>
      </c>
      <c r="C214" s="1">
        <v>24</v>
      </c>
      <c r="D214" s="5" t="s">
        <v>981</v>
      </c>
      <c r="E214" s="1">
        <v>8</v>
      </c>
      <c r="F214" s="5" t="s">
        <v>981</v>
      </c>
      <c r="G214" s="1">
        <v>2</v>
      </c>
      <c r="H214" s="5" t="s">
        <v>982</v>
      </c>
      <c r="I214" s="1">
        <v>10</v>
      </c>
      <c r="J214" s="5" t="s">
        <v>981</v>
      </c>
      <c r="K214" s="1">
        <v>0</v>
      </c>
      <c r="L214" s="5" t="s">
        <v>983</v>
      </c>
      <c r="M214" s="1">
        <v>0</v>
      </c>
      <c r="N214" s="5" t="s">
        <v>983</v>
      </c>
      <c r="O214" s="1">
        <v>0</v>
      </c>
      <c r="P214" s="5" t="s">
        <v>983</v>
      </c>
      <c r="Q214" s="1">
        <v>0</v>
      </c>
      <c r="R214" s="1">
        <v>0</v>
      </c>
      <c r="S214" s="1" t="s">
        <v>194</v>
      </c>
      <c r="T214" s="1" t="s">
        <v>194</v>
      </c>
      <c r="U214" s="1">
        <v>2</v>
      </c>
      <c r="V214" s="1"/>
      <c r="W214" s="1">
        <v>0</v>
      </c>
      <c r="Y214" s="1">
        <v>2</v>
      </c>
      <c r="AA214" s="1">
        <v>3</v>
      </c>
    </row>
    <row r="215" spans="1:27" ht="12.75" customHeight="1" x14ac:dyDescent="0.15">
      <c r="A215" s="5">
        <v>180</v>
      </c>
      <c r="B215" s="5" t="s">
        <v>238</v>
      </c>
      <c r="C215" s="1">
        <v>13</v>
      </c>
      <c r="D215" s="5" t="s">
        <v>983</v>
      </c>
      <c r="E215" s="1">
        <v>0</v>
      </c>
      <c r="F215" s="5" t="s">
        <v>983</v>
      </c>
      <c r="G215" s="1">
        <v>3</v>
      </c>
      <c r="H215" s="5" t="s">
        <v>982</v>
      </c>
      <c r="I215" s="1">
        <v>5</v>
      </c>
      <c r="J215" s="5" t="s">
        <v>981</v>
      </c>
      <c r="K215" s="1">
        <v>0</v>
      </c>
      <c r="L215" s="5" t="s">
        <v>983</v>
      </c>
      <c r="M215" s="1">
        <v>0</v>
      </c>
      <c r="N215" s="5" t="s">
        <v>983</v>
      </c>
      <c r="O215" s="1">
        <v>0</v>
      </c>
      <c r="P215" s="5" t="s">
        <v>983</v>
      </c>
      <c r="Q215" s="1">
        <v>1</v>
      </c>
      <c r="R215" s="1">
        <v>0</v>
      </c>
      <c r="S215" s="1">
        <v>1</v>
      </c>
      <c r="T215" s="1">
        <v>4</v>
      </c>
      <c r="U215" s="1">
        <v>4</v>
      </c>
      <c r="V215" s="1">
        <v>36</v>
      </c>
      <c r="W215" s="1">
        <v>0</v>
      </c>
      <c r="X215" s="1">
        <v>14</v>
      </c>
      <c r="Y215" s="1">
        <v>34</v>
      </c>
      <c r="Z215" s="1">
        <v>500000</v>
      </c>
      <c r="AA215" s="1">
        <v>4</v>
      </c>
    </row>
    <row r="216" spans="1:27" ht="12.75" customHeight="1" x14ac:dyDescent="0.15">
      <c r="A216" s="5">
        <v>34</v>
      </c>
      <c r="B216" s="5" t="s">
        <v>238</v>
      </c>
      <c r="C216" s="1">
        <v>21</v>
      </c>
      <c r="D216" s="5" t="s">
        <v>982</v>
      </c>
      <c r="E216" s="1">
        <v>2</v>
      </c>
      <c r="F216" s="5" t="s">
        <v>982</v>
      </c>
      <c r="G216" s="1">
        <v>3</v>
      </c>
      <c r="H216" s="5" t="s">
        <v>982</v>
      </c>
      <c r="I216" s="1">
        <v>5</v>
      </c>
      <c r="J216" s="5" t="s">
        <v>981</v>
      </c>
      <c r="K216" s="1">
        <v>0</v>
      </c>
      <c r="L216" s="5" t="s">
        <v>983</v>
      </c>
      <c r="M216" s="1">
        <v>0</v>
      </c>
      <c r="N216" s="5" t="s">
        <v>983</v>
      </c>
      <c r="O216" s="1">
        <v>0</v>
      </c>
      <c r="P216" s="5" t="s">
        <v>983</v>
      </c>
      <c r="Q216" s="1">
        <v>1</v>
      </c>
      <c r="R216" s="1">
        <v>0</v>
      </c>
      <c r="S216" s="1" t="s">
        <v>194</v>
      </c>
      <c r="T216" s="1">
        <v>2</v>
      </c>
      <c r="U216" s="1">
        <v>2</v>
      </c>
      <c r="V216" s="1">
        <v>51</v>
      </c>
      <c r="W216" s="1">
        <v>0</v>
      </c>
      <c r="X216" s="1">
        <v>6</v>
      </c>
      <c r="Y216" s="1">
        <v>2</v>
      </c>
      <c r="Z216" s="1">
        <v>700000</v>
      </c>
      <c r="AA216" s="1">
        <v>2</v>
      </c>
    </row>
    <row r="217" spans="1:27" ht="12.75" customHeight="1" x14ac:dyDescent="0.15">
      <c r="A217" s="5">
        <v>114</v>
      </c>
      <c r="B217" s="5" t="s">
        <v>238</v>
      </c>
      <c r="C217" s="1">
        <v>14</v>
      </c>
      <c r="D217" s="5" t="s">
        <v>983</v>
      </c>
      <c r="E217" s="1">
        <v>3</v>
      </c>
      <c r="F217" s="5" t="s">
        <v>982</v>
      </c>
      <c r="G217" s="1">
        <v>3</v>
      </c>
      <c r="H217" s="5" t="s">
        <v>982</v>
      </c>
      <c r="I217" s="1">
        <v>16</v>
      </c>
      <c r="J217" s="5" t="s">
        <v>981</v>
      </c>
      <c r="K217" s="1">
        <v>0</v>
      </c>
      <c r="L217" s="5" t="s">
        <v>983</v>
      </c>
      <c r="M217" s="1">
        <v>2</v>
      </c>
      <c r="N217" s="5" t="s">
        <v>983</v>
      </c>
      <c r="O217" s="1">
        <v>0</v>
      </c>
      <c r="P217" s="5" t="s">
        <v>983</v>
      </c>
      <c r="Q217" s="1">
        <v>0</v>
      </c>
      <c r="R217" s="1">
        <v>0</v>
      </c>
      <c r="S217" s="1">
        <v>1</v>
      </c>
      <c r="T217" s="1">
        <v>3</v>
      </c>
      <c r="U217" s="1">
        <v>3</v>
      </c>
      <c r="V217" s="1">
        <v>53</v>
      </c>
      <c r="W217" s="1">
        <v>1</v>
      </c>
      <c r="X217" s="1">
        <v>15</v>
      </c>
      <c r="Y217" s="1">
        <v>3</v>
      </c>
      <c r="Z217" s="1">
        <v>300000</v>
      </c>
      <c r="AA217" s="1">
        <v>3</v>
      </c>
    </row>
    <row r="218" spans="1:27" ht="12.75" customHeight="1" x14ac:dyDescent="0.15">
      <c r="A218" s="5">
        <v>51</v>
      </c>
      <c r="B218" s="5" t="s">
        <v>238</v>
      </c>
      <c r="C218" s="1">
        <v>15</v>
      </c>
      <c r="D218" s="5" t="s">
        <v>983</v>
      </c>
      <c r="E218" s="1">
        <v>3</v>
      </c>
      <c r="F218" s="5" t="s">
        <v>982</v>
      </c>
      <c r="G218" s="1">
        <v>3</v>
      </c>
      <c r="H218" s="5" t="s">
        <v>982</v>
      </c>
      <c r="I218" s="1">
        <v>0</v>
      </c>
      <c r="J218" s="5" t="s">
        <v>983</v>
      </c>
      <c r="K218" s="1">
        <v>0</v>
      </c>
      <c r="L218" s="5" t="s">
        <v>983</v>
      </c>
      <c r="M218" s="1">
        <v>0</v>
      </c>
      <c r="N218" s="5" t="s">
        <v>983</v>
      </c>
      <c r="O218" s="1">
        <v>0</v>
      </c>
      <c r="P218" s="5" t="s">
        <v>983</v>
      </c>
      <c r="Q218" s="1">
        <v>1</v>
      </c>
      <c r="R218" s="1">
        <v>0</v>
      </c>
      <c r="S218" s="1">
        <v>1</v>
      </c>
      <c r="T218" s="1" t="s">
        <v>194</v>
      </c>
      <c r="U218" s="1">
        <v>2</v>
      </c>
      <c r="V218" s="1">
        <v>34</v>
      </c>
      <c r="W218" s="1">
        <v>1</v>
      </c>
      <c r="X218" s="1">
        <v>10</v>
      </c>
      <c r="Y218" s="1">
        <v>34</v>
      </c>
      <c r="Z218" s="1">
        <v>0</v>
      </c>
      <c r="AA218" s="1">
        <v>3</v>
      </c>
    </row>
    <row r="219" spans="1:27" ht="12.75" customHeight="1" x14ac:dyDescent="0.15">
      <c r="A219" s="5">
        <v>396</v>
      </c>
      <c r="B219" s="5" t="s">
        <v>238</v>
      </c>
      <c r="C219" s="1">
        <v>15</v>
      </c>
      <c r="D219" s="5" t="s">
        <v>983</v>
      </c>
      <c r="E219" s="1">
        <v>3</v>
      </c>
      <c r="F219" s="5" t="s">
        <v>982</v>
      </c>
      <c r="G219" s="1">
        <v>3</v>
      </c>
      <c r="H219" s="5" t="s">
        <v>982</v>
      </c>
      <c r="I219" s="1">
        <v>15</v>
      </c>
      <c r="J219" s="5" t="s">
        <v>981</v>
      </c>
      <c r="K219" s="1">
        <v>0</v>
      </c>
      <c r="L219" s="5" t="s">
        <v>983</v>
      </c>
      <c r="M219" s="1">
        <v>0</v>
      </c>
      <c r="N219" s="5" t="s">
        <v>983</v>
      </c>
      <c r="O219" s="1">
        <v>0</v>
      </c>
      <c r="P219" s="5" t="s">
        <v>983</v>
      </c>
      <c r="Q219" s="1">
        <v>1</v>
      </c>
      <c r="R219" s="1">
        <v>0</v>
      </c>
      <c r="S219" s="1">
        <v>1</v>
      </c>
      <c r="T219" s="1">
        <v>5</v>
      </c>
      <c r="U219" s="1">
        <v>5</v>
      </c>
      <c r="V219" s="1"/>
      <c r="W219" s="1">
        <v>1</v>
      </c>
      <c r="Y219" s="1">
        <v>2</v>
      </c>
      <c r="AA219" s="1">
        <v>3</v>
      </c>
    </row>
    <row r="220" spans="1:27" ht="12.75" customHeight="1" x14ac:dyDescent="0.15">
      <c r="A220" s="5">
        <v>183</v>
      </c>
      <c r="B220" s="5" t="s">
        <v>238</v>
      </c>
      <c r="C220" s="1">
        <v>16</v>
      </c>
      <c r="D220" s="5" t="s">
        <v>983</v>
      </c>
      <c r="E220" s="1">
        <v>3</v>
      </c>
      <c r="F220" s="5" t="s">
        <v>982</v>
      </c>
      <c r="G220" s="1">
        <v>3</v>
      </c>
      <c r="H220" s="5" t="s">
        <v>982</v>
      </c>
      <c r="I220" s="1">
        <v>0</v>
      </c>
      <c r="J220" s="5" t="s">
        <v>983</v>
      </c>
      <c r="K220" s="1">
        <v>0</v>
      </c>
      <c r="L220" s="5" t="s">
        <v>983</v>
      </c>
      <c r="M220" s="1">
        <v>0</v>
      </c>
      <c r="N220" s="5" t="s">
        <v>983</v>
      </c>
      <c r="O220" s="1">
        <v>0</v>
      </c>
      <c r="P220" s="5" t="s">
        <v>983</v>
      </c>
      <c r="Q220" s="1">
        <v>1</v>
      </c>
      <c r="R220" s="1">
        <v>0</v>
      </c>
      <c r="S220" s="1">
        <v>1</v>
      </c>
      <c r="T220" s="1" t="s">
        <v>194</v>
      </c>
      <c r="U220" s="1">
        <v>1</v>
      </c>
      <c r="V220" s="1">
        <v>68</v>
      </c>
      <c r="W220" s="1">
        <v>0</v>
      </c>
      <c r="X220" s="1">
        <v>9</v>
      </c>
      <c r="Y220" s="1">
        <v>5</v>
      </c>
      <c r="Z220" s="1">
        <v>460000</v>
      </c>
      <c r="AA220" s="1">
        <v>1</v>
      </c>
    </row>
    <row r="221" spans="1:27" ht="12.75" customHeight="1" x14ac:dyDescent="0.15">
      <c r="A221" s="5">
        <v>478</v>
      </c>
      <c r="B221" s="5" t="s">
        <v>238</v>
      </c>
      <c r="C221" s="1">
        <v>17</v>
      </c>
      <c r="D221" s="5" t="s">
        <v>983</v>
      </c>
      <c r="E221" s="1">
        <v>4</v>
      </c>
      <c r="F221" s="5" t="s">
        <v>982</v>
      </c>
      <c r="G221" s="1">
        <v>3</v>
      </c>
      <c r="H221" s="5" t="s">
        <v>982</v>
      </c>
      <c r="I221" s="1">
        <v>7</v>
      </c>
      <c r="J221" s="5" t="s">
        <v>981</v>
      </c>
      <c r="K221" s="1">
        <v>0</v>
      </c>
      <c r="L221" s="5" t="s">
        <v>983</v>
      </c>
      <c r="M221" s="1">
        <v>1</v>
      </c>
      <c r="N221" s="5" t="s">
        <v>983</v>
      </c>
      <c r="O221" s="1">
        <v>0</v>
      </c>
      <c r="P221" s="5" t="s">
        <v>983</v>
      </c>
      <c r="Q221" s="1">
        <v>1</v>
      </c>
      <c r="R221" s="1">
        <v>0</v>
      </c>
      <c r="S221" s="1">
        <v>1</v>
      </c>
      <c r="T221" s="1" t="s">
        <v>194</v>
      </c>
      <c r="U221" s="1">
        <v>5</v>
      </c>
      <c r="V221" s="1">
        <v>28</v>
      </c>
      <c r="W221" s="1">
        <v>0</v>
      </c>
      <c r="X221" s="1">
        <v>3</v>
      </c>
      <c r="Y221" s="1">
        <v>2</v>
      </c>
      <c r="Z221" s="1">
        <v>300000</v>
      </c>
      <c r="AA221" s="1">
        <v>3</v>
      </c>
    </row>
    <row r="222" spans="1:27" ht="12.75" customHeight="1" x14ac:dyDescent="0.15">
      <c r="A222" s="5">
        <v>327</v>
      </c>
      <c r="B222" s="5" t="s">
        <v>238</v>
      </c>
      <c r="C222" s="1">
        <v>20</v>
      </c>
      <c r="D222" s="5" t="s">
        <v>982</v>
      </c>
      <c r="E222" s="1">
        <v>4</v>
      </c>
      <c r="F222" s="5" t="s">
        <v>982</v>
      </c>
      <c r="G222" s="1">
        <v>3</v>
      </c>
      <c r="H222" s="5" t="s">
        <v>982</v>
      </c>
      <c r="I222" s="1">
        <v>16</v>
      </c>
      <c r="J222" s="5" t="s">
        <v>981</v>
      </c>
      <c r="K222" s="1">
        <v>0</v>
      </c>
      <c r="L222" s="5" t="s">
        <v>983</v>
      </c>
      <c r="M222" s="1">
        <v>0</v>
      </c>
      <c r="N222" s="5" t="s">
        <v>983</v>
      </c>
      <c r="O222" s="1">
        <v>0</v>
      </c>
      <c r="P222" s="5" t="s">
        <v>983</v>
      </c>
      <c r="Q222" s="1">
        <v>0</v>
      </c>
      <c r="R222" s="1">
        <v>0</v>
      </c>
      <c r="S222" s="1" t="s">
        <v>194</v>
      </c>
      <c r="T222" s="1" t="s">
        <v>194</v>
      </c>
      <c r="U222" s="1" t="s">
        <v>194</v>
      </c>
      <c r="V222" s="1">
        <v>30</v>
      </c>
      <c r="W222" s="1">
        <v>0</v>
      </c>
      <c r="X222" s="1">
        <v>4</v>
      </c>
      <c r="Y222" s="1">
        <v>34</v>
      </c>
      <c r="Z222" s="1">
        <v>250000</v>
      </c>
      <c r="AA222" s="1">
        <v>1</v>
      </c>
    </row>
    <row r="223" spans="1:27" ht="12.75" customHeight="1" x14ac:dyDescent="0.15">
      <c r="A223" s="5">
        <v>22</v>
      </c>
      <c r="B223" s="5" t="s">
        <v>238</v>
      </c>
      <c r="C223" s="1">
        <v>18</v>
      </c>
      <c r="D223" s="5" t="s">
        <v>983</v>
      </c>
      <c r="E223" s="1">
        <v>5</v>
      </c>
      <c r="F223" s="5" t="s">
        <v>981</v>
      </c>
      <c r="G223" s="1">
        <v>3</v>
      </c>
      <c r="H223" s="5" t="s">
        <v>982</v>
      </c>
      <c r="I223" s="1">
        <v>16</v>
      </c>
      <c r="J223" s="5" t="s">
        <v>981</v>
      </c>
      <c r="K223" s="1">
        <v>0</v>
      </c>
      <c r="L223" s="5" t="s">
        <v>983</v>
      </c>
      <c r="M223" s="1">
        <v>0</v>
      </c>
      <c r="N223" s="5" t="s">
        <v>983</v>
      </c>
      <c r="O223" s="1">
        <v>0</v>
      </c>
      <c r="P223" s="5" t="s">
        <v>983</v>
      </c>
      <c r="Q223" s="1">
        <v>1</v>
      </c>
      <c r="R223" s="1">
        <v>1</v>
      </c>
      <c r="S223" s="1">
        <v>1</v>
      </c>
      <c r="T223" s="1">
        <v>5</v>
      </c>
      <c r="U223" s="1">
        <v>2</v>
      </c>
      <c r="V223" s="1">
        <v>62</v>
      </c>
      <c r="W223" s="1">
        <v>0</v>
      </c>
      <c r="X223" s="1">
        <v>16</v>
      </c>
      <c r="Y223" s="1">
        <v>11</v>
      </c>
      <c r="Z223" s="1">
        <v>800000</v>
      </c>
      <c r="AA223" s="1">
        <v>1</v>
      </c>
    </row>
    <row r="224" spans="1:27" ht="12.75" customHeight="1" x14ac:dyDescent="0.15">
      <c r="A224" s="5">
        <v>105</v>
      </c>
      <c r="B224" s="5" t="s">
        <v>238</v>
      </c>
      <c r="C224" s="1">
        <v>36</v>
      </c>
      <c r="D224" s="5" t="s">
        <v>981</v>
      </c>
      <c r="E224" s="1">
        <v>0</v>
      </c>
      <c r="F224" s="5" t="s">
        <v>983</v>
      </c>
      <c r="G224" s="1">
        <v>4</v>
      </c>
      <c r="H224" s="5" t="s">
        <v>982</v>
      </c>
      <c r="I224" s="1">
        <v>8</v>
      </c>
      <c r="J224" s="5" t="s">
        <v>981</v>
      </c>
      <c r="K224" s="1">
        <v>0</v>
      </c>
      <c r="L224" s="5" t="s">
        <v>983</v>
      </c>
      <c r="M224" s="1">
        <v>8</v>
      </c>
      <c r="N224" s="5" t="s">
        <v>981</v>
      </c>
      <c r="O224" s="1">
        <v>0</v>
      </c>
      <c r="P224" s="5" t="s">
        <v>983</v>
      </c>
      <c r="Q224" s="1">
        <v>1</v>
      </c>
      <c r="R224" s="1">
        <v>0</v>
      </c>
      <c r="S224" s="1">
        <v>1</v>
      </c>
      <c r="T224" s="1">
        <v>5</v>
      </c>
      <c r="U224" s="1">
        <v>4</v>
      </c>
      <c r="V224" s="1">
        <v>34</v>
      </c>
      <c r="W224" s="1">
        <v>0</v>
      </c>
      <c r="X224" s="1">
        <v>14</v>
      </c>
      <c r="Y224" s="1">
        <v>24</v>
      </c>
      <c r="Z224" s="1">
        <v>2000000</v>
      </c>
      <c r="AA224" s="1">
        <v>4</v>
      </c>
    </row>
    <row r="225" spans="1:27" ht="12.75" customHeight="1" x14ac:dyDescent="0.15">
      <c r="A225" s="5">
        <v>270</v>
      </c>
      <c r="B225" s="5" t="s">
        <v>238</v>
      </c>
      <c r="C225" s="1">
        <v>25</v>
      </c>
      <c r="D225" s="5" t="s">
        <v>981</v>
      </c>
      <c r="E225" s="1">
        <v>1</v>
      </c>
      <c r="F225" s="5" t="s">
        <v>983</v>
      </c>
      <c r="G225" s="1">
        <v>4</v>
      </c>
      <c r="H225" s="5" t="s">
        <v>982</v>
      </c>
      <c r="I225" s="1">
        <v>7</v>
      </c>
      <c r="J225" s="5" t="s">
        <v>981</v>
      </c>
      <c r="K225" s="1">
        <v>0</v>
      </c>
      <c r="L225" s="5" t="s">
        <v>983</v>
      </c>
      <c r="M225" s="1">
        <v>4</v>
      </c>
      <c r="N225" s="5" t="s">
        <v>982</v>
      </c>
      <c r="O225" s="1">
        <v>0</v>
      </c>
      <c r="P225" s="5" t="s">
        <v>983</v>
      </c>
      <c r="Q225" s="1">
        <v>1</v>
      </c>
      <c r="R225" s="1">
        <v>0</v>
      </c>
      <c r="S225" s="1">
        <v>0</v>
      </c>
      <c r="T225" s="1">
        <v>4</v>
      </c>
      <c r="U225" s="1">
        <v>5</v>
      </c>
      <c r="V225" s="1">
        <v>62</v>
      </c>
      <c r="W225" s="1">
        <v>0</v>
      </c>
      <c r="X225" s="1">
        <v>14</v>
      </c>
      <c r="Y225" s="1">
        <v>1</v>
      </c>
      <c r="Z225" s="1">
        <v>150000</v>
      </c>
      <c r="AA225" s="1">
        <v>1</v>
      </c>
    </row>
    <row r="226" spans="1:27" ht="12.75" customHeight="1" x14ac:dyDescent="0.15">
      <c r="A226" s="5">
        <v>56</v>
      </c>
      <c r="B226" s="5" t="s">
        <v>238</v>
      </c>
      <c r="C226" s="1">
        <v>39</v>
      </c>
      <c r="D226" s="5" t="s">
        <v>981</v>
      </c>
      <c r="E226" s="1">
        <v>1</v>
      </c>
      <c r="F226" s="5" t="s">
        <v>983</v>
      </c>
      <c r="G226" s="1">
        <v>4</v>
      </c>
      <c r="H226" s="5" t="s">
        <v>982</v>
      </c>
      <c r="I226" s="1">
        <v>16</v>
      </c>
      <c r="J226" s="5" t="s">
        <v>981</v>
      </c>
      <c r="K226" s="1">
        <v>0</v>
      </c>
      <c r="L226" s="5" t="s">
        <v>983</v>
      </c>
      <c r="M226" s="1">
        <v>10</v>
      </c>
      <c r="N226" s="5" t="s">
        <v>981</v>
      </c>
      <c r="O226" s="1">
        <v>0</v>
      </c>
      <c r="P226" s="5" t="s">
        <v>983</v>
      </c>
      <c r="Q226" s="1">
        <v>0</v>
      </c>
      <c r="R226" s="1">
        <v>0</v>
      </c>
      <c r="S226" s="1" t="s">
        <v>194</v>
      </c>
      <c r="T226" s="1" t="s">
        <v>194</v>
      </c>
      <c r="U226" s="1" t="s">
        <v>194</v>
      </c>
      <c r="V226" s="1">
        <v>37</v>
      </c>
      <c r="W226" s="1">
        <v>1</v>
      </c>
      <c r="X226" s="1">
        <v>16</v>
      </c>
      <c r="Y226" s="1">
        <v>11</v>
      </c>
      <c r="Z226" s="1">
        <v>0</v>
      </c>
      <c r="AA226" s="1">
        <v>1</v>
      </c>
    </row>
    <row r="227" spans="1:27" ht="12.75" customHeight="1" x14ac:dyDescent="0.15">
      <c r="A227" s="5">
        <v>284</v>
      </c>
      <c r="B227" s="5" t="s">
        <v>238</v>
      </c>
      <c r="C227" s="1">
        <v>20</v>
      </c>
      <c r="D227" s="5" t="s">
        <v>982</v>
      </c>
      <c r="E227" s="1">
        <v>2</v>
      </c>
      <c r="F227" s="5" t="s">
        <v>982</v>
      </c>
      <c r="G227" s="1">
        <v>4</v>
      </c>
      <c r="H227" s="5" t="s">
        <v>982</v>
      </c>
      <c r="I227" s="1">
        <v>16</v>
      </c>
      <c r="J227" s="5" t="s">
        <v>981</v>
      </c>
      <c r="K227" s="1">
        <v>0</v>
      </c>
      <c r="L227" s="5" t="s">
        <v>983</v>
      </c>
      <c r="M227" s="1">
        <v>0</v>
      </c>
      <c r="N227" s="5" t="s">
        <v>983</v>
      </c>
      <c r="O227" s="1">
        <v>0</v>
      </c>
      <c r="P227" s="5" t="s">
        <v>983</v>
      </c>
      <c r="Q227" s="1">
        <v>0</v>
      </c>
      <c r="R227" s="1">
        <v>0</v>
      </c>
      <c r="S227" s="1" t="s">
        <v>194</v>
      </c>
      <c r="T227" s="1">
        <v>4</v>
      </c>
      <c r="U227" s="1">
        <v>4</v>
      </c>
      <c r="V227" s="1">
        <v>30</v>
      </c>
      <c r="W227" s="1">
        <v>1</v>
      </c>
      <c r="X227" s="1">
        <v>4</v>
      </c>
      <c r="Y227" s="1">
        <v>24</v>
      </c>
      <c r="Z227" s="1">
        <v>500000</v>
      </c>
      <c r="AA227" s="1">
        <v>1</v>
      </c>
    </row>
    <row r="228" spans="1:27" ht="12.75" customHeight="1" x14ac:dyDescent="0.15">
      <c r="A228" s="5">
        <v>332</v>
      </c>
      <c r="B228" s="5" t="s">
        <v>238</v>
      </c>
      <c r="C228" s="1">
        <v>38</v>
      </c>
      <c r="D228" s="5" t="s">
        <v>981</v>
      </c>
      <c r="E228" s="1">
        <v>2</v>
      </c>
      <c r="F228" s="5" t="s">
        <v>982</v>
      </c>
      <c r="G228" s="1">
        <v>4</v>
      </c>
      <c r="H228" s="5" t="s">
        <v>982</v>
      </c>
      <c r="I228" s="1">
        <v>0</v>
      </c>
      <c r="J228" s="5" t="s">
        <v>983</v>
      </c>
      <c r="K228" s="1">
        <v>0</v>
      </c>
      <c r="L228" s="5" t="s">
        <v>983</v>
      </c>
      <c r="M228" s="1">
        <v>6</v>
      </c>
      <c r="N228" s="5" t="s">
        <v>981</v>
      </c>
      <c r="O228" s="1">
        <v>0</v>
      </c>
      <c r="P228" s="5" t="s">
        <v>983</v>
      </c>
      <c r="Q228" s="1">
        <v>0</v>
      </c>
      <c r="R228" s="1">
        <v>0</v>
      </c>
      <c r="S228" s="1" t="s">
        <v>194</v>
      </c>
      <c r="T228" s="1">
        <v>5</v>
      </c>
      <c r="U228" s="1">
        <v>5</v>
      </c>
      <c r="V228" s="1">
        <v>39</v>
      </c>
      <c r="W228" s="1">
        <v>0</v>
      </c>
      <c r="X228" s="1">
        <v>1</v>
      </c>
      <c r="Y228" s="1">
        <v>2</v>
      </c>
      <c r="Z228" s="1">
        <v>0</v>
      </c>
      <c r="AA228" s="1">
        <v>1</v>
      </c>
    </row>
    <row r="229" spans="1:27" ht="12.75" customHeight="1" x14ac:dyDescent="0.15">
      <c r="A229" s="5">
        <v>475</v>
      </c>
      <c r="B229" s="5" t="s">
        <v>238</v>
      </c>
      <c r="C229" s="1">
        <v>20</v>
      </c>
      <c r="D229" s="5" t="s">
        <v>982</v>
      </c>
      <c r="E229" s="1">
        <v>4</v>
      </c>
      <c r="F229" s="5" t="s">
        <v>982</v>
      </c>
      <c r="G229" s="1">
        <v>4</v>
      </c>
      <c r="H229" s="5" t="s">
        <v>982</v>
      </c>
      <c r="I229" s="1">
        <v>8</v>
      </c>
      <c r="J229" s="5" t="s">
        <v>981</v>
      </c>
      <c r="K229" s="1">
        <v>0</v>
      </c>
      <c r="L229" s="5" t="s">
        <v>983</v>
      </c>
      <c r="M229" s="1">
        <v>0</v>
      </c>
      <c r="N229" s="5" t="s">
        <v>983</v>
      </c>
      <c r="O229" s="1">
        <v>0</v>
      </c>
      <c r="P229" s="5" t="s">
        <v>983</v>
      </c>
      <c r="Q229" s="1">
        <v>1</v>
      </c>
      <c r="R229" s="1">
        <v>0</v>
      </c>
      <c r="S229" s="1">
        <v>1</v>
      </c>
      <c r="T229" s="1">
        <v>3</v>
      </c>
      <c r="U229" s="1">
        <v>4</v>
      </c>
      <c r="V229" s="1">
        <v>44</v>
      </c>
      <c r="W229" s="1">
        <v>0</v>
      </c>
      <c r="X229" s="1">
        <v>4</v>
      </c>
      <c r="Y229" s="1">
        <v>31</v>
      </c>
      <c r="Z229" s="1">
        <v>650000</v>
      </c>
      <c r="AA229" s="1">
        <v>2</v>
      </c>
    </row>
    <row r="230" spans="1:27" ht="12.75" customHeight="1" x14ac:dyDescent="0.15">
      <c r="A230" s="5">
        <v>9</v>
      </c>
      <c r="B230" s="5" t="s">
        <v>238</v>
      </c>
      <c r="C230" s="1">
        <v>23</v>
      </c>
      <c r="D230" s="5" t="s">
        <v>982</v>
      </c>
      <c r="E230" s="1">
        <v>4</v>
      </c>
      <c r="F230" s="5" t="s">
        <v>982</v>
      </c>
      <c r="G230" s="1">
        <v>4</v>
      </c>
      <c r="H230" s="5" t="s">
        <v>982</v>
      </c>
      <c r="I230" s="1">
        <v>6</v>
      </c>
      <c r="J230" s="5" t="s">
        <v>981</v>
      </c>
      <c r="K230" s="1">
        <v>0</v>
      </c>
      <c r="L230" s="5" t="s">
        <v>983</v>
      </c>
      <c r="M230" s="1">
        <v>5</v>
      </c>
      <c r="N230" s="5" t="s">
        <v>982</v>
      </c>
      <c r="O230" s="1">
        <v>0</v>
      </c>
      <c r="P230" s="5" t="s">
        <v>983</v>
      </c>
      <c r="Q230" s="1">
        <v>0</v>
      </c>
      <c r="R230" s="1">
        <v>0</v>
      </c>
      <c r="S230" s="1">
        <v>0</v>
      </c>
      <c r="T230" s="1">
        <v>4</v>
      </c>
      <c r="U230" s="1">
        <v>3</v>
      </c>
      <c r="V230" s="1">
        <v>47</v>
      </c>
      <c r="W230" s="1">
        <v>0</v>
      </c>
      <c r="X230" s="1">
        <v>14</v>
      </c>
      <c r="Y230" s="1">
        <v>24</v>
      </c>
      <c r="Z230" s="1">
        <v>900000</v>
      </c>
      <c r="AA230" s="1">
        <v>5</v>
      </c>
    </row>
    <row r="231" spans="1:27" ht="12.75" customHeight="1" x14ac:dyDescent="0.15">
      <c r="A231" s="5">
        <v>359</v>
      </c>
      <c r="B231" s="5" t="s">
        <v>238</v>
      </c>
      <c r="C231" s="1">
        <v>29</v>
      </c>
      <c r="D231" s="5" t="s">
        <v>981</v>
      </c>
      <c r="E231" s="1">
        <v>4</v>
      </c>
      <c r="F231" s="5" t="s">
        <v>982</v>
      </c>
      <c r="G231" s="1">
        <v>4</v>
      </c>
      <c r="H231" s="5" t="s">
        <v>982</v>
      </c>
      <c r="I231" s="1">
        <v>3</v>
      </c>
      <c r="J231" s="5" t="s">
        <v>982</v>
      </c>
      <c r="K231" s="1">
        <v>0</v>
      </c>
      <c r="L231" s="5" t="s">
        <v>983</v>
      </c>
      <c r="M231" s="1">
        <v>1</v>
      </c>
      <c r="N231" s="5" t="s">
        <v>983</v>
      </c>
      <c r="O231" s="1">
        <v>0</v>
      </c>
      <c r="P231" s="5" t="s">
        <v>983</v>
      </c>
      <c r="Q231" s="1">
        <v>1</v>
      </c>
      <c r="R231" s="1">
        <v>0</v>
      </c>
      <c r="S231" s="1">
        <v>1</v>
      </c>
      <c r="T231" s="1">
        <v>5</v>
      </c>
      <c r="U231" s="1">
        <v>3</v>
      </c>
      <c r="V231" s="1">
        <v>55</v>
      </c>
      <c r="W231" s="1">
        <v>1</v>
      </c>
      <c r="X231" s="1">
        <v>2</v>
      </c>
      <c r="Y231" s="1">
        <v>34</v>
      </c>
      <c r="Z231" s="1">
        <v>400000</v>
      </c>
      <c r="AA231" s="1">
        <v>1</v>
      </c>
    </row>
    <row r="232" spans="1:27" ht="12.75" customHeight="1" x14ac:dyDescent="0.15">
      <c r="A232" s="5">
        <v>474</v>
      </c>
      <c r="B232" s="5" t="s">
        <v>238</v>
      </c>
      <c r="C232" s="1">
        <v>15</v>
      </c>
      <c r="D232" s="5" t="s">
        <v>983</v>
      </c>
      <c r="E232" s="1">
        <v>6</v>
      </c>
      <c r="F232" s="5" t="s">
        <v>981</v>
      </c>
      <c r="G232" s="1">
        <v>4</v>
      </c>
      <c r="H232" s="5" t="s">
        <v>982</v>
      </c>
      <c r="I232" s="1">
        <v>6</v>
      </c>
      <c r="J232" s="5" t="s">
        <v>981</v>
      </c>
      <c r="K232" s="1">
        <v>0</v>
      </c>
      <c r="L232" s="5" t="s">
        <v>983</v>
      </c>
      <c r="M232" s="1">
        <v>1</v>
      </c>
      <c r="N232" s="5" t="s">
        <v>983</v>
      </c>
      <c r="O232" s="1">
        <v>0</v>
      </c>
      <c r="P232" s="5" t="s">
        <v>983</v>
      </c>
      <c r="Q232" s="1">
        <v>1</v>
      </c>
      <c r="R232" s="1">
        <v>0</v>
      </c>
      <c r="S232" s="1">
        <v>1</v>
      </c>
      <c r="T232" s="1">
        <v>2</v>
      </c>
      <c r="U232" s="1">
        <v>2</v>
      </c>
      <c r="V232" s="1">
        <v>36</v>
      </c>
      <c r="W232" s="1">
        <v>1</v>
      </c>
      <c r="X232" s="1">
        <v>11</v>
      </c>
      <c r="Y232" s="1">
        <v>6</v>
      </c>
      <c r="Z232" s="1">
        <v>200000</v>
      </c>
      <c r="AA232" s="1">
        <v>1</v>
      </c>
    </row>
    <row r="233" spans="1:27" ht="12.75" customHeight="1" x14ac:dyDescent="0.15">
      <c r="A233" s="5">
        <v>70</v>
      </c>
      <c r="B233" s="5" t="s">
        <v>238</v>
      </c>
      <c r="C233" s="1">
        <v>22</v>
      </c>
      <c r="D233" s="5" t="s">
        <v>982</v>
      </c>
      <c r="E233" s="1">
        <v>6</v>
      </c>
      <c r="F233" s="5" t="s">
        <v>981</v>
      </c>
      <c r="G233" s="1">
        <v>4</v>
      </c>
      <c r="H233" s="5" t="s">
        <v>982</v>
      </c>
      <c r="I233" s="1">
        <v>3</v>
      </c>
      <c r="J233" s="5" t="s">
        <v>982</v>
      </c>
      <c r="K233" s="1">
        <v>0</v>
      </c>
      <c r="L233" s="5" t="s">
        <v>983</v>
      </c>
      <c r="M233" s="1">
        <v>6</v>
      </c>
      <c r="N233" s="5" t="s">
        <v>981</v>
      </c>
      <c r="O233" s="1">
        <v>0</v>
      </c>
      <c r="P233" s="5" t="s">
        <v>983</v>
      </c>
      <c r="Q233" s="1">
        <v>1</v>
      </c>
      <c r="R233" s="1">
        <v>0</v>
      </c>
      <c r="S233" s="1">
        <v>1</v>
      </c>
      <c r="T233" s="1">
        <v>1</v>
      </c>
      <c r="U233" s="1">
        <v>2</v>
      </c>
      <c r="V233" s="1">
        <v>37</v>
      </c>
      <c r="W233" s="1">
        <v>1</v>
      </c>
      <c r="X233" s="1">
        <v>14</v>
      </c>
      <c r="Y233" s="1">
        <v>1</v>
      </c>
      <c r="Z233" s="1">
        <v>250000</v>
      </c>
      <c r="AA233" s="1">
        <v>5</v>
      </c>
    </row>
    <row r="234" spans="1:27" ht="12.75" customHeight="1" x14ac:dyDescent="0.15">
      <c r="A234" s="5">
        <v>428</v>
      </c>
      <c r="B234" s="5" t="s">
        <v>238</v>
      </c>
      <c r="C234" s="1">
        <v>16</v>
      </c>
      <c r="D234" s="5" t="s">
        <v>983</v>
      </c>
      <c r="E234" s="1">
        <v>7</v>
      </c>
      <c r="F234" s="5" t="s">
        <v>981</v>
      </c>
      <c r="G234" s="1">
        <v>4</v>
      </c>
      <c r="H234" s="5" t="s">
        <v>982</v>
      </c>
      <c r="I234" s="1">
        <v>8</v>
      </c>
      <c r="J234" s="5" t="s">
        <v>981</v>
      </c>
      <c r="K234" s="1">
        <v>0</v>
      </c>
      <c r="L234" s="5" t="s">
        <v>983</v>
      </c>
      <c r="M234" s="1">
        <v>1</v>
      </c>
      <c r="N234" s="5" t="s">
        <v>983</v>
      </c>
      <c r="O234" s="1">
        <v>0</v>
      </c>
      <c r="P234" s="5" t="s">
        <v>983</v>
      </c>
      <c r="Q234" s="1">
        <v>1</v>
      </c>
      <c r="R234" s="1">
        <v>0</v>
      </c>
      <c r="S234" s="1" t="s">
        <v>194</v>
      </c>
      <c r="T234" s="1" t="s">
        <v>194</v>
      </c>
      <c r="U234" s="1" t="s">
        <v>194</v>
      </c>
      <c r="V234" s="1">
        <v>32</v>
      </c>
      <c r="W234" s="1">
        <v>0</v>
      </c>
      <c r="X234" s="1">
        <v>14</v>
      </c>
      <c r="Y234" s="1">
        <v>34</v>
      </c>
      <c r="Z234" s="1">
        <v>500000</v>
      </c>
      <c r="AA234" s="1">
        <v>4</v>
      </c>
    </row>
    <row r="235" spans="1:27" ht="12.75" customHeight="1" x14ac:dyDescent="0.15">
      <c r="A235" s="5">
        <v>46</v>
      </c>
      <c r="B235" s="5" t="s">
        <v>238</v>
      </c>
      <c r="C235" s="1">
        <v>19</v>
      </c>
      <c r="D235" s="5" t="s">
        <v>982</v>
      </c>
      <c r="E235" s="1">
        <v>1</v>
      </c>
      <c r="F235" s="5" t="s">
        <v>983</v>
      </c>
      <c r="G235" s="1">
        <v>5</v>
      </c>
      <c r="H235" s="5" t="s">
        <v>982</v>
      </c>
      <c r="I235" s="1">
        <v>0</v>
      </c>
      <c r="J235" s="5" t="s">
        <v>983</v>
      </c>
      <c r="K235" s="1">
        <v>0</v>
      </c>
      <c r="L235" s="5" t="s">
        <v>983</v>
      </c>
      <c r="M235" s="1">
        <v>0</v>
      </c>
      <c r="N235" s="5" t="s">
        <v>983</v>
      </c>
      <c r="O235" s="1">
        <v>0</v>
      </c>
      <c r="P235" s="5" t="s">
        <v>983</v>
      </c>
      <c r="Q235" s="1">
        <v>0</v>
      </c>
      <c r="R235" s="1">
        <v>0</v>
      </c>
      <c r="S235" s="1" t="s">
        <v>194</v>
      </c>
      <c r="T235" s="1" t="s">
        <v>194</v>
      </c>
      <c r="U235" s="1">
        <v>4</v>
      </c>
      <c r="V235" s="1"/>
      <c r="W235" s="1">
        <v>1</v>
      </c>
      <c r="Y235" s="1">
        <v>3</v>
      </c>
      <c r="AA235" s="1">
        <v>2</v>
      </c>
    </row>
    <row r="236" spans="1:27" ht="12.75" customHeight="1" x14ac:dyDescent="0.15">
      <c r="A236" s="5">
        <v>242</v>
      </c>
      <c r="B236" s="5" t="s">
        <v>238</v>
      </c>
      <c r="C236" s="1">
        <v>30</v>
      </c>
      <c r="D236" s="5" t="s">
        <v>981</v>
      </c>
      <c r="E236" s="1">
        <v>2</v>
      </c>
      <c r="F236" s="5" t="s">
        <v>982</v>
      </c>
      <c r="G236" s="1">
        <v>5</v>
      </c>
      <c r="H236" s="5" t="s">
        <v>982</v>
      </c>
      <c r="I236" s="1">
        <v>4</v>
      </c>
      <c r="J236" s="5" t="s">
        <v>982</v>
      </c>
      <c r="K236" s="1">
        <v>0</v>
      </c>
      <c r="L236" s="5" t="s">
        <v>983</v>
      </c>
      <c r="M236" s="1">
        <v>4</v>
      </c>
      <c r="N236" s="5" t="s">
        <v>982</v>
      </c>
      <c r="O236" s="1">
        <v>1</v>
      </c>
      <c r="P236" s="5" t="s">
        <v>982</v>
      </c>
      <c r="Q236" s="1">
        <v>1</v>
      </c>
      <c r="R236" s="1">
        <v>0</v>
      </c>
      <c r="S236" s="1">
        <v>1</v>
      </c>
      <c r="T236" s="1" t="s">
        <v>194</v>
      </c>
      <c r="U236" s="1">
        <v>2</v>
      </c>
      <c r="V236" s="1">
        <v>38</v>
      </c>
      <c r="W236" s="1">
        <v>0</v>
      </c>
      <c r="X236" s="1">
        <v>18</v>
      </c>
      <c r="Y236" s="1">
        <v>2</v>
      </c>
      <c r="Z236" s="1">
        <v>400000</v>
      </c>
      <c r="AA236" s="1">
        <v>2</v>
      </c>
    </row>
    <row r="237" spans="1:27" ht="12.75" customHeight="1" x14ac:dyDescent="0.15">
      <c r="A237" s="5">
        <v>392</v>
      </c>
      <c r="B237" s="5" t="s">
        <v>238</v>
      </c>
      <c r="C237" s="1">
        <v>40</v>
      </c>
      <c r="D237" s="5" t="s">
        <v>981</v>
      </c>
      <c r="E237" s="1">
        <v>2</v>
      </c>
      <c r="F237" s="5" t="s">
        <v>982</v>
      </c>
      <c r="G237" s="1">
        <v>5</v>
      </c>
      <c r="H237" s="5" t="s">
        <v>982</v>
      </c>
      <c r="I237" s="1">
        <v>4</v>
      </c>
      <c r="J237" s="5" t="s">
        <v>982</v>
      </c>
      <c r="K237" s="1">
        <v>0</v>
      </c>
      <c r="L237" s="5" t="s">
        <v>983</v>
      </c>
      <c r="M237" s="1">
        <v>3</v>
      </c>
      <c r="N237" s="5" t="s">
        <v>982</v>
      </c>
      <c r="O237" s="1">
        <v>0</v>
      </c>
      <c r="P237" s="5" t="s">
        <v>983</v>
      </c>
      <c r="Q237" s="1">
        <v>1</v>
      </c>
      <c r="R237" s="1">
        <v>0</v>
      </c>
      <c r="S237" s="1">
        <v>1</v>
      </c>
      <c r="T237" s="1" t="s">
        <v>194</v>
      </c>
      <c r="U237" s="1">
        <v>2</v>
      </c>
      <c r="V237" s="1">
        <v>64</v>
      </c>
      <c r="W237" s="1">
        <v>1</v>
      </c>
      <c r="X237" s="1">
        <v>14</v>
      </c>
      <c r="Y237" s="1">
        <v>34</v>
      </c>
      <c r="Z237" s="1">
        <v>500000</v>
      </c>
      <c r="AA237" s="1">
        <v>1</v>
      </c>
    </row>
    <row r="238" spans="1:27" ht="12.75" customHeight="1" x14ac:dyDescent="0.15">
      <c r="A238" s="5">
        <v>61</v>
      </c>
      <c r="B238" s="5" t="s">
        <v>238</v>
      </c>
      <c r="C238" s="1">
        <v>12</v>
      </c>
      <c r="D238" s="5" t="s">
        <v>983</v>
      </c>
      <c r="E238" s="1">
        <v>4</v>
      </c>
      <c r="F238" s="5" t="s">
        <v>982</v>
      </c>
      <c r="G238" s="1">
        <v>5</v>
      </c>
      <c r="H238" s="5" t="s">
        <v>982</v>
      </c>
      <c r="I238" s="1">
        <v>4</v>
      </c>
      <c r="J238" s="5" t="s">
        <v>982</v>
      </c>
      <c r="K238" s="1">
        <v>0</v>
      </c>
      <c r="L238" s="5" t="s">
        <v>983</v>
      </c>
      <c r="M238" s="1">
        <v>0</v>
      </c>
      <c r="N238" s="5" t="s">
        <v>983</v>
      </c>
      <c r="O238" s="1">
        <v>0</v>
      </c>
      <c r="P238" s="5" t="s">
        <v>983</v>
      </c>
      <c r="Q238" s="1">
        <v>1</v>
      </c>
      <c r="R238" s="1">
        <v>0</v>
      </c>
      <c r="S238" s="1">
        <v>1</v>
      </c>
      <c r="T238" s="1">
        <v>5</v>
      </c>
      <c r="U238" s="1">
        <v>5</v>
      </c>
      <c r="V238" s="1">
        <v>44</v>
      </c>
      <c r="W238" s="1">
        <v>0</v>
      </c>
      <c r="X238" s="1">
        <v>16</v>
      </c>
      <c r="Y238" s="1">
        <v>34</v>
      </c>
      <c r="Z238" s="1">
        <v>450000</v>
      </c>
      <c r="AA238" s="1">
        <v>3</v>
      </c>
    </row>
    <row r="239" spans="1:27" ht="12.75" customHeight="1" x14ac:dyDescent="0.15">
      <c r="A239" s="5">
        <v>60</v>
      </c>
      <c r="B239" s="5" t="s">
        <v>238</v>
      </c>
      <c r="C239" s="1">
        <v>20</v>
      </c>
      <c r="D239" s="5" t="s">
        <v>982</v>
      </c>
      <c r="E239" s="1">
        <v>4</v>
      </c>
      <c r="F239" s="5" t="s">
        <v>982</v>
      </c>
      <c r="G239" s="1">
        <v>5</v>
      </c>
      <c r="H239" s="5" t="s">
        <v>982</v>
      </c>
      <c r="I239" s="1">
        <v>3</v>
      </c>
      <c r="J239" s="5" t="s">
        <v>982</v>
      </c>
      <c r="K239" s="1">
        <v>0</v>
      </c>
      <c r="L239" s="5" t="s">
        <v>983</v>
      </c>
      <c r="M239" s="1">
        <v>2</v>
      </c>
      <c r="N239" s="5" t="s">
        <v>983</v>
      </c>
      <c r="O239" s="1">
        <v>0</v>
      </c>
      <c r="P239" s="5" t="s">
        <v>983</v>
      </c>
      <c r="Q239" s="1">
        <v>1</v>
      </c>
      <c r="R239" s="1">
        <v>0</v>
      </c>
      <c r="S239" s="1" t="s">
        <v>194</v>
      </c>
      <c r="T239" s="1">
        <v>3</v>
      </c>
      <c r="U239" s="1">
        <v>2</v>
      </c>
      <c r="V239" s="1">
        <v>44</v>
      </c>
      <c r="W239" s="1">
        <v>0</v>
      </c>
      <c r="X239" s="1">
        <v>16</v>
      </c>
      <c r="Y239" s="1">
        <v>13</v>
      </c>
      <c r="Z239" s="1">
        <v>500000</v>
      </c>
      <c r="AA239" s="1">
        <v>1</v>
      </c>
    </row>
    <row r="240" spans="1:27" ht="12.75" customHeight="1" x14ac:dyDescent="0.15">
      <c r="A240" s="5">
        <v>290</v>
      </c>
      <c r="B240" s="5" t="s">
        <v>238</v>
      </c>
      <c r="C240" s="1">
        <v>19</v>
      </c>
      <c r="D240" s="5" t="s">
        <v>982</v>
      </c>
      <c r="E240" s="1">
        <v>5</v>
      </c>
      <c r="F240" s="5" t="s">
        <v>981</v>
      </c>
      <c r="G240" s="1">
        <v>5</v>
      </c>
      <c r="H240" s="5" t="s">
        <v>982</v>
      </c>
      <c r="I240" s="1">
        <v>12</v>
      </c>
      <c r="J240" s="5" t="s">
        <v>981</v>
      </c>
      <c r="K240" s="1">
        <v>0</v>
      </c>
      <c r="L240" s="5" t="s">
        <v>983</v>
      </c>
      <c r="M240" s="1">
        <v>3</v>
      </c>
      <c r="N240" s="5" t="s">
        <v>982</v>
      </c>
      <c r="O240" s="1">
        <v>0</v>
      </c>
      <c r="P240" s="5" t="s">
        <v>983</v>
      </c>
      <c r="Q240" s="1">
        <v>1</v>
      </c>
      <c r="R240" s="1">
        <v>0</v>
      </c>
      <c r="S240" s="1">
        <v>1</v>
      </c>
      <c r="T240" s="1">
        <v>5</v>
      </c>
      <c r="U240" s="1">
        <v>3</v>
      </c>
      <c r="V240" s="1"/>
      <c r="W240" s="1">
        <v>1</v>
      </c>
      <c r="Y240" s="1">
        <v>6</v>
      </c>
      <c r="AA240" s="1">
        <v>4</v>
      </c>
    </row>
    <row r="241" spans="1:27" ht="12.75" customHeight="1" x14ac:dyDescent="0.15">
      <c r="A241" s="5">
        <v>119</v>
      </c>
      <c r="B241" s="5" t="s">
        <v>238</v>
      </c>
      <c r="C241" s="1">
        <v>37</v>
      </c>
      <c r="D241" s="5" t="s">
        <v>981</v>
      </c>
      <c r="E241" s="1">
        <v>7</v>
      </c>
      <c r="F241" s="5" t="s">
        <v>981</v>
      </c>
      <c r="G241" s="1">
        <v>5</v>
      </c>
      <c r="H241" s="5" t="s">
        <v>982</v>
      </c>
      <c r="I241" s="1">
        <v>11</v>
      </c>
      <c r="J241" s="5" t="s">
        <v>981</v>
      </c>
      <c r="K241" s="1">
        <v>0</v>
      </c>
      <c r="L241" s="5" t="s">
        <v>983</v>
      </c>
      <c r="M241" s="1">
        <v>0</v>
      </c>
      <c r="N241" s="5" t="s">
        <v>983</v>
      </c>
      <c r="O241" s="1">
        <v>3</v>
      </c>
      <c r="P241" s="5" t="s">
        <v>982</v>
      </c>
      <c r="Q241" s="1">
        <v>1</v>
      </c>
      <c r="R241" s="1">
        <v>0</v>
      </c>
      <c r="S241" s="1">
        <v>1</v>
      </c>
      <c r="T241" s="1">
        <v>5</v>
      </c>
      <c r="U241" s="1">
        <v>5</v>
      </c>
      <c r="V241" s="1">
        <v>45</v>
      </c>
      <c r="W241" s="1">
        <v>1</v>
      </c>
      <c r="X241" s="1">
        <v>14</v>
      </c>
      <c r="Y241" s="1">
        <v>3</v>
      </c>
      <c r="Z241" s="1">
        <v>1000000</v>
      </c>
      <c r="AA241" s="1">
        <v>3</v>
      </c>
    </row>
    <row r="242" spans="1:27" ht="12.75" customHeight="1" x14ac:dyDescent="0.15">
      <c r="A242" s="5">
        <v>263</v>
      </c>
      <c r="B242" s="5" t="s">
        <v>238</v>
      </c>
      <c r="C242" s="1">
        <v>18</v>
      </c>
      <c r="D242" s="5" t="s">
        <v>983</v>
      </c>
      <c r="E242" s="1">
        <v>2</v>
      </c>
      <c r="F242" s="5" t="s">
        <v>982</v>
      </c>
      <c r="G242" s="1">
        <v>6</v>
      </c>
      <c r="H242" s="5" t="s">
        <v>981</v>
      </c>
      <c r="I242" s="1">
        <v>3</v>
      </c>
      <c r="J242" s="5" t="s">
        <v>982</v>
      </c>
      <c r="K242" s="1">
        <v>0</v>
      </c>
      <c r="L242" s="5" t="s">
        <v>983</v>
      </c>
      <c r="M242" s="1">
        <v>1</v>
      </c>
      <c r="N242" s="5" t="s">
        <v>983</v>
      </c>
      <c r="O242" s="1">
        <v>0</v>
      </c>
      <c r="P242" s="5" t="s">
        <v>983</v>
      </c>
      <c r="Q242" s="1">
        <v>1</v>
      </c>
      <c r="R242" s="1">
        <v>0</v>
      </c>
      <c r="S242" s="1" t="s">
        <v>194</v>
      </c>
      <c r="T242" s="1">
        <v>5</v>
      </c>
      <c r="U242" s="1">
        <v>2</v>
      </c>
      <c r="V242" s="1">
        <v>39</v>
      </c>
      <c r="W242" s="1">
        <v>0</v>
      </c>
      <c r="X242" s="1">
        <v>3</v>
      </c>
      <c r="Y242" s="1">
        <v>1</v>
      </c>
      <c r="Z242" s="1">
        <v>700000</v>
      </c>
      <c r="AA242" s="1">
        <v>1</v>
      </c>
    </row>
    <row r="243" spans="1:27" ht="12.75" customHeight="1" x14ac:dyDescent="0.15">
      <c r="A243" s="5">
        <v>254</v>
      </c>
      <c r="B243" s="5" t="s">
        <v>238</v>
      </c>
      <c r="C243" s="1">
        <v>21</v>
      </c>
      <c r="D243" s="5" t="s">
        <v>982</v>
      </c>
      <c r="E243" s="1">
        <v>2</v>
      </c>
      <c r="F243" s="5" t="s">
        <v>982</v>
      </c>
      <c r="G243" s="1">
        <v>6</v>
      </c>
      <c r="H243" s="5" t="s">
        <v>981</v>
      </c>
      <c r="I243" s="1">
        <v>8</v>
      </c>
      <c r="J243" s="5" t="s">
        <v>981</v>
      </c>
      <c r="K243" s="1">
        <v>0</v>
      </c>
      <c r="L243" s="5" t="s">
        <v>983</v>
      </c>
      <c r="M243" s="1">
        <v>0</v>
      </c>
      <c r="N243" s="5" t="s">
        <v>983</v>
      </c>
      <c r="O243" s="1">
        <v>0</v>
      </c>
      <c r="P243" s="5" t="s">
        <v>983</v>
      </c>
      <c r="Q243" s="1">
        <v>1</v>
      </c>
      <c r="R243" s="1">
        <v>0</v>
      </c>
      <c r="S243" s="1">
        <v>1</v>
      </c>
      <c r="T243" s="1">
        <v>5</v>
      </c>
      <c r="U243" s="1">
        <v>5</v>
      </c>
      <c r="V243" s="1"/>
      <c r="W243" s="1">
        <v>1</v>
      </c>
      <c r="X243" s="1">
        <v>3</v>
      </c>
      <c r="Y243" s="1">
        <v>4</v>
      </c>
      <c r="Z243" s="1">
        <v>0</v>
      </c>
      <c r="AA243" s="1">
        <v>2</v>
      </c>
    </row>
    <row r="244" spans="1:27" ht="12.75" customHeight="1" x14ac:dyDescent="0.15">
      <c r="A244" s="5">
        <v>498</v>
      </c>
      <c r="B244" s="5" t="s">
        <v>238</v>
      </c>
      <c r="C244" s="1">
        <v>15</v>
      </c>
      <c r="D244" s="5" t="s">
        <v>983</v>
      </c>
      <c r="E244" s="1">
        <v>3</v>
      </c>
      <c r="F244" s="5" t="s">
        <v>982</v>
      </c>
      <c r="G244" s="1">
        <v>6</v>
      </c>
      <c r="H244" s="5" t="s">
        <v>981</v>
      </c>
      <c r="I244" s="1">
        <v>7</v>
      </c>
      <c r="J244" s="5" t="s">
        <v>981</v>
      </c>
      <c r="K244" s="1">
        <v>0</v>
      </c>
      <c r="L244" s="5" t="s">
        <v>983</v>
      </c>
      <c r="M244" s="1">
        <v>12</v>
      </c>
      <c r="N244" s="5" t="s">
        <v>981</v>
      </c>
      <c r="O244" s="1">
        <v>0</v>
      </c>
      <c r="P244" s="5" t="s">
        <v>983</v>
      </c>
      <c r="Q244" s="1">
        <v>1</v>
      </c>
      <c r="R244" s="1">
        <v>0</v>
      </c>
      <c r="S244" s="1" t="s">
        <v>194</v>
      </c>
      <c r="T244" s="1">
        <v>2</v>
      </c>
      <c r="U244" s="1">
        <v>1</v>
      </c>
      <c r="V244" s="1">
        <v>34</v>
      </c>
      <c r="W244" s="1">
        <v>0</v>
      </c>
      <c r="X244" s="1">
        <v>17</v>
      </c>
      <c r="Y244" s="1">
        <v>11</v>
      </c>
      <c r="Z244" s="1">
        <v>27000</v>
      </c>
      <c r="AA244" s="1">
        <v>2</v>
      </c>
    </row>
    <row r="245" spans="1:27" ht="12.75" customHeight="1" x14ac:dyDescent="0.15">
      <c r="A245" s="5">
        <v>143</v>
      </c>
      <c r="B245" s="5" t="s">
        <v>238</v>
      </c>
      <c r="C245" s="1">
        <v>17</v>
      </c>
      <c r="D245" s="5" t="s">
        <v>983</v>
      </c>
      <c r="E245" s="1">
        <v>3</v>
      </c>
      <c r="F245" s="5" t="s">
        <v>982</v>
      </c>
      <c r="G245" s="1">
        <v>6</v>
      </c>
      <c r="H245" s="5" t="s">
        <v>981</v>
      </c>
      <c r="I245" s="1">
        <v>3</v>
      </c>
      <c r="J245" s="5" t="s">
        <v>982</v>
      </c>
      <c r="K245" s="1">
        <v>0</v>
      </c>
      <c r="L245" s="5" t="s">
        <v>983</v>
      </c>
      <c r="M245" s="1">
        <v>0</v>
      </c>
      <c r="N245" s="5" t="s">
        <v>983</v>
      </c>
      <c r="O245" s="1">
        <v>0</v>
      </c>
      <c r="P245" s="5" t="s">
        <v>983</v>
      </c>
      <c r="Q245" s="1">
        <v>1</v>
      </c>
      <c r="R245" s="1">
        <v>0</v>
      </c>
      <c r="S245" s="1">
        <v>1</v>
      </c>
      <c r="T245" s="1" t="s">
        <v>194</v>
      </c>
      <c r="U245" s="1" t="s">
        <v>194</v>
      </c>
      <c r="V245" s="1">
        <v>34</v>
      </c>
      <c r="W245" s="1">
        <v>1</v>
      </c>
      <c r="X245" s="1">
        <v>14</v>
      </c>
      <c r="Y245" s="1">
        <v>2</v>
      </c>
      <c r="Z245" s="1">
        <v>800000</v>
      </c>
      <c r="AA245" s="1">
        <v>5</v>
      </c>
    </row>
    <row r="246" spans="1:27" ht="12.75" customHeight="1" x14ac:dyDescent="0.15">
      <c r="A246" s="5">
        <v>55</v>
      </c>
      <c r="B246" s="5" t="s">
        <v>238</v>
      </c>
      <c r="C246" s="1">
        <v>23</v>
      </c>
      <c r="D246" s="5" t="s">
        <v>982</v>
      </c>
      <c r="E246" s="1">
        <v>5</v>
      </c>
      <c r="F246" s="5" t="s">
        <v>981</v>
      </c>
      <c r="G246" s="1">
        <v>6</v>
      </c>
      <c r="H246" s="5" t="s">
        <v>981</v>
      </c>
      <c r="I246" s="1">
        <v>16</v>
      </c>
      <c r="J246" s="5" t="s">
        <v>981</v>
      </c>
      <c r="K246" s="1">
        <v>0</v>
      </c>
      <c r="L246" s="5" t="s">
        <v>983</v>
      </c>
      <c r="M246" s="1">
        <v>2</v>
      </c>
      <c r="N246" s="5" t="s">
        <v>983</v>
      </c>
      <c r="O246" s="1">
        <v>0</v>
      </c>
      <c r="P246" s="5" t="s">
        <v>983</v>
      </c>
      <c r="Q246" s="1">
        <v>0</v>
      </c>
      <c r="R246" s="1">
        <v>0</v>
      </c>
      <c r="S246" s="1" t="s">
        <v>194</v>
      </c>
      <c r="T246" s="1">
        <v>4</v>
      </c>
      <c r="U246" s="1">
        <v>3</v>
      </c>
      <c r="V246" s="1">
        <v>28</v>
      </c>
      <c r="W246" s="1">
        <v>0</v>
      </c>
      <c r="X246" s="1">
        <v>17</v>
      </c>
      <c r="Y246" s="1">
        <v>3</v>
      </c>
      <c r="Z246" s="1">
        <v>240000</v>
      </c>
      <c r="AA246" s="1">
        <v>3</v>
      </c>
    </row>
    <row r="247" spans="1:27" ht="12.75" customHeight="1" x14ac:dyDescent="0.15">
      <c r="A247" s="5">
        <v>145</v>
      </c>
      <c r="B247" s="5" t="s">
        <v>238</v>
      </c>
      <c r="C247" s="1">
        <v>31</v>
      </c>
      <c r="D247" s="5" t="s">
        <v>981</v>
      </c>
      <c r="E247" s="1">
        <v>5</v>
      </c>
      <c r="F247" s="5" t="s">
        <v>981</v>
      </c>
      <c r="G247" s="1">
        <v>6</v>
      </c>
      <c r="H247" s="5" t="s">
        <v>981</v>
      </c>
      <c r="I247" s="1">
        <v>2</v>
      </c>
      <c r="J247" s="5" t="s">
        <v>982</v>
      </c>
      <c r="K247" s="1">
        <v>0</v>
      </c>
      <c r="L247" s="5" t="s">
        <v>983</v>
      </c>
      <c r="M247" s="1">
        <v>12</v>
      </c>
      <c r="N247" s="5" t="s">
        <v>981</v>
      </c>
      <c r="O247" s="1">
        <v>1</v>
      </c>
      <c r="P247" s="5" t="s">
        <v>982</v>
      </c>
      <c r="Q247" s="1">
        <v>0</v>
      </c>
      <c r="R247" s="1">
        <v>0</v>
      </c>
      <c r="S247" s="1" t="s">
        <v>194</v>
      </c>
      <c r="T247" s="1">
        <v>3</v>
      </c>
      <c r="U247" s="1">
        <v>4</v>
      </c>
      <c r="V247" s="1"/>
      <c r="W247" s="1">
        <v>0</v>
      </c>
      <c r="Y247" s="1">
        <v>3</v>
      </c>
      <c r="AA247" s="1">
        <v>2</v>
      </c>
    </row>
    <row r="248" spans="1:27" ht="12.75" customHeight="1" x14ac:dyDescent="0.15">
      <c r="A248" s="5">
        <v>292</v>
      </c>
      <c r="B248" s="5" t="s">
        <v>238</v>
      </c>
      <c r="C248" s="1">
        <v>19</v>
      </c>
      <c r="D248" s="5" t="s">
        <v>982</v>
      </c>
      <c r="E248" s="1">
        <v>7</v>
      </c>
      <c r="F248" s="5" t="s">
        <v>981</v>
      </c>
      <c r="G248" s="1">
        <v>6</v>
      </c>
      <c r="H248" s="5" t="s">
        <v>981</v>
      </c>
      <c r="I248" s="1">
        <v>3</v>
      </c>
      <c r="J248" s="5" t="s">
        <v>982</v>
      </c>
      <c r="K248" s="1">
        <v>0</v>
      </c>
      <c r="L248" s="5" t="s">
        <v>983</v>
      </c>
      <c r="M248" s="1">
        <v>5</v>
      </c>
      <c r="N248" s="5" t="s">
        <v>982</v>
      </c>
      <c r="O248" s="1">
        <v>0</v>
      </c>
      <c r="P248" s="5" t="s">
        <v>983</v>
      </c>
      <c r="Q248" s="1">
        <v>1</v>
      </c>
      <c r="R248" s="1">
        <v>0</v>
      </c>
      <c r="S248" s="1" t="s">
        <v>194</v>
      </c>
      <c r="T248" s="1" t="s">
        <v>194</v>
      </c>
      <c r="U248" s="1">
        <v>2</v>
      </c>
      <c r="V248" s="1">
        <v>35</v>
      </c>
      <c r="W248" s="1">
        <v>1</v>
      </c>
      <c r="X248" s="1">
        <v>2</v>
      </c>
      <c r="Y248" s="1">
        <v>34</v>
      </c>
      <c r="Z248" s="1">
        <v>0</v>
      </c>
      <c r="AA248" s="1">
        <v>6</v>
      </c>
    </row>
    <row r="249" spans="1:27" ht="12.75" customHeight="1" x14ac:dyDescent="0.15">
      <c r="A249" s="5">
        <v>217</v>
      </c>
      <c r="B249" s="5" t="s">
        <v>238</v>
      </c>
      <c r="C249" s="1">
        <v>28</v>
      </c>
      <c r="D249" s="5" t="s">
        <v>981</v>
      </c>
      <c r="E249" s="1">
        <v>9</v>
      </c>
      <c r="F249" s="5" t="s">
        <v>981</v>
      </c>
      <c r="G249" s="1">
        <v>6</v>
      </c>
      <c r="H249" s="5" t="s">
        <v>981</v>
      </c>
      <c r="I249" s="1">
        <v>16</v>
      </c>
      <c r="J249" s="5" t="s">
        <v>981</v>
      </c>
      <c r="K249" s="1">
        <v>0</v>
      </c>
      <c r="L249" s="5" t="s">
        <v>983</v>
      </c>
      <c r="M249" s="1">
        <v>9</v>
      </c>
      <c r="N249" s="5" t="s">
        <v>981</v>
      </c>
      <c r="O249" s="1">
        <v>1</v>
      </c>
      <c r="P249" s="5" t="s">
        <v>982</v>
      </c>
      <c r="Q249" s="1">
        <v>1</v>
      </c>
      <c r="R249" s="1">
        <v>0</v>
      </c>
      <c r="S249" s="1">
        <v>1</v>
      </c>
      <c r="T249" s="1">
        <v>5</v>
      </c>
      <c r="U249" s="1">
        <v>5</v>
      </c>
      <c r="V249" s="1">
        <v>41</v>
      </c>
      <c r="W249" s="1">
        <v>0</v>
      </c>
      <c r="X249" s="1">
        <v>12</v>
      </c>
      <c r="Y249" s="1">
        <v>24</v>
      </c>
      <c r="Z249" s="1">
        <v>0</v>
      </c>
      <c r="AA249" s="1">
        <v>4</v>
      </c>
    </row>
    <row r="250" spans="1:27" ht="12.75" customHeight="1" x14ac:dyDescent="0.15">
      <c r="A250" s="5">
        <v>172</v>
      </c>
      <c r="B250" s="5" t="s">
        <v>238</v>
      </c>
      <c r="C250" s="1">
        <v>32</v>
      </c>
      <c r="D250" s="5" t="s">
        <v>981</v>
      </c>
      <c r="E250" s="1">
        <v>9</v>
      </c>
      <c r="F250" s="5" t="s">
        <v>981</v>
      </c>
      <c r="G250" s="1">
        <v>6</v>
      </c>
      <c r="H250" s="5" t="s">
        <v>981</v>
      </c>
      <c r="I250" s="1">
        <v>16</v>
      </c>
      <c r="J250" s="5" t="s">
        <v>981</v>
      </c>
      <c r="K250" s="1">
        <v>0</v>
      </c>
      <c r="L250" s="5" t="s">
        <v>983</v>
      </c>
      <c r="M250" s="1">
        <v>7</v>
      </c>
      <c r="N250" s="5" t="s">
        <v>981</v>
      </c>
      <c r="O250" s="1">
        <v>0</v>
      </c>
      <c r="P250" s="5" t="s">
        <v>983</v>
      </c>
      <c r="Q250" s="1">
        <v>0</v>
      </c>
      <c r="R250" s="1">
        <v>0</v>
      </c>
      <c r="S250" s="1" t="s">
        <v>194</v>
      </c>
      <c r="T250" s="1">
        <v>3</v>
      </c>
      <c r="U250" s="1">
        <v>3</v>
      </c>
      <c r="V250" s="1"/>
      <c r="W250" s="1">
        <v>1</v>
      </c>
      <c r="Y250" s="1">
        <v>30</v>
      </c>
      <c r="AA250" s="1">
        <v>3</v>
      </c>
    </row>
    <row r="251" spans="1:27" ht="12.75" customHeight="1" x14ac:dyDescent="0.15">
      <c r="A251" s="5">
        <v>118</v>
      </c>
      <c r="B251" s="5" t="s">
        <v>238</v>
      </c>
      <c r="C251" s="1">
        <v>30</v>
      </c>
      <c r="D251" s="5" t="s">
        <v>981</v>
      </c>
      <c r="E251" s="1">
        <v>2</v>
      </c>
      <c r="F251" s="5" t="s">
        <v>982</v>
      </c>
      <c r="G251" s="1">
        <v>7</v>
      </c>
      <c r="H251" s="5" t="s">
        <v>981</v>
      </c>
      <c r="I251" s="1">
        <v>16</v>
      </c>
      <c r="J251" s="5" t="s">
        <v>981</v>
      </c>
      <c r="K251" s="1">
        <v>0</v>
      </c>
      <c r="L251" s="5" t="s">
        <v>983</v>
      </c>
      <c r="M251" s="1">
        <v>0</v>
      </c>
      <c r="N251" s="5" t="s">
        <v>983</v>
      </c>
      <c r="O251" s="1">
        <v>0</v>
      </c>
      <c r="P251" s="5" t="s">
        <v>983</v>
      </c>
      <c r="Q251" s="1">
        <v>1</v>
      </c>
      <c r="R251" s="1">
        <v>0</v>
      </c>
      <c r="S251" s="1" t="s">
        <v>194</v>
      </c>
      <c r="T251" s="1">
        <v>1</v>
      </c>
      <c r="U251" s="1">
        <v>2</v>
      </c>
      <c r="V251" s="1">
        <v>35</v>
      </c>
      <c r="W251" s="1">
        <v>0</v>
      </c>
      <c r="X251" s="1">
        <v>18</v>
      </c>
      <c r="Y251" s="1">
        <v>33</v>
      </c>
      <c r="Z251" s="1">
        <v>300000</v>
      </c>
      <c r="AA251" s="1">
        <v>3</v>
      </c>
    </row>
    <row r="252" spans="1:27" ht="12.75" customHeight="1" x14ac:dyDescent="0.15">
      <c r="A252" s="5">
        <v>502</v>
      </c>
      <c r="B252" s="5" t="s">
        <v>238</v>
      </c>
      <c r="C252" s="1">
        <v>16</v>
      </c>
      <c r="D252" s="5" t="s">
        <v>983</v>
      </c>
      <c r="E252" s="1">
        <v>3</v>
      </c>
      <c r="F252" s="5" t="s">
        <v>982</v>
      </c>
      <c r="G252" s="1">
        <v>7</v>
      </c>
      <c r="H252" s="5" t="s">
        <v>981</v>
      </c>
      <c r="I252" s="1">
        <v>10</v>
      </c>
      <c r="J252" s="5" t="s">
        <v>981</v>
      </c>
      <c r="K252" s="1">
        <v>0</v>
      </c>
      <c r="L252" s="5" t="s">
        <v>983</v>
      </c>
      <c r="M252" s="1">
        <v>1</v>
      </c>
      <c r="N252" s="5" t="s">
        <v>983</v>
      </c>
      <c r="O252" s="1">
        <v>0</v>
      </c>
      <c r="P252" s="5" t="s">
        <v>983</v>
      </c>
      <c r="Q252" s="1">
        <v>1</v>
      </c>
      <c r="R252" s="1">
        <v>1</v>
      </c>
      <c r="S252" s="1" t="s">
        <v>194</v>
      </c>
      <c r="T252" s="1" t="s">
        <v>194</v>
      </c>
      <c r="U252" s="1">
        <v>2</v>
      </c>
      <c r="V252" s="1">
        <v>32</v>
      </c>
      <c r="W252" s="1">
        <v>0</v>
      </c>
      <c r="X252" s="1">
        <v>14</v>
      </c>
      <c r="Y252" s="1">
        <v>30</v>
      </c>
      <c r="Z252" s="1">
        <v>300000</v>
      </c>
      <c r="AA252" s="1">
        <v>2</v>
      </c>
    </row>
    <row r="253" spans="1:27" ht="12.75" customHeight="1" x14ac:dyDescent="0.15">
      <c r="A253" s="5">
        <v>484</v>
      </c>
      <c r="B253" s="5" t="s">
        <v>238</v>
      </c>
      <c r="C253" s="1">
        <v>26</v>
      </c>
      <c r="D253" s="5" t="s">
        <v>981</v>
      </c>
      <c r="E253" s="1">
        <v>4</v>
      </c>
      <c r="F253" s="5" t="s">
        <v>982</v>
      </c>
      <c r="G253" s="1">
        <v>7</v>
      </c>
      <c r="H253" s="5" t="s">
        <v>981</v>
      </c>
      <c r="I253" s="1">
        <v>5</v>
      </c>
      <c r="J253" s="5" t="s">
        <v>981</v>
      </c>
      <c r="K253" s="1">
        <v>0</v>
      </c>
      <c r="L253" s="5" t="s">
        <v>983</v>
      </c>
      <c r="M253" s="1">
        <v>6</v>
      </c>
      <c r="N253" s="5" t="s">
        <v>981</v>
      </c>
      <c r="O253" s="1">
        <v>1</v>
      </c>
      <c r="P253" s="5" t="s">
        <v>982</v>
      </c>
      <c r="Q253" s="1">
        <v>1</v>
      </c>
      <c r="R253" s="1">
        <v>0</v>
      </c>
      <c r="S253" s="1" t="s">
        <v>194</v>
      </c>
      <c r="T253" s="1">
        <v>3</v>
      </c>
      <c r="U253" s="1">
        <v>3</v>
      </c>
      <c r="V253" s="1">
        <v>39</v>
      </c>
      <c r="W253" s="1">
        <v>0</v>
      </c>
      <c r="X253" s="1">
        <v>2</v>
      </c>
      <c r="Y253" s="1">
        <v>8</v>
      </c>
      <c r="Z253" s="1">
        <v>0</v>
      </c>
      <c r="AA253" s="1">
        <v>4</v>
      </c>
    </row>
    <row r="254" spans="1:27" ht="12.75" customHeight="1" x14ac:dyDescent="0.15">
      <c r="A254" s="5">
        <v>446</v>
      </c>
      <c r="B254" s="5" t="s">
        <v>238</v>
      </c>
      <c r="C254" s="1">
        <v>44</v>
      </c>
      <c r="D254" s="5" t="s">
        <v>981</v>
      </c>
      <c r="E254" s="1">
        <v>6</v>
      </c>
      <c r="F254" s="5" t="s">
        <v>981</v>
      </c>
      <c r="G254" s="1">
        <v>7</v>
      </c>
      <c r="H254" s="5" t="s">
        <v>981</v>
      </c>
      <c r="I254" s="1">
        <v>11</v>
      </c>
      <c r="J254" s="5" t="s">
        <v>981</v>
      </c>
      <c r="K254" s="1">
        <v>0</v>
      </c>
      <c r="L254" s="5" t="s">
        <v>983</v>
      </c>
      <c r="M254" s="1">
        <v>0</v>
      </c>
      <c r="N254" s="5" t="s">
        <v>983</v>
      </c>
      <c r="O254" s="1">
        <v>0</v>
      </c>
      <c r="P254" s="5" t="s">
        <v>983</v>
      </c>
      <c r="Q254" s="1">
        <v>1</v>
      </c>
      <c r="R254" s="1">
        <v>0</v>
      </c>
      <c r="S254" s="1" t="s">
        <v>194</v>
      </c>
      <c r="T254" s="1" t="s">
        <v>194</v>
      </c>
      <c r="U254" s="1">
        <v>3</v>
      </c>
      <c r="V254" s="1">
        <v>49</v>
      </c>
      <c r="W254" s="1">
        <v>0</v>
      </c>
      <c r="X254" s="1">
        <v>5</v>
      </c>
      <c r="Y254" s="1">
        <v>28</v>
      </c>
      <c r="Z254" s="1">
        <v>500000</v>
      </c>
      <c r="AA254" s="1">
        <v>4</v>
      </c>
    </row>
    <row r="255" spans="1:27" ht="12.75" customHeight="1" x14ac:dyDescent="0.15">
      <c r="A255" s="5">
        <v>4</v>
      </c>
      <c r="B255" s="5" t="s">
        <v>238</v>
      </c>
      <c r="C255" s="1">
        <v>32</v>
      </c>
      <c r="D255" s="5" t="s">
        <v>981</v>
      </c>
      <c r="E255" s="1">
        <v>8</v>
      </c>
      <c r="F255" s="5" t="s">
        <v>981</v>
      </c>
      <c r="G255" s="1">
        <v>7</v>
      </c>
      <c r="H255" s="5" t="s">
        <v>981</v>
      </c>
      <c r="I255" s="1">
        <v>16</v>
      </c>
      <c r="J255" s="5" t="s">
        <v>981</v>
      </c>
      <c r="K255" s="1">
        <v>0</v>
      </c>
      <c r="L255" s="5" t="s">
        <v>983</v>
      </c>
      <c r="M255" s="1">
        <v>7</v>
      </c>
      <c r="N255" s="5" t="s">
        <v>981</v>
      </c>
      <c r="O255" s="1">
        <v>2</v>
      </c>
      <c r="P255" s="5" t="s">
        <v>982</v>
      </c>
      <c r="Q255" s="1">
        <v>1</v>
      </c>
      <c r="R255" s="1">
        <v>0</v>
      </c>
      <c r="S255" s="1">
        <v>1</v>
      </c>
      <c r="T255" s="1">
        <v>5</v>
      </c>
      <c r="U255" s="1">
        <v>5</v>
      </c>
      <c r="V255" s="1">
        <v>49</v>
      </c>
      <c r="W255" s="1">
        <v>0</v>
      </c>
      <c r="X255" s="1">
        <v>14</v>
      </c>
      <c r="Y255" s="1">
        <v>16</v>
      </c>
      <c r="Z255" s="1">
        <v>0</v>
      </c>
      <c r="AA255" s="1">
        <v>3</v>
      </c>
    </row>
    <row r="256" spans="1:27" ht="12.75" customHeight="1" x14ac:dyDescent="0.15">
      <c r="A256" s="5">
        <v>224</v>
      </c>
      <c r="B256" s="5" t="s">
        <v>238</v>
      </c>
      <c r="C256" s="1">
        <v>31</v>
      </c>
      <c r="D256" s="5" t="s">
        <v>981</v>
      </c>
      <c r="E256" s="1">
        <v>5</v>
      </c>
      <c r="F256" s="5" t="s">
        <v>981</v>
      </c>
      <c r="G256" s="1">
        <v>8</v>
      </c>
      <c r="H256" s="5" t="s">
        <v>981</v>
      </c>
      <c r="I256" s="1">
        <v>14</v>
      </c>
      <c r="J256" s="5" t="s">
        <v>981</v>
      </c>
      <c r="K256" s="1">
        <v>0</v>
      </c>
      <c r="L256" s="5" t="s">
        <v>983</v>
      </c>
      <c r="M256" s="1">
        <v>10</v>
      </c>
      <c r="N256" s="5" t="s">
        <v>981</v>
      </c>
      <c r="O256" s="1">
        <v>2</v>
      </c>
      <c r="P256" s="5" t="s">
        <v>982</v>
      </c>
      <c r="Q256" s="1">
        <v>0</v>
      </c>
      <c r="R256" s="1">
        <v>0</v>
      </c>
      <c r="S256" s="1" t="s">
        <v>194</v>
      </c>
      <c r="T256" s="1">
        <v>3</v>
      </c>
      <c r="U256" s="1">
        <v>2</v>
      </c>
      <c r="V256" s="1">
        <v>67</v>
      </c>
      <c r="W256" s="1">
        <v>0</v>
      </c>
      <c r="X256" s="1">
        <v>14</v>
      </c>
      <c r="Y256" s="1">
        <v>28</v>
      </c>
      <c r="Z256" s="1">
        <v>0</v>
      </c>
      <c r="AA256" s="1">
        <v>3</v>
      </c>
    </row>
    <row r="257" spans="1:27" ht="12.75" customHeight="1" x14ac:dyDescent="0.15">
      <c r="A257" s="5">
        <v>368</v>
      </c>
      <c r="B257" s="5" t="s">
        <v>238</v>
      </c>
      <c r="C257" s="1">
        <v>24</v>
      </c>
      <c r="D257" s="5" t="s">
        <v>981</v>
      </c>
      <c r="E257" s="1">
        <v>7</v>
      </c>
      <c r="F257" s="5" t="s">
        <v>981</v>
      </c>
      <c r="G257" s="1">
        <v>8</v>
      </c>
      <c r="H257" s="5" t="s">
        <v>981</v>
      </c>
      <c r="I257" s="1">
        <v>7</v>
      </c>
      <c r="J257" s="5" t="s">
        <v>981</v>
      </c>
      <c r="K257" s="1">
        <v>0</v>
      </c>
      <c r="L257" s="5" t="s">
        <v>983</v>
      </c>
      <c r="M257" s="1">
        <v>6</v>
      </c>
      <c r="N257" s="5" t="s">
        <v>981</v>
      </c>
      <c r="O257" s="1">
        <v>2</v>
      </c>
      <c r="P257" s="5" t="s">
        <v>982</v>
      </c>
      <c r="Q257" s="1">
        <v>0</v>
      </c>
      <c r="R257" s="1">
        <v>0</v>
      </c>
      <c r="S257" s="1" t="s">
        <v>194</v>
      </c>
      <c r="T257" s="1" t="s">
        <v>194</v>
      </c>
      <c r="U257" s="1">
        <v>2</v>
      </c>
      <c r="V257" s="1">
        <v>34</v>
      </c>
      <c r="W257" s="1">
        <v>0</v>
      </c>
      <c r="X257" s="1">
        <v>17</v>
      </c>
      <c r="Y257" s="1">
        <v>2</v>
      </c>
      <c r="Z257" s="1">
        <v>0</v>
      </c>
      <c r="AA257" s="1">
        <v>4</v>
      </c>
    </row>
    <row r="258" spans="1:27" ht="12.75" customHeight="1" x14ac:dyDescent="0.15">
      <c r="A258" s="5">
        <v>53</v>
      </c>
      <c r="B258" s="5" t="s">
        <v>238</v>
      </c>
      <c r="C258" s="1">
        <v>26</v>
      </c>
      <c r="D258" s="5" t="s">
        <v>981</v>
      </c>
      <c r="E258" s="1">
        <v>9</v>
      </c>
      <c r="F258" s="5" t="s">
        <v>981</v>
      </c>
      <c r="G258" s="1">
        <v>9</v>
      </c>
      <c r="H258" s="5" t="s">
        <v>981</v>
      </c>
      <c r="I258" s="1">
        <v>0</v>
      </c>
      <c r="J258" s="5" t="s">
        <v>983</v>
      </c>
      <c r="K258" s="1">
        <v>0</v>
      </c>
      <c r="L258" s="5" t="s">
        <v>983</v>
      </c>
      <c r="M258" s="1">
        <v>3</v>
      </c>
      <c r="N258" s="5" t="s">
        <v>982</v>
      </c>
      <c r="O258" s="1">
        <v>0</v>
      </c>
      <c r="P258" s="5" t="s">
        <v>983</v>
      </c>
      <c r="Q258" s="1">
        <v>1</v>
      </c>
      <c r="R258" s="1">
        <v>0</v>
      </c>
      <c r="S258" s="1">
        <v>1</v>
      </c>
      <c r="T258" s="1" t="s">
        <v>194</v>
      </c>
      <c r="U258" s="1">
        <v>1</v>
      </c>
      <c r="V258" s="1">
        <v>35</v>
      </c>
      <c r="W258" s="1">
        <v>0</v>
      </c>
      <c r="X258" s="1">
        <v>14</v>
      </c>
      <c r="Y258" s="1">
        <v>8</v>
      </c>
      <c r="Z258" s="1">
        <v>400000</v>
      </c>
      <c r="AA258" s="1">
        <v>3</v>
      </c>
    </row>
    <row r="259" spans="1:27" ht="12.75" customHeight="1" x14ac:dyDescent="0.15">
      <c r="A259" s="5">
        <v>234</v>
      </c>
      <c r="B259" s="5" t="s">
        <v>238</v>
      </c>
      <c r="C259" s="1">
        <v>16</v>
      </c>
      <c r="D259" s="5" t="s">
        <v>983</v>
      </c>
      <c r="E259" s="1">
        <v>0</v>
      </c>
      <c r="F259" s="5" t="s">
        <v>983</v>
      </c>
      <c r="G259" s="1">
        <v>0</v>
      </c>
      <c r="H259" s="5" t="s">
        <v>983</v>
      </c>
      <c r="I259" s="1">
        <v>0</v>
      </c>
      <c r="J259" s="5" t="s">
        <v>983</v>
      </c>
      <c r="K259" s="1">
        <v>1</v>
      </c>
      <c r="L259" s="5" t="s">
        <v>983</v>
      </c>
      <c r="M259" s="1">
        <v>0</v>
      </c>
      <c r="N259" s="5" t="s">
        <v>983</v>
      </c>
      <c r="O259" s="1">
        <v>0</v>
      </c>
      <c r="P259" s="5" t="s">
        <v>983</v>
      </c>
      <c r="Q259" s="1">
        <v>0</v>
      </c>
      <c r="R259" s="1">
        <v>0</v>
      </c>
      <c r="S259" s="1">
        <v>1</v>
      </c>
      <c r="T259" s="1">
        <v>5</v>
      </c>
      <c r="U259" s="1">
        <v>5</v>
      </c>
      <c r="V259" s="1"/>
      <c r="W259" s="1">
        <v>1</v>
      </c>
      <c r="X259" s="1">
        <v>8</v>
      </c>
      <c r="Y259" s="1">
        <v>34</v>
      </c>
      <c r="Z259" s="1">
        <v>0</v>
      </c>
      <c r="AA259" s="1">
        <v>1</v>
      </c>
    </row>
    <row r="260" spans="1:27" ht="12.75" customHeight="1" x14ac:dyDescent="0.15">
      <c r="A260" s="5">
        <v>132</v>
      </c>
      <c r="B260" s="5" t="s">
        <v>238</v>
      </c>
      <c r="C260" s="1">
        <v>37</v>
      </c>
      <c r="D260" s="5" t="s">
        <v>981</v>
      </c>
      <c r="E260" s="1">
        <v>5</v>
      </c>
      <c r="F260" s="5" t="s">
        <v>981</v>
      </c>
      <c r="G260" s="1">
        <v>0</v>
      </c>
      <c r="H260" s="5" t="s">
        <v>983</v>
      </c>
      <c r="I260" s="1">
        <v>16</v>
      </c>
      <c r="J260" s="5" t="s">
        <v>981</v>
      </c>
      <c r="K260" s="1">
        <v>1</v>
      </c>
      <c r="L260" s="5" t="s">
        <v>983</v>
      </c>
      <c r="M260" s="1">
        <v>0</v>
      </c>
      <c r="N260" s="5" t="s">
        <v>983</v>
      </c>
      <c r="O260" s="1">
        <v>1</v>
      </c>
      <c r="P260" s="5" t="s">
        <v>982</v>
      </c>
      <c r="Q260" s="1">
        <v>1</v>
      </c>
      <c r="R260" s="1">
        <v>0</v>
      </c>
      <c r="S260" s="1">
        <v>1</v>
      </c>
      <c r="T260" s="1">
        <v>5</v>
      </c>
      <c r="U260" s="1">
        <v>5</v>
      </c>
      <c r="V260" s="1">
        <v>48</v>
      </c>
      <c r="W260" s="1">
        <v>0</v>
      </c>
      <c r="X260" s="1">
        <v>17</v>
      </c>
      <c r="Y260" s="1">
        <v>30</v>
      </c>
      <c r="Z260" s="1">
        <v>350000</v>
      </c>
      <c r="AA260" s="1">
        <v>4</v>
      </c>
    </row>
    <row r="261" spans="1:27" ht="12.75" customHeight="1" x14ac:dyDescent="0.15">
      <c r="A261" s="5">
        <v>291</v>
      </c>
      <c r="B261" s="5" t="s">
        <v>238</v>
      </c>
      <c r="C261" s="1">
        <v>24</v>
      </c>
      <c r="D261" s="5" t="s">
        <v>981</v>
      </c>
      <c r="E261" s="1">
        <v>0</v>
      </c>
      <c r="F261" s="5" t="s">
        <v>983</v>
      </c>
      <c r="G261" s="1">
        <v>1</v>
      </c>
      <c r="H261" s="5" t="s">
        <v>983</v>
      </c>
      <c r="I261" s="1">
        <v>15</v>
      </c>
      <c r="J261" s="5" t="s">
        <v>981</v>
      </c>
      <c r="K261" s="1">
        <v>1</v>
      </c>
      <c r="L261" s="5" t="s">
        <v>983</v>
      </c>
      <c r="M261" s="1">
        <v>0</v>
      </c>
      <c r="N261" s="5" t="s">
        <v>983</v>
      </c>
      <c r="O261" s="1">
        <v>0</v>
      </c>
      <c r="P261" s="5" t="s">
        <v>983</v>
      </c>
      <c r="Q261" s="1">
        <v>1</v>
      </c>
      <c r="R261" s="1">
        <v>0</v>
      </c>
      <c r="S261" s="1">
        <v>1</v>
      </c>
      <c r="T261" s="1" t="s">
        <v>194</v>
      </c>
      <c r="U261" s="1" t="s">
        <v>194</v>
      </c>
      <c r="V261" s="1">
        <v>40</v>
      </c>
      <c r="W261" s="1">
        <v>0</v>
      </c>
      <c r="X261" s="1">
        <v>18</v>
      </c>
      <c r="Y261" s="1">
        <v>34</v>
      </c>
      <c r="Z261" s="1">
        <v>2000000</v>
      </c>
      <c r="AA261" s="1">
        <v>7</v>
      </c>
    </row>
    <row r="262" spans="1:27" ht="12.75" customHeight="1" x14ac:dyDescent="0.15">
      <c r="A262" s="5">
        <v>219</v>
      </c>
      <c r="B262" s="5" t="s">
        <v>238</v>
      </c>
      <c r="C262" s="1">
        <v>12</v>
      </c>
      <c r="D262" s="5" t="s">
        <v>983</v>
      </c>
      <c r="E262" s="1">
        <v>1</v>
      </c>
      <c r="F262" s="5" t="s">
        <v>983</v>
      </c>
      <c r="G262" s="1">
        <v>1</v>
      </c>
      <c r="H262" s="5" t="s">
        <v>983</v>
      </c>
      <c r="I262" s="1">
        <v>3</v>
      </c>
      <c r="J262" s="5" t="s">
        <v>982</v>
      </c>
      <c r="K262" s="1">
        <v>1</v>
      </c>
      <c r="L262" s="5" t="s">
        <v>983</v>
      </c>
      <c r="M262" s="1">
        <v>0</v>
      </c>
      <c r="N262" s="5" t="s">
        <v>983</v>
      </c>
      <c r="O262" s="1">
        <v>0</v>
      </c>
      <c r="P262" s="5" t="s">
        <v>983</v>
      </c>
      <c r="Q262" s="1">
        <v>0</v>
      </c>
      <c r="R262" s="1">
        <v>0</v>
      </c>
      <c r="S262" s="1" t="s">
        <v>194</v>
      </c>
      <c r="T262" s="1" t="s">
        <v>194</v>
      </c>
      <c r="U262" s="1">
        <v>2</v>
      </c>
      <c r="V262" s="1">
        <v>52</v>
      </c>
      <c r="W262" s="1">
        <v>1</v>
      </c>
      <c r="X262" s="1">
        <v>14</v>
      </c>
      <c r="Y262" s="1">
        <v>15</v>
      </c>
      <c r="Z262" s="1">
        <v>2300000</v>
      </c>
      <c r="AA262" s="1">
        <v>3</v>
      </c>
    </row>
    <row r="263" spans="1:27" ht="12.75" customHeight="1" x14ac:dyDescent="0.15">
      <c r="A263" s="5">
        <v>178</v>
      </c>
      <c r="B263" s="5" t="s">
        <v>238</v>
      </c>
      <c r="C263" s="1">
        <v>13</v>
      </c>
      <c r="D263" s="5" t="s">
        <v>983</v>
      </c>
      <c r="E263" s="1">
        <v>1</v>
      </c>
      <c r="F263" s="5" t="s">
        <v>983</v>
      </c>
      <c r="G263" s="1">
        <v>1</v>
      </c>
      <c r="H263" s="5" t="s">
        <v>983</v>
      </c>
      <c r="I263" s="1">
        <v>7</v>
      </c>
      <c r="J263" s="5" t="s">
        <v>981</v>
      </c>
      <c r="K263" s="1">
        <v>1</v>
      </c>
      <c r="L263" s="5" t="s">
        <v>983</v>
      </c>
      <c r="M263" s="1">
        <v>1</v>
      </c>
      <c r="N263" s="5" t="s">
        <v>983</v>
      </c>
      <c r="O263" s="1">
        <v>0</v>
      </c>
      <c r="P263" s="5" t="s">
        <v>983</v>
      </c>
      <c r="Q263" s="1">
        <v>1</v>
      </c>
      <c r="R263" s="1">
        <v>0</v>
      </c>
      <c r="S263" s="1" t="s">
        <v>194</v>
      </c>
      <c r="T263" s="1" t="s">
        <v>194</v>
      </c>
      <c r="U263" s="1" t="s">
        <v>194</v>
      </c>
      <c r="V263" s="1">
        <v>42</v>
      </c>
      <c r="W263" s="1">
        <v>1</v>
      </c>
      <c r="X263" s="1">
        <v>16</v>
      </c>
      <c r="Y263" s="1">
        <v>3</v>
      </c>
      <c r="Z263" s="1">
        <v>12000000</v>
      </c>
      <c r="AA263" s="1">
        <v>2</v>
      </c>
    </row>
    <row r="264" spans="1:27" ht="12.75" customHeight="1" x14ac:dyDescent="0.15">
      <c r="A264" s="5">
        <v>10</v>
      </c>
      <c r="B264" s="5" t="s">
        <v>238</v>
      </c>
      <c r="C264" s="1">
        <v>12</v>
      </c>
      <c r="D264" s="5" t="s">
        <v>983</v>
      </c>
      <c r="E264" s="1">
        <v>2</v>
      </c>
      <c r="F264" s="5" t="s">
        <v>982</v>
      </c>
      <c r="G264" s="1">
        <v>1</v>
      </c>
      <c r="H264" s="5" t="s">
        <v>983</v>
      </c>
      <c r="I264" s="1">
        <v>0</v>
      </c>
      <c r="J264" s="5" t="s">
        <v>983</v>
      </c>
      <c r="K264" s="1">
        <v>1</v>
      </c>
      <c r="L264" s="5" t="s">
        <v>983</v>
      </c>
      <c r="M264" s="1">
        <v>0</v>
      </c>
      <c r="N264" s="5" t="s">
        <v>983</v>
      </c>
      <c r="O264" s="1">
        <v>0</v>
      </c>
      <c r="P264" s="5" t="s">
        <v>983</v>
      </c>
      <c r="Q264" s="1">
        <v>0</v>
      </c>
      <c r="R264" s="1">
        <v>0</v>
      </c>
      <c r="S264" s="1" t="s">
        <v>194</v>
      </c>
      <c r="T264" s="1">
        <v>5</v>
      </c>
      <c r="U264" s="1">
        <v>5</v>
      </c>
      <c r="V264" s="1"/>
      <c r="W264" s="1">
        <v>1</v>
      </c>
      <c r="Y264" s="1">
        <v>11</v>
      </c>
      <c r="AA264" s="1">
        <v>2</v>
      </c>
    </row>
    <row r="265" spans="1:27" ht="12.75" customHeight="1" x14ac:dyDescent="0.15">
      <c r="A265" s="5">
        <v>348</v>
      </c>
      <c r="B265" s="5" t="s">
        <v>238</v>
      </c>
      <c r="C265" s="1">
        <v>21</v>
      </c>
      <c r="D265" s="5" t="s">
        <v>982</v>
      </c>
      <c r="E265" s="1">
        <v>2</v>
      </c>
      <c r="F265" s="5" t="s">
        <v>982</v>
      </c>
      <c r="G265" s="1">
        <v>1</v>
      </c>
      <c r="H265" s="5" t="s">
        <v>983</v>
      </c>
      <c r="I265" s="1">
        <v>13</v>
      </c>
      <c r="J265" s="5" t="s">
        <v>981</v>
      </c>
      <c r="K265" s="1">
        <v>1</v>
      </c>
      <c r="L265" s="5" t="s">
        <v>983</v>
      </c>
      <c r="M265" s="1">
        <v>3</v>
      </c>
      <c r="N265" s="5" t="s">
        <v>982</v>
      </c>
      <c r="O265" s="1">
        <v>0</v>
      </c>
      <c r="P265" s="5" t="s">
        <v>983</v>
      </c>
      <c r="Q265" s="1">
        <v>1</v>
      </c>
      <c r="R265" s="1">
        <v>0</v>
      </c>
      <c r="S265" s="1">
        <v>1</v>
      </c>
      <c r="T265" s="1">
        <v>5</v>
      </c>
      <c r="U265" s="1">
        <v>4</v>
      </c>
      <c r="V265" s="1">
        <v>52</v>
      </c>
      <c r="W265" s="1">
        <v>1</v>
      </c>
      <c r="X265" s="1">
        <v>14</v>
      </c>
      <c r="Y265" s="1">
        <v>1</v>
      </c>
      <c r="Z265" s="1">
        <v>450000</v>
      </c>
      <c r="AA265" s="1">
        <v>3</v>
      </c>
    </row>
    <row r="266" spans="1:27" ht="12.75" customHeight="1" x14ac:dyDescent="0.15">
      <c r="A266" s="5">
        <v>198</v>
      </c>
      <c r="B266" s="5" t="s">
        <v>238</v>
      </c>
      <c r="C266" s="1">
        <v>22</v>
      </c>
      <c r="D266" s="5" t="s">
        <v>982</v>
      </c>
      <c r="E266" s="1">
        <v>2</v>
      </c>
      <c r="F266" s="5" t="s">
        <v>982</v>
      </c>
      <c r="G266" s="1">
        <v>1</v>
      </c>
      <c r="H266" s="5" t="s">
        <v>983</v>
      </c>
      <c r="I266" s="1">
        <v>8</v>
      </c>
      <c r="J266" s="5" t="s">
        <v>981</v>
      </c>
      <c r="K266" s="1">
        <v>1</v>
      </c>
      <c r="L266" s="5" t="s">
        <v>983</v>
      </c>
      <c r="M266" s="1">
        <v>3</v>
      </c>
      <c r="N266" s="5" t="s">
        <v>982</v>
      </c>
      <c r="O266" s="1">
        <v>0</v>
      </c>
      <c r="P266" s="5" t="s">
        <v>983</v>
      </c>
      <c r="Q266" s="1">
        <v>0</v>
      </c>
      <c r="R266" s="1">
        <v>0</v>
      </c>
      <c r="S266" s="1" t="s">
        <v>194</v>
      </c>
      <c r="T266" s="1">
        <v>5</v>
      </c>
      <c r="U266" s="1">
        <v>5</v>
      </c>
      <c r="V266" s="1">
        <v>53</v>
      </c>
      <c r="W266" s="1">
        <v>0</v>
      </c>
      <c r="X266" s="1">
        <v>17</v>
      </c>
      <c r="Y266" s="1">
        <v>6</v>
      </c>
      <c r="Z266" s="1">
        <v>0</v>
      </c>
      <c r="AA266" s="1">
        <v>2</v>
      </c>
    </row>
    <row r="267" spans="1:27" ht="12.75" customHeight="1" x14ac:dyDescent="0.15">
      <c r="A267" s="5">
        <v>133</v>
      </c>
      <c r="B267" s="5" t="s">
        <v>238</v>
      </c>
      <c r="C267" s="1">
        <v>27</v>
      </c>
      <c r="D267" s="5" t="s">
        <v>981</v>
      </c>
      <c r="E267" s="1">
        <v>2</v>
      </c>
      <c r="F267" s="5" t="s">
        <v>982</v>
      </c>
      <c r="G267" s="1">
        <v>1</v>
      </c>
      <c r="H267" s="5" t="s">
        <v>983</v>
      </c>
      <c r="I267" s="1">
        <v>5</v>
      </c>
      <c r="J267" s="5" t="s">
        <v>981</v>
      </c>
      <c r="K267" s="1">
        <v>1</v>
      </c>
      <c r="L267" s="5" t="s">
        <v>983</v>
      </c>
      <c r="M267" s="1">
        <v>0</v>
      </c>
      <c r="N267" s="5" t="s">
        <v>983</v>
      </c>
      <c r="O267" s="1">
        <v>0</v>
      </c>
      <c r="P267" s="5" t="s">
        <v>983</v>
      </c>
      <c r="Q267" s="1">
        <v>0</v>
      </c>
      <c r="R267" s="1">
        <v>0</v>
      </c>
      <c r="S267" s="1" t="s">
        <v>194</v>
      </c>
      <c r="T267" s="1">
        <v>3</v>
      </c>
      <c r="U267" s="1">
        <v>3</v>
      </c>
      <c r="V267" s="1">
        <v>48</v>
      </c>
      <c r="W267" s="1">
        <v>0</v>
      </c>
      <c r="X267" s="1">
        <v>16</v>
      </c>
      <c r="Y267" s="1">
        <v>17</v>
      </c>
      <c r="Z267" s="1">
        <v>0</v>
      </c>
      <c r="AA267" s="1">
        <v>2</v>
      </c>
    </row>
    <row r="268" spans="1:27" ht="12.75" customHeight="1" x14ac:dyDescent="0.15">
      <c r="A268" s="5">
        <v>248</v>
      </c>
      <c r="B268" s="5" t="s">
        <v>238</v>
      </c>
      <c r="C268" s="1">
        <v>24</v>
      </c>
      <c r="D268" s="5" t="s">
        <v>981</v>
      </c>
      <c r="E268" s="1">
        <v>3</v>
      </c>
      <c r="F268" s="5" t="s">
        <v>982</v>
      </c>
      <c r="G268" s="1">
        <v>1</v>
      </c>
      <c r="H268" s="5" t="s">
        <v>983</v>
      </c>
      <c r="I268" s="1">
        <v>6</v>
      </c>
      <c r="J268" s="5" t="s">
        <v>981</v>
      </c>
      <c r="K268" s="1">
        <v>1</v>
      </c>
      <c r="L268" s="5" t="s">
        <v>983</v>
      </c>
      <c r="M268" s="1">
        <v>3</v>
      </c>
      <c r="N268" s="5" t="s">
        <v>982</v>
      </c>
      <c r="O268" s="1">
        <v>0</v>
      </c>
      <c r="P268" s="5" t="s">
        <v>983</v>
      </c>
      <c r="Q268" s="1">
        <v>1</v>
      </c>
      <c r="R268" s="1">
        <v>0</v>
      </c>
      <c r="S268" s="1">
        <v>1</v>
      </c>
      <c r="T268" s="1">
        <v>5</v>
      </c>
      <c r="U268" s="1">
        <v>5</v>
      </c>
      <c r="V268" s="1">
        <v>39</v>
      </c>
      <c r="W268" s="1">
        <v>0</v>
      </c>
      <c r="X268" s="1">
        <v>16</v>
      </c>
      <c r="Y268" s="1">
        <v>34</v>
      </c>
      <c r="Z268" s="1">
        <v>1200000</v>
      </c>
      <c r="AA268" s="1">
        <v>4</v>
      </c>
    </row>
    <row r="269" spans="1:27" ht="12.75" customHeight="1" x14ac:dyDescent="0.15">
      <c r="A269" s="5">
        <v>92</v>
      </c>
      <c r="B269" s="5" t="s">
        <v>238</v>
      </c>
      <c r="C269" s="1">
        <v>12</v>
      </c>
      <c r="D269" s="5" t="s">
        <v>983</v>
      </c>
      <c r="E269" s="1">
        <v>1</v>
      </c>
      <c r="F269" s="5" t="s">
        <v>983</v>
      </c>
      <c r="G269" s="1">
        <v>2</v>
      </c>
      <c r="H269" s="5" t="s">
        <v>982</v>
      </c>
      <c r="I269" s="1">
        <v>3</v>
      </c>
      <c r="J269" s="5" t="s">
        <v>982</v>
      </c>
      <c r="K269" s="1">
        <v>1</v>
      </c>
      <c r="L269" s="5" t="s">
        <v>983</v>
      </c>
      <c r="M269" s="1">
        <v>0</v>
      </c>
      <c r="N269" s="5" t="s">
        <v>983</v>
      </c>
      <c r="O269" s="1">
        <v>0</v>
      </c>
      <c r="P269" s="5" t="s">
        <v>983</v>
      </c>
      <c r="Q269" s="1">
        <v>1</v>
      </c>
      <c r="R269" s="1">
        <v>0</v>
      </c>
      <c r="S269" s="1">
        <v>1</v>
      </c>
      <c r="T269" s="1">
        <v>5</v>
      </c>
      <c r="U269" s="1">
        <v>5</v>
      </c>
      <c r="V269" s="1">
        <v>62</v>
      </c>
      <c r="W269" s="1">
        <v>1</v>
      </c>
      <c r="X269" s="1">
        <v>10</v>
      </c>
      <c r="Y269" s="1">
        <v>1</v>
      </c>
      <c r="Z269" s="1">
        <v>500000</v>
      </c>
      <c r="AA269" s="1">
        <v>3</v>
      </c>
    </row>
    <row r="270" spans="1:27" ht="12.75" customHeight="1" x14ac:dyDescent="0.15">
      <c r="A270" s="5">
        <v>229</v>
      </c>
      <c r="B270" s="5" t="s">
        <v>238</v>
      </c>
      <c r="C270" s="1">
        <v>17</v>
      </c>
      <c r="D270" s="5" t="s">
        <v>983</v>
      </c>
      <c r="E270" s="1">
        <v>1</v>
      </c>
      <c r="F270" s="5" t="s">
        <v>983</v>
      </c>
      <c r="G270" s="1">
        <v>2</v>
      </c>
      <c r="H270" s="5" t="s">
        <v>982</v>
      </c>
      <c r="I270" s="1">
        <v>0</v>
      </c>
      <c r="J270" s="5" t="s">
        <v>983</v>
      </c>
      <c r="K270" s="1">
        <v>1</v>
      </c>
      <c r="L270" s="5" t="s">
        <v>983</v>
      </c>
      <c r="M270" s="1">
        <v>3</v>
      </c>
      <c r="N270" s="5" t="s">
        <v>982</v>
      </c>
      <c r="O270" s="1">
        <v>0</v>
      </c>
      <c r="P270" s="5" t="s">
        <v>983</v>
      </c>
      <c r="Q270" s="1">
        <v>0</v>
      </c>
      <c r="R270" s="1">
        <v>0</v>
      </c>
      <c r="S270" s="1" t="s">
        <v>194</v>
      </c>
      <c r="T270" s="1">
        <v>3</v>
      </c>
      <c r="U270" s="1">
        <v>4</v>
      </c>
      <c r="V270" s="1">
        <v>48</v>
      </c>
      <c r="W270" s="1">
        <v>0</v>
      </c>
      <c r="X270" s="1">
        <v>14</v>
      </c>
      <c r="Y270" s="1">
        <v>9</v>
      </c>
      <c r="Z270" s="1">
        <v>1400000</v>
      </c>
      <c r="AA270" s="1">
        <v>1</v>
      </c>
    </row>
    <row r="271" spans="1:27" ht="12.75" customHeight="1" x14ac:dyDescent="0.15">
      <c r="A271" s="5">
        <v>63</v>
      </c>
      <c r="B271" s="5" t="s">
        <v>238</v>
      </c>
      <c r="C271" s="1">
        <v>27</v>
      </c>
      <c r="D271" s="5" t="s">
        <v>981</v>
      </c>
      <c r="E271" s="1">
        <v>2</v>
      </c>
      <c r="F271" s="5" t="s">
        <v>982</v>
      </c>
      <c r="G271" s="1">
        <v>2</v>
      </c>
      <c r="H271" s="5" t="s">
        <v>982</v>
      </c>
      <c r="I271" s="1">
        <v>3</v>
      </c>
      <c r="J271" s="5" t="s">
        <v>982</v>
      </c>
      <c r="K271" s="1">
        <v>1</v>
      </c>
      <c r="L271" s="5" t="s">
        <v>983</v>
      </c>
      <c r="M271" s="1">
        <v>1</v>
      </c>
      <c r="N271" s="5" t="s">
        <v>983</v>
      </c>
      <c r="O271" s="1">
        <v>0</v>
      </c>
      <c r="P271" s="5" t="s">
        <v>983</v>
      </c>
      <c r="Q271" s="1">
        <v>1</v>
      </c>
      <c r="R271" s="1">
        <v>0</v>
      </c>
      <c r="S271" s="1">
        <v>1</v>
      </c>
      <c r="T271" s="1">
        <v>3</v>
      </c>
      <c r="U271" s="1">
        <v>3</v>
      </c>
      <c r="V271" s="1">
        <v>36</v>
      </c>
      <c r="W271" s="1">
        <v>0</v>
      </c>
      <c r="X271" s="1"/>
      <c r="Y271" s="1">
        <v>1</v>
      </c>
      <c r="Z271" s="1">
        <v>0</v>
      </c>
      <c r="AA271" s="1">
        <v>4</v>
      </c>
    </row>
    <row r="272" spans="1:27" ht="12.75" customHeight="1" x14ac:dyDescent="0.15">
      <c r="A272" s="5">
        <v>136</v>
      </c>
      <c r="B272" s="5" t="s">
        <v>238</v>
      </c>
      <c r="C272" s="1">
        <v>22</v>
      </c>
      <c r="D272" s="5" t="s">
        <v>982</v>
      </c>
      <c r="E272" s="1">
        <v>6</v>
      </c>
      <c r="F272" s="5" t="s">
        <v>981</v>
      </c>
      <c r="G272" s="1">
        <v>2</v>
      </c>
      <c r="H272" s="5" t="s">
        <v>982</v>
      </c>
      <c r="I272" s="1">
        <v>13</v>
      </c>
      <c r="J272" s="5" t="s">
        <v>981</v>
      </c>
      <c r="K272" s="1">
        <v>1</v>
      </c>
      <c r="L272" s="5" t="s">
        <v>983</v>
      </c>
      <c r="M272" s="1">
        <v>3</v>
      </c>
      <c r="N272" s="5" t="s">
        <v>982</v>
      </c>
      <c r="O272" s="1">
        <v>0</v>
      </c>
      <c r="P272" s="5" t="s">
        <v>983</v>
      </c>
      <c r="Q272" s="1">
        <v>1</v>
      </c>
      <c r="R272" s="1">
        <v>0</v>
      </c>
      <c r="S272" s="1">
        <v>1</v>
      </c>
      <c r="T272" s="1">
        <v>5</v>
      </c>
      <c r="U272" s="1">
        <v>5</v>
      </c>
      <c r="V272" s="1">
        <v>46</v>
      </c>
      <c r="W272" s="1">
        <v>0</v>
      </c>
      <c r="X272" s="1">
        <v>14</v>
      </c>
      <c r="Y272" s="1">
        <v>1</v>
      </c>
      <c r="Z272" s="1">
        <v>400000</v>
      </c>
      <c r="AA272" s="1">
        <v>4</v>
      </c>
    </row>
    <row r="273" spans="1:27" ht="12.75" customHeight="1" x14ac:dyDescent="0.15">
      <c r="A273" s="5">
        <v>213</v>
      </c>
      <c r="B273" s="5" t="s">
        <v>238</v>
      </c>
      <c r="C273" s="1">
        <v>20</v>
      </c>
      <c r="D273" s="5" t="s">
        <v>982</v>
      </c>
      <c r="E273" s="1">
        <v>0</v>
      </c>
      <c r="F273" s="5" t="s">
        <v>983</v>
      </c>
      <c r="G273" s="1">
        <v>3</v>
      </c>
      <c r="H273" s="5" t="s">
        <v>982</v>
      </c>
      <c r="I273" s="1">
        <v>5</v>
      </c>
      <c r="J273" s="5" t="s">
        <v>981</v>
      </c>
      <c r="K273" s="1">
        <v>1</v>
      </c>
      <c r="L273" s="5" t="s">
        <v>983</v>
      </c>
      <c r="M273" s="1">
        <v>0</v>
      </c>
      <c r="N273" s="5" t="s">
        <v>983</v>
      </c>
      <c r="O273" s="1">
        <v>0</v>
      </c>
      <c r="P273" s="5" t="s">
        <v>983</v>
      </c>
      <c r="Q273" s="1">
        <v>1</v>
      </c>
      <c r="R273" s="1">
        <v>0</v>
      </c>
      <c r="S273" s="1">
        <v>1</v>
      </c>
      <c r="T273" s="1">
        <v>3</v>
      </c>
      <c r="U273" s="1">
        <v>2</v>
      </c>
      <c r="V273" s="1"/>
      <c r="W273" s="1">
        <v>1</v>
      </c>
      <c r="X273" s="1">
        <v>14</v>
      </c>
      <c r="Y273" s="1">
        <v>24</v>
      </c>
      <c r="Z273" s="1">
        <v>0</v>
      </c>
      <c r="AA273" s="1">
        <v>4</v>
      </c>
    </row>
    <row r="274" spans="1:27" ht="12.75" customHeight="1" x14ac:dyDescent="0.15">
      <c r="A274" s="5">
        <v>462</v>
      </c>
      <c r="B274" s="5" t="s">
        <v>238</v>
      </c>
      <c r="C274" s="1">
        <v>18</v>
      </c>
      <c r="D274" s="5" t="s">
        <v>983</v>
      </c>
      <c r="E274" s="1">
        <v>2</v>
      </c>
      <c r="F274" s="5" t="s">
        <v>982</v>
      </c>
      <c r="G274" s="1">
        <v>3</v>
      </c>
      <c r="H274" s="5" t="s">
        <v>982</v>
      </c>
      <c r="I274" s="1">
        <v>2</v>
      </c>
      <c r="J274" s="5" t="s">
        <v>982</v>
      </c>
      <c r="K274" s="1">
        <v>1</v>
      </c>
      <c r="L274" s="5" t="s">
        <v>983</v>
      </c>
      <c r="M274" s="1">
        <v>0</v>
      </c>
      <c r="N274" s="5" t="s">
        <v>983</v>
      </c>
      <c r="O274" s="1">
        <v>0</v>
      </c>
      <c r="P274" s="5" t="s">
        <v>983</v>
      </c>
      <c r="Q274" s="1">
        <v>0</v>
      </c>
      <c r="R274" s="1">
        <v>0</v>
      </c>
      <c r="S274" s="1" t="s">
        <v>194</v>
      </c>
      <c r="T274" s="1">
        <v>4</v>
      </c>
      <c r="U274" s="1">
        <v>4</v>
      </c>
      <c r="V274" s="1"/>
      <c r="W274" s="1">
        <v>1</v>
      </c>
      <c r="Y274" s="1">
        <v>33</v>
      </c>
      <c r="AA274" s="1">
        <v>3</v>
      </c>
    </row>
    <row r="275" spans="1:27" ht="12.75" customHeight="1" x14ac:dyDescent="0.15">
      <c r="A275" s="5">
        <v>146</v>
      </c>
      <c r="B275" s="5" t="s">
        <v>238</v>
      </c>
      <c r="C275" s="1">
        <v>13</v>
      </c>
      <c r="D275" s="5" t="s">
        <v>983</v>
      </c>
      <c r="E275" s="1">
        <v>3</v>
      </c>
      <c r="F275" s="5" t="s">
        <v>982</v>
      </c>
      <c r="G275" s="1">
        <v>3</v>
      </c>
      <c r="H275" s="5" t="s">
        <v>982</v>
      </c>
      <c r="I275" s="1">
        <v>0</v>
      </c>
      <c r="J275" s="5" t="s">
        <v>983</v>
      </c>
      <c r="K275" s="1">
        <v>1</v>
      </c>
      <c r="L275" s="5" t="s">
        <v>983</v>
      </c>
      <c r="M275" s="1">
        <v>0</v>
      </c>
      <c r="N275" s="5" t="s">
        <v>983</v>
      </c>
      <c r="O275" s="1">
        <v>0</v>
      </c>
      <c r="P275" s="5" t="s">
        <v>983</v>
      </c>
      <c r="Q275" s="1">
        <v>1</v>
      </c>
      <c r="R275" s="1">
        <v>0</v>
      </c>
      <c r="S275" s="1">
        <v>1</v>
      </c>
      <c r="T275" s="1">
        <v>3</v>
      </c>
      <c r="U275" s="1">
        <v>3</v>
      </c>
      <c r="V275" s="1">
        <v>33</v>
      </c>
      <c r="W275" s="1">
        <v>1</v>
      </c>
      <c r="X275" s="1">
        <v>18</v>
      </c>
      <c r="Y275" s="1">
        <v>6</v>
      </c>
      <c r="Z275" s="1">
        <v>2000000</v>
      </c>
      <c r="AA275" s="1">
        <v>3</v>
      </c>
    </row>
    <row r="276" spans="1:27" ht="12.75" customHeight="1" x14ac:dyDescent="0.15">
      <c r="A276" s="5">
        <v>288</v>
      </c>
      <c r="B276" s="5" t="s">
        <v>238</v>
      </c>
      <c r="C276" s="1">
        <v>21</v>
      </c>
      <c r="D276" s="5" t="s">
        <v>982</v>
      </c>
      <c r="E276" s="1">
        <v>4</v>
      </c>
      <c r="F276" s="5" t="s">
        <v>982</v>
      </c>
      <c r="G276" s="1">
        <v>3</v>
      </c>
      <c r="H276" s="5" t="s">
        <v>982</v>
      </c>
      <c r="I276" s="1">
        <v>5</v>
      </c>
      <c r="J276" s="5" t="s">
        <v>981</v>
      </c>
      <c r="K276" s="1">
        <v>1</v>
      </c>
      <c r="L276" s="5" t="s">
        <v>983</v>
      </c>
      <c r="M276" s="1">
        <v>0</v>
      </c>
      <c r="N276" s="5" t="s">
        <v>983</v>
      </c>
      <c r="O276" s="1">
        <v>0</v>
      </c>
      <c r="P276" s="5" t="s">
        <v>983</v>
      </c>
      <c r="Q276" s="1">
        <v>0</v>
      </c>
      <c r="R276" s="1">
        <v>0</v>
      </c>
      <c r="S276" s="1" t="s">
        <v>194</v>
      </c>
      <c r="T276" s="1" t="s">
        <v>194</v>
      </c>
      <c r="U276" s="1">
        <v>3</v>
      </c>
      <c r="V276" s="1">
        <v>47</v>
      </c>
      <c r="W276" s="1">
        <v>1</v>
      </c>
      <c r="X276" s="1">
        <v>4</v>
      </c>
      <c r="Y276" s="1">
        <v>29</v>
      </c>
      <c r="Z276" s="1">
        <v>800000</v>
      </c>
      <c r="AA276" s="1">
        <v>3</v>
      </c>
    </row>
    <row r="277" spans="1:27" ht="12.75" customHeight="1" x14ac:dyDescent="0.15">
      <c r="A277" s="5">
        <v>338</v>
      </c>
      <c r="B277" s="5" t="s">
        <v>238</v>
      </c>
      <c r="C277" s="1">
        <v>15</v>
      </c>
      <c r="D277" s="5" t="s">
        <v>983</v>
      </c>
      <c r="E277" s="1">
        <v>0</v>
      </c>
      <c r="F277" s="5" t="s">
        <v>983</v>
      </c>
      <c r="G277" s="1">
        <v>4</v>
      </c>
      <c r="H277" s="5" t="s">
        <v>982</v>
      </c>
      <c r="I277" s="1">
        <v>4</v>
      </c>
      <c r="J277" s="5" t="s">
        <v>982</v>
      </c>
      <c r="K277" s="1">
        <v>1</v>
      </c>
      <c r="L277" s="5" t="s">
        <v>983</v>
      </c>
      <c r="M277" s="1">
        <v>1</v>
      </c>
      <c r="N277" s="5" t="s">
        <v>983</v>
      </c>
      <c r="O277" s="1">
        <v>0</v>
      </c>
      <c r="P277" s="5" t="s">
        <v>983</v>
      </c>
      <c r="Q277" s="1">
        <v>0</v>
      </c>
      <c r="R277" s="1">
        <v>0</v>
      </c>
      <c r="S277" s="1" t="s">
        <v>194</v>
      </c>
      <c r="T277" s="1" t="s">
        <v>194</v>
      </c>
      <c r="U277" s="1">
        <v>2</v>
      </c>
      <c r="V277" s="1"/>
      <c r="W277" s="1">
        <v>0</v>
      </c>
      <c r="Y277" s="1">
        <v>24</v>
      </c>
      <c r="AA277" s="1">
        <v>1</v>
      </c>
    </row>
    <row r="278" spans="1:27" ht="12.75" customHeight="1" x14ac:dyDescent="0.15">
      <c r="A278" s="5">
        <v>273</v>
      </c>
      <c r="B278" s="5" t="s">
        <v>238</v>
      </c>
      <c r="C278" s="1">
        <v>45</v>
      </c>
      <c r="D278" s="5" t="s">
        <v>981</v>
      </c>
      <c r="E278" s="1">
        <v>2</v>
      </c>
      <c r="F278" s="5" t="s">
        <v>982</v>
      </c>
      <c r="G278" s="1">
        <v>4</v>
      </c>
      <c r="H278" s="5" t="s">
        <v>982</v>
      </c>
      <c r="I278" s="1">
        <v>13</v>
      </c>
      <c r="J278" s="5" t="s">
        <v>981</v>
      </c>
      <c r="K278" s="1">
        <v>1</v>
      </c>
      <c r="L278" s="5" t="s">
        <v>983</v>
      </c>
      <c r="M278" s="1">
        <v>1</v>
      </c>
      <c r="N278" s="5" t="s">
        <v>983</v>
      </c>
      <c r="O278" s="1">
        <v>0</v>
      </c>
      <c r="P278" s="5" t="s">
        <v>983</v>
      </c>
      <c r="Q278" s="1">
        <v>0</v>
      </c>
      <c r="R278" s="1">
        <v>0</v>
      </c>
      <c r="S278" s="1" t="s">
        <v>194</v>
      </c>
      <c r="T278" s="1">
        <v>5</v>
      </c>
      <c r="U278" s="1">
        <v>5</v>
      </c>
      <c r="V278" s="1"/>
      <c r="W278" s="1">
        <v>0</v>
      </c>
      <c r="X278" s="1"/>
      <c r="Y278" s="1">
        <v>2</v>
      </c>
      <c r="Z278" s="1">
        <v>0</v>
      </c>
      <c r="AA278" s="1">
        <v>2</v>
      </c>
    </row>
    <row r="279" spans="1:27" ht="12.75" customHeight="1" x14ac:dyDescent="0.15">
      <c r="A279" s="5">
        <v>439</v>
      </c>
      <c r="B279" s="5" t="s">
        <v>238</v>
      </c>
      <c r="C279" s="1">
        <v>17</v>
      </c>
      <c r="D279" s="5" t="s">
        <v>983</v>
      </c>
      <c r="E279" s="1">
        <v>3</v>
      </c>
      <c r="F279" s="5" t="s">
        <v>982</v>
      </c>
      <c r="G279" s="1">
        <v>4</v>
      </c>
      <c r="H279" s="5" t="s">
        <v>982</v>
      </c>
      <c r="I279" s="1">
        <v>3</v>
      </c>
      <c r="J279" s="5" t="s">
        <v>982</v>
      </c>
      <c r="K279" s="1">
        <v>1</v>
      </c>
      <c r="L279" s="5" t="s">
        <v>983</v>
      </c>
      <c r="M279" s="1">
        <v>0</v>
      </c>
      <c r="N279" s="5" t="s">
        <v>983</v>
      </c>
      <c r="O279" s="1">
        <v>0</v>
      </c>
      <c r="P279" s="5" t="s">
        <v>983</v>
      </c>
      <c r="Q279" s="1">
        <v>0</v>
      </c>
      <c r="R279" s="1">
        <v>0</v>
      </c>
      <c r="S279" s="1">
        <v>1</v>
      </c>
      <c r="T279" s="1" t="s">
        <v>194</v>
      </c>
      <c r="U279" s="1">
        <v>3</v>
      </c>
      <c r="V279" s="1">
        <v>38</v>
      </c>
      <c r="W279" s="1">
        <v>1</v>
      </c>
      <c r="X279" s="1">
        <v>14</v>
      </c>
      <c r="Y279" s="1">
        <v>34</v>
      </c>
      <c r="Z279" s="1">
        <v>300000</v>
      </c>
      <c r="AA279" s="1">
        <v>5</v>
      </c>
    </row>
    <row r="280" spans="1:27" ht="12.75" customHeight="1" x14ac:dyDescent="0.15">
      <c r="A280" s="5">
        <v>325</v>
      </c>
      <c r="B280" s="5" t="s">
        <v>238</v>
      </c>
      <c r="C280" s="1">
        <v>13</v>
      </c>
      <c r="D280" s="5" t="s">
        <v>983</v>
      </c>
      <c r="E280" s="1">
        <v>4</v>
      </c>
      <c r="F280" s="5" t="s">
        <v>982</v>
      </c>
      <c r="G280" s="1">
        <v>4</v>
      </c>
      <c r="H280" s="5" t="s">
        <v>982</v>
      </c>
      <c r="I280" s="1">
        <v>6</v>
      </c>
      <c r="J280" s="5" t="s">
        <v>981</v>
      </c>
      <c r="K280" s="1">
        <v>1</v>
      </c>
      <c r="L280" s="5" t="s">
        <v>983</v>
      </c>
      <c r="M280" s="1">
        <v>0</v>
      </c>
      <c r="N280" s="5" t="s">
        <v>983</v>
      </c>
      <c r="O280" s="1">
        <v>0</v>
      </c>
      <c r="P280" s="5" t="s">
        <v>983</v>
      </c>
      <c r="Q280" s="1">
        <v>1</v>
      </c>
      <c r="R280" s="1">
        <v>1</v>
      </c>
      <c r="S280" s="1">
        <v>1</v>
      </c>
      <c r="T280" s="1" t="s">
        <v>194</v>
      </c>
      <c r="U280" s="1">
        <v>1</v>
      </c>
      <c r="V280" s="1">
        <v>26</v>
      </c>
      <c r="W280" s="1">
        <v>0</v>
      </c>
      <c r="X280" s="1">
        <v>15</v>
      </c>
      <c r="Y280" s="1">
        <v>24</v>
      </c>
      <c r="Z280" s="1">
        <v>350000</v>
      </c>
      <c r="AA280" s="1">
        <v>2</v>
      </c>
    </row>
    <row r="281" spans="1:27" ht="12.75" customHeight="1" x14ac:dyDescent="0.15">
      <c r="A281" s="5">
        <v>404</v>
      </c>
      <c r="B281" s="5" t="s">
        <v>238</v>
      </c>
      <c r="C281" s="1">
        <v>20</v>
      </c>
      <c r="D281" s="5" t="s">
        <v>982</v>
      </c>
      <c r="E281" s="1">
        <v>4</v>
      </c>
      <c r="F281" s="5" t="s">
        <v>982</v>
      </c>
      <c r="G281" s="1">
        <v>4</v>
      </c>
      <c r="H281" s="5" t="s">
        <v>982</v>
      </c>
      <c r="I281" s="1">
        <v>3</v>
      </c>
      <c r="J281" s="5" t="s">
        <v>982</v>
      </c>
      <c r="K281" s="1">
        <v>1</v>
      </c>
      <c r="L281" s="5" t="s">
        <v>983</v>
      </c>
      <c r="M281" s="1">
        <v>3</v>
      </c>
      <c r="N281" s="5" t="s">
        <v>982</v>
      </c>
      <c r="O281" s="1">
        <v>1</v>
      </c>
      <c r="P281" s="5" t="s">
        <v>982</v>
      </c>
      <c r="Q281" s="1">
        <v>1</v>
      </c>
      <c r="R281" s="1">
        <v>0</v>
      </c>
      <c r="S281" s="1">
        <v>1</v>
      </c>
      <c r="T281" s="1">
        <v>3</v>
      </c>
      <c r="U281" s="1">
        <v>2</v>
      </c>
      <c r="V281" s="1"/>
      <c r="W281" s="1">
        <v>1</v>
      </c>
      <c r="Y281" s="1">
        <v>32</v>
      </c>
      <c r="AA281" s="1">
        <v>2</v>
      </c>
    </row>
    <row r="282" spans="1:27" ht="12.75" customHeight="1" x14ac:dyDescent="0.15">
      <c r="A282" s="5">
        <v>336</v>
      </c>
      <c r="B282" s="5" t="s">
        <v>238</v>
      </c>
      <c r="C282" s="1">
        <v>33</v>
      </c>
      <c r="D282" s="5" t="s">
        <v>981</v>
      </c>
      <c r="E282" s="1">
        <v>4</v>
      </c>
      <c r="F282" s="5" t="s">
        <v>982</v>
      </c>
      <c r="G282" s="1">
        <v>4</v>
      </c>
      <c r="H282" s="5" t="s">
        <v>982</v>
      </c>
      <c r="I282" s="1">
        <v>10</v>
      </c>
      <c r="J282" s="5" t="s">
        <v>981</v>
      </c>
      <c r="K282" s="1">
        <v>1</v>
      </c>
      <c r="L282" s="5" t="s">
        <v>983</v>
      </c>
      <c r="M282" s="1">
        <v>4</v>
      </c>
      <c r="N282" s="5" t="s">
        <v>982</v>
      </c>
      <c r="O282" s="1">
        <v>0</v>
      </c>
      <c r="P282" s="5" t="s">
        <v>983</v>
      </c>
      <c r="Q282" s="1">
        <v>1</v>
      </c>
      <c r="R282" s="1">
        <v>0</v>
      </c>
      <c r="S282" s="1">
        <v>1</v>
      </c>
      <c r="T282" s="1" t="s">
        <v>194</v>
      </c>
      <c r="U282" s="1">
        <v>4</v>
      </c>
      <c r="V282" s="1">
        <v>35</v>
      </c>
      <c r="W282" s="1">
        <v>1</v>
      </c>
      <c r="X282" s="1"/>
      <c r="Y282" s="1">
        <v>2</v>
      </c>
      <c r="Z282" s="1">
        <v>1200000</v>
      </c>
      <c r="AA282" s="1">
        <v>4</v>
      </c>
    </row>
    <row r="283" spans="1:27" ht="12.75" customHeight="1" x14ac:dyDescent="0.15">
      <c r="A283" s="5">
        <v>138</v>
      </c>
      <c r="B283" s="5" t="s">
        <v>238</v>
      </c>
      <c r="C283" s="1">
        <v>13</v>
      </c>
      <c r="D283" s="5" t="s">
        <v>983</v>
      </c>
      <c r="E283" s="1">
        <v>3</v>
      </c>
      <c r="F283" s="5" t="s">
        <v>982</v>
      </c>
      <c r="G283" s="1">
        <v>5</v>
      </c>
      <c r="H283" s="5" t="s">
        <v>982</v>
      </c>
      <c r="I283" s="1">
        <v>0</v>
      </c>
      <c r="J283" s="5" t="s">
        <v>983</v>
      </c>
      <c r="K283" s="1">
        <v>1</v>
      </c>
      <c r="L283" s="5" t="s">
        <v>983</v>
      </c>
      <c r="M283" s="1">
        <v>1</v>
      </c>
      <c r="N283" s="5" t="s">
        <v>983</v>
      </c>
      <c r="O283" s="1">
        <v>0</v>
      </c>
      <c r="P283" s="5" t="s">
        <v>983</v>
      </c>
      <c r="Q283" s="1">
        <v>1</v>
      </c>
      <c r="R283" s="1">
        <v>0</v>
      </c>
      <c r="S283" s="1" t="s">
        <v>194</v>
      </c>
      <c r="T283" s="1">
        <v>2</v>
      </c>
      <c r="U283" s="1">
        <v>4</v>
      </c>
      <c r="V283" s="1">
        <v>36</v>
      </c>
      <c r="W283" s="1">
        <v>0</v>
      </c>
      <c r="X283" s="1">
        <v>14</v>
      </c>
      <c r="Y283" s="1">
        <v>1</v>
      </c>
      <c r="Z283" s="1">
        <v>350000</v>
      </c>
      <c r="AA283" s="1">
        <v>3</v>
      </c>
    </row>
    <row r="284" spans="1:27" ht="12.75" customHeight="1" x14ac:dyDescent="0.15">
      <c r="A284" s="5">
        <v>470</v>
      </c>
      <c r="B284" s="5" t="s">
        <v>238</v>
      </c>
      <c r="C284" s="1">
        <v>14</v>
      </c>
      <c r="D284" s="5" t="s">
        <v>983</v>
      </c>
      <c r="E284" s="1">
        <v>3</v>
      </c>
      <c r="F284" s="5" t="s">
        <v>982</v>
      </c>
      <c r="G284" s="1">
        <v>5</v>
      </c>
      <c r="H284" s="5" t="s">
        <v>982</v>
      </c>
      <c r="I284" s="1">
        <v>9</v>
      </c>
      <c r="J284" s="5" t="s">
        <v>981</v>
      </c>
      <c r="K284" s="1">
        <v>1</v>
      </c>
      <c r="L284" s="5" t="s">
        <v>983</v>
      </c>
      <c r="M284" s="1">
        <v>1</v>
      </c>
      <c r="N284" s="5" t="s">
        <v>983</v>
      </c>
      <c r="O284" s="1">
        <v>0</v>
      </c>
      <c r="P284" s="5" t="s">
        <v>983</v>
      </c>
      <c r="Q284" s="1">
        <v>0</v>
      </c>
      <c r="R284" s="1">
        <v>0</v>
      </c>
      <c r="S284" s="1" t="s">
        <v>194</v>
      </c>
      <c r="T284" s="1" t="s">
        <v>194</v>
      </c>
      <c r="U284" s="1">
        <v>2</v>
      </c>
      <c r="V284" s="1"/>
      <c r="W284" s="1">
        <v>0</v>
      </c>
      <c r="Y284" s="1">
        <v>11</v>
      </c>
      <c r="AA284" s="1">
        <v>3</v>
      </c>
    </row>
    <row r="285" spans="1:27" ht="12.75" customHeight="1" x14ac:dyDescent="0.15">
      <c r="A285" s="5">
        <v>436</v>
      </c>
      <c r="B285" s="5" t="s">
        <v>238</v>
      </c>
      <c r="C285" s="1">
        <v>16</v>
      </c>
      <c r="D285" s="5" t="s">
        <v>983</v>
      </c>
      <c r="E285" s="1">
        <v>3</v>
      </c>
      <c r="F285" s="5" t="s">
        <v>982</v>
      </c>
      <c r="G285" s="1">
        <v>5</v>
      </c>
      <c r="H285" s="5" t="s">
        <v>982</v>
      </c>
      <c r="I285" s="1">
        <v>4</v>
      </c>
      <c r="J285" s="5" t="s">
        <v>982</v>
      </c>
      <c r="K285" s="1">
        <v>1</v>
      </c>
      <c r="L285" s="5" t="s">
        <v>983</v>
      </c>
      <c r="M285" s="1">
        <v>0</v>
      </c>
      <c r="N285" s="5" t="s">
        <v>983</v>
      </c>
      <c r="O285" s="1">
        <v>0</v>
      </c>
      <c r="P285" s="5" t="s">
        <v>983</v>
      </c>
      <c r="Q285" s="1">
        <v>1</v>
      </c>
      <c r="R285" s="1">
        <v>0</v>
      </c>
      <c r="S285" s="1" t="s">
        <v>194</v>
      </c>
      <c r="T285" s="1" t="s">
        <v>194</v>
      </c>
      <c r="U285" s="1">
        <v>2</v>
      </c>
      <c r="V285" s="1">
        <v>33</v>
      </c>
      <c r="W285" s="1">
        <v>0</v>
      </c>
      <c r="X285" s="1">
        <v>10</v>
      </c>
      <c r="Y285" s="1">
        <v>34</v>
      </c>
      <c r="Z285" s="1">
        <v>400000</v>
      </c>
      <c r="AA285" s="1">
        <v>7</v>
      </c>
    </row>
    <row r="286" spans="1:27" ht="12.75" customHeight="1" x14ac:dyDescent="0.15">
      <c r="A286" s="5">
        <v>340</v>
      </c>
      <c r="B286" s="5" t="s">
        <v>238</v>
      </c>
      <c r="C286" s="1">
        <v>21</v>
      </c>
      <c r="D286" s="5" t="s">
        <v>982</v>
      </c>
      <c r="E286" s="1">
        <v>6</v>
      </c>
      <c r="F286" s="5" t="s">
        <v>981</v>
      </c>
      <c r="G286" s="1">
        <v>5</v>
      </c>
      <c r="H286" s="5" t="s">
        <v>982</v>
      </c>
      <c r="I286" s="1">
        <v>5</v>
      </c>
      <c r="J286" s="5" t="s">
        <v>981</v>
      </c>
      <c r="K286" s="1">
        <v>1</v>
      </c>
      <c r="L286" s="5" t="s">
        <v>983</v>
      </c>
      <c r="M286" s="1">
        <v>6</v>
      </c>
      <c r="N286" s="5" t="s">
        <v>981</v>
      </c>
      <c r="O286" s="1">
        <v>0</v>
      </c>
      <c r="P286" s="5" t="s">
        <v>983</v>
      </c>
      <c r="Q286" s="1">
        <v>0</v>
      </c>
      <c r="R286" s="1">
        <v>0</v>
      </c>
      <c r="S286" s="1" t="s">
        <v>194</v>
      </c>
      <c r="T286" s="1">
        <v>2</v>
      </c>
      <c r="U286" s="1">
        <v>2</v>
      </c>
      <c r="V286" s="1">
        <v>34</v>
      </c>
      <c r="W286" s="1">
        <v>1</v>
      </c>
      <c r="X286" s="1">
        <v>2</v>
      </c>
      <c r="Y286" s="1">
        <v>3</v>
      </c>
      <c r="Z286" s="1">
        <v>300000</v>
      </c>
      <c r="AA286" s="1">
        <v>2</v>
      </c>
    </row>
    <row r="287" spans="1:27" ht="12.75" customHeight="1" x14ac:dyDescent="0.15">
      <c r="A287" s="5">
        <v>485</v>
      </c>
      <c r="B287" s="5" t="s">
        <v>238</v>
      </c>
      <c r="C287" s="1">
        <v>17</v>
      </c>
      <c r="D287" s="5" t="s">
        <v>983</v>
      </c>
      <c r="E287" s="1">
        <v>1</v>
      </c>
      <c r="F287" s="5" t="s">
        <v>983</v>
      </c>
      <c r="G287" s="1">
        <v>6</v>
      </c>
      <c r="H287" s="5" t="s">
        <v>981</v>
      </c>
      <c r="I287" s="1">
        <v>3</v>
      </c>
      <c r="J287" s="5" t="s">
        <v>982</v>
      </c>
      <c r="K287" s="1">
        <v>1</v>
      </c>
      <c r="L287" s="5" t="s">
        <v>983</v>
      </c>
      <c r="M287" s="1">
        <v>0</v>
      </c>
      <c r="N287" s="5" t="s">
        <v>983</v>
      </c>
      <c r="O287" s="1">
        <v>0</v>
      </c>
      <c r="P287" s="5" t="s">
        <v>983</v>
      </c>
      <c r="Q287" s="1">
        <v>1</v>
      </c>
      <c r="R287" s="1">
        <v>0</v>
      </c>
      <c r="S287" s="1">
        <v>1</v>
      </c>
      <c r="T287" s="1">
        <v>3</v>
      </c>
      <c r="U287" s="1">
        <v>3</v>
      </c>
      <c r="V287" s="1">
        <v>73</v>
      </c>
      <c r="W287" s="1">
        <v>0</v>
      </c>
      <c r="X287" s="1">
        <v>1</v>
      </c>
      <c r="Y287" s="1">
        <v>34</v>
      </c>
      <c r="Z287" s="1">
        <v>500000</v>
      </c>
      <c r="AA287" s="1">
        <v>1</v>
      </c>
    </row>
    <row r="288" spans="1:27" ht="12.75" customHeight="1" x14ac:dyDescent="0.15">
      <c r="A288" s="5">
        <v>294</v>
      </c>
      <c r="B288" s="5" t="s">
        <v>238</v>
      </c>
      <c r="C288" s="1">
        <v>26</v>
      </c>
      <c r="D288" s="5" t="s">
        <v>981</v>
      </c>
      <c r="E288" s="1">
        <v>2</v>
      </c>
      <c r="F288" s="5" t="s">
        <v>982</v>
      </c>
      <c r="G288" s="1">
        <v>6</v>
      </c>
      <c r="H288" s="5" t="s">
        <v>981</v>
      </c>
      <c r="I288" s="1">
        <v>6</v>
      </c>
      <c r="J288" s="5" t="s">
        <v>981</v>
      </c>
      <c r="K288" s="1">
        <v>1</v>
      </c>
      <c r="L288" s="5" t="s">
        <v>983</v>
      </c>
      <c r="M288" s="1">
        <v>3</v>
      </c>
      <c r="N288" s="5" t="s">
        <v>982</v>
      </c>
      <c r="O288" s="1">
        <v>1</v>
      </c>
      <c r="P288" s="5" t="s">
        <v>982</v>
      </c>
      <c r="Q288" s="1">
        <v>0</v>
      </c>
      <c r="R288" s="1">
        <v>0</v>
      </c>
      <c r="S288" s="1" t="s">
        <v>194</v>
      </c>
      <c r="T288" s="1">
        <v>3</v>
      </c>
      <c r="U288" s="1">
        <v>4</v>
      </c>
      <c r="V288" s="1">
        <v>59</v>
      </c>
      <c r="W288" s="1">
        <v>1</v>
      </c>
      <c r="X288" s="1">
        <v>16</v>
      </c>
      <c r="Y288" s="1">
        <v>24</v>
      </c>
      <c r="Z288" s="1">
        <v>400000</v>
      </c>
      <c r="AA288" s="1">
        <v>1</v>
      </c>
    </row>
    <row r="289" spans="1:27" ht="12.75" customHeight="1" x14ac:dyDescent="0.15">
      <c r="A289" s="5">
        <v>298</v>
      </c>
      <c r="B289" s="5" t="s">
        <v>238</v>
      </c>
      <c r="C289" s="1">
        <v>26</v>
      </c>
      <c r="D289" s="5" t="s">
        <v>981</v>
      </c>
      <c r="E289" s="1">
        <v>5</v>
      </c>
      <c r="F289" s="5" t="s">
        <v>981</v>
      </c>
      <c r="G289" s="1">
        <v>6</v>
      </c>
      <c r="H289" s="5" t="s">
        <v>981</v>
      </c>
      <c r="I289" s="1">
        <v>6</v>
      </c>
      <c r="J289" s="5" t="s">
        <v>981</v>
      </c>
      <c r="K289" s="1">
        <v>1</v>
      </c>
      <c r="L289" s="5" t="s">
        <v>983</v>
      </c>
      <c r="M289" s="1">
        <v>8</v>
      </c>
      <c r="N289" s="5" t="s">
        <v>981</v>
      </c>
      <c r="O289" s="1">
        <v>4</v>
      </c>
      <c r="P289" s="5" t="s">
        <v>982</v>
      </c>
      <c r="Q289" s="1">
        <v>0</v>
      </c>
      <c r="R289" s="1">
        <v>0</v>
      </c>
      <c r="S289" s="1" t="s">
        <v>194</v>
      </c>
      <c r="T289" s="1" t="s">
        <v>194</v>
      </c>
      <c r="U289" s="1">
        <v>2</v>
      </c>
      <c r="V289" s="1">
        <v>55</v>
      </c>
      <c r="W289" s="1">
        <v>1</v>
      </c>
      <c r="X289" s="1">
        <v>2</v>
      </c>
      <c r="Y289" s="1">
        <v>11</v>
      </c>
      <c r="Z289" s="1">
        <v>800000</v>
      </c>
      <c r="AA289" s="1">
        <v>1</v>
      </c>
    </row>
    <row r="290" spans="1:27" ht="12.75" customHeight="1" x14ac:dyDescent="0.15">
      <c r="A290" s="5">
        <v>437</v>
      </c>
      <c r="B290" s="5" t="s">
        <v>238</v>
      </c>
      <c r="C290" s="1">
        <v>23</v>
      </c>
      <c r="D290" s="5" t="s">
        <v>982</v>
      </c>
      <c r="E290" s="1">
        <v>12</v>
      </c>
      <c r="F290" s="5" t="s">
        <v>981</v>
      </c>
      <c r="G290" s="1">
        <v>6</v>
      </c>
      <c r="H290" s="5" t="s">
        <v>981</v>
      </c>
      <c r="I290" s="1">
        <v>11</v>
      </c>
      <c r="J290" s="5" t="s">
        <v>981</v>
      </c>
      <c r="K290" s="1">
        <v>1</v>
      </c>
      <c r="L290" s="5" t="s">
        <v>983</v>
      </c>
      <c r="M290" s="1">
        <v>11</v>
      </c>
      <c r="N290" s="5" t="s">
        <v>981</v>
      </c>
      <c r="O290" s="1">
        <v>0</v>
      </c>
      <c r="P290" s="5" t="s">
        <v>983</v>
      </c>
      <c r="Q290" s="1">
        <v>1</v>
      </c>
      <c r="R290" s="1">
        <v>0</v>
      </c>
      <c r="S290" s="1">
        <v>1</v>
      </c>
      <c r="T290" s="1">
        <v>3</v>
      </c>
      <c r="U290" s="1">
        <v>3</v>
      </c>
      <c r="V290" s="1">
        <v>32</v>
      </c>
      <c r="W290" s="1">
        <v>0</v>
      </c>
      <c r="X290" s="1">
        <v>16</v>
      </c>
      <c r="Y290" s="1">
        <v>34</v>
      </c>
      <c r="Z290" s="1">
        <v>750000</v>
      </c>
      <c r="AA290" s="1">
        <v>4</v>
      </c>
    </row>
    <row r="291" spans="1:27" ht="12.75" customHeight="1" x14ac:dyDescent="0.15">
      <c r="A291" s="5">
        <v>31</v>
      </c>
      <c r="B291" s="5" t="s">
        <v>238</v>
      </c>
      <c r="C291" s="1">
        <v>12</v>
      </c>
      <c r="D291" s="5" t="s">
        <v>983</v>
      </c>
      <c r="E291" s="1">
        <v>0</v>
      </c>
      <c r="F291" s="5" t="s">
        <v>983</v>
      </c>
      <c r="G291" s="1">
        <v>8</v>
      </c>
      <c r="H291" s="5" t="s">
        <v>981</v>
      </c>
      <c r="I291" s="1">
        <v>0</v>
      </c>
      <c r="J291" s="5" t="s">
        <v>983</v>
      </c>
      <c r="K291" s="1">
        <v>1</v>
      </c>
      <c r="L291" s="5" t="s">
        <v>983</v>
      </c>
      <c r="M291" s="1">
        <v>2</v>
      </c>
      <c r="N291" s="5" t="s">
        <v>983</v>
      </c>
      <c r="O291" s="1">
        <v>0</v>
      </c>
      <c r="P291" s="5" t="s">
        <v>983</v>
      </c>
      <c r="Q291" s="1">
        <v>0</v>
      </c>
      <c r="R291" s="1">
        <v>0</v>
      </c>
      <c r="S291" s="1" t="s">
        <v>194</v>
      </c>
      <c r="T291" s="1">
        <v>2</v>
      </c>
      <c r="U291" s="1">
        <v>2</v>
      </c>
      <c r="V291" s="1">
        <v>30</v>
      </c>
      <c r="W291" s="1">
        <v>0</v>
      </c>
      <c r="X291" s="1">
        <v>14</v>
      </c>
      <c r="Y291" s="1">
        <v>24</v>
      </c>
      <c r="Z291" s="1">
        <v>500000</v>
      </c>
      <c r="AA291" s="1">
        <v>5</v>
      </c>
    </row>
    <row r="292" spans="1:27" ht="12.75" customHeight="1" x14ac:dyDescent="0.15">
      <c r="A292" s="5">
        <v>374</v>
      </c>
      <c r="B292" s="5" t="s">
        <v>238</v>
      </c>
      <c r="C292" s="1">
        <v>18</v>
      </c>
      <c r="D292" s="5" t="s">
        <v>983</v>
      </c>
      <c r="E292" s="1">
        <v>0</v>
      </c>
      <c r="F292" s="5" t="s">
        <v>983</v>
      </c>
      <c r="G292" s="1">
        <v>8</v>
      </c>
      <c r="H292" s="5" t="s">
        <v>981</v>
      </c>
      <c r="I292" s="1">
        <v>6</v>
      </c>
      <c r="J292" s="5" t="s">
        <v>981</v>
      </c>
      <c r="K292" s="1">
        <v>1</v>
      </c>
      <c r="L292" s="5" t="s">
        <v>983</v>
      </c>
      <c r="M292" s="1">
        <v>8</v>
      </c>
      <c r="N292" s="5" t="s">
        <v>981</v>
      </c>
      <c r="O292" s="1">
        <v>0</v>
      </c>
      <c r="P292" s="5" t="s">
        <v>983</v>
      </c>
      <c r="Q292" s="1">
        <v>0</v>
      </c>
      <c r="R292" s="1">
        <v>0</v>
      </c>
      <c r="S292" s="1">
        <v>0</v>
      </c>
      <c r="T292" s="1" t="s">
        <v>194</v>
      </c>
      <c r="U292" s="1">
        <v>1</v>
      </c>
      <c r="V292" s="1"/>
      <c r="W292" s="1">
        <v>0</v>
      </c>
      <c r="X292" s="1"/>
      <c r="Y292" s="1">
        <v>2</v>
      </c>
      <c r="Z292" s="1">
        <v>0</v>
      </c>
      <c r="AA292" s="1">
        <v>1</v>
      </c>
    </row>
    <row r="293" spans="1:27" ht="12.75" customHeight="1" x14ac:dyDescent="0.15">
      <c r="A293" s="5">
        <v>354</v>
      </c>
      <c r="B293" s="5" t="s">
        <v>238</v>
      </c>
      <c r="C293" s="1">
        <v>24</v>
      </c>
      <c r="D293" s="5" t="s">
        <v>981</v>
      </c>
      <c r="E293" s="1">
        <v>2</v>
      </c>
      <c r="F293" s="5" t="s">
        <v>982</v>
      </c>
      <c r="G293" s="1">
        <v>8</v>
      </c>
      <c r="H293" s="5" t="s">
        <v>981</v>
      </c>
      <c r="I293" s="1">
        <v>11</v>
      </c>
      <c r="J293" s="5" t="s">
        <v>981</v>
      </c>
      <c r="K293" s="1">
        <v>1</v>
      </c>
      <c r="L293" s="5" t="s">
        <v>983</v>
      </c>
      <c r="M293" s="1">
        <v>12</v>
      </c>
      <c r="N293" s="5" t="s">
        <v>981</v>
      </c>
      <c r="O293" s="1">
        <v>0</v>
      </c>
      <c r="P293" s="5" t="s">
        <v>983</v>
      </c>
      <c r="Q293" s="1">
        <v>1</v>
      </c>
      <c r="R293" s="1">
        <v>1</v>
      </c>
      <c r="S293" s="1">
        <v>1</v>
      </c>
      <c r="T293" s="1">
        <v>5</v>
      </c>
      <c r="U293" s="1">
        <v>5</v>
      </c>
      <c r="V293" s="1">
        <v>26</v>
      </c>
      <c r="W293" s="1">
        <v>0</v>
      </c>
      <c r="X293" s="1">
        <v>15</v>
      </c>
      <c r="Y293" s="1">
        <v>34</v>
      </c>
      <c r="Z293" s="1">
        <v>60000</v>
      </c>
      <c r="AA293" s="1">
        <v>4</v>
      </c>
    </row>
    <row r="294" spans="1:27" ht="12.75" customHeight="1" x14ac:dyDescent="0.15">
      <c r="A294" s="5">
        <v>296</v>
      </c>
      <c r="B294" s="5" t="s">
        <v>238</v>
      </c>
      <c r="C294" s="1">
        <v>28</v>
      </c>
      <c r="D294" s="5" t="s">
        <v>981</v>
      </c>
      <c r="E294" s="1">
        <v>5</v>
      </c>
      <c r="F294" s="5" t="s">
        <v>981</v>
      </c>
      <c r="G294" s="1">
        <v>8</v>
      </c>
      <c r="H294" s="5" t="s">
        <v>981</v>
      </c>
      <c r="I294" s="1">
        <v>13</v>
      </c>
      <c r="J294" s="5" t="s">
        <v>981</v>
      </c>
      <c r="K294" s="1">
        <v>1</v>
      </c>
      <c r="L294" s="5" t="s">
        <v>983</v>
      </c>
      <c r="M294" s="1">
        <v>0</v>
      </c>
      <c r="N294" s="5" t="s">
        <v>983</v>
      </c>
      <c r="O294" s="1">
        <v>0</v>
      </c>
      <c r="P294" s="5" t="s">
        <v>983</v>
      </c>
      <c r="Q294" s="1">
        <v>0</v>
      </c>
      <c r="R294" s="1">
        <v>0</v>
      </c>
      <c r="S294" s="1" t="s">
        <v>194</v>
      </c>
      <c r="T294" s="1">
        <v>5</v>
      </c>
      <c r="U294" s="1">
        <v>5</v>
      </c>
      <c r="V294" s="1">
        <v>50</v>
      </c>
      <c r="W294" s="1">
        <v>0</v>
      </c>
      <c r="X294" s="1">
        <v>4</v>
      </c>
      <c r="Y294" s="1">
        <v>32</v>
      </c>
      <c r="Z294" s="1">
        <v>850000</v>
      </c>
      <c r="AA294" s="1">
        <v>2</v>
      </c>
    </row>
    <row r="295" spans="1:27" ht="12.75" customHeight="1" x14ac:dyDescent="0.15">
      <c r="A295" s="5">
        <v>313</v>
      </c>
      <c r="B295" s="5" t="s">
        <v>238</v>
      </c>
      <c r="C295" s="1">
        <v>36</v>
      </c>
      <c r="D295" s="5" t="s">
        <v>981</v>
      </c>
      <c r="E295" s="1">
        <v>5</v>
      </c>
      <c r="F295" s="5" t="s">
        <v>981</v>
      </c>
      <c r="G295" s="1">
        <v>8</v>
      </c>
      <c r="H295" s="5" t="s">
        <v>981</v>
      </c>
      <c r="I295" s="1">
        <v>16</v>
      </c>
      <c r="J295" s="5" t="s">
        <v>981</v>
      </c>
      <c r="K295" s="1">
        <v>1</v>
      </c>
      <c r="L295" s="5" t="s">
        <v>983</v>
      </c>
      <c r="M295" s="1">
        <v>9</v>
      </c>
      <c r="N295" s="5" t="s">
        <v>981</v>
      </c>
      <c r="O295" s="1">
        <v>0</v>
      </c>
      <c r="P295" s="5" t="s">
        <v>983</v>
      </c>
      <c r="Q295" s="1">
        <v>0</v>
      </c>
      <c r="R295" s="1">
        <v>0</v>
      </c>
      <c r="S295" s="1" t="s">
        <v>194</v>
      </c>
      <c r="T295" s="1">
        <v>5</v>
      </c>
      <c r="U295" s="1">
        <v>3</v>
      </c>
      <c r="V295" s="1">
        <v>30</v>
      </c>
      <c r="W295" s="1">
        <v>1</v>
      </c>
      <c r="X295" s="1"/>
      <c r="Y295" s="1">
        <v>24</v>
      </c>
      <c r="Z295" s="1">
        <v>100000</v>
      </c>
      <c r="AA295" s="1">
        <v>4</v>
      </c>
    </row>
    <row r="296" spans="1:27" ht="12.75" customHeight="1" x14ac:dyDescent="0.15">
      <c r="A296" s="5">
        <v>256</v>
      </c>
      <c r="B296" s="5" t="s">
        <v>238</v>
      </c>
      <c r="C296" s="1">
        <v>14</v>
      </c>
      <c r="D296" s="5" t="s">
        <v>983</v>
      </c>
      <c r="E296" s="1">
        <v>0</v>
      </c>
      <c r="F296" s="5" t="s">
        <v>983</v>
      </c>
      <c r="G296" s="1">
        <v>0</v>
      </c>
      <c r="H296" s="5" t="s">
        <v>983</v>
      </c>
      <c r="I296" s="1">
        <v>7</v>
      </c>
      <c r="J296" s="5" t="s">
        <v>981</v>
      </c>
      <c r="K296" s="1">
        <v>2</v>
      </c>
      <c r="L296" s="5" t="s">
        <v>983</v>
      </c>
      <c r="M296" s="1">
        <v>2</v>
      </c>
      <c r="N296" s="5" t="s">
        <v>983</v>
      </c>
      <c r="O296" s="1">
        <v>3</v>
      </c>
      <c r="P296" s="5" t="s">
        <v>982</v>
      </c>
      <c r="Q296" s="1">
        <v>0</v>
      </c>
      <c r="R296" s="1">
        <v>0</v>
      </c>
      <c r="S296" s="1" t="s">
        <v>194</v>
      </c>
      <c r="T296" s="1">
        <v>4</v>
      </c>
      <c r="U296" s="1">
        <v>3</v>
      </c>
      <c r="V296" s="1">
        <v>55</v>
      </c>
      <c r="W296" s="1">
        <v>0</v>
      </c>
      <c r="X296" s="1">
        <v>2</v>
      </c>
      <c r="Y296" s="1">
        <v>1</v>
      </c>
      <c r="Z296" s="1">
        <v>350000</v>
      </c>
      <c r="AA296" s="1">
        <v>5</v>
      </c>
    </row>
    <row r="297" spans="1:27" ht="12.75" customHeight="1" x14ac:dyDescent="0.15">
      <c r="A297" s="5">
        <v>454</v>
      </c>
      <c r="B297" s="5" t="s">
        <v>238</v>
      </c>
      <c r="C297" s="1">
        <v>13</v>
      </c>
      <c r="D297" s="5" t="s">
        <v>983</v>
      </c>
      <c r="E297" s="1">
        <v>3</v>
      </c>
      <c r="F297" s="5" t="s">
        <v>982</v>
      </c>
      <c r="G297" s="1">
        <v>0</v>
      </c>
      <c r="H297" s="5" t="s">
        <v>983</v>
      </c>
      <c r="I297" s="1">
        <v>12</v>
      </c>
      <c r="J297" s="5" t="s">
        <v>981</v>
      </c>
      <c r="K297" s="1">
        <v>2</v>
      </c>
      <c r="L297" s="5" t="s">
        <v>983</v>
      </c>
      <c r="M297" s="1">
        <v>0</v>
      </c>
      <c r="N297" s="5" t="s">
        <v>983</v>
      </c>
      <c r="O297" s="1">
        <v>0</v>
      </c>
      <c r="P297" s="5" t="s">
        <v>983</v>
      </c>
      <c r="Q297" s="1">
        <v>1</v>
      </c>
      <c r="R297" s="1">
        <v>0</v>
      </c>
      <c r="S297" s="1">
        <v>1</v>
      </c>
      <c r="T297" s="1" t="s">
        <v>194</v>
      </c>
      <c r="U297" s="1">
        <v>2</v>
      </c>
      <c r="V297" s="1">
        <v>36</v>
      </c>
      <c r="W297" s="1">
        <v>1</v>
      </c>
      <c r="X297" s="1">
        <v>4</v>
      </c>
      <c r="Y297" s="1">
        <v>34</v>
      </c>
      <c r="Z297" s="1">
        <v>0</v>
      </c>
      <c r="AA297" s="1">
        <v>1</v>
      </c>
    </row>
    <row r="298" spans="1:27" ht="12.75" customHeight="1" x14ac:dyDescent="0.15">
      <c r="A298" s="5">
        <v>430</v>
      </c>
      <c r="B298" s="5" t="s">
        <v>238</v>
      </c>
      <c r="C298" s="1">
        <v>13</v>
      </c>
      <c r="D298" s="5" t="s">
        <v>983</v>
      </c>
      <c r="E298" s="1">
        <v>3</v>
      </c>
      <c r="F298" s="5" t="s">
        <v>982</v>
      </c>
      <c r="G298" s="1">
        <v>0</v>
      </c>
      <c r="H298" s="5" t="s">
        <v>983</v>
      </c>
      <c r="I298" s="1">
        <v>7</v>
      </c>
      <c r="J298" s="5" t="s">
        <v>981</v>
      </c>
      <c r="K298" s="1">
        <v>2</v>
      </c>
      <c r="L298" s="5" t="s">
        <v>983</v>
      </c>
      <c r="M298" s="1">
        <v>4</v>
      </c>
      <c r="N298" s="5" t="s">
        <v>982</v>
      </c>
      <c r="O298" s="1">
        <v>0</v>
      </c>
      <c r="P298" s="5" t="s">
        <v>983</v>
      </c>
      <c r="Q298" s="1">
        <v>1</v>
      </c>
      <c r="R298" s="1">
        <v>0</v>
      </c>
      <c r="S298" s="1" t="s">
        <v>194</v>
      </c>
      <c r="T298" s="1" t="s">
        <v>194</v>
      </c>
      <c r="U298" s="1">
        <v>2</v>
      </c>
      <c r="V298" s="1">
        <v>44</v>
      </c>
      <c r="W298" s="1">
        <v>0</v>
      </c>
      <c r="X298" s="1">
        <v>17</v>
      </c>
      <c r="Y298" s="1">
        <v>24</v>
      </c>
      <c r="Z298" s="1">
        <v>500000</v>
      </c>
      <c r="AA298" s="1">
        <v>3</v>
      </c>
    </row>
    <row r="299" spans="1:27" ht="12.75" customHeight="1" x14ac:dyDescent="0.15">
      <c r="A299" s="5">
        <v>13</v>
      </c>
      <c r="B299" s="5" t="s">
        <v>238</v>
      </c>
      <c r="C299" s="1">
        <v>21</v>
      </c>
      <c r="D299" s="5" t="s">
        <v>982</v>
      </c>
      <c r="E299" s="1">
        <v>3</v>
      </c>
      <c r="F299" s="5" t="s">
        <v>982</v>
      </c>
      <c r="G299" s="1">
        <v>0</v>
      </c>
      <c r="H299" s="5" t="s">
        <v>983</v>
      </c>
      <c r="I299" s="1">
        <v>6</v>
      </c>
      <c r="J299" s="5" t="s">
        <v>981</v>
      </c>
      <c r="K299" s="1">
        <v>2</v>
      </c>
      <c r="L299" s="5" t="s">
        <v>983</v>
      </c>
      <c r="M299" s="1">
        <v>0</v>
      </c>
      <c r="N299" s="5" t="s">
        <v>983</v>
      </c>
      <c r="O299" s="1">
        <v>0</v>
      </c>
      <c r="P299" s="5" t="s">
        <v>983</v>
      </c>
      <c r="Q299" s="1">
        <v>1</v>
      </c>
      <c r="R299" s="1">
        <v>0</v>
      </c>
      <c r="S299" s="1" t="s">
        <v>194</v>
      </c>
      <c r="T299" s="1">
        <v>5</v>
      </c>
      <c r="U299" s="1">
        <v>3</v>
      </c>
      <c r="V299" s="1"/>
      <c r="W299" s="1">
        <v>1</v>
      </c>
      <c r="Y299" s="1">
        <v>11</v>
      </c>
      <c r="AA299" s="1">
        <v>2</v>
      </c>
    </row>
    <row r="300" spans="1:27" ht="12.75" customHeight="1" x14ac:dyDescent="0.15">
      <c r="A300" s="5">
        <v>196</v>
      </c>
      <c r="B300" s="5" t="s">
        <v>238</v>
      </c>
      <c r="C300" s="1">
        <v>12</v>
      </c>
      <c r="D300" s="5" t="s">
        <v>983</v>
      </c>
      <c r="E300" s="1">
        <v>5</v>
      </c>
      <c r="F300" s="5" t="s">
        <v>981</v>
      </c>
      <c r="G300" s="1">
        <v>0</v>
      </c>
      <c r="H300" s="5" t="s">
        <v>983</v>
      </c>
      <c r="I300" s="1">
        <v>11</v>
      </c>
      <c r="J300" s="5" t="s">
        <v>981</v>
      </c>
      <c r="K300" s="1">
        <v>2</v>
      </c>
      <c r="L300" s="5" t="s">
        <v>983</v>
      </c>
      <c r="M300" s="1">
        <v>0</v>
      </c>
      <c r="N300" s="5" t="s">
        <v>983</v>
      </c>
      <c r="O300" s="1">
        <v>0</v>
      </c>
      <c r="P300" s="5" t="s">
        <v>983</v>
      </c>
      <c r="Q300" s="1">
        <v>1</v>
      </c>
      <c r="R300" s="1">
        <v>0</v>
      </c>
      <c r="S300" s="1">
        <v>1</v>
      </c>
      <c r="T300" s="1">
        <v>5</v>
      </c>
      <c r="U300" s="1">
        <v>3</v>
      </c>
      <c r="V300" s="1">
        <v>39</v>
      </c>
      <c r="W300" s="1">
        <v>1</v>
      </c>
      <c r="X300" s="1">
        <v>14</v>
      </c>
      <c r="Y300" s="1">
        <v>34</v>
      </c>
      <c r="Z300" s="1">
        <v>700000</v>
      </c>
      <c r="AA300" s="1">
        <v>3</v>
      </c>
    </row>
    <row r="301" spans="1:27" ht="12.75" customHeight="1" x14ac:dyDescent="0.15">
      <c r="A301" s="5">
        <v>169</v>
      </c>
      <c r="B301" s="5" t="s">
        <v>238</v>
      </c>
      <c r="C301" s="1">
        <v>15</v>
      </c>
      <c r="D301" s="5" t="s">
        <v>983</v>
      </c>
      <c r="E301" s="1">
        <v>2</v>
      </c>
      <c r="F301" s="5" t="s">
        <v>982</v>
      </c>
      <c r="G301" s="1">
        <v>2</v>
      </c>
      <c r="H301" s="5" t="s">
        <v>982</v>
      </c>
      <c r="I301" s="1">
        <v>6</v>
      </c>
      <c r="J301" s="5" t="s">
        <v>981</v>
      </c>
      <c r="K301" s="1">
        <v>2</v>
      </c>
      <c r="L301" s="5" t="s">
        <v>983</v>
      </c>
      <c r="M301" s="1">
        <v>0</v>
      </c>
      <c r="N301" s="5" t="s">
        <v>983</v>
      </c>
      <c r="O301" s="1">
        <v>0</v>
      </c>
      <c r="P301" s="5" t="s">
        <v>983</v>
      </c>
      <c r="Q301" s="1">
        <v>1</v>
      </c>
      <c r="R301" s="1">
        <v>0</v>
      </c>
      <c r="S301" s="1">
        <v>1</v>
      </c>
      <c r="T301" s="1">
        <v>2</v>
      </c>
      <c r="U301" s="1">
        <v>3</v>
      </c>
      <c r="V301" s="1"/>
      <c r="W301" s="1">
        <v>0</v>
      </c>
      <c r="X301" s="1">
        <v>16</v>
      </c>
      <c r="Y301" s="1">
        <v>11</v>
      </c>
      <c r="Z301" s="1">
        <v>300000</v>
      </c>
      <c r="AA301" s="1">
        <v>5</v>
      </c>
    </row>
    <row r="302" spans="1:27" ht="12.75" customHeight="1" x14ac:dyDescent="0.15">
      <c r="A302" s="5">
        <v>297</v>
      </c>
      <c r="B302" s="5" t="s">
        <v>238</v>
      </c>
      <c r="C302" s="1">
        <v>17</v>
      </c>
      <c r="D302" s="5" t="s">
        <v>983</v>
      </c>
      <c r="E302" s="1">
        <v>2</v>
      </c>
      <c r="F302" s="5" t="s">
        <v>982</v>
      </c>
      <c r="G302" s="1">
        <v>2</v>
      </c>
      <c r="H302" s="5" t="s">
        <v>982</v>
      </c>
      <c r="I302" s="1">
        <v>8</v>
      </c>
      <c r="J302" s="5" t="s">
        <v>981</v>
      </c>
      <c r="K302" s="1">
        <v>2</v>
      </c>
      <c r="L302" s="5" t="s">
        <v>983</v>
      </c>
      <c r="M302" s="1">
        <v>12</v>
      </c>
      <c r="N302" s="5" t="s">
        <v>981</v>
      </c>
      <c r="O302" s="1">
        <v>0</v>
      </c>
      <c r="P302" s="5" t="s">
        <v>983</v>
      </c>
      <c r="Q302" s="1">
        <v>1</v>
      </c>
      <c r="R302" s="1">
        <v>0</v>
      </c>
      <c r="S302" s="1">
        <v>1</v>
      </c>
      <c r="T302" s="1" t="s">
        <v>194</v>
      </c>
      <c r="U302" s="1">
        <v>3</v>
      </c>
      <c r="V302" s="1">
        <v>50</v>
      </c>
      <c r="W302" s="1">
        <v>0</v>
      </c>
      <c r="X302" s="1">
        <v>4</v>
      </c>
      <c r="Y302" s="1">
        <v>32</v>
      </c>
      <c r="Z302" s="1">
        <v>850000</v>
      </c>
      <c r="AA302" s="1">
        <v>2</v>
      </c>
    </row>
    <row r="303" spans="1:27" ht="12.75" customHeight="1" x14ac:dyDescent="0.15">
      <c r="A303" s="5">
        <v>360</v>
      </c>
      <c r="B303" s="5" t="s">
        <v>238</v>
      </c>
      <c r="C303" s="1">
        <v>19</v>
      </c>
      <c r="D303" s="5" t="s">
        <v>982</v>
      </c>
      <c r="E303" s="1">
        <v>5</v>
      </c>
      <c r="F303" s="5" t="s">
        <v>981</v>
      </c>
      <c r="G303" s="1">
        <v>2</v>
      </c>
      <c r="H303" s="5" t="s">
        <v>982</v>
      </c>
      <c r="I303" s="1">
        <v>10</v>
      </c>
      <c r="J303" s="5" t="s">
        <v>981</v>
      </c>
      <c r="K303" s="1">
        <v>2</v>
      </c>
      <c r="L303" s="5" t="s">
        <v>983</v>
      </c>
      <c r="M303" s="1">
        <v>6</v>
      </c>
      <c r="N303" s="5" t="s">
        <v>981</v>
      </c>
      <c r="O303" s="1">
        <v>1</v>
      </c>
      <c r="P303" s="5" t="s">
        <v>982</v>
      </c>
      <c r="Q303" s="1">
        <v>1</v>
      </c>
      <c r="R303" s="1">
        <v>1</v>
      </c>
      <c r="S303" s="1">
        <v>1</v>
      </c>
      <c r="T303" s="1">
        <v>4</v>
      </c>
      <c r="U303" s="1">
        <v>3</v>
      </c>
      <c r="V303" s="1">
        <v>58</v>
      </c>
      <c r="W303" s="1">
        <v>1</v>
      </c>
      <c r="X303" s="1">
        <v>14</v>
      </c>
      <c r="Y303" s="1">
        <v>3</v>
      </c>
      <c r="Z303" s="1">
        <v>0</v>
      </c>
      <c r="AA303" s="1">
        <v>1</v>
      </c>
    </row>
    <row r="304" spans="1:27" ht="12.75" customHeight="1" x14ac:dyDescent="0.15">
      <c r="A304" s="5">
        <v>206</v>
      </c>
      <c r="B304" s="5" t="s">
        <v>238</v>
      </c>
      <c r="C304" s="1">
        <v>20</v>
      </c>
      <c r="D304" s="5" t="s">
        <v>982</v>
      </c>
      <c r="E304" s="1">
        <v>2</v>
      </c>
      <c r="F304" s="5" t="s">
        <v>982</v>
      </c>
      <c r="G304" s="1">
        <v>3</v>
      </c>
      <c r="H304" s="5" t="s">
        <v>982</v>
      </c>
      <c r="I304" s="1">
        <v>3</v>
      </c>
      <c r="J304" s="5" t="s">
        <v>982</v>
      </c>
      <c r="K304" s="1">
        <v>2</v>
      </c>
      <c r="L304" s="5" t="s">
        <v>983</v>
      </c>
      <c r="M304" s="1">
        <v>1</v>
      </c>
      <c r="N304" s="5" t="s">
        <v>983</v>
      </c>
      <c r="O304" s="1">
        <v>0</v>
      </c>
      <c r="P304" s="5" t="s">
        <v>983</v>
      </c>
      <c r="Q304" s="1">
        <v>1</v>
      </c>
      <c r="R304" s="1">
        <v>0</v>
      </c>
      <c r="S304" s="1">
        <v>1</v>
      </c>
      <c r="T304" s="1">
        <v>1</v>
      </c>
      <c r="U304" s="1">
        <v>1</v>
      </c>
      <c r="V304" s="1">
        <v>44</v>
      </c>
      <c r="W304" s="1">
        <v>1</v>
      </c>
      <c r="X304" s="1">
        <v>15</v>
      </c>
      <c r="Y304" s="1">
        <v>9</v>
      </c>
      <c r="Z304" s="1">
        <v>900000</v>
      </c>
      <c r="AA304" s="1">
        <v>3</v>
      </c>
    </row>
    <row r="305" spans="1:27" ht="12.75" customHeight="1" x14ac:dyDescent="0.15">
      <c r="A305" s="5">
        <v>279</v>
      </c>
      <c r="B305" s="5" t="s">
        <v>238</v>
      </c>
      <c r="C305" s="1">
        <v>20</v>
      </c>
      <c r="D305" s="5" t="s">
        <v>982</v>
      </c>
      <c r="E305" s="1">
        <v>5</v>
      </c>
      <c r="F305" s="5" t="s">
        <v>981</v>
      </c>
      <c r="G305" s="1">
        <v>3</v>
      </c>
      <c r="H305" s="5" t="s">
        <v>982</v>
      </c>
      <c r="I305" s="1">
        <v>0</v>
      </c>
      <c r="J305" s="5" t="s">
        <v>983</v>
      </c>
      <c r="K305" s="1">
        <v>2</v>
      </c>
      <c r="L305" s="5" t="s">
        <v>983</v>
      </c>
      <c r="M305" s="1">
        <v>1</v>
      </c>
      <c r="N305" s="5" t="s">
        <v>983</v>
      </c>
      <c r="O305" s="1">
        <v>1</v>
      </c>
      <c r="P305" s="5" t="s">
        <v>982</v>
      </c>
      <c r="Q305" s="1">
        <v>0</v>
      </c>
      <c r="R305" s="1">
        <v>0</v>
      </c>
      <c r="S305" s="1">
        <v>1</v>
      </c>
      <c r="T305" s="1" t="s">
        <v>194</v>
      </c>
      <c r="U305" s="1">
        <v>3</v>
      </c>
      <c r="V305" s="1">
        <v>61</v>
      </c>
      <c r="W305" s="1">
        <v>1</v>
      </c>
      <c r="X305" s="1">
        <v>14</v>
      </c>
      <c r="Y305" s="1">
        <v>27</v>
      </c>
      <c r="Z305" s="1">
        <v>600000</v>
      </c>
      <c r="AA305" s="1">
        <v>3</v>
      </c>
    </row>
    <row r="306" spans="1:27" ht="12.75" customHeight="1" x14ac:dyDescent="0.15">
      <c r="A306" s="5">
        <v>379</v>
      </c>
      <c r="B306" s="5" t="s">
        <v>238</v>
      </c>
      <c r="C306" s="1">
        <v>29</v>
      </c>
      <c r="D306" s="5" t="s">
        <v>981</v>
      </c>
      <c r="E306" s="1">
        <v>0</v>
      </c>
      <c r="F306" s="5" t="s">
        <v>983</v>
      </c>
      <c r="G306" s="1">
        <v>4</v>
      </c>
      <c r="H306" s="5" t="s">
        <v>982</v>
      </c>
      <c r="I306" s="1">
        <v>12</v>
      </c>
      <c r="J306" s="5" t="s">
        <v>981</v>
      </c>
      <c r="K306" s="1">
        <v>2</v>
      </c>
      <c r="L306" s="5" t="s">
        <v>983</v>
      </c>
      <c r="M306" s="1">
        <v>3</v>
      </c>
      <c r="N306" s="5" t="s">
        <v>982</v>
      </c>
      <c r="O306" s="1">
        <v>0</v>
      </c>
      <c r="P306" s="5" t="s">
        <v>983</v>
      </c>
      <c r="Q306" s="1">
        <v>0</v>
      </c>
      <c r="R306" s="1">
        <v>1</v>
      </c>
      <c r="S306" s="1">
        <v>1</v>
      </c>
      <c r="T306" s="1">
        <v>4</v>
      </c>
      <c r="U306" s="1">
        <v>2</v>
      </c>
      <c r="V306" s="1">
        <v>67</v>
      </c>
      <c r="W306" s="1">
        <v>0</v>
      </c>
      <c r="X306" s="1">
        <v>6</v>
      </c>
      <c r="Y306" s="1">
        <v>3</v>
      </c>
      <c r="Z306" s="1">
        <v>0</v>
      </c>
      <c r="AA306" s="1">
        <v>1</v>
      </c>
    </row>
    <row r="307" spans="1:27" ht="12.75" customHeight="1" x14ac:dyDescent="0.15">
      <c r="A307" s="5">
        <v>79</v>
      </c>
      <c r="B307" s="5" t="s">
        <v>238</v>
      </c>
      <c r="C307" s="1">
        <v>24</v>
      </c>
      <c r="D307" s="5" t="s">
        <v>981</v>
      </c>
      <c r="E307" s="1">
        <v>3</v>
      </c>
      <c r="F307" s="5" t="s">
        <v>982</v>
      </c>
      <c r="G307" s="1">
        <v>4</v>
      </c>
      <c r="H307" s="5" t="s">
        <v>982</v>
      </c>
      <c r="I307" s="1">
        <v>0</v>
      </c>
      <c r="J307" s="5" t="s">
        <v>983</v>
      </c>
      <c r="K307" s="1">
        <v>2</v>
      </c>
      <c r="L307" s="5" t="s">
        <v>983</v>
      </c>
      <c r="M307" s="1">
        <v>0</v>
      </c>
      <c r="N307" s="5" t="s">
        <v>983</v>
      </c>
      <c r="O307" s="1">
        <v>0</v>
      </c>
      <c r="P307" s="5" t="s">
        <v>983</v>
      </c>
      <c r="Q307" s="1">
        <v>0</v>
      </c>
      <c r="R307" s="1">
        <v>0</v>
      </c>
      <c r="S307" s="1" t="s">
        <v>194</v>
      </c>
      <c r="T307" s="1">
        <v>5</v>
      </c>
      <c r="U307" s="1">
        <v>3</v>
      </c>
      <c r="V307" s="1">
        <v>41</v>
      </c>
      <c r="W307" s="1">
        <v>0</v>
      </c>
      <c r="X307" s="1">
        <v>15</v>
      </c>
      <c r="Y307" s="1">
        <v>34</v>
      </c>
      <c r="Z307" s="1">
        <v>400000</v>
      </c>
      <c r="AA307" s="1">
        <v>1</v>
      </c>
    </row>
    <row r="308" spans="1:27" ht="12.75" customHeight="1" x14ac:dyDescent="0.15">
      <c r="A308" s="5">
        <v>240</v>
      </c>
      <c r="B308" s="5" t="s">
        <v>238</v>
      </c>
      <c r="C308" s="1">
        <v>14</v>
      </c>
      <c r="D308" s="5" t="s">
        <v>983</v>
      </c>
      <c r="E308" s="1">
        <v>5</v>
      </c>
      <c r="F308" s="5" t="s">
        <v>981</v>
      </c>
      <c r="G308" s="1">
        <v>4</v>
      </c>
      <c r="H308" s="5" t="s">
        <v>982</v>
      </c>
      <c r="I308" s="1">
        <v>4</v>
      </c>
      <c r="J308" s="5" t="s">
        <v>982</v>
      </c>
      <c r="K308" s="1">
        <v>2</v>
      </c>
      <c r="L308" s="5" t="s">
        <v>983</v>
      </c>
      <c r="M308" s="1">
        <v>0</v>
      </c>
      <c r="N308" s="5" t="s">
        <v>983</v>
      </c>
      <c r="O308" s="1">
        <v>0</v>
      </c>
      <c r="P308" s="5" t="s">
        <v>983</v>
      </c>
      <c r="Q308" s="1">
        <v>0</v>
      </c>
      <c r="R308" s="1">
        <v>0</v>
      </c>
      <c r="S308" s="1" t="s">
        <v>194</v>
      </c>
      <c r="T308" s="1">
        <v>3</v>
      </c>
      <c r="U308" s="1">
        <v>2</v>
      </c>
      <c r="V308" s="1"/>
      <c r="W308" s="1">
        <v>0</v>
      </c>
      <c r="Y308" s="1">
        <v>6</v>
      </c>
      <c r="AA308" s="1">
        <v>2</v>
      </c>
    </row>
    <row r="309" spans="1:27" ht="12.75" customHeight="1" x14ac:dyDescent="0.15">
      <c r="A309" s="5">
        <v>258</v>
      </c>
      <c r="B309" s="5" t="s">
        <v>238</v>
      </c>
      <c r="C309" s="1">
        <v>13</v>
      </c>
      <c r="D309" s="5" t="s">
        <v>983</v>
      </c>
      <c r="E309" s="1">
        <v>6</v>
      </c>
      <c r="F309" s="5" t="s">
        <v>981</v>
      </c>
      <c r="G309" s="1">
        <v>4</v>
      </c>
      <c r="H309" s="5" t="s">
        <v>982</v>
      </c>
      <c r="I309" s="1">
        <v>8</v>
      </c>
      <c r="J309" s="5" t="s">
        <v>981</v>
      </c>
      <c r="K309" s="1">
        <v>2</v>
      </c>
      <c r="L309" s="5" t="s">
        <v>983</v>
      </c>
      <c r="M309" s="1">
        <v>3</v>
      </c>
      <c r="N309" s="5" t="s">
        <v>982</v>
      </c>
      <c r="O309" s="1">
        <v>0</v>
      </c>
      <c r="P309" s="5" t="s">
        <v>983</v>
      </c>
      <c r="Q309" s="1">
        <v>0</v>
      </c>
      <c r="R309" s="1">
        <v>0</v>
      </c>
      <c r="S309" s="1" t="s">
        <v>194</v>
      </c>
      <c r="T309" s="1" t="s">
        <v>194</v>
      </c>
      <c r="U309" s="1" t="s">
        <v>194</v>
      </c>
      <c r="V309" s="1"/>
      <c r="W309" s="1">
        <v>0</v>
      </c>
      <c r="Y309" s="1">
        <v>29</v>
      </c>
      <c r="AA309" s="1">
        <v>3</v>
      </c>
    </row>
    <row r="310" spans="1:27" ht="12.75" customHeight="1" x14ac:dyDescent="0.15">
      <c r="A310" s="5">
        <v>241</v>
      </c>
      <c r="B310" s="5" t="s">
        <v>238</v>
      </c>
      <c r="C310" s="1">
        <v>27</v>
      </c>
      <c r="D310" s="5" t="s">
        <v>981</v>
      </c>
      <c r="E310" s="1">
        <v>6</v>
      </c>
      <c r="F310" s="5" t="s">
        <v>981</v>
      </c>
      <c r="G310" s="1">
        <v>4</v>
      </c>
      <c r="H310" s="5" t="s">
        <v>982</v>
      </c>
      <c r="I310" s="1">
        <v>7</v>
      </c>
      <c r="J310" s="5" t="s">
        <v>981</v>
      </c>
      <c r="K310" s="1">
        <v>2</v>
      </c>
      <c r="L310" s="5" t="s">
        <v>983</v>
      </c>
      <c r="M310" s="1">
        <v>1</v>
      </c>
      <c r="N310" s="5" t="s">
        <v>983</v>
      </c>
      <c r="O310" s="1">
        <v>0</v>
      </c>
      <c r="P310" s="5" t="s">
        <v>983</v>
      </c>
      <c r="Q310" s="1">
        <v>1</v>
      </c>
      <c r="R310" s="1">
        <v>0</v>
      </c>
      <c r="S310" s="1">
        <v>1</v>
      </c>
      <c r="T310" s="1">
        <v>3</v>
      </c>
      <c r="U310" s="1">
        <v>3</v>
      </c>
      <c r="V310" s="1"/>
      <c r="W310" s="1">
        <v>0</v>
      </c>
      <c r="Y310" s="1">
        <v>6</v>
      </c>
      <c r="AA310" s="1">
        <v>2</v>
      </c>
    </row>
    <row r="311" spans="1:27" ht="12.75" customHeight="1" x14ac:dyDescent="0.15">
      <c r="A311" s="5">
        <v>215</v>
      </c>
      <c r="B311" s="5" t="s">
        <v>238</v>
      </c>
      <c r="C311" s="1">
        <v>22</v>
      </c>
      <c r="D311" s="5" t="s">
        <v>982</v>
      </c>
      <c r="E311" s="1">
        <v>7</v>
      </c>
      <c r="F311" s="5" t="s">
        <v>981</v>
      </c>
      <c r="G311" s="1">
        <v>4</v>
      </c>
      <c r="H311" s="5" t="s">
        <v>982</v>
      </c>
      <c r="I311" s="1">
        <v>4</v>
      </c>
      <c r="J311" s="5" t="s">
        <v>982</v>
      </c>
      <c r="K311" s="1">
        <v>2</v>
      </c>
      <c r="L311" s="5" t="s">
        <v>983</v>
      </c>
      <c r="M311" s="1">
        <v>1</v>
      </c>
      <c r="N311" s="5" t="s">
        <v>983</v>
      </c>
      <c r="O311" s="1">
        <v>0</v>
      </c>
      <c r="P311" s="5" t="s">
        <v>983</v>
      </c>
      <c r="Q311" s="1">
        <v>1</v>
      </c>
      <c r="R311" s="1">
        <v>0</v>
      </c>
      <c r="S311" s="1">
        <v>1</v>
      </c>
      <c r="T311" s="1">
        <v>3</v>
      </c>
      <c r="U311" s="1">
        <v>2</v>
      </c>
      <c r="V311" s="1">
        <v>35</v>
      </c>
      <c r="W311" s="1">
        <v>0</v>
      </c>
      <c r="X311" s="1">
        <v>18</v>
      </c>
      <c r="Y311" s="1">
        <v>2</v>
      </c>
      <c r="Z311" s="1">
        <v>0</v>
      </c>
      <c r="AA311" s="1">
        <v>3</v>
      </c>
    </row>
    <row r="312" spans="1:27" ht="12.75" customHeight="1" x14ac:dyDescent="0.15">
      <c r="A312" s="5">
        <v>7</v>
      </c>
      <c r="B312" s="5" t="s">
        <v>238</v>
      </c>
      <c r="C312" s="1">
        <v>22</v>
      </c>
      <c r="D312" s="5" t="s">
        <v>982</v>
      </c>
      <c r="E312" s="1">
        <v>0</v>
      </c>
      <c r="F312" s="5" t="s">
        <v>983</v>
      </c>
      <c r="G312" s="1">
        <v>5</v>
      </c>
      <c r="H312" s="5" t="s">
        <v>982</v>
      </c>
      <c r="I312" s="1">
        <v>2</v>
      </c>
      <c r="J312" s="5" t="s">
        <v>982</v>
      </c>
      <c r="K312" s="1">
        <v>2</v>
      </c>
      <c r="L312" s="5" t="s">
        <v>983</v>
      </c>
      <c r="M312" s="1">
        <v>0</v>
      </c>
      <c r="N312" s="5" t="s">
        <v>983</v>
      </c>
      <c r="O312" s="1">
        <v>0</v>
      </c>
      <c r="P312" s="5" t="s">
        <v>983</v>
      </c>
      <c r="Q312" s="1">
        <v>1</v>
      </c>
      <c r="R312" s="1">
        <v>0</v>
      </c>
      <c r="S312" s="1" t="s">
        <v>194</v>
      </c>
      <c r="T312" s="1">
        <v>5</v>
      </c>
      <c r="U312" s="1">
        <v>2</v>
      </c>
      <c r="V312" s="1"/>
      <c r="W312" s="1">
        <v>0</v>
      </c>
      <c r="Y312" s="1">
        <v>34</v>
      </c>
      <c r="AA312" s="1">
        <v>2</v>
      </c>
    </row>
    <row r="313" spans="1:27" ht="12.75" customHeight="1" x14ac:dyDescent="0.15">
      <c r="A313" s="5">
        <v>90</v>
      </c>
      <c r="B313" s="5" t="s">
        <v>238</v>
      </c>
      <c r="C313" s="1">
        <v>27</v>
      </c>
      <c r="D313" s="5" t="s">
        <v>981</v>
      </c>
      <c r="E313" s="1">
        <v>1</v>
      </c>
      <c r="F313" s="5" t="s">
        <v>983</v>
      </c>
      <c r="G313" s="1">
        <v>5</v>
      </c>
      <c r="H313" s="5" t="s">
        <v>982</v>
      </c>
      <c r="I313" s="1">
        <v>12</v>
      </c>
      <c r="J313" s="5" t="s">
        <v>981</v>
      </c>
      <c r="K313" s="1">
        <v>2</v>
      </c>
      <c r="L313" s="5" t="s">
        <v>983</v>
      </c>
      <c r="M313" s="1">
        <v>2</v>
      </c>
      <c r="N313" s="5" t="s">
        <v>983</v>
      </c>
      <c r="O313" s="1">
        <v>0</v>
      </c>
      <c r="P313" s="5" t="s">
        <v>983</v>
      </c>
      <c r="Q313" s="1">
        <v>1</v>
      </c>
      <c r="R313" s="1">
        <v>0</v>
      </c>
      <c r="S313" s="1">
        <v>1</v>
      </c>
      <c r="T313" s="1">
        <v>3</v>
      </c>
      <c r="U313" s="1">
        <v>4</v>
      </c>
      <c r="V313" s="1"/>
      <c r="W313" s="1">
        <v>1</v>
      </c>
      <c r="X313" s="1">
        <v>17</v>
      </c>
      <c r="Y313" s="1">
        <v>34</v>
      </c>
      <c r="Z313" s="1">
        <v>850000</v>
      </c>
      <c r="AA313" s="1">
        <v>3</v>
      </c>
    </row>
    <row r="314" spans="1:27" ht="12.75" customHeight="1" x14ac:dyDescent="0.15">
      <c r="A314" s="5">
        <v>275</v>
      </c>
      <c r="B314" s="5" t="s">
        <v>238</v>
      </c>
      <c r="C314" s="1">
        <v>22</v>
      </c>
      <c r="D314" s="5" t="s">
        <v>982</v>
      </c>
      <c r="E314" s="1">
        <v>3</v>
      </c>
      <c r="F314" s="5" t="s">
        <v>982</v>
      </c>
      <c r="G314" s="1">
        <v>5</v>
      </c>
      <c r="H314" s="5" t="s">
        <v>982</v>
      </c>
      <c r="I314" s="1">
        <v>0</v>
      </c>
      <c r="J314" s="5" t="s">
        <v>983</v>
      </c>
      <c r="K314" s="1">
        <v>2</v>
      </c>
      <c r="L314" s="5" t="s">
        <v>983</v>
      </c>
      <c r="M314" s="1">
        <v>6</v>
      </c>
      <c r="N314" s="5" t="s">
        <v>981</v>
      </c>
      <c r="O314" s="1">
        <v>0</v>
      </c>
      <c r="P314" s="5" t="s">
        <v>983</v>
      </c>
      <c r="Q314" s="1">
        <v>0</v>
      </c>
      <c r="R314" s="1">
        <v>0</v>
      </c>
      <c r="S314" s="1" t="s">
        <v>194</v>
      </c>
      <c r="T314" s="1" t="s">
        <v>194</v>
      </c>
      <c r="U314" s="1">
        <v>2</v>
      </c>
      <c r="V314" s="1">
        <v>35</v>
      </c>
      <c r="W314" s="1">
        <v>0</v>
      </c>
      <c r="X314" s="1">
        <v>16</v>
      </c>
      <c r="Y314" s="1">
        <v>1</v>
      </c>
      <c r="Z314" s="1">
        <v>250000</v>
      </c>
      <c r="AA314" s="1">
        <v>1</v>
      </c>
    </row>
    <row r="315" spans="1:27" ht="12.75" customHeight="1" x14ac:dyDescent="0.15">
      <c r="A315" s="5">
        <v>409</v>
      </c>
      <c r="B315" s="5" t="s">
        <v>238</v>
      </c>
      <c r="C315" s="1">
        <v>16</v>
      </c>
      <c r="D315" s="5" t="s">
        <v>983</v>
      </c>
      <c r="E315" s="1">
        <v>5</v>
      </c>
      <c r="F315" s="5" t="s">
        <v>981</v>
      </c>
      <c r="G315" s="1">
        <v>5</v>
      </c>
      <c r="H315" s="5" t="s">
        <v>982</v>
      </c>
      <c r="I315" s="1">
        <v>8</v>
      </c>
      <c r="J315" s="5" t="s">
        <v>981</v>
      </c>
      <c r="K315" s="1">
        <v>2</v>
      </c>
      <c r="L315" s="5" t="s">
        <v>983</v>
      </c>
      <c r="M315" s="1">
        <v>2</v>
      </c>
      <c r="N315" s="5" t="s">
        <v>983</v>
      </c>
      <c r="O315" s="1">
        <v>1</v>
      </c>
      <c r="P315" s="5" t="s">
        <v>982</v>
      </c>
      <c r="Q315" s="1">
        <v>0</v>
      </c>
      <c r="R315" s="1">
        <v>1</v>
      </c>
      <c r="S315" s="1" t="s">
        <v>194</v>
      </c>
      <c r="T315" s="1">
        <v>3</v>
      </c>
      <c r="U315" s="1">
        <v>3</v>
      </c>
      <c r="V315" s="1">
        <v>25</v>
      </c>
      <c r="W315" s="1">
        <v>0</v>
      </c>
      <c r="X315" s="1">
        <v>18</v>
      </c>
      <c r="Y315" s="1">
        <v>24</v>
      </c>
      <c r="Z315" s="1">
        <v>450000</v>
      </c>
      <c r="AA315" s="1">
        <v>2</v>
      </c>
    </row>
    <row r="316" spans="1:27" ht="12.75" customHeight="1" x14ac:dyDescent="0.15">
      <c r="A316" s="5">
        <v>365</v>
      </c>
      <c r="B316" s="5" t="s">
        <v>238</v>
      </c>
      <c r="C316" s="1">
        <v>34</v>
      </c>
      <c r="D316" s="5" t="s">
        <v>981</v>
      </c>
      <c r="E316" s="1">
        <v>6</v>
      </c>
      <c r="F316" s="5" t="s">
        <v>981</v>
      </c>
      <c r="G316" s="1">
        <v>5</v>
      </c>
      <c r="H316" s="5" t="s">
        <v>982</v>
      </c>
      <c r="I316" s="1">
        <v>15</v>
      </c>
      <c r="J316" s="5" t="s">
        <v>981</v>
      </c>
      <c r="K316" s="1">
        <v>2</v>
      </c>
      <c r="L316" s="5" t="s">
        <v>983</v>
      </c>
      <c r="M316" s="1">
        <v>0</v>
      </c>
      <c r="N316" s="5" t="s">
        <v>983</v>
      </c>
      <c r="O316" s="1">
        <v>0</v>
      </c>
      <c r="P316" s="5" t="s">
        <v>983</v>
      </c>
      <c r="Q316" s="1">
        <v>0</v>
      </c>
      <c r="R316" s="1">
        <v>0</v>
      </c>
      <c r="S316" s="1" t="s">
        <v>194</v>
      </c>
      <c r="T316" s="1">
        <v>3</v>
      </c>
      <c r="U316" s="1">
        <v>2</v>
      </c>
      <c r="V316" s="1">
        <v>56</v>
      </c>
      <c r="W316" s="1">
        <v>0</v>
      </c>
      <c r="X316" s="1">
        <v>2</v>
      </c>
      <c r="Y316" s="1">
        <v>11</v>
      </c>
      <c r="Z316" s="1">
        <v>0</v>
      </c>
      <c r="AA316" s="1">
        <v>2</v>
      </c>
    </row>
    <row r="317" spans="1:27" ht="12.75" customHeight="1" x14ac:dyDescent="0.15">
      <c r="A317" s="5">
        <v>205</v>
      </c>
      <c r="B317" s="5" t="s">
        <v>238</v>
      </c>
      <c r="C317" s="1">
        <v>25</v>
      </c>
      <c r="D317" s="5" t="s">
        <v>981</v>
      </c>
      <c r="E317" s="1">
        <v>6</v>
      </c>
      <c r="F317" s="5" t="s">
        <v>981</v>
      </c>
      <c r="G317" s="1">
        <v>6</v>
      </c>
      <c r="H317" s="5" t="s">
        <v>981</v>
      </c>
      <c r="I317" s="1">
        <v>9</v>
      </c>
      <c r="J317" s="5" t="s">
        <v>981</v>
      </c>
      <c r="K317" s="1">
        <v>2</v>
      </c>
      <c r="L317" s="5" t="s">
        <v>983</v>
      </c>
      <c r="M317" s="1">
        <v>5</v>
      </c>
      <c r="N317" s="5" t="s">
        <v>982</v>
      </c>
      <c r="O317" s="1">
        <v>3</v>
      </c>
      <c r="P317" s="5" t="s">
        <v>982</v>
      </c>
      <c r="Q317" s="1">
        <v>1</v>
      </c>
      <c r="R317" s="1">
        <v>0</v>
      </c>
      <c r="S317" s="1">
        <v>1</v>
      </c>
      <c r="T317" s="1" t="s">
        <v>194</v>
      </c>
      <c r="U317" s="1">
        <v>5</v>
      </c>
      <c r="V317" s="1">
        <v>45</v>
      </c>
      <c r="W317" s="1">
        <v>1</v>
      </c>
      <c r="X317" s="1">
        <v>1</v>
      </c>
      <c r="Y317" s="1">
        <v>18</v>
      </c>
      <c r="Z317" s="1">
        <v>200000</v>
      </c>
      <c r="AA317" s="1">
        <v>2</v>
      </c>
    </row>
    <row r="318" spans="1:27" ht="12.75" customHeight="1" x14ac:dyDescent="0.15">
      <c r="A318" s="5">
        <v>185</v>
      </c>
      <c r="B318" s="5" t="s">
        <v>238</v>
      </c>
      <c r="C318" s="1">
        <v>37</v>
      </c>
      <c r="D318" s="5" t="s">
        <v>981</v>
      </c>
      <c r="E318" s="1">
        <v>6</v>
      </c>
      <c r="F318" s="5" t="s">
        <v>981</v>
      </c>
      <c r="G318" s="1">
        <v>6</v>
      </c>
      <c r="H318" s="5" t="s">
        <v>981</v>
      </c>
      <c r="I318" s="1">
        <v>16</v>
      </c>
      <c r="J318" s="5" t="s">
        <v>981</v>
      </c>
      <c r="K318" s="1">
        <v>2</v>
      </c>
      <c r="L318" s="5" t="s">
        <v>983</v>
      </c>
      <c r="M318" s="1">
        <v>3</v>
      </c>
      <c r="N318" s="5" t="s">
        <v>982</v>
      </c>
      <c r="O318" s="1">
        <v>0</v>
      </c>
      <c r="P318" s="5" t="s">
        <v>983</v>
      </c>
      <c r="Q318" s="1">
        <v>0</v>
      </c>
      <c r="R318" s="1">
        <v>0</v>
      </c>
      <c r="S318" s="1" t="s">
        <v>194</v>
      </c>
      <c r="T318" s="1">
        <v>1</v>
      </c>
      <c r="U318" s="1">
        <v>3</v>
      </c>
      <c r="V318" s="1">
        <v>47</v>
      </c>
      <c r="W318" s="1">
        <v>0</v>
      </c>
      <c r="X318" s="1">
        <v>14</v>
      </c>
      <c r="Y318" s="1">
        <v>24</v>
      </c>
      <c r="Z318" s="1">
        <v>700000</v>
      </c>
      <c r="AA318" s="1">
        <v>6</v>
      </c>
    </row>
    <row r="319" spans="1:27" ht="12.75" customHeight="1" x14ac:dyDescent="0.15">
      <c r="A319" s="5">
        <v>94</v>
      </c>
      <c r="B319" s="5" t="s">
        <v>238</v>
      </c>
      <c r="C319" s="1">
        <v>30</v>
      </c>
      <c r="D319" s="5" t="s">
        <v>981</v>
      </c>
      <c r="E319" s="1">
        <v>7</v>
      </c>
      <c r="F319" s="5" t="s">
        <v>981</v>
      </c>
      <c r="G319" s="1">
        <v>6</v>
      </c>
      <c r="H319" s="5" t="s">
        <v>981</v>
      </c>
      <c r="I319" s="1">
        <v>9</v>
      </c>
      <c r="J319" s="5" t="s">
        <v>981</v>
      </c>
      <c r="K319" s="1">
        <v>2</v>
      </c>
      <c r="L319" s="5" t="s">
        <v>983</v>
      </c>
      <c r="M319" s="1">
        <v>8</v>
      </c>
      <c r="N319" s="5" t="s">
        <v>981</v>
      </c>
      <c r="O319" s="1">
        <v>0</v>
      </c>
      <c r="P319" s="5" t="s">
        <v>983</v>
      </c>
      <c r="Q319" s="1">
        <v>0</v>
      </c>
      <c r="R319" s="1">
        <v>0</v>
      </c>
      <c r="S319" s="1" t="s">
        <v>194</v>
      </c>
      <c r="T319" s="1">
        <v>5</v>
      </c>
      <c r="U319" s="1">
        <v>5</v>
      </c>
      <c r="V319" s="1">
        <v>41</v>
      </c>
      <c r="W319" s="1">
        <v>1</v>
      </c>
      <c r="X319" s="1">
        <v>15</v>
      </c>
      <c r="Y319" s="1">
        <v>7</v>
      </c>
      <c r="Z319" s="1">
        <v>564000</v>
      </c>
      <c r="AA319" s="1">
        <v>5</v>
      </c>
    </row>
    <row r="320" spans="1:27" ht="12.75" customHeight="1" x14ac:dyDescent="0.15">
      <c r="A320" s="5">
        <v>259</v>
      </c>
      <c r="B320" s="5" t="s">
        <v>238</v>
      </c>
      <c r="C320" s="1">
        <v>31</v>
      </c>
      <c r="D320" s="5" t="s">
        <v>981</v>
      </c>
      <c r="E320" s="1">
        <v>7</v>
      </c>
      <c r="F320" s="5" t="s">
        <v>981</v>
      </c>
      <c r="G320" s="1">
        <v>6</v>
      </c>
      <c r="H320" s="5" t="s">
        <v>981</v>
      </c>
      <c r="I320" s="1">
        <v>7</v>
      </c>
      <c r="J320" s="5" t="s">
        <v>981</v>
      </c>
      <c r="K320" s="1">
        <v>2</v>
      </c>
      <c r="L320" s="5" t="s">
        <v>983</v>
      </c>
      <c r="M320" s="1">
        <v>6</v>
      </c>
      <c r="N320" s="5" t="s">
        <v>981</v>
      </c>
      <c r="O320" s="1">
        <v>0</v>
      </c>
      <c r="P320" s="5" t="s">
        <v>983</v>
      </c>
      <c r="Q320" s="1">
        <v>0</v>
      </c>
      <c r="R320" s="1">
        <v>0</v>
      </c>
      <c r="S320" s="1" t="s">
        <v>194</v>
      </c>
      <c r="T320" s="1" t="s">
        <v>194</v>
      </c>
      <c r="U320" s="1">
        <v>2</v>
      </c>
      <c r="V320" s="1">
        <v>39</v>
      </c>
      <c r="W320" s="1">
        <v>1</v>
      </c>
      <c r="X320" s="1">
        <v>18</v>
      </c>
      <c r="Y320" s="1">
        <v>18</v>
      </c>
      <c r="Z320" s="1">
        <v>950000</v>
      </c>
      <c r="AA320" s="1">
        <v>1</v>
      </c>
    </row>
    <row r="321" spans="1:27" ht="12.75" customHeight="1" x14ac:dyDescent="0.15">
      <c r="A321" s="5">
        <v>38</v>
      </c>
      <c r="B321" s="5" t="s">
        <v>238</v>
      </c>
      <c r="C321" s="1">
        <v>26</v>
      </c>
      <c r="D321" s="5" t="s">
        <v>981</v>
      </c>
      <c r="E321" s="1">
        <v>0</v>
      </c>
      <c r="F321" s="5" t="s">
        <v>983</v>
      </c>
      <c r="G321" s="1">
        <v>8</v>
      </c>
      <c r="H321" s="5" t="s">
        <v>981</v>
      </c>
      <c r="I321" s="1">
        <v>8</v>
      </c>
      <c r="J321" s="5" t="s">
        <v>981</v>
      </c>
      <c r="K321" s="1">
        <v>2</v>
      </c>
      <c r="L321" s="5" t="s">
        <v>983</v>
      </c>
      <c r="M321" s="1">
        <v>5</v>
      </c>
      <c r="N321" s="5" t="s">
        <v>982</v>
      </c>
      <c r="O321" s="1">
        <v>0</v>
      </c>
      <c r="P321" s="5" t="s">
        <v>983</v>
      </c>
      <c r="Q321" s="1">
        <v>0</v>
      </c>
      <c r="R321" s="1">
        <v>0</v>
      </c>
      <c r="S321" s="1" t="s">
        <v>194</v>
      </c>
      <c r="T321" s="1" t="s">
        <v>194</v>
      </c>
      <c r="U321" s="1">
        <v>1</v>
      </c>
      <c r="V321" s="1">
        <v>44</v>
      </c>
      <c r="W321" s="1">
        <v>0</v>
      </c>
      <c r="X321" s="1">
        <v>14</v>
      </c>
      <c r="Y321" s="1">
        <v>34</v>
      </c>
      <c r="Z321" s="1">
        <v>0</v>
      </c>
      <c r="AA321" s="1">
        <v>2</v>
      </c>
    </row>
    <row r="322" spans="1:27" ht="12.75" customHeight="1" x14ac:dyDescent="0.15">
      <c r="A322" s="5">
        <v>316</v>
      </c>
      <c r="B322" s="5" t="s">
        <v>238</v>
      </c>
      <c r="C322" s="1">
        <v>23</v>
      </c>
      <c r="D322" s="5" t="s">
        <v>982</v>
      </c>
      <c r="E322" s="1">
        <v>3</v>
      </c>
      <c r="F322" s="5" t="s">
        <v>982</v>
      </c>
      <c r="G322" s="1">
        <v>8</v>
      </c>
      <c r="H322" s="5" t="s">
        <v>981</v>
      </c>
      <c r="I322" s="1">
        <v>16</v>
      </c>
      <c r="J322" s="5" t="s">
        <v>981</v>
      </c>
      <c r="K322" s="1">
        <v>2</v>
      </c>
      <c r="L322" s="5" t="s">
        <v>983</v>
      </c>
      <c r="M322" s="1">
        <v>6</v>
      </c>
      <c r="N322" s="5" t="s">
        <v>981</v>
      </c>
      <c r="O322" s="1">
        <v>0</v>
      </c>
      <c r="P322" s="5" t="s">
        <v>983</v>
      </c>
      <c r="Q322" s="1">
        <v>0</v>
      </c>
      <c r="R322" s="1">
        <v>0</v>
      </c>
      <c r="S322" s="1">
        <v>0</v>
      </c>
      <c r="T322" s="1">
        <v>2</v>
      </c>
      <c r="U322" s="1">
        <v>3</v>
      </c>
      <c r="V322" s="1"/>
      <c r="W322" s="1">
        <v>0</v>
      </c>
      <c r="Y322" s="1">
        <v>6</v>
      </c>
      <c r="AA322" s="1">
        <v>2</v>
      </c>
    </row>
    <row r="323" spans="1:27" ht="12.75" customHeight="1" x14ac:dyDescent="0.15">
      <c r="A323" s="5">
        <v>47</v>
      </c>
      <c r="B323" s="5" t="s">
        <v>238</v>
      </c>
      <c r="C323" s="1">
        <v>39</v>
      </c>
      <c r="D323" s="5" t="s">
        <v>981</v>
      </c>
      <c r="E323" s="1">
        <v>5</v>
      </c>
      <c r="F323" s="5" t="s">
        <v>981</v>
      </c>
      <c r="G323" s="1">
        <v>9</v>
      </c>
      <c r="H323" s="5" t="s">
        <v>981</v>
      </c>
      <c r="I323" s="1">
        <v>2</v>
      </c>
      <c r="J323" s="5" t="s">
        <v>982</v>
      </c>
      <c r="K323" s="1">
        <v>2</v>
      </c>
      <c r="L323" s="5" t="s">
        <v>983</v>
      </c>
      <c r="M323" s="1">
        <v>5</v>
      </c>
      <c r="N323" s="5" t="s">
        <v>982</v>
      </c>
      <c r="O323" s="1">
        <v>0</v>
      </c>
      <c r="P323" s="5" t="s">
        <v>983</v>
      </c>
      <c r="Q323" s="1">
        <v>1</v>
      </c>
      <c r="R323" s="1">
        <v>0</v>
      </c>
      <c r="S323" s="1">
        <v>1</v>
      </c>
      <c r="T323" s="1">
        <v>5</v>
      </c>
      <c r="U323" s="1">
        <v>5</v>
      </c>
      <c r="V323" s="1">
        <v>36</v>
      </c>
      <c r="W323" s="1">
        <v>0</v>
      </c>
      <c r="X323" s="1">
        <v>16</v>
      </c>
      <c r="Y323" s="1">
        <v>24</v>
      </c>
      <c r="Z323" s="1">
        <v>0</v>
      </c>
      <c r="AA323" s="1">
        <v>3</v>
      </c>
    </row>
    <row r="324" spans="1:27" ht="12.75" customHeight="1" x14ac:dyDescent="0.15">
      <c r="A324" s="5">
        <v>36</v>
      </c>
      <c r="B324" s="5" t="s">
        <v>238</v>
      </c>
      <c r="C324" s="1">
        <v>24</v>
      </c>
      <c r="D324" s="5" t="s">
        <v>981</v>
      </c>
      <c r="E324" s="1">
        <v>6</v>
      </c>
      <c r="F324" s="5" t="s">
        <v>981</v>
      </c>
      <c r="G324" s="1">
        <v>9</v>
      </c>
      <c r="H324" s="5" t="s">
        <v>981</v>
      </c>
      <c r="I324" s="1">
        <v>16</v>
      </c>
      <c r="J324" s="5" t="s">
        <v>981</v>
      </c>
      <c r="K324" s="1">
        <v>2</v>
      </c>
      <c r="L324" s="5" t="s">
        <v>983</v>
      </c>
      <c r="M324" s="1">
        <v>5</v>
      </c>
      <c r="N324" s="5" t="s">
        <v>982</v>
      </c>
      <c r="O324" s="1">
        <v>0</v>
      </c>
      <c r="P324" s="5" t="s">
        <v>983</v>
      </c>
      <c r="Q324" s="1">
        <v>0</v>
      </c>
      <c r="R324" s="1">
        <v>0</v>
      </c>
      <c r="S324" s="1" t="s">
        <v>194</v>
      </c>
      <c r="T324" s="1">
        <v>5</v>
      </c>
      <c r="U324" s="1">
        <v>5</v>
      </c>
      <c r="V324" s="1"/>
      <c r="W324" s="1">
        <v>0</v>
      </c>
      <c r="Y324" s="1">
        <v>11</v>
      </c>
      <c r="AA324" s="1">
        <v>5</v>
      </c>
    </row>
    <row r="325" spans="1:27" ht="12.75" customHeight="1" x14ac:dyDescent="0.15">
      <c r="A325" s="5">
        <v>341</v>
      </c>
      <c r="B325" s="5" t="s">
        <v>238</v>
      </c>
      <c r="C325" s="1">
        <v>19</v>
      </c>
      <c r="D325" s="5" t="s">
        <v>982</v>
      </c>
      <c r="E325" s="1">
        <v>3</v>
      </c>
      <c r="F325" s="5" t="s">
        <v>982</v>
      </c>
      <c r="G325" s="1">
        <v>0</v>
      </c>
      <c r="H325" s="5" t="s">
        <v>983</v>
      </c>
      <c r="I325" s="1">
        <v>14</v>
      </c>
      <c r="J325" s="5" t="s">
        <v>981</v>
      </c>
      <c r="K325" s="1">
        <v>3</v>
      </c>
      <c r="L325" s="5" t="s">
        <v>982</v>
      </c>
      <c r="M325" s="1">
        <v>3</v>
      </c>
      <c r="N325" s="5" t="s">
        <v>982</v>
      </c>
      <c r="O325" s="1">
        <v>0</v>
      </c>
      <c r="P325" s="5" t="s">
        <v>983</v>
      </c>
      <c r="Q325" s="1">
        <v>1</v>
      </c>
      <c r="R325" s="1">
        <v>0</v>
      </c>
      <c r="S325" s="1">
        <v>1</v>
      </c>
      <c r="T325" s="1">
        <v>5</v>
      </c>
      <c r="U325" s="1">
        <v>3</v>
      </c>
      <c r="V325" s="1">
        <v>52</v>
      </c>
      <c r="W325" s="1">
        <v>1</v>
      </c>
      <c r="X325" s="1">
        <v>11</v>
      </c>
      <c r="Y325" s="1">
        <v>34</v>
      </c>
      <c r="Z325" s="1">
        <v>600000</v>
      </c>
      <c r="AA325" s="1">
        <v>1</v>
      </c>
    </row>
    <row r="326" spans="1:27" ht="12.75" customHeight="1" x14ac:dyDescent="0.15">
      <c r="A326" s="5">
        <v>482</v>
      </c>
      <c r="B326" s="5" t="s">
        <v>238</v>
      </c>
      <c r="C326" s="1">
        <v>18</v>
      </c>
      <c r="D326" s="5" t="s">
        <v>983</v>
      </c>
      <c r="E326" s="1">
        <v>5</v>
      </c>
      <c r="F326" s="5" t="s">
        <v>981</v>
      </c>
      <c r="G326" s="1">
        <v>0</v>
      </c>
      <c r="H326" s="5" t="s">
        <v>983</v>
      </c>
      <c r="I326" s="1">
        <v>9</v>
      </c>
      <c r="J326" s="5" t="s">
        <v>981</v>
      </c>
      <c r="K326" s="1">
        <v>3</v>
      </c>
      <c r="L326" s="5" t="s">
        <v>982</v>
      </c>
      <c r="M326" s="1">
        <v>3</v>
      </c>
      <c r="N326" s="5" t="s">
        <v>982</v>
      </c>
      <c r="O326" s="1">
        <v>0</v>
      </c>
      <c r="P326" s="5" t="s">
        <v>983</v>
      </c>
      <c r="Q326" s="1">
        <v>0</v>
      </c>
      <c r="R326" s="1">
        <v>0</v>
      </c>
      <c r="S326" s="1" t="s">
        <v>194</v>
      </c>
      <c r="T326" s="1" t="s">
        <v>194</v>
      </c>
      <c r="U326" s="1">
        <v>3</v>
      </c>
      <c r="V326" s="1">
        <v>65</v>
      </c>
      <c r="W326" s="1">
        <v>1</v>
      </c>
      <c r="X326" s="1">
        <v>16</v>
      </c>
      <c r="Y326" s="1">
        <v>1</v>
      </c>
      <c r="Z326" s="1">
        <v>420000</v>
      </c>
      <c r="AA326" s="1">
        <v>3</v>
      </c>
    </row>
    <row r="327" spans="1:27" ht="12.75" customHeight="1" x14ac:dyDescent="0.15">
      <c r="A327" s="5">
        <v>422</v>
      </c>
      <c r="B327" s="5" t="s">
        <v>238</v>
      </c>
      <c r="C327" s="1">
        <v>22</v>
      </c>
      <c r="D327" s="5" t="s">
        <v>982</v>
      </c>
      <c r="E327" s="1">
        <v>5</v>
      </c>
      <c r="F327" s="5" t="s">
        <v>981</v>
      </c>
      <c r="G327" s="1">
        <v>0</v>
      </c>
      <c r="H327" s="5" t="s">
        <v>983</v>
      </c>
      <c r="I327" s="1">
        <v>6</v>
      </c>
      <c r="J327" s="5" t="s">
        <v>981</v>
      </c>
      <c r="K327" s="1">
        <v>3</v>
      </c>
      <c r="L327" s="5" t="s">
        <v>982</v>
      </c>
      <c r="M327" s="1">
        <v>4</v>
      </c>
      <c r="N327" s="5" t="s">
        <v>982</v>
      </c>
      <c r="O327" s="1">
        <v>0</v>
      </c>
      <c r="P327" s="5" t="s">
        <v>983</v>
      </c>
      <c r="Q327" s="1">
        <v>1</v>
      </c>
      <c r="R327" s="1">
        <v>0</v>
      </c>
      <c r="S327" s="1">
        <v>1</v>
      </c>
      <c r="T327" s="1">
        <v>5</v>
      </c>
      <c r="U327" s="1">
        <v>3</v>
      </c>
      <c r="V327" s="1"/>
      <c r="W327" s="1">
        <v>0</v>
      </c>
      <c r="Y327" s="1">
        <v>10</v>
      </c>
      <c r="AA327" s="1">
        <v>2</v>
      </c>
    </row>
    <row r="328" spans="1:27" ht="12.75" customHeight="1" x14ac:dyDescent="0.15">
      <c r="A328" s="5">
        <v>410</v>
      </c>
      <c r="B328" s="5" t="s">
        <v>238</v>
      </c>
      <c r="C328" s="1">
        <v>27</v>
      </c>
      <c r="D328" s="5" t="s">
        <v>981</v>
      </c>
      <c r="E328" s="1">
        <v>6</v>
      </c>
      <c r="F328" s="5" t="s">
        <v>981</v>
      </c>
      <c r="G328" s="1">
        <v>0</v>
      </c>
      <c r="H328" s="5" t="s">
        <v>983</v>
      </c>
      <c r="I328" s="1">
        <v>10</v>
      </c>
      <c r="J328" s="5" t="s">
        <v>981</v>
      </c>
      <c r="K328" s="1">
        <v>3</v>
      </c>
      <c r="L328" s="5" t="s">
        <v>982</v>
      </c>
      <c r="M328" s="1">
        <v>7</v>
      </c>
      <c r="N328" s="5" t="s">
        <v>981</v>
      </c>
      <c r="O328" s="1">
        <v>0</v>
      </c>
      <c r="P328" s="5" t="s">
        <v>983</v>
      </c>
      <c r="Q328" s="1">
        <v>0</v>
      </c>
      <c r="R328" s="1">
        <v>1</v>
      </c>
      <c r="S328" s="1">
        <v>1</v>
      </c>
      <c r="T328" s="1">
        <v>5</v>
      </c>
      <c r="U328" s="1">
        <v>4</v>
      </c>
      <c r="V328" s="1"/>
      <c r="W328" s="1">
        <v>1</v>
      </c>
      <c r="Y328" s="1">
        <v>28</v>
      </c>
      <c r="AA328" s="1">
        <v>3</v>
      </c>
    </row>
    <row r="329" spans="1:27" ht="12.75" customHeight="1" x14ac:dyDescent="0.15">
      <c r="A329" s="5">
        <v>320</v>
      </c>
      <c r="B329" s="5" t="s">
        <v>238</v>
      </c>
      <c r="C329" s="1">
        <v>15</v>
      </c>
      <c r="D329" s="5" t="s">
        <v>983</v>
      </c>
      <c r="E329" s="1">
        <v>0</v>
      </c>
      <c r="F329" s="5" t="s">
        <v>983</v>
      </c>
      <c r="G329" s="1">
        <v>1</v>
      </c>
      <c r="H329" s="5" t="s">
        <v>983</v>
      </c>
      <c r="I329" s="1">
        <v>0</v>
      </c>
      <c r="J329" s="5" t="s">
        <v>983</v>
      </c>
      <c r="K329" s="1">
        <v>3</v>
      </c>
      <c r="L329" s="5" t="s">
        <v>982</v>
      </c>
      <c r="M329" s="1">
        <v>0</v>
      </c>
      <c r="N329" s="5" t="s">
        <v>983</v>
      </c>
      <c r="O329" s="1">
        <v>0</v>
      </c>
      <c r="P329" s="5" t="s">
        <v>983</v>
      </c>
      <c r="Q329" s="1">
        <v>1</v>
      </c>
      <c r="R329" s="1">
        <v>1</v>
      </c>
      <c r="S329" s="1" t="s">
        <v>194</v>
      </c>
      <c r="T329" s="1" t="s">
        <v>194</v>
      </c>
      <c r="U329" s="1">
        <v>1</v>
      </c>
      <c r="V329" s="1">
        <v>29</v>
      </c>
      <c r="W329" s="1">
        <v>0</v>
      </c>
      <c r="X329" s="1">
        <v>2</v>
      </c>
      <c r="Y329" s="1">
        <v>2</v>
      </c>
      <c r="Z329" s="1">
        <v>650000</v>
      </c>
      <c r="AA329" s="1">
        <v>1</v>
      </c>
    </row>
    <row r="330" spans="1:27" ht="12.75" customHeight="1" x14ac:dyDescent="0.15">
      <c r="A330" s="5">
        <v>435</v>
      </c>
      <c r="B330" s="5" t="s">
        <v>238</v>
      </c>
      <c r="C330" s="1">
        <v>13</v>
      </c>
      <c r="D330" s="5" t="s">
        <v>983</v>
      </c>
      <c r="E330" s="1">
        <v>3</v>
      </c>
      <c r="F330" s="5" t="s">
        <v>982</v>
      </c>
      <c r="G330" s="1">
        <v>1</v>
      </c>
      <c r="H330" s="5" t="s">
        <v>983</v>
      </c>
      <c r="I330" s="1">
        <v>11</v>
      </c>
      <c r="J330" s="5" t="s">
        <v>981</v>
      </c>
      <c r="K330" s="1">
        <v>3</v>
      </c>
      <c r="L330" s="5" t="s">
        <v>982</v>
      </c>
      <c r="M330" s="1">
        <v>3</v>
      </c>
      <c r="N330" s="5" t="s">
        <v>982</v>
      </c>
      <c r="O330" s="1">
        <v>0</v>
      </c>
      <c r="P330" s="5" t="s">
        <v>983</v>
      </c>
      <c r="Q330" s="1">
        <v>1</v>
      </c>
      <c r="R330" s="1">
        <v>1</v>
      </c>
      <c r="S330" s="1">
        <v>1</v>
      </c>
      <c r="T330" s="1">
        <v>2</v>
      </c>
      <c r="U330" s="1">
        <v>1</v>
      </c>
      <c r="V330" s="1">
        <v>63</v>
      </c>
      <c r="W330" s="1">
        <v>1</v>
      </c>
      <c r="X330" s="1">
        <v>14</v>
      </c>
      <c r="Y330" s="1">
        <v>34</v>
      </c>
      <c r="Z330" s="1">
        <v>0</v>
      </c>
      <c r="AA330" s="1">
        <v>1</v>
      </c>
    </row>
    <row r="331" spans="1:27" ht="12.75" customHeight="1" x14ac:dyDescent="0.15">
      <c r="A331" s="5">
        <v>307</v>
      </c>
      <c r="B331" s="5" t="s">
        <v>238</v>
      </c>
      <c r="C331" s="1">
        <v>23</v>
      </c>
      <c r="D331" s="5" t="s">
        <v>982</v>
      </c>
      <c r="E331" s="1">
        <v>4</v>
      </c>
      <c r="F331" s="5" t="s">
        <v>982</v>
      </c>
      <c r="G331" s="1">
        <v>1</v>
      </c>
      <c r="H331" s="5" t="s">
        <v>983</v>
      </c>
      <c r="I331" s="1">
        <v>7</v>
      </c>
      <c r="J331" s="5" t="s">
        <v>981</v>
      </c>
      <c r="K331" s="1">
        <v>3</v>
      </c>
      <c r="L331" s="5" t="s">
        <v>982</v>
      </c>
      <c r="M331" s="1">
        <v>3</v>
      </c>
      <c r="N331" s="5" t="s">
        <v>982</v>
      </c>
      <c r="O331" s="1">
        <v>0</v>
      </c>
      <c r="P331" s="5" t="s">
        <v>983</v>
      </c>
      <c r="Q331" s="1">
        <v>1</v>
      </c>
      <c r="R331" s="1">
        <v>0</v>
      </c>
      <c r="S331" s="1" t="s">
        <v>194</v>
      </c>
      <c r="T331" s="1" t="s">
        <v>194</v>
      </c>
      <c r="U331" s="1">
        <v>2</v>
      </c>
      <c r="V331" s="1">
        <v>58</v>
      </c>
      <c r="W331" s="1">
        <v>1</v>
      </c>
      <c r="X331" s="1">
        <v>2</v>
      </c>
      <c r="Y331" s="1">
        <v>5</v>
      </c>
      <c r="Z331" s="1">
        <v>300000</v>
      </c>
      <c r="AA331" s="1">
        <v>2</v>
      </c>
    </row>
    <row r="332" spans="1:27" ht="12.75" customHeight="1" x14ac:dyDescent="0.15">
      <c r="A332" s="5">
        <v>110</v>
      </c>
      <c r="B332" s="5" t="s">
        <v>238</v>
      </c>
      <c r="C332" s="1">
        <v>23</v>
      </c>
      <c r="D332" s="5" t="s">
        <v>982</v>
      </c>
      <c r="E332" s="1">
        <v>5</v>
      </c>
      <c r="F332" s="5" t="s">
        <v>981</v>
      </c>
      <c r="G332" s="1">
        <v>1</v>
      </c>
      <c r="H332" s="5" t="s">
        <v>983</v>
      </c>
      <c r="I332" s="1">
        <v>0</v>
      </c>
      <c r="J332" s="5" t="s">
        <v>983</v>
      </c>
      <c r="K332" s="1">
        <v>3</v>
      </c>
      <c r="L332" s="5" t="s">
        <v>982</v>
      </c>
      <c r="M332" s="1">
        <v>3</v>
      </c>
      <c r="N332" s="5" t="s">
        <v>982</v>
      </c>
      <c r="O332" s="1">
        <v>0</v>
      </c>
      <c r="P332" s="5" t="s">
        <v>983</v>
      </c>
      <c r="Q332" s="1">
        <v>0</v>
      </c>
      <c r="R332" s="1">
        <v>0</v>
      </c>
      <c r="S332" s="1">
        <v>1</v>
      </c>
      <c r="T332" s="1">
        <v>3</v>
      </c>
      <c r="U332" s="1">
        <v>3</v>
      </c>
      <c r="V332" s="1">
        <v>37</v>
      </c>
      <c r="W332" s="1">
        <v>0</v>
      </c>
      <c r="X332" s="1">
        <v>16</v>
      </c>
      <c r="Y332" s="1">
        <v>11</v>
      </c>
      <c r="Z332" s="1">
        <v>1300000</v>
      </c>
      <c r="AA332" s="1">
        <v>4</v>
      </c>
    </row>
    <row r="333" spans="1:27" ht="12.75" customHeight="1" x14ac:dyDescent="0.15">
      <c r="A333" s="5">
        <v>113</v>
      </c>
      <c r="B333" s="5" t="s">
        <v>238</v>
      </c>
      <c r="C333" s="1">
        <v>17</v>
      </c>
      <c r="D333" s="5" t="s">
        <v>983</v>
      </c>
      <c r="E333" s="1">
        <v>3</v>
      </c>
      <c r="F333" s="5" t="s">
        <v>982</v>
      </c>
      <c r="G333" s="1">
        <v>2</v>
      </c>
      <c r="H333" s="5" t="s">
        <v>982</v>
      </c>
      <c r="I333" s="1">
        <v>8</v>
      </c>
      <c r="J333" s="5" t="s">
        <v>981</v>
      </c>
      <c r="K333" s="1">
        <v>3</v>
      </c>
      <c r="L333" s="5" t="s">
        <v>982</v>
      </c>
      <c r="M333" s="1">
        <v>3</v>
      </c>
      <c r="N333" s="5" t="s">
        <v>982</v>
      </c>
      <c r="O333" s="1">
        <v>0</v>
      </c>
      <c r="P333" s="5" t="s">
        <v>983</v>
      </c>
      <c r="Q333" s="1">
        <v>0</v>
      </c>
      <c r="R333" s="1">
        <v>0</v>
      </c>
      <c r="S333" s="1" t="s">
        <v>194</v>
      </c>
      <c r="T333" s="1">
        <v>5</v>
      </c>
      <c r="U333" s="1">
        <v>4</v>
      </c>
      <c r="V333" s="1">
        <v>53</v>
      </c>
      <c r="W333" s="1">
        <v>1</v>
      </c>
      <c r="X333" s="1">
        <v>15</v>
      </c>
      <c r="Y333" s="1">
        <v>3</v>
      </c>
      <c r="Z333" s="1">
        <v>300000</v>
      </c>
      <c r="AA333" s="1">
        <v>3</v>
      </c>
    </row>
    <row r="334" spans="1:27" ht="12.75" customHeight="1" x14ac:dyDescent="0.15">
      <c r="A334" s="5">
        <v>17</v>
      </c>
      <c r="B334" s="5" t="s">
        <v>238</v>
      </c>
      <c r="C334" s="1">
        <v>22</v>
      </c>
      <c r="D334" s="5" t="s">
        <v>982</v>
      </c>
      <c r="E334" s="1">
        <v>3</v>
      </c>
      <c r="F334" s="5" t="s">
        <v>982</v>
      </c>
      <c r="G334" s="1">
        <v>2</v>
      </c>
      <c r="H334" s="5" t="s">
        <v>982</v>
      </c>
      <c r="I334" s="1">
        <v>3</v>
      </c>
      <c r="J334" s="5" t="s">
        <v>982</v>
      </c>
      <c r="K334" s="1">
        <v>3</v>
      </c>
      <c r="L334" s="5" t="s">
        <v>982</v>
      </c>
      <c r="M334" s="1">
        <v>3</v>
      </c>
      <c r="N334" s="5" t="s">
        <v>982</v>
      </c>
      <c r="O334" s="1">
        <v>0</v>
      </c>
      <c r="P334" s="5" t="s">
        <v>983</v>
      </c>
      <c r="Q334" s="1">
        <v>0</v>
      </c>
      <c r="R334" s="1">
        <v>0</v>
      </c>
      <c r="S334" s="1">
        <v>1</v>
      </c>
      <c r="T334" s="1">
        <v>5</v>
      </c>
      <c r="U334" s="1">
        <v>3</v>
      </c>
      <c r="V334" s="1"/>
      <c r="W334" s="1">
        <v>0</v>
      </c>
      <c r="Y334" s="1">
        <v>24</v>
      </c>
      <c r="AA334" s="1">
        <v>6</v>
      </c>
    </row>
    <row r="335" spans="1:27" ht="12.75" customHeight="1" x14ac:dyDescent="0.15">
      <c r="A335" s="5">
        <v>251</v>
      </c>
      <c r="B335" s="5" t="s">
        <v>238</v>
      </c>
      <c r="C335" s="1">
        <v>23</v>
      </c>
      <c r="D335" s="5" t="s">
        <v>982</v>
      </c>
      <c r="E335" s="1">
        <v>4</v>
      </c>
      <c r="F335" s="5" t="s">
        <v>982</v>
      </c>
      <c r="G335" s="1">
        <v>2</v>
      </c>
      <c r="H335" s="5" t="s">
        <v>982</v>
      </c>
      <c r="I335" s="1">
        <v>7</v>
      </c>
      <c r="J335" s="5" t="s">
        <v>981</v>
      </c>
      <c r="K335" s="1">
        <v>3</v>
      </c>
      <c r="L335" s="5" t="s">
        <v>982</v>
      </c>
      <c r="M335" s="1">
        <v>3</v>
      </c>
      <c r="N335" s="5" t="s">
        <v>982</v>
      </c>
      <c r="O335" s="1">
        <v>0</v>
      </c>
      <c r="P335" s="5" t="s">
        <v>983</v>
      </c>
      <c r="Q335" s="1">
        <v>0</v>
      </c>
      <c r="R335" s="1">
        <v>0</v>
      </c>
      <c r="S335" s="1" t="s">
        <v>194</v>
      </c>
      <c r="T335" s="1" t="s">
        <v>194</v>
      </c>
      <c r="U335" s="1" t="s">
        <v>194</v>
      </c>
      <c r="V335" s="1">
        <v>52</v>
      </c>
      <c r="W335" s="1">
        <v>0</v>
      </c>
      <c r="X335" s="1">
        <v>2</v>
      </c>
      <c r="Y335" s="1">
        <v>2</v>
      </c>
      <c r="Z335" s="1">
        <v>0</v>
      </c>
      <c r="AA335" s="1">
        <v>2</v>
      </c>
    </row>
    <row r="336" spans="1:27" ht="12.75" customHeight="1" x14ac:dyDescent="0.15">
      <c r="A336" s="5">
        <v>207</v>
      </c>
      <c r="B336" s="5" t="s">
        <v>238</v>
      </c>
      <c r="C336" s="1">
        <v>15</v>
      </c>
      <c r="D336" s="5" t="s">
        <v>983</v>
      </c>
      <c r="E336" s="1">
        <v>6</v>
      </c>
      <c r="F336" s="5" t="s">
        <v>981</v>
      </c>
      <c r="G336" s="1">
        <v>2</v>
      </c>
      <c r="H336" s="5" t="s">
        <v>982</v>
      </c>
      <c r="I336" s="1">
        <v>11</v>
      </c>
      <c r="J336" s="5" t="s">
        <v>981</v>
      </c>
      <c r="K336" s="1">
        <v>3</v>
      </c>
      <c r="L336" s="5" t="s">
        <v>982</v>
      </c>
      <c r="M336" s="1">
        <v>4</v>
      </c>
      <c r="N336" s="5" t="s">
        <v>982</v>
      </c>
      <c r="O336" s="1">
        <v>21</v>
      </c>
      <c r="P336" s="5" t="s">
        <v>981</v>
      </c>
      <c r="Q336" s="1">
        <v>1</v>
      </c>
      <c r="R336" s="1">
        <v>0</v>
      </c>
      <c r="S336" s="1" t="s">
        <v>194</v>
      </c>
      <c r="T336" s="1" t="s">
        <v>194</v>
      </c>
      <c r="U336" s="1" t="s">
        <v>194</v>
      </c>
      <c r="V336" s="1">
        <v>53</v>
      </c>
      <c r="W336" s="1">
        <v>0</v>
      </c>
      <c r="X336" s="1"/>
      <c r="Y336" s="1">
        <v>24</v>
      </c>
      <c r="Z336" s="1">
        <v>300000</v>
      </c>
      <c r="AA336" s="1">
        <v>2</v>
      </c>
    </row>
    <row r="337" spans="1:27" ht="12.75" customHeight="1" x14ac:dyDescent="0.15">
      <c r="A337" s="5">
        <v>100</v>
      </c>
      <c r="B337" s="5" t="s">
        <v>238</v>
      </c>
      <c r="C337" s="1">
        <v>30</v>
      </c>
      <c r="D337" s="5" t="s">
        <v>981</v>
      </c>
      <c r="E337" s="1">
        <v>6</v>
      </c>
      <c r="F337" s="5" t="s">
        <v>981</v>
      </c>
      <c r="G337" s="1">
        <v>2</v>
      </c>
      <c r="H337" s="5" t="s">
        <v>982</v>
      </c>
      <c r="I337" s="1">
        <v>8</v>
      </c>
      <c r="J337" s="5" t="s">
        <v>981</v>
      </c>
      <c r="K337" s="1">
        <v>3</v>
      </c>
      <c r="L337" s="5" t="s">
        <v>982</v>
      </c>
      <c r="M337" s="1">
        <v>0</v>
      </c>
      <c r="N337" s="5" t="s">
        <v>983</v>
      </c>
      <c r="O337" s="1">
        <v>0</v>
      </c>
      <c r="P337" s="5" t="s">
        <v>983</v>
      </c>
      <c r="Q337" s="1">
        <v>1</v>
      </c>
      <c r="R337" s="1">
        <v>0</v>
      </c>
      <c r="S337" s="1">
        <v>1</v>
      </c>
      <c r="T337" s="1">
        <v>5</v>
      </c>
      <c r="U337" s="1">
        <v>4</v>
      </c>
      <c r="V337" s="1"/>
      <c r="W337" s="1">
        <v>0</v>
      </c>
      <c r="X337" s="1">
        <v>16</v>
      </c>
      <c r="Y337" s="1">
        <v>7</v>
      </c>
      <c r="Z337" s="1">
        <v>1400</v>
      </c>
      <c r="AA337" s="1">
        <v>1</v>
      </c>
    </row>
    <row r="338" spans="1:27" ht="12.75" customHeight="1" x14ac:dyDescent="0.15">
      <c r="A338" s="5">
        <v>250</v>
      </c>
      <c r="B338" s="5" t="s">
        <v>238</v>
      </c>
      <c r="C338" s="1">
        <v>30</v>
      </c>
      <c r="D338" s="5" t="s">
        <v>981</v>
      </c>
      <c r="E338" s="1">
        <v>7</v>
      </c>
      <c r="F338" s="5" t="s">
        <v>981</v>
      </c>
      <c r="G338" s="1">
        <v>2</v>
      </c>
      <c r="H338" s="5" t="s">
        <v>982</v>
      </c>
      <c r="I338" s="1">
        <v>7</v>
      </c>
      <c r="J338" s="5" t="s">
        <v>981</v>
      </c>
      <c r="K338" s="1">
        <v>3</v>
      </c>
      <c r="L338" s="5" t="s">
        <v>982</v>
      </c>
      <c r="M338" s="1">
        <v>5</v>
      </c>
      <c r="N338" s="5" t="s">
        <v>982</v>
      </c>
      <c r="O338" s="1">
        <v>0</v>
      </c>
      <c r="P338" s="5" t="s">
        <v>983</v>
      </c>
      <c r="Q338" s="1">
        <v>0</v>
      </c>
      <c r="R338" s="1">
        <v>0</v>
      </c>
      <c r="S338" s="1" t="s">
        <v>194</v>
      </c>
      <c r="T338" s="1">
        <v>4</v>
      </c>
      <c r="U338" s="1">
        <v>2</v>
      </c>
      <c r="V338" s="1">
        <v>52</v>
      </c>
      <c r="W338" s="1">
        <v>0</v>
      </c>
      <c r="X338" s="1">
        <v>2</v>
      </c>
      <c r="Y338" s="1">
        <v>2</v>
      </c>
      <c r="Z338" s="1">
        <v>0</v>
      </c>
      <c r="AA338" s="1">
        <v>2</v>
      </c>
    </row>
    <row r="339" spans="1:27" ht="12.75" customHeight="1" x14ac:dyDescent="0.15">
      <c r="A339" s="5">
        <v>149</v>
      </c>
      <c r="B339" s="5" t="s">
        <v>238</v>
      </c>
      <c r="C339" s="1">
        <v>12</v>
      </c>
      <c r="D339" s="5" t="s">
        <v>983</v>
      </c>
      <c r="E339" s="1">
        <v>3</v>
      </c>
      <c r="F339" s="5" t="s">
        <v>982</v>
      </c>
      <c r="G339" s="1">
        <v>3</v>
      </c>
      <c r="H339" s="5" t="s">
        <v>982</v>
      </c>
      <c r="I339" s="1">
        <v>12</v>
      </c>
      <c r="J339" s="5" t="s">
        <v>981</v>
      </c>
      <c r="K339" s="1">
        <v>3</v>
      </c>
      <c r="L339" s="5" t="s">
        <v>982</v>
      </c>
      <c r="M339" s="1">
        <v>3</v>
      </c>
      <c r="N339" s="5" t="s">
        <v>982</v>
      </c>
      <c r="O339" s="1">
        <v>0</v>
      </c>
      <c r="P339" s="5" t="s">
        <v>983</v>
      </c>
      <c r="Q339" s="1">
        <v>1</v>
      </c>
      <c r="R339" s="1">
        <v>0</v>
      </c>
      <c r="S339" s="1">
        <v>1</v>
      </c>
      <c r="T339" s="1" t="s">
        <v>194</v>
      </c>
      <c r="U339" s="1" t="s">
        <v>194</v>
      </c>
      <c r="V339" s="1">
        <v>34</v>
      </c>
      <c r="W339" s="1">
        <v>0</v>
      </c>
      <c r="X339" s="1">
        <v>18</v>
      </c>
      <c r="Y339" s="1">
        <v>34</v>
      </c>
      <c r="Z339" s="1">
        <v>700000</v>
      </c>
      <c r="AA339" s="1">
        <v>3</v>
      </c>
    </row>
    <row r="340" spans="1:27" ht="12.75" customHeight="1" x14ac:dyDescent="0.15">
      <c r="A340" s="5">
        <v>393</v>
      </c>
      <c r="B340" s="5" t="s">
        <v>238</v>
      </c>
      <c r="C340" s="1">
        <v>12</v>
      </c>
      <c r="D340" s="5" t="s">
        <v>983</v>
      </c>
      <c r="E340" s="1">
        <v>3</v>
      </c>
      <c r="F340" s="5" t="s">
        <v>982</v>
      </c>
      <c r="G340" s="1">
        <v>3</v>
      </c>
      <c r="H340" s="5" t="s">
        <v>982</v>
      </c>
      <c r="I340" s="1">
        <v>12</v>
      </c>
      <c r="J340" s="5" t="s">
        <v>981</v>
      </c>
      <c r="K340" s="1">
        <v>3</v>
      </c>
      <c r="L340" s="5" t="s">
        <v>982</v>
      </c>
      <c r="M340" s="1">
        <v>3</v>
      </c>
      <c r="N340" s="5" t="s">
        <v>982</v>
      </c>
      <c r="O340" s="1">
        <v>0</v>
      </c>
      <c r="P340" s="5" t="s">
        <v>983</v>
      </c>
      <c r="Q340" s="1">
        <v>0</v>
      </c>
      <c r="R340" s="1">
        <v>1</v>
      </c>
      <c r="S340" s="1" t="s">
        <v>194</v>
      </c>
      <c r="T340" s="1">
        <v>1</v>
      </c>
      <c r="U340" s="1">
        <v>3</v>
      </c>
      <c r="V340" s="1">
        <v>36</v>
      </c>
      <c r="W340" s="1">
        <v>0</v>
      </c>
      <c r="X340" s="1">
        <v>14</v>
      </c>
      <c r="Y340" s="1">
        <v>7</v>
      </c>
      <c r="Z340" s="1">
        <v>800000</v>
      </c>
      <c r="AA340" s="1">
        <v>2</v>
      </c>
    </row>
    <row r="341" spans="1:27" ht="12.75" customHeight="1" x14ac:dyDescent="0.15">
      <c r="A341" s="5">
        <v>98</v>
      </c>
      <c r="B341" s="5" t="s">
        <v>238</v>
      </c>
      <c r="C341" s="1">
        <v>12</v>
      </c>
      <c r="D341" s="5" t="s">
        <v>983</v>
      </c>
      <c r="E341" s="1">
        <v>3</v>
      </c>
      <c r="F341" s="5" t="s">
        <v>982</v>
      </c>
      <c r="G341" s="1">
        <v>3</v>
      </c>
      <c r="H341" s="5" t="s">
        <v>982</v>
      </c>
      <c r="I341" s="1">
        <v>12</v>
      </c>
      <c r="J341" s="5" t="s">
        <v>981</v>
      </c>
      <c r="K341" s="1">
        <v>3</v>
      </c>
      <c r="L341" s="5" t="s">
        <v>982</v>
      </c>
      <c r="M341" s="1">
        <v>3</v>
      </c>
      <c r="N341" s="5" t="s">
        <v>982</v>
      </c>
      <c r="O341" s="1">
        <v>0</v>
      </c>
      <c r="P341" s="5" t="s">
        <v>983</v>
      </c>
      <c r="Q341" s="1">
        <v>0</v>
      </c>
      <c r="R341" s="1">
        <v>0</v>
      </c>
      <c r="S341" s="1" t="s">
        <v>194</v>
      </c>
      <c r="T341" s="1" t="s">
        <v>194</v>
      </c>
      <c r="U341" s="1" t="s">
        <v>194</v>
      </c>
      <c r="V341" s="1">
        <v>59</v>
      </c>
      <c r="W341" s="1">
        <v>1</v>
      </c>
      <c r="X341" s="1">
        <v>14</v>
      </c>
      <c r="Y341" s="1">
        <v>6</v>
      </c>
      <c r="Z341" s="1">
        <v>3000000</v>
      </c>
      <c r="AA341" s="1">
        <v>3</v>
      </c>
    </row>
    <row r="342" spans="1:27" ht="12.75" customHeight="1" x14ac:dyDescent="0.15">
      <c r="A342" s="5">
        <v>93</v>
      </c>
      <c r="B342" s="5" t="s">
        <v>238</v>
      </c>
      <c r="C342" s="1">
        <v>16</v>
      </c>
      <c r="D342" s="5" t="s">
        <v>983</v>
      </c>
      <c r="E342" s="1">
        <v>3</v>
      </c>
      <c r="F342" s="5" t="s">
        <v>982</v>
      </c>
      <c r="G342" s="1">
        <v>3</v>
      </c>
      <c r="H342" s="5" t="s">
        <v>982</v>
      </c>
      <c r="I342" s="1">
        <v>12</v>
      </c>
      <c r="J342" s="5" t="s">
        <v>981</v>
      </c>
      <c r="K342" s="1">
        <v>3</v>
      </c>
      <c r="L342" s="5" t="s">
        <v>982</v>
      </c>
      <c r="M342" s="1">
        <v>3</v>
      </c>
      <c r="N342" s="5" t="s">
        <v>982</v>
      </c>
      <c r="O342" s="1">
        <v>0</v>
      </c>
      <c r="P342" s="5" t="s">
        <v>983</v>
      </c>
      <c r="Q342" s="1">
        <v>0</v>
      </c>
      <c r="R342" s="1">
        <v>0</v>
      </c>
      <c r="S342" s="1" t="s">
        <v>194</v>
      </c>
      <c r="T342" s="1">
        <v>5</v>
      </c>
      <c r="U342" s="1">
        <v>1</v>
      </c>
      <c r="V342" s="1">
        <v>41</v>
      </c>
      <c r="W342" s="1">
        <v>1</v>
      </c>
      <c r="X342" s="1">
        <v>15</v>
      </c>
      <c r="Y342" s="1">
        <v>7</v>
      </c>
      <c r="Z342" s="1">
        <v>564000</v>
      </c>
      <c r="AA342" s="1">
        <v>5</v>
      </c>
    </row>
    <row r="343" spans="1:27" ht="12.75" customHeight="1" x14ac:dyDescent="0.15">
      <c r="A343" s="5">
        <v>356</v>
      </c>
      <c r="B343" s="5" t="s">
        <v>238</v>
      </c>
      <c r="C343" s="1">
        <v>24</v>
      </c>
      <c r="D343" s="5" t="s">
        <v>981</v>
      </c>
      <c r="E343" s="1">
        <v>3</v>
      </c>
      <c r="F343" s="5" t="s">
        <v>982</v>
      </c>
      <c r="G343" s="1">
        <v>3</v>
      </c>
      <c r="H343" s="5" t="s">
        <v>982</v>
      </c>
      <c r="I343" s="1">
        <v>12</v>
      </c>
      <c r="J343" s="5" t="s">
        <v>981</v>
      </c>
      <c r="K343" s="1">
        <v>3</v>
      </c>
      <c r="L343" s="5" t="s">
        <v>982</v>
      </c>
      <c r="M343" s="1">
        <v>3</v>
      </c>
      <c r="N343" s="5" t="s">
        <v>982</v>
      </c>
      <c r="O343" s="1">
        <v>0</v>
      </c>
      <c r="P343" s="5" t="s">
        <v>983</v>
      </c>
      <c r="Q343" s="1">
        <v>0</v>
      </c>
      <c r="R343" s="1">
        <v>0</v>
      </c>
      <c r="S343" s="1" t="s">
        <v>194</v>
      </c>
      <c r="T343" s="1">
        <v>4</v>
      </c>
      <c r="U343" s="1" t="s">
        <v>194</v>
      </c>
      <c r="V343" s="1">
        <v>43</v>
      </c>
      <c r="W343" s="1">
        <v>1</v>
      </c>
      <c r="X343" s="1">
        <v>13</v>
      </c>
      <c r="Y343" s="1">
        <v>9</v>
      </c>
      <c r="Z343" s="1">
        <v>450000</v>
      </c>
      <c r="AA343" s="1">
        <v>4</v>
      </c>
    </row>
    <row r="344" spans="1:27" ht="12.75" customHeight="1" x14ac:dyDescent="0.15">
      <c r="A344" s="5">
        <v>161</v>
      </c>
      <c r="B344" s="5" t="s">
        <v>238</v>
      </c>
      <c r="C344" s="1">
        <v>30</v>
      </c>
      <c r="D344" s="5" t="s">
        <v>981</v>
      </c>
      <c r="E344" s="1">
        <v>3</v>
      </c>
      <c r="F344" s="5" t="s">
        <v>982</v>
      </c>
      <c r="G344" s="1">
        <v>3</v>
      </c>
      <c r="H344" s="5" t="s">
        <v>982</v>
      </c>
      <c r="I344" s="1">
        <v>12</v>
      </c>
      <c r="J344" s="5" t="s">
        <v>981</v>
      </c>
      <c r="K344" s="1">
        <v>3</v>
      </c>
      <c r="L344" s="5" t="s">
        <v>982</v>
      </c>
      <c r="M344" s="1">
        <v>3</v>
      </c>
      <c r="N344" s="5" t="s">
        <v>982</v>
      </c>
      <c r="O344" s="1">
        <v>0</v>
      </c>
      <c r="P344" s="5" t="s">
        <v>983</v>
      </c>
      <c r="Q344" s="1">
        <v>1</v>
      </c>
      <c r="R344" s="1">
        <v>0</v>
      </c>
      <c r="S344" s="1" t="s">
        <v>194</v>
      </c>
      <c r="T344" s="1" t="s">
        <v>194</v>
      </c>
      <c r="U344" s="1" t="s">
        <v>194</v>
      </c>
      <c r="V344" s="1">
        <v>34</v>
      </c>
      <c r="W344" s="1">
        <v>0</v>
      </c>
      <c r="X344" s="1">
        <v>16</v>
      </c>
      <c r="Y344" s="1">
        <v>11</v>
      </c>
      <c r="Z344" s="1">
        <v>0</v>
      </c>
      <c r="AA344" s="1">
        <v>3</v>
      </c>
    </row>
    <row r="345" spans="1:27" ht="12.75" customHeight="1" x14ac:dyDescent="0.15">
      <c r="A345" s="5">
        <v>203</v>
      </c>
      <c r="B345" s="5" t="s">
        <v>238</v>
      </c>
      <c r="C345" s="1">
        <v>37</v>
      </c>
      <c r="D345" s="5" t="s">
        <v>981</v>
      </c>
      <c r="E345" s="1">
        <v>3</v>
      </c>
      <c r="F345" s="5" t="s">
        <v>982</v>
      </c>
      <c r="G345" s="1">
        <v>3</v>
      </c>
      <c r="H345" s="5" t="s">
        <v>982</v>
      </c>
      <c r="I345" s="1">
        <v>12</v>
      </c>
      <c r="J345" s="5" t="s">
        <v>981</v>
      </c>
      <c r="K345" s="1">
        <v>3</v>
      </c>
      <c r="L345" s="5" t="s">
        <v>982</v>
      </c>
      <c r="M345" s="1">
        <v>3</v>
      </c>
      <c r="N345" s="5" t="s">
        <v>982</v>
      </c>
      <c r="O345" s="1">
        <v>0</v>
      </c>
      <c r="P345" s="5" t="s">
        <v>983</v>
      </c>
      <c r="Q345" s="1">
        <v>1</v>
      </c>
      <c r="R345" s="1">
        <v>0</v>
      </c>
      <c r="S345" s="1" t="s">
        <v>194</v>
      </c>
      <c r="T345" s="1">
        <v>5</v>
      </c>
      <c r="U345" s="1">
        <v>4</v>
      </c>
      <c r="V345" s="1">
        <v>49</v>
      </c>
      <c r="W345" s="1">
        <v>0</v>
      </c>
      <c r="X345" s="1">
        <v>4</v>
      </c>
      <c r="Y345" s="1">
        <v>24</v>
      </c>
      <c r="Z345" s="1">
        <v>0</v>
      </c>
      <c r="AA345" s="1">
        <v>4</v>
      </c>
    </row>
    <row r="346" spans="1:27" ht="12.75" customHeight="1" x14ac:dyDescent="0.15">
      <c r="A346" s="5">
        <v>141</v>
      </c>
      <c r="B346" s="5" t="s">
        <v>238</v>
      </c>
      <c r="C346" s="1">
        <v>39</v>
      </c>
      <c r="D346" s="5" t="s">
        <v>981</v>
      </c>
      <c r="E346" s="1">
        <v>3</v>
      </c>
      <c r="F346" s="5" t="s">
        <v>982</v>
      </c>
      <c r="G346" s="1">
        <v>3</v>
      </c>
      <c r="H346" s="5" t="s">
        <v>982</v>
      </c>
      <c r="I346" s="1">
        <v>12</v>
      </c>
      <c r="J346" s="5" t="s">
        <v>981</v>
      </c>
      <c r="K346" s="1">
        <v>3</v>
      </c>
      <c r="L346" s="5" t="s">
        <v>982</v>
      </c>
      <c r="M346" s="1">
        <v>3</v>
      </c>
      <c r="N346" s="5" t="s">
        <v>982</v>
      </c>
      <c r="O346" s="1">
        <v>0</v>
      </c>
      <c r="P346" s="5" t="s">
        <v>983</v>
      </c>
      <c r="Q346" s="1">
        <v>1</v>
      </c>
      <c r="R346" s="1">
        <v>0</v>
      </c>
      <c r="S346" s="1">
        <v>1</v>
      </c>
      <c r="T346" s="1" t="s">
        <v>194</v>
      </c>
      <c r="U346" s="1" t="s">
        <v>194</v>
      </c>
      <c r="V346" s="1">
        <v>50</v>
      </c>
      <c r="W346" s="1">
        <v>1</v>
      </c>
      <c r="X346" s="1">
        <v>16</v>
      </c>
      <c r="Y346" s="1">
        <v>34</v>
      </c>
      <c r="Z346" s="1">
        <v>7000000</v>
      </c>
      <c r="AA346" s="1">
        <v>3</v>
      </c>
    </row>
    <row r="347" spans="1:27" ht="12.75" customHeight="1" x14ac:dyDescent="0.15">
      <c r="A347" s="5">
        <v>103</v>
      </c>
      <c r="B347" s="5" t="s">
        <v>238</v>
      </c>
      <c r="C347" s="1">
        <v>28</v>
      </c>
      <c r="D347" s="5" t="s">
        <v>981</v>
      </c>
      <c r="E347" s="1">
        <v>5</v>
      </c>
      <c r="F347" s="5" t="s">
        <v>981</v>
      </c>
      <c r="G347" s="1">
        <v>3</v>
      </c>
      <c r="H347" s="5" t="s">
        <v>982</v>
      </c>
      <c r="I347" s="1">
        <v>12</v>
      </c>
      <c r="J347" s="5" t="s">
        <v>981</v>
      </c>
      <c r="K347" s="1">
        <v>3</v>
      </c>
      <c r="L347" s="5" t="s">
        <v>982</v>
      </c>
      <c r="M347" s="1">
        <v>2</v>
      </c>
      <c r="N347" s="5" t="s">
        <v>983</v>
      </c>
      <c r="O347" s="1">
        <v>0</v>
      </c>
      <c r="P347" s="5" t="s">
        <v>983</v>
      </c>
      <c r="Q347" s="1">
        <v>0</v>
      </c>
      <c r="R347" s="1">
        <v>0</v>
      </c>
      <c r="S347" s="1" t="s">
        <v>194</v>
      </c>
      <c r="T347" s="1">
        <v>5</v>
      </c>
      <c r="U347" s="1">
        <v>5</v>
      </c>
      <c r="V347" s="1">
        <v>64</v>
      </c>
      <c r="W347" s="1">
        <v>0</v>
      </c>
      <c r="X347" s="1">
        <v>14</v>
      </c>
      <c r="Y347" s="1">
        <v>34</v>
      </c>
      <c r="Z347" s="1">
        <v>1890000</v>
      </c>
      <c r="AA347" s="1">
        <v>3</v>
      </c>
    </row>
    <row r="348" spans="1:27" ht="12.75" customHeight="1" x14ac:dyDescent="0.15">
      <c r="A348" s="5">
        <v>67</v>
      </c>
      <c r="B348" s="5" t="s">
        <v>238</v>
      </c>
      <c r="C348" s="1">
        <v>37</v>
      </c>
      <c r="D348" s="5" t="s">
        <v>981</v>
      </c>
      <c r="E348" s="1">
        <v>6</v>
      </c>
      <c r="F348" s="5" t="s">
        <v>981</v>
      </c>
      <c r="G348" s="1">
        <v>3</v>
      </c>
      <c r="H348" s="5" t="s">
        <v>982</v>
      </c>
      <c r="I348" s="1">
        <v>12</v>
      </c>
      <c r="J348" s="5" t="s">
        <v>981</v>
      </c>
      <c r="K348" s="1">
        <v>3</v>
      </c>
      <c r="L348" s="5" t="s">
        <v>982</v>
      </c>
      <c r="M348" s="1">
        <v>3</v>
      </c>
      <c r="N348" s="5" t="s">
        <v>982</v>
      </c>
      <c r="O348" s="1">
        <v>0</v>
      </c>
      <c r="P348" s="5" t="s">
        <v>983</v>
      </c>
      <c r="Q348" s="1">
        <v>1</v>
      </c>
      <c r="R348" s="1">
        <v>0</v>
      </c>
      <c r="S348" s="1">
        <v>1</v>
      </c>
      <c r="T348" s="1">
        <v>4</v>
      </c>
      <c r="U348" s="1">
        <v>4</v>
      </c>
      <c r="V348" s="1">
        <v>62</v>
      </c>
      <c r="W348" s="1">
        <v>0</v>
      </c>
      <c r="X348" s="1">
        <v>14</v>
      </c>
      <c r="Y348" s="1">
        <v>6</v>
      </c>
      <c r="Z348" s="1">
        <v>290000</v>
      </c>
      <c r="AA348" s="1">
        <v>3</v>
      </c>
    </row>
    <row r="349" spans="1:27" ht="12.75" customHeight="1" x14ac:dyDescent="0.15">
      <c r="A349" s="5">
        <v>309</v>
      </c>
      <c r="B349" s="5" t="s">
        <v>238</v>
      </c>
      <c r="C349" s="1">
        <v>26</v>
      </c>
      <c r="D349" s="5" t="s">
        <v>981</v>
      </c>
      <c r="E349" s="1">
        <v>7</v>
      </c>
      <c r="F349" s="5" t="s">
        <v>981</v>
      </c>
      <c r="G349" s="1">
        <v>3</v>
      </c>
      <c r="H349" s="5" t="s">
        <v>982</v>
      </c>
      <c r="I349" s="1">
        <v>5</v>
      </c>
      <c r="J349" s="5" t="s">
        <v>981</v>
      </c>
      <c r="K349" s="1">
        <v>3</v>
      </c>
      <c r="L349" s="5" t="s">
        <v>982</v>
      </c>
      <c r="M349" s="1">
        <v>2</v>
      </c>
      <c r="N349" s="5" t="s">
        <v>983</v>
      </c>
      <c r="O349" s="1">
        <v>0</v>
      </c>
      <c r="P349" s="5" t="s">
        <v>983</v>
      </c>
      <c r="Q349" s="1">
        <v>1</v>
      </c>
      <c r="R349" s="1">
        <v>1</v>
      </c>
      <c r="S349" s="1" t="s">
        <v>194</v>
      </c>
      <c r="T349" s="1">
        <v>5</v>
      </c>
      <c r="U349" s="1">
        <v>5</v>
      </c>
      <c r="V349" s="1">
        <v>38</v>
      </c>
      <c r="W349" s="1">
        <v>0</v>
      </c>
      <c r="X349" s="1">
        <v>18</v>
      </c>
      <c r="Y349" s="1">
        <v>34</v>
      </c>
      <c r="Z349" s="1">
        <v>1000000</v>
      </c>
      <c r="AA349" s="1">
        <v>4</v>
      </c>
    </row>
    <row r="350" spans="1:27" ht="12.75" customHeight="1" x14ac:dyDescent="0.15">
      <c r="A350" s="5">
        <v>350</v>
      </c>
      <c r="B350" s="5" t="s">
        <v>238</v>
      </c>
      <c r="C350" s="1">
        <v>22</v>
      </c>
      <c r="D350" s="5" t="s">
        <v>982</v>
      </c>
      <c r="E350" s="1">
        <v>2</v>
      </c>
      <c r="F350" s="5" t="s">
        <v>982</v>
      </c>
      <c r="G350" s="1">
        <v>4</v>
      </c>
      <c r="H350" s="5" t="s">
        <v>982</v>
      </c>
      <c r="I350" s="1">
        <v>2</v>
      </c>
      <c r="J350" s="5" t="s">
        <v>982</v>
      </c>
      <c r="K350" s="1">
        <v>3</v>
      </c>
      <c r="L350" s="5" t="s">
        <v>982</v>
      </c>
      <c r="M350" s="1">
        <v>0</v>
      </c>
      <c r="N350" s="5" t="s">
        <v>983</v>
      </c>
      <c r="O350" s="1">
        <v>0</v>
      </c>
      <c r="P350" s="5" t="s">
        <v>983</v>
      </c>
      <c r="Q350" s="1">
        <v>1</v>
      </c>
      <c r="R350" s="1">
        <v>1</v>
      </c>
      <c r="S350" s="1">
        <v>1</v>
      </c>
      <c r="T350" s="1">
        <v>5</v>
      </c>
      <c r="U350" s="1">
        <v>4</v>
      </c>
      <c r="V350" s="1">
        <v>30</v>
      </c>
      <c r="W350" s="1">
        <v>0</v>
      </c>
      <c r="X350" s="1">
        <v>13</v>
      </c>
      <c r="Y350" s="1">
        <v>8</v>
      </c>
      <c r="Z350" s="1">
        <v>100000</v>
      </c>
      <c r="AA350" s="1">
        <v>1</v>
      </c>
    </row>
    <row r="351" spans="1:27" ht="12.75" customHeight="1" x14ac:dyDescent="0.15">
      <c r="A351" s="5">
        <v>199</v>
      </c>
      <c r="B351" s="5" t="s">
        <v>238</v>
      </c>
      <c r="C351" s="1">
        <v>13</v>
      </c>
      <c r="D351" s="5" t="s">
        <v>983</v>
      </c>
      <c r="E351" s="1">
        <v>3</v>
      </c>
      <c r="F351" s="5" t="s">
        <v>982</v>
      </c>
      <c r="G351" s="1">
        <v>4</v>
      </c>
      <c r="H351" s="5" t="s">
        <v>982</v>
      </c>
      <c r="I351" s="1">
        <v>0</v>
      </c>
      <c r="J351" s="5" t="s">
        <v>983</v>
      </c>
      <c r="K351" s="1">
        <v>3</v>
      </c>
      <c r="L351" s="5" t="s">
        <v>982</v>
      </c>
      <c r="M351" s="1">
        <v>3</v>
      </c>
      <c r="N351" s="5" t="s">
        <v>982</v>
      </c>
      <c r="O351" s="1">
        <v>1</v>
      </c>
      <c r="P351" s="5" t="s">
        <v>982</v>
      </c>
      <c r="Q351" s="1">
        <v>0</v>
      </c>
      <c r="R351" s="1">
        <v>0</v>
      </c>
      <c r="S351" s="1" t="s">
        <v>194</v>
      </c>
      <c r="T351" s="1">
        <v>3</v>
      </c>
      <c r="U351" s="1">
        <v>3</v>
      </c>
      <c r="V351" s="1">
        <v>53</v>
      </c>
      <c r="W351" s="1">
        <v>0</v>
      </c>
      <c r="X351" s="1">
        <v>17</v>
      </c>
      <c r="Y351" s="1">
        <v>6</v>
      </c>
      <c r="Z351" s="1">
        <v>0</v>
      </c>
      <c r="AA351" s="1">
        <v>2</v>
      </c>
    </row>
    <row r="352" spans="1:27" ht="12.75" customHeight="1" x14ac:dyDescent="0.15">
      <c r="A352" s="5">
        <v>187</v>
      </c>
      <c r="B352" s="5" t="s">
        <v>238</v>
      </c>
      <c r="C352" s="1">
        <v>23</v>
      </c>
      <c r="D352" s="5" t="s">
        <v>982</v>
      </c>
      <c r="E352" s="1">
        <v>3</v>
      </c>
      <c r="F352" s="5" t="s">
        <v>982</v>
      </c>
      <c r="G352" s="1">
        <v>4</v>
      </c>
      <c r="H352" s="5" t="s">
        <v>982</v>
      </c>
      <c r="I352" s="1">
        <v>5</v>
      </c>
      <c r="J352" s="5" t="s">
        <v>981</v>
      </c>
      <c r="K352" s="1">
        <v>3</v>
      </c>
      <c r="L352" s="5" t="s">
        <v>982</v>
      </c>
      <c r="M352" s="1">
        <v>3</v>
      </c>
      <c r="N352" s="5" t="s">
        <v>982</v>
      </c>
      <c r="O352" s="1">
        <v>0</v>
      </c>
      <c r="P352" s="5" t="s">
        <v>983</v>
      </c>
      <c r="Q352" s="1">
        <v>0</v>
      </c>
      <c r="R352" s="1">
        <v>0</v>
      </c>
      <c r="S352" s="1" t="s">
        <v>194</v>
      </c>
      <c r="T352" s="1">
        <v>5</v>
      </c>
      <c r="U352" s="1">
        <v>5</v>
      </c>
      <c r="V352" s="1">
        <v>38</v>
      </c>
      <c r="W352" s="1">
        <v>1</v>
      </c>
      <c r="X352" s="1">
        <v>14</v>
      </c>
      <c r="Y352" s="1">
        <v>9</v>
      </c>
      <c r="Z352" s="1">
        <v>0</v>
      </c>
      <c r="AA352" s="1">
        <v>3</v>
      </c>
    </row>
    <row r="353" spans="1:27" ht="12.75" customHeight="1" x14ac:dyDescent="0.15">
      <c r="A353" s="5">
        <v>265</v>
      </c>
      <c r="B353" s="5" t="s">
        <v>238</v>
      </c>
      <c r="C353" s="1">
        <v>14</v>
      </c>
      <c r="D353" s="5" t="s">
        <v>983</v>
      </c>
      <c r="E353" s="1">
        <v>4</v>
      </c>
      <c r="F353" s="5" t="s">
        <v>982</v>
      </c>
      <c r="G353" s="1">
        <v>4</v>
      </c>
      <c r="H353" s="5" t="s">
        <v>982</v>
      </c>
      <c r="I353" s="1">
        <v>3</v>
      </c>
      <c r="J353" s="5" t="s">
        <v>982</v>
      </c>
      <c r="K353" s="1">
        <v>3</v>
      </c>
      <c r="L353" s="5" t="s">
        <v>982</v>
      </c>
      <c r="M353" s="1">
        <v>3</v>
      </c>
      <c r="N353" s="5" t="s">
        <v>982</v>
      </c>
      <c r="O353" s="1">
        <v>0</v>
      </c>
      <c r="P353" s="5" t="s">
        <v>983</v>
      </c>
      <c r="Q353" s="1">
        <v>1</v>
      </c>
      <c r="R353" s="1">
        <v>0</v>
      </c>
      <c r="S353" s="1">
        <v>1</v>
      </c>
      <c r="T353" s="1">
        <v>3</v>
      </c>
      <c r="U353" s="1">
        <v>2</v>
      </c>
      <c r="V353" s="1">
        <v>61</v>
      </c>
      <c r="W353" s="1">
        <v>1</v>
      </c>
      <c r="X353" s="1">
        <v>15</v>
      </c>
      <c r="Y353" s="1">
        <v>1</v>
      </c>
      <c r="Z353" s="1">
        <v>0</v>
      </c>
      <c r="AA353" s="1">
        <v>2</v>
      </c>
    </row>
    <row r="354" spans="1:27" ht="12.75" customHeight="1" x14ac:dyDescent="0.15">
      <c r="A354" s="5">
        <v>87</v>
      </c>
      <c r="B354" s="5" t="s">
        <v>238</v>
      </c>
      <c r="C354" s="1">
        <v>23</v>
      </c>
      <c r="D354" s="5" t="s">
        <v>982</v>
      </c>
      <c r="E354" s="1">
        <v>3</v>
      </c>
      <c r="F354" s="5" t="s">
        <v>982</v>
      </c>
      <c r="G354" s="1">
        <v>5</v>
      </c>
      <c r="H354" s="5" t="s">
        <v>982</v>
      </c>
      <c r="I354" s="1">
        <v>12</v>
      </c>
      <c r="J354" s="5" t="s">
        <v>981</v>
      </c>
      <c r="K354" s="1">
        <v>3</v>
      </c>
      <c r="L354" s="5" t="s">
        <v>982</v>
      </c>
      <c r="M354" s="1">
        <v>2</v>
      </c>
      <c r="N354" s="5" t="s">
        <v>983</v>
      </c>
      <c r="O354" s="1">
        <v>12</v>
      </c>
      <c r="P354" s="5" t="s">
        <v>982</v>
      </c>
      <c r="Q354" s="1">
        <v>0</v>
      </c>
      <c r="R354" s="1">
        <v>0</v>
      </c>
      <c r="S354" s="1" t="s">
        <v>194</v>
      </c>
      <c r="T354" s="1">
        <v>1</v>
      </c>
      <c r="U354" s="1" t="s">
        <v>194</v>
      </c>
      <c r="V354" s="1">
        <v>59</v>
      </c>
      <c r="W354" s="1">
        <v>0</v>
      </c>
      <c r="X354" s="1">
        <v>18</v>
      </c>
      <c r="Y354" s="1">
        <v>13</v>
      </c>
      <c r="Z354" s="1">
        <v>485000</v>
      </c>
      <c r="AA354" s="1">
        <v>1</v>
      </c>
    </row>
    <row r="355" spans="1:27" ht="12.75" customHeight="1" x14ac:dyDescent="0.15">
      <c r="A355" s="5">
        <v>223</v>
      </c>
      <c r="B355" s="5" t="s">
        <v>238</v>
      </c>
      <c r="C355" s="1">
        <v>26</v>
      </c>
      <c r="D355" s="5" t="s">
        <v>981</v>
      </c>
      <c r="E355" s="1">
        <v>4</v>
      </c>
      <c r="F355" s="5" t="s">
        <v>982</v>
      </c>
      <c r="G355" s="1">
        <v>5</v>
      </c>
      <c r="H355" s="5" t="s">
        <v>982</v>
      </c>
      <c r="I355" s="1">
        <v>12</v>
      </c>
      <c r="J355" s="5" t="s">
        <v>981</v>
      </c>
      <c r="K355" s="1">
        <v>3</v>
      </c>
      <c r="L355" s="5" t="s">
        <v>982</v>
      </c>
      <c r="M355" s="1">
        <v>6</v>
      </c>
      <c r="N355" s="5" t="s">
        <v>981</v>
      </c>
      <c r="O355" s="1">
        <v>0</v>
      </c>
      <c r="P355" s="5" t="s">
        <v>983</v>
      </c>
      <c r="Q355" s="1">
        <v>1</v>
      </c>
      <c r="R355" s="1">
        <v>0</v>
      </c>
      <c r="S355" s="1">
        <v>1</v>
      </c>
      <c r="T355" s="1">
        <v>2</v>
      </c>
      <c r="U355" s="1">
        <v>2</v>
      </c>
      <c r="V355" s="1">
        <v>67</v>
      </c>
      <c r="W355" s="1">
        <v>0</v>
      </c>
      <c r="X355" s="1">
        <v>14</v>
      </c>
      <c r="Y355" s="1">
        <v>28</v>
      </c>
      <c r="Z355" s="1">
        <v>0</v>
      </c>
      <c r="AA355" s="1">
        <v>3</v>
      </c>
    </row>
    <row r="356" spans="1:27" ht="12.75" customHeight="1" x14ac:dyDescent="0.15">
      <c r="A356" s="5">
        <v>433</v>
      </c>
      <c r="B356" s="5" t="s">
        <v>238</v>
      </c>
      <c r="C356" s="1">
        <v>30</v>
      </c>
      <c r="D356" s="5" t="s">
        <v>981</v>
      </c>
      <c r="E356" s="1">
        <v>2</v>
      </c>
      <c r="F356" s="5" t="s">
        <v>982</v>
      </c>
      <c r="G356" s="1">
        <v>6</v>
      </c>
      <c r="H356" s="5" t="s">
        <v>981</v>
      </c>
      <c r="I356" s="1">
        <v>8</v>
      </c>
      <c r="J356" s="5" t="s">
        <v>981</v>
      </c>
      <c r="K356" s="1">
        <v>3</v>
      </c>
      <c r="L356" s="5" t="s">
        <v>982</v>
      </c>
      <c r="M356" s="1">
        <v>0</v>
      </c>
      <c r="N356" s="5" t="s">
        <v>983</v>
      </c>
      <c r="O356" s="1">
        <v>0</v>
      </c>
      <c r="P356" s="5" t="s">
        <v>983</v>
      </c>
      <c r="Q356" s="1">
        <v>0</v>
      </c>
      <c r="R356" s="1">
        <v>0</v>
      </c>
      <c r="S356" s="1" t="s">
        <v>194</v>
      </c>
      <c r="T356" s="1" t="s">
        <v>194</v>
      </c>
      <c r="U356" s="1">
        <v>1</v>
      </c>
      <c r="V356" s="1">
        <v>59</v>
      </c>
      <c r="W356" s="1">
        <v>0</v>
      </c>
      <c r="X356" s="1">
        <v>14</v>
      </c>
      <c r="Y356" s="1">
        <v>34</v>
      </c>
      <c r="Z356" s="1">
        <v>150000</v>
      </c>
      <c r="AA356" s="1">
        <v>3</v>
      </c>
    </row>
    <row r="357" spans="1:27" ht="12.75" customHeight="1" x14ac:dyDescent="0.15">
      <c r="A357" s="5">
        <v>460</v>
      </c>
      <c r="B357" s="5" t="s">
        <v>238</v>
      </c>
      <c r="C357" s="1">
        <v>29</v>
      </c>
      <c r="D357" s="5" t="s">
        <v>981</v>
      </c>
      <c r="E357" s="1">
        <v>3</v>
      </c>
      <c r="F357" s="5" t="s">
        <v>982</v>
      </c>
      <c r="G357" s="1">
        <v>6</v>
      </c>
      <c r="H357" s="5" t="s">
        <v>981</v>
      </c>
      <c r="I357" s="1">
        <v>8</v>
      </c>
      <c r="J357" s="5" t="s">
        <v>981</v>
      </c>
      <c r="K357" s="1">
        <v>3</v>
      </c>
      <c r="L357" s="5" t="s">
        <v>982</v>
      </c>
      <c r="M357" s="1">
        <v>6</v>
      </c>
      <c r="N357" s="5" t="s">
        <v>981</v>
      </c>
      <c r="O357" s="1">
        <v>5</v>
      </c>
      <c r="P357" s="5" t="s">
        <v>982</v>
      </c>
      <c r="Q357" s="1">
        <v>1</v>
      </c>
      <c r="R357" s="1">
        <v>0</v>
      </c>
      <c r="S357" s="1">
        <v>1</v>
      </c>
      <c r="T357" s="1">
        <v>5</v>
      </c>
      <c r="U357" s="1">
        <v>2</v>
      </c>
      <c r="V357" s="1">
        <v>45</v>
      </c>
      <c r="W357" s="1">
        <v>1</v>
      </c>
      <c r="X357" s="1">
        <v>16</v>
      </c>
      <c r="Y357" s="1">
        <v>2</v>
      </c>
      <c r="Z357" s="1">
        <v>700000</v>
      </c>
      <c r="AA357" s="1">
        <v>4</v>
      </c>
    </row>
    <row r="358" spans="1:27" ht="12.75" customHeight="1" x14ac:dyDescent="0.15">
      <c r="A358" s="5">
        <v>260</v>
      </c>
      <c r="B358" s="5" t="s">
        <v>238</v>
      </c>
      <c r="C358" s="1">
        <v>38</v>
      </c>
      <c r="D358" s="5" t="s">
        <v>981</v>
      </c>
      <c r="E358" s="1">
        <v>4</v>
      </c>
      <c r="F358" s="5" t="s">
        <v>982</v>
      </c>
      <c r="G358" s="1">
        <v>6</v>
      </c>
      <c r="H358" s="5" t="s">
        <v>981</v>
      </c>
      <c r="I358" s="1">
        <v>7</v>
      </c>
      <c r="J358" s="5" t="s">
        <v>981</v>
      </c>
      <c r="K358" s="1">
        <v>3</v>
      </c>
      <c r="L358" s="5" t="s">
        <v>982</v>
      </c>
      <c r="M358" s="1">
        <v>8</v>
      </c>
      <c r="N358" s="5" t="s">
        <v>981</v>
      </c>
      <c r="O358" s="1">
        <v>0</v>
      </c>
      <c r="P358" s="5" t="s">
        <v>983</v>
      </c>
      <c r="Q358" s="1">
        <v>0</v>
      </c>
      <c r="R358" s="1">
        <v>0</v>
      </c>
      <c r="S358" s="1" t="s">
        <v>194</v>
      </c>
      <c r="T358" s="1">
        <v>5</v>
      </c>
      <c r="U358" s="1">
        <v>5</v>
      </c>
      <c r="V358" s="1">
        <v>40</v>
      </c>
      <c r="W358" s="1">
        <v>1</v>
      </c>
      <c r="X358" s="1">
        <v>2</v>
      </c>
      <c r="Y358" s="1">
        <v>1</v>
      </c>
      <c r="Z358" s="1">
        <v>400000</v>
      </c>
      <c r="AA358" s="1">
        <v>5</v>
      </c>
    </row>
    <row r="359" spans="1:27" ht="12.75" customHeight="1" x14ac:dyDescent="0.15">
      <c r="A359" s="5">
        <v>319</v>
      </c>
      <c r="B359" s="5" t="s">
        <v>238</v>
      </c>
      <c r="C359" s="1">
        <v>22</v>
      </c>
      <c r="D359" s="5" t="s">
        <v>982</v>
      </c>
      <c r="E359" s="1">
        <v>6</v>
      </c>
      <c r="F359" s="5" t="s">
        <v>981</v>
      </c>
      <c r="G359" s="1">
        <v>6</v>
      </c>
      <c r="H359" s="5" t="s">
        <v>981</v>
      </c>
      <c r="I359" s="1">
        <v>6</v>
      </c>
      <c r="J359" s="5" t="s">
        <v>981</v>
      </c>
      <c r="K359" s="1">
        <v>3</v>
      </c>
      <c r="L359" s="5" t="s">
        <v>982</v>
      </c>
      <c r="M359" s="1">
        <v>3</v>
      </c>
      <c r="N359" s="5" t="s">
        <v>982</v>
      </c>
      <c r="O359" s="1">
        <v>0</v>
      </c>
      <c r="P359" s="5" t="s">
        <v>983</v>
      </c>
      <c r="Q359" s="1">
        <v>1</v>
      </c>
      <c r="R359" s="1">
        <v>1</v>
      </c>
      <c r="S359" s="1">
        <v>1</v>
      </c>
      <c r="T359" s="1" t="s">
        <v>194</v>
      </c>
      <c r="U359" s="1">
        <v>2</v>
      </c>
      <c r="V359" s="1">
        <v>32</v>
      </c>
      <c r="W359" s="1">
        <v>0</v>
      </c>
      <c r="X359" s="1">
        <v>14</v>
      </c>
      <c r="Y359" s="1">
        <v>8</v>
      </c>
      <c r="Z359" s="1">
        <v>520000</v>
      </c>
      <c r="AA359" s="1">
        <v>2</v>
      </c>
    </row>
    <row r="360" spans="1:27" ht="12.75" customHeight="1" x14ac:dyDescent="0.15">
      <c r="A360" s="5">
        <v>109</v>
      </c>
      <c r="B360" s="5" t="s">
        <v>238</v>
      </c>
      <c r="C360" s="1">
        <v>32</v>
      </c>
      <c r="D360" s="5" t="s">
        <v>981</v>
      </c>
      <c r="E360" s="1">
        <v>6</v>
      </c>
      <c r="F360" s="5" t="s">
        <v>981</v>
      </c>
      <c r="G360" s="1">
        <v>6</v>
      </c>
      <c r="H360" s="5" t="s">
        <v>981</v>
      </c>
      <c r="I360" s="1">
        <v>16</v>
      </c>
      <c r="J360" s="5" t="s">
        <v>981</v>
      </c>
      <c r="K360" s="1">
        <v>3</v>
      </c>
      <c r="L360" s="5" t="s">
        <v>982</v>
      </c>
      <c r="M360" s="1">
        <v>3</v>
      </c>
      <c r="N360" s="5" t="s">
        <v>982</v>
      </c>
      <c r="O360" s="1">
        <v>0</v>
      </c>
      <c r="P360" s="5" t="s">
        <v>983</v>
      </c>
      <c r="Q360" s="1">
        <v>0</v>
      </c>
      <c r="R360" s="1">
        <v>0</v>
      </c>
      <c r="S360" s="1" t="s">
        <v>194</v>
      </c>
      <c r="T360" s="1">
        <v>2</v>
      </c>
      <c r="U360" s="1">
        <v>3</v>
      </c>
      <c r="V360" s="1">
        <v>53</v>
      </c>
      <c r="W360" s="1">
        <v>0</v>
      </c>
      <c r="X360" s="1">
        <v>14</v>
      </c>
      <c r="Y360" s="1">
        <v>34</v>
      </c>
      <c r="Z360" s="1">
        <v>202000</v>
      </c>
      <c r="AA360" s="1">
        <v>4</v>
      </c>
    </row>
    <row r="361" spans="1:27" ht="12.75" customHeight="1" x14ac:dyDescent="0.15">
      <c r="A361" s="5">
        <v>449</v>
      </c>
      <c r="B361" s="5" t="s">
        <v>238</v>
      </c>
      <c r="C361" s="1">
        <v>26</v>
      </c>
      <c r="D361" s="5" t="s">
        <v>981</v>
      </c>
      <c r="E361" s="1">
        <v>7</v>
      </c>
      <c r="F361" s="5" t="s">
        <v>981</v>
      </c>
      <c r="G361" s="1">
        <v>6</v>
      </c>
      <c r="H361" s="5" t="s">
        <v>981</v>
      </c>
      <c r="I361" s="1">
        <v>14</v>
      </c>
      <c r="J361" s="5" t="s">
        <v>981</v>
      </c>
      <c r="K361" s="1">
        <v>3</v>
      </c>
      <c r="L361" s="5" t="s">
        <v>982</v>
      </c>
      <c r="M361" s="1">
        <v>3</v>
      </c>
      <c r="N361" s="5" t="s">
        <v>982</v>
      </c>
      <c r="O361" s="1">
        <v>0</v>
      </c>
      <c r="P361" s="5" t="s">
        <v>983</v>
      </c>
      <c r="Q361" s="1">
        <v>0</v>
      </c>
      <c r="R361" s="1">
        <v>1</v>
      </c>
      <c r="S361" s="1" t="s">
        <v>194</v>
      </c>
      <c r="T361" s="1" t="s">
        <v>194</v>
      </c>
      <c r="U361" s="1">
        <v>2</v>
      </c>
      <c r="V361" s="1"/>
      <c r="W361" s="1">
        <v>0</v>
      </c>
      <c r="Y361" s="1">
        <v>1</v>
      </c>
      <c r="AA361" s="1">
        <v>2</v>
      </c>
    </row>
    <row r="362" spans="1:27" ht="12.75" customHeight="1" x14ac:dyDescent="0.15">
      <c r="A362" s="5">
        <v>182</v>
      </c>
      <c r="B362" s="5" t="s">
        <v>238</v>
      </c>
      <c r="C362" s="1">
        <v>19</v>
      </c>
      <c r="D362" s="5" t="s">
        <v>982</v>
      </c>
      <c r="E362" s="1">
        <v>8</v>
      </c>
      <c r="F362" s="5" t="s">
        <v>981</v>
      </c>
      <c r="G362" s="1">
        <v>6</v>
      </c>
      <c r="H362" s="5" t="s">
        <v>981</v>
      </c>
      <c r="I362" s="1">
        <v>3</v>
      </c>
      <c r="J362" s="5" t="s">
        <v>982</v>
      </c>
      <c r="K362" s="1">
        <v>3</v>
      </c>
      <c r="L362" s="5" t="s">
        <v>982</v>
      </c>
      <c r="M362" s="1">
        <v>0</v>
      </c>
      <c r="N362" s="5" t="s">
        <v>983</v>
      </c>
      <c r="O362" s="1">
        <v>0</v>
      </c>
      <c r="P362" s="5" t="s">
        <v>983</v>
      </c>
      <c r="Q362" s="1">
        <v>1</v>
      </c>
      <c r="R362" s="1">
        <v>0</v>
      </c>
      <c r="S362" s="1">
        <v>1</v>
      </c>
      <c r="T362" s="1">
        <v>1</v>
      </c>
      <c r="U362" s="1">
        <v>2</v>
      </c>
      <c r="V362" s="1">
        <v>22</v>
      </c>
      <c r="W362" s="1">
        <v>0</v>
      </c>
      <c r="X362" s="1">
        <v>17</v>
      </c>
      <c r="Y362" s="1">
        <v>6</v>
      </c>
      <c r="Z362" s="1">
        <v>200000</v>
      </c>
      <c r="AA362" s="1">
        <v>2</v>
      </c>
    </row>
    <row r="363" spans="1:27" ht="12.75" customHeight="1" x14ac:dyDescent="0.15">
      <c r="A363" s="5">
        <v>68</v>
      </c>
      <c r="B363" s="5" t="s">
        <v>238</v>
      </c>
      <c r="C363" s="1">
        <v>35</v>
      </c>
      <c r="D363" s="5" t="s">
        <v>981</v>
      </c>
      <c r="E363" s="1">
        <v>9</v>
      </c>
      <c r="F363" s="5" t="s">
        <v>981</v>
      </c>
      <c r="G363" s="1">
        <v>6</v>
      </c>
      <c r="H363" s="5" t="s">
        <v>981</v>
      </c>
      <c r="I363" s="1">
        <v>10</v>
      </c>
      <c r="J363" s="5" t="s">
        <v>981</v>
      </c>
      <c r="K363" s="1">
        <v>3</v>
      </c>
      <c r="L363" s="5" t="s">
        <v>982</v>
      </c>
      <c r="M363" s="1">
        <v>5</v>
      </c>
      <c r="N363" s="5" t="s">
        <v>982</v>
      </c>
      <c r="O363" s="1">
        <v>1</v>
      </c>
      <c r="P363" s="5" t="s">
        <v>982</v>
      </c>
      <c r="Q363" s="1">
        <v>1</v>
      </c>
      <c r="R363" s="1">
        <v>0</v>
      </c>
      <c r="S363" s="1">
        <v>1</v>
      </c>
      <c r="T363" s="1">
        <v>3</v>
      </c>
      <c r="U363" s="1">
        <v>3</v>
      </c>
      <c r="V363" s="1">
        <v>37</v>
      </c>
      <c r="W363" s="1">
        <v>0</v>
      </c>
      <c r="X363" s="1">
        <v>14</v>
      </c>
      <c r="Y363" s="1">
        <v>34</v>
      </c>
      <c r="Z363" s="1">
        <v>0</v>
      </c>
      <c r="AA363" s="1">
        <v>1</v>
      </c>
    </row>
    <row r="364" spans="1:27" ht="12.75" customHeight="1" x14ac:dyDescent="0.15">
      <c r="A364" s="5">
        <v>447</v>
      </c>
      <c r="B364" s="5" t="s">
        <v>238</v>
      </c>
      <c r="C364" s="1">
        <v>27</v>
      </c>
      <c r="D364" s="5" t="s">
        <v>981</v>
      </c>
      <c r="E364" s="1">
        <v>5</v>
      </c>
      <c r="F364" s="5" t="s">
        <v>981</v>
      </c>
      <c r="G364" s="1">
        <v>7</v>
      </c>
      <c r="H364" s="5" t="s">
        <v>981</v>
      </c>
      <c r="I364" s="1">
        <v>0</v>
      </c>
      <c r="J364" s="5" t="s">
        <v>983</v>
      </c>
      <c r="K364" s="1">
        <v>3</v>
      </c>
      <c r="L364" s="5" t="s">
        <v>982</v>
      </c>
      <c r="M364" s="1">
        <v>3</v>
      </c>
      <c r="N364" s="5" t="s">
        <v>982</v>
      </c>
      <c r="O364" s="1">
        <v>0</v>
      </c>
      <c r="P364" s="5" t="s">
        <v>983</v>
      </c>
      <c r="Q364" s="1">
        <v>0</v>
      </c>
      <c r="R364" s="1">
        <v>0</v>
      </c>
      <c r="S364" s="1" t="s">
        <v>194</v>
      </c>
      <c r="T364" s="1">
        <v>5</v>
      </c>
      <c r="U364" s="1">
        <v>5</v>
      </c>
      <c r="V364" s="1">
        <v>63</v>
      </c>
      <c r="W364" s="1">
        <v>1</v>
      </c>
      <c r="X364" s="1">
        <v>3</v>
      </c>
      <c r="Y364" s="1">
        <v>13</v>
      </c>
      <c r="Z364" s="1">
        <v>400000</v>
      </c>
      <c r="AA364" s="1">
        <v>2</v>
      </c>
    </row>
    <row r="365" spans="1:27" ht="12.75" customHeight="1" x14ac:dyDescent="0.15">
      <c r="A365" s="5">
        <v>264</v>
      </c>
      <c r="B365" s="5" t="s">
        <v>238</v>
      </c>
      <c r="C365" s="1">
        <v>23</v>
      </c>
      <c r="D365" s="5" t="s">
        <v>982</v>
      </c>
      <c r="E365" s="1">
        <v>6</v>
      </c>
      <c r="F365" s="5" t="s">
        <v>981</v>
      </c>
      <c r="G365" s="1">
        <v>8</v>
      </c>
      <c r="H365" s="5" t="s">
        <v>981</v>
      </c>
      <c r="I365" s="1">
        <v>4</v>
      </c>
      <c r="J365" s="5" t="s">
        <v>982</v>
      </c>
      <c r="K365" s="1">
        <v>3</v>
      </c>
      <c r="L365" s="5" t="s">
        <v>982</v>
      </c>
      <c r="M365" s="1">
        <v>9</v>
      </c>
      <c r="N365" s="5" t="s">
        <v>981</v>
      </c>
      <c r="O365" s="1">
        <v>8</v>
      </c>
      <c r="P365" s="5" t="s">
        <v>982</v>
      </c>
      <c r="Q365" s="1">
        <v>0</v>
      </c>
      <c r="R365" s="1">
        <v>1</v>
      </c>
      <c r="S365" s="1" t="s">
        <v>194</v>
      </c>
      <c r="T365" s="1">
        <v>5</v>
      </c>
      <c r="U365" s="1">
        <v>5</v>
      </c>
      <c r="V365" s="1">
        <v>39</v>
      </c>
      <c r="W365" s="1">
        <v>0</v>
      </c>
      <c r="X365" s="1">
        <v>3</v>
      </c>
      <c r="Y365" s="1">
        <v>1</v>
      </c>
      <c r="Z365" s="1">
        <v>700000</v>
      </c>
      <c r="AA365" s="1">
        <v>1</v>
      </c>
    </row>
    <row r="366" spans="1:27" ht="12.75" customHeight="1" x14ac:dyDescent="0.15">
      <c r="A366" s="5">
        <v>28</v>
      </c>
      <c r="B366" s="5" t="s">
        <v>238</v>
      </c>
      <c r="C366" s="1">
        <v>45</v>
      </c>
      <c r="D366" s="5" t="s">
        <v>981</v>
      </c>
      <c r="E366" s="1">
        <v>6</v>
      </c>
      <c r="F366" s="5" t="s">
        <v>981</v>
      </c>
      <c r="G366" s="1">
        <v>9</v>
      </c>
      <c r="H366" s="5" t="s">
        <v>981</v>
      </c>
      <c r="I366" s="1">
        <v>5</v>
      </c>
      <c r="J366" s="5" t="s">
        <v>981</v>
      </c>
      <c r="K366" s="1">
        <v>3</v>
      </c>
      <c r="L366" s="5" t="s">
        <v>982</v>
      </c>
      <c r="M366" s="1">
        <v>10</v>
      </c>
      <c r="N366" s="5" t="s">
        <v>981</v>
      </c>
      <c r="O366" s="1">
        <v>1</v>
      </c>
      <c r="P366" s="5" t="s">
        <v>982</v>
      </c>
      <c r="Q366" s="1">
        <v>1</v>
      </c>
      <c r="R366" s="1">
        <v>0</v>
      </c>
      <c r="S366" s="1">
        <v>1</v>
      </c>
      <c r="T366" s="1">
        <v>5</v>
      </c>
      <c r="U366" s="1">
        <v>3</v>
      </c>
      <c r="V366" s="1">
        <v>34</v>
      </c>
      <c r="W366" s="1">
        <v>1</v>
      </c>
      <c r="X366" s="1">
        <v>14</v>
      </c>
      <c r="Y366" s="1">
        <v>29</v>
      </c>
      <c r="Z366" s="1">
        <v>0</v>
      </c>
      <c r="AA366" s="1">
        <v>5</v>
      </c>
    </row>
    <row r="367" spans="1:27" ht="12.75" customHeight="1" x14ac:dyDescent="0.15">
      <c r="A367" s="5">
        <v>142</v>
      </c>
      <c r="B367" s="5" t="s">
        <v>238</v>
      </c>
      <c r="C367" s="1">
        <v>34</v>
      </c>
      <c r="D367" s="5" t="s">
        <v>981</v>
      </c>
      <c r="E367" s="1">
        <v>4</v>
      </c>
      <c r="F367" s="5" t="s">
        <v>982</v>
      </c>
      <c r="G367" s="1">
        <v>0</v>
      </c>
      <c r="H367" s="5" t="s">
        <v>983</v>
      </c>
      <c r="I367" s="1">
        <v>6</v>
      </c>
      <c r="J367" s="5" t="s">
        <v>981</v>
      </c>
      <c r="K367" s="1">
        <v>4</v>
      </c>
      <c r="L367" s="5" t="s">
        <v>982</v>
      </c>
      <c r="M367" s="1">
        <v>6</v>
      </c>
      <c r="N367" s="5" t="s">
        <v>981</v>
      </c>
      <c r="O367" s="1">
        <v>0</v>
      </c>
      <c r="P367" s="5" t="s">
        <v>983</v>
      </c>
      <c r="Q367" s="1">
        <v>1</v>
      </c>
      <c r="R367" s="1">
        <v>0</v>
      </c>
      <c r="S367" s="1">
        <v>1</v>
      </c>
      <c r="T367" s="1">
        <v>5</v>
      </c>
      <c r="U367" s="1">
        <v>5</v>
      </c>
      <c r="V367" s="1">
        <v>39</v>
      </c>
      <c r="W367" s="1">
        <v>0</v>
      </c>
      <c r="X367" s="1">
        <v>14</v>
      </c>
      <c r="Y367" s="1">
        <v>6</v>
      </c>
      <c r="Z367" s="1">
        <v>100000</v>
      </c>
      <c r="AA367" s="1">
        <v>1</v>
      </c>
    </row>
    <row r="368" spans="1:27" ht="12.75" customHeight="1" x14ac:dyDescent="0.15">
      <c r="A368" s="5">
        <v>181</v>
      </c>
      <c r="B368" s="5" t="s">
        <v>238</v>
      </c>
      <c r="C368" s="1">
        <v>19</v>
      </c>
      <c r="D368" s="5" t="s">
        <v>982</v>
      </c>
      <c r="E368" s="1">
        <v>0</v>
      </c>
      <c r="F368" s="5" t="s">
        <v>983</v>
      </c>
      <c r="G368" s="1">
        <v>1</v>
      </c>
      <c r="H368" s="5" t="s">
        <v>983</v>
      </c>
      <c r="I368" s="1">
        <v>14</v>
      </c>
      <c r="J368" s="5" t="s">
        <v>981</v>
      </c>
      <c r="K368" s="1">
        <v>4</v>
      </c>
      <c r="L368" s="5" t="s">
        <v>982</v>
      </c>
      <c r="M368" s="1">
        <v>0</v>
      </c>
      <c r="N368" s="5" t="s">
        <v>983</v>
      </c>
      <c r="O368" s="1">
        <v>4</v>
      </c>
      <c r="P368" s="5" t="s">
        <v>982</v>
      </c>
      <c r="Q368" s="1">
        <v>1</v>
      </c>
      <c r="R368" s="1">
        <v>0</v>
      </c>
      <c r="S368" s="1" t="s">
        <v>194</v>
      </c>
      <c r="T368" s="1">
        <v>2</v>
      </c>
      <c r="U368" s="1">
        <v>1</v>
      </c>
      <c r="V368" s="1">
        <v>36</v>
      </c>
      <c r="W368" s="1">
        <v>0</v>
      </c>
      <c r="X368" s="1">
        <v>14</v>
      </c>
      <c r="Y368" s="1">
        <v>34</v>
      </c>
      <c r="Z368" s="1">
        <v>500000</v>
      </c>
      <c r="AA368" s="1">
        <v>4</v>
      </c>
    </row>
    <row r="369" spans="1:27" ht="12.75" customHeight="1" x14ac:dyDescent="0.15">
      <c r="A369" s="5">
        <v>355</v>
      </c>
      <c r="B369" s="5" t="s">
        <v>238</v>
      </c>
      <c r="C369" s="1">
        <v>19</v>
      </c>
      <c r="D369" s="5" t="s">
        <v>982</v>
      </c>
      <c r="E369" s="1">
        <v>3</v>
      </c>
      <c r="F369" s="5" t="s">
        <v>982</v>
      </c>
      <c r="G369" s="1">
        <v>2</v>
      </c>
      <c r="H369" s="5" t="s">
        <v>982</v>
      </c>
      <c r="I369" s="1">
        <v>4</v>
      </c>
      <c r="J369" s="5" t="s">
        <v>982</v>
      </c>
      <c r="K369" s="1">
        <v>4</v>
      </c>
      <c r="L369" s="5" t="s">
        <v>982</v>
      </c>
      <c r="M369" s="1">
        <v>1</v>
      </c>
      <c r="N369" s="5" t="s">
        <v>983</v>
      </c>
      <c r="O369" s="1">
        <v>0</v>
      </c>
      <c r="P369" s="5" t="s">
        <v>983</v>
      </c>
      <c r="Q369" s="1">
        <v>1</v>
      </c>
      <c r="R369" s="1">
        <v>0</v>
      </c>
      <c r="S369" s="1">
        <v>1</v>
      </c>
      <c r="T369" s="1" t="s">
        <v>194</v>
      </c>
      <c r="U369" s="1">
        <v>2</v>
      </c>
      <c r="V369" s="1">
        <v>43</v>
      </c>
      <c r="W369" s="1">
        <v>1</v>
      </c>
      <c r="X369" s="1">
        <v>13</v>
      </c>
      <c r="Y369" s="1">
        <v>9</v>
      </c>
      <c r="Z369" s="1">
        <v>450000</v>
      </c>
      <c r="AA369" s="1">
        <v>4</v>
      </c>
    </row>
    <row r="370" spans="1:27" ht="12.75" customHeight="1" x14ac:dyDescent="0.15">
      <c r="A370" s="5">
        <v>15</v>
      </c>
      <c r="B370" s="5" t="s">
        <v>238</v>
      </c>
      <c r="C370" s="1">
        <v>16</v>
      </c>
      <c r="D370" s="5" t="s">
        <v>983</v>
      </c>
      <c r="E370" s="1">
        <v>6</v>
      </c>
      <c r="F370" s="5" t="s">
        <v>981</v>
      </c>
      <c r="G370" s="1">
        <v>2</v>
      </c>
      <c r="H370" s="5" t="s">
        <v>982</v>
      </c>
      <c r="I370" s="1">
        <v>16</v>
      </c>
      <c r="J370" s="5" t="s">
        <v>981</v>
      </c>
      <c r="K370" s="1">
        <v>4</v>
      </c>
      <c r="L370" s="5" t="s">
        <v>982</v>
      </c>
      <c r="M370" s="1">
        <v>4</v>
      </c>
      <c r="N370" s="5" t="s">
        <v>982</v>
      </c>
      <c r="O370" s="1">
        <v>0</v>
      </c>
      <c r="P370" s="5" t="s">
        <v>983</v>
      </c>
      <c r="Q370" s="1">
        <v>1</v>
      </c>
      <c r="R370" s="1">
        <v>0</v>
      </c>
      <c r="S370" s="1" t="s">
        <v>194</v>
      </c>
      <c r="T370" s="1">
        <v>3</v>
      </c>
      <c r="U370" s="1">
        <v>5</v>
      </c>
      <c r="V370" s="1">
        <v>47</v>
      </c>
      <c r="W370" s="1">
        <v>1</v>
      </c>
      <c r="X370" s="1">
        <v>18</v>
      </c>
      <c r="Y370" s="1">
        <v>7</v>
      </c>
      <c r="Z370" s="1">
        <v>2500000</v>
      </c>
      <c r="AA370" s="1">
        <v>4</v>
      </c>
    </row>
    <row r="371" spans="1:27" ht="12.75" customHeight="1" x14ac:dyDescent="0.15">
      <c r="A371" s="5">
        <v>212</v>
      </c>
      <c r="B371" s="5" t="s">
        <v>238</v>
      </c>
      <c r="C371" s="1">
        <v>16</v>
      </c>
      <c r="D371" s="5" t="s">
        <v>983</v>
      </c>
      <c r="E371" s="1">
        <v>2</v>
      </c>
      <c r="F371" s="5" t="s">
        <v>982</v>
      </c>
      <c r="G371" s="1">
        <v>3</v>
      </c>
      <c r="H371" s="5" t="s">
        <v>982</v>
      </c>
      <c r="I371" s="1">
        <v>12</v>
      </c>
      <c r="J371" s="5" t="s">
        <v>981</v>
      </c>
      <c r="K371" s="1">
        <v>4</v>
      </c>
      <c r="L371" s="5" t="s">
        <v>982</v>
      </c>
      <c r="M371" s="1">
        <v>0</v>
      </c>
      <c r="N371" s="5" t="s">
        <v>983</v>
      </c>
      <c r="O371" s="1">
        <v>28</v>
      </c>
      <c r="P371" s="5" t="s">
        <v>981</v>
      </c>
      <c r="Q371" s="1">
        <v>1</v>
      </c>
      <c r="R371" s="1">
        <v>0</v>
      </c>
      <c r="S371" s="1" t="s">
        <v>194</v>
      </c>
      <c r="T371" s="1">
        <v>5</v>
      </c>
      <c r="U371" s="1">
        <v>5</v>
      </c>
      <c r="V371" s="1">
        <v>38</v>
      </c>
      <c r="W371" s="1">
        <v>0</v>
      </c>
      <c r="X371" s="1">
        <v>14</v>
      </c>
      <c r="Y371" s="1">
        <v>24</v>
      </c>
      <c r="Z371" s="1">
        <v>480000</v>
      </c>
      <c r="AA371" s="1">
        <v>4</v>
      </c>
    </row>
    <row r="372" spans="1:27" ht="12.75" customHeight="1" x14ac:dyDescent="0.15">
      <c r="A372" s="5">
        <v>490</v>
      </c>
      <c r="B372" s="5" t="s">
        <v>238</v>
      </c>
      <c r="C372" s="1">
        <v>24</v>
      </c>
      <c r="D372" s="5" t="s">
        <v>981</v>
      </c>
      <c r="E372" s="1">
        <v>3</v>
      </c>
      <c r="F372" s="5" t="s">
        <v>982</v>
      </c>
      <c r="G372" s="1">
        <v>3</v>
      </c>
      <c r="H372" s="5" t="s">
        <v>982</v>
      </c>
      <c r="I372" s="1">
        <v>12</v>
      </c>
      <c r="J372" s="5" t="s">
        <v>981</v>
      </c>
      <c r="K372" s="1">
        <v>4</v>
      </c>
      <c r="L372" s="5" t="s">
        <v>982</v>
      </c>
      <c r="M372" s="1">
        <v>5</v>
      </c>
      <c r="N372" s="5" t="s">
        <v>982</v>
      </c>
      <c r="O372" s="1">
        <v>0</v>
      </c>
      <c r="P372" s="5" t="s">
        <v>983</v>
      </c>
      <c r="Q372" s="1">
        <v>0</v>
      </c>
      <c r="R372" s="1">
        <v>1</v>
      </c>
      <c r="S372" s="1" t="s">
        <v>194</v>
      </c>
      <c r="T372" s="1" t="s">
        <v>194</v>
      </c>
      <c r="U372" s="1">
        <v>1</v>
      </c>
      <c r="V372" s="1">
        <v>45</v>
      </c>
      <c r="W372" s="1">
        <v>0</v>
      </c>
      <c r="X372" s="1">
        <v>11</v>
      </c>
      <c r="Y372" s="1">
        <v>9</v>
      </c>
      <c r="Z372" s="1">
        <v>0</v>
      </c>
      <c r="AA372" s="1">
        <v>3</v>
      </c>
    </row>
    <row r="373" spans="1:27" ht="12.75" customHeight="1" x14ac:dyDescent="0.15">
      <c r="A373" s="5">
        <v>372</v>
      </c>
      <c r="B373" s="5" t="s">
        <v>238</v>
      </c>
      <c r="C373" s="1">
        <v>35</v>
      </c>
      <c r="D373" s="5" t="s">
        <v>981</v>
      </c>
      <c r="E373" s="1">
        <v>3</v>
      </c>
      <c r="F373" s="5" t="s">
        <v>982</v>
      </c>
      <c r="G373" s="1">
        <v>3</v>
      </c>
      <c r="H373" s="5" t="s">
        <v>982</v>
      </c>
      <c r="I373" s="1">
        <v>13</v>
      </c>
      <c r="J373" s="5" t="s">
        <v>981</v>
      </c>
      <c r="K373" s="1">
        <v>4</v>
      </c>
      <c r="L373" s="5" t="s">
        <v>982</v>
      </c>
      <c r="M373" s="1">
        <v>1</v>
      </c>
      <c r="N373" s="5" t="s">
        <v>983</v>
      </c>
      <c r="O373" s="1">
        <v>0</v>
      </c>
      <c r="P373" s="5" t="s">
        <v>983</v>
      </c>
      <c r="Q373" s="1">
        <v>0</v>
      </c>
      <c r="R373" s="1">
        <v>0</v>
      </c>
      <c r="S373" s="1" t="s">
        <v>194</v>
      </c>
      <c r="T373" s="1">
        <v>1</v>
      </c>
      <c r="U373" s="1">
        <v>2</v>
      </c>
      <c r="V373" s="1"/>
      <c r="W373" s="1">
        <v>0</v>
      </c>
      <c r="X373" s="1">
        <v>4</v>
      </c>
      <c r="Y373" s="1">
        <v>32</v>
      </c>
      <c r="Z373" s="1">
        <v>0</v>
      </c>
      <c r="AA373" s="1">
        <v>2</v>
      </c>
    </row>
    <row r="374" spans="1:27" ht="12.75" customHeight="1" x14ac:dyDescent="0.15">
      <c r="A374" s="5">
        <v>378</v>
      </c>
      <c r="B374" s="5" t="s">
        <v>238</v>
      </c>
      <c r="C374" s="1">
        <v>12</v>
      </c>
      <c r="D374" s="5" t="s">
        <v>983</v>
      </c>
      <c r="E374" s="1">
        <v>4</v>
      </c>
      <c r="F374" s="5" t="s">
        <v>982</v>
      </c>
      <c r="G374" s="1">
        <v>3</v>
      </c>
      <c r="H374" s="5" t="s">
        <v>982</v>
      </c>
      <c r="I374" s="1">
        <v>15</v>
      </c>
      <c r="J374" s="5" t="s">
        <v>981</v>
      </c>
      <c r="K374" s="1">
        <v>4</v>
      </c>
      <c r="L374" s="5" t="s">
        <v>982</v>
      </c>
      <c r="M374" s="1">
        <v>3</v>
      </c>
      <c r="N374" s="5" t="s">
        <v>982</v>
      </c>
      <c r="O374" s="1">
        <v>0</v>
      </c>
      <c r="P374" s="5" t="s">
        <v>983</v>
      </c>
      <c r="Q374" s="1">
        <v>1</v>
      </c>
      <c r="R374" s="1">
        <v>0</v>
      </c>
      <c r="S374" s="1">
        <v>1</v>
      </c>
      <c r="T374" s="1">
        <v>5</v>
      </c>
      <c r="U374" s="1">
        <v>5</v>
      </c>
      <c r="V374" s="1">
        <v>49</v>
      </c>
      <c r="W374" s="1">
        <v>0</v>
      </c>
      <c r="X374" s="1">
        <v>18</v>
      </c>
      <c r="Y374" s="1">
        <v>6</v>
      </c>
      <c r="Z374" s="1">
        <v>500000</v>
      </c>
      <c r="AA374" s="1">
        <v>4</v>
      </c>
    </row>
    <row r="375" spans="1:27" ht="12.75" customHeight="1" x14ac:dyDescent="0.15">
      <c r="A375" s="5">
        <v>44</v>
      </c>
      <c r="B375" s="5" t="s">
        <v>238</v>
      </c>
      <c r="C375" s="1">
        <v>28</v>
      </c>
      <c r="D375" s="5" t="s">
        <v>981</v>
      </c>
      <c r="E375" s="1">
        <v>3</v>
      </c>
      <c r="F375" s="5" t="s">
        <v>982</v>
      </c>
      <c r="G375" s="1">
        <v>4</v>
      </c>
      <c r="H375" s="5" t="s">
        <v>982</v>
      </c>
      <c r="I375" s="1">
        <v>16</v>
      </c>
      <c r="J375" s="5" t="s">
        <v>981</v>
      </c>
      <c r="K375" s="1">
        <v>4</v>
      </c>
      <c r="L375" s="5" t="s">
        <v>982</v>
      </c>
      <c r="M375" s="1">
        <v>1</v>
      </c>
      <c r="N375" s="5" t="s">
        <v>983</v>
      </c>
      <c r="O375" s="1">
        <v>0</v>
      </c>
      <c r="P375" s="5" t="s">
        <v>983</v>
      </c>
      <c r="Q375" s="1">
        <v>1</v>
      </c>
      <c r="R375" s="1">
        <v>0</v>
      </c>
      <c r="S375" s="1">
        <v>1</v>
      </c>
      <c r="T375" s="1">
        <v>5</v>
      </c>
      <c r="U375" s="1">
        <v>5</v>
      </c>
      <c r="V375" s="1">
        <v>35</v>
      </c>
      <c r="W375" s="1">
        <v>1</v>
      </c>
      <c r="X375" s="1">
        <v>12</v>
      </c>
      <c r="Y375" s="1">
        <v>24</v>
      </c>
      <c r="Z375" s="1">
        <v>1150000</v>
      </c>
      <c r="AA375" s="1">
        <v>1</v>
      </c>
    </row>
    <row r="376" spans="1:27" ht="12.75" customHeight="1" x14ac:dyDescent="0.15">
      <c r="A376" s="5">
        <v>154</v>
      </c>
      <c r="B376" s="5" t="s">
        <v>238</v>
      </c>
      <c r="C376" s="1">
        <v>28</v>
      </c>
      <c r="D376" s="5" t="s">
        <v>981</v>
      </c>
      <c r="E376" s="1">
        <v>3</v>
      </c>
      <c r="F376" s="5" t="s">
        <v>982</v>
      </c>
      <c r="G376" s="1">
        <v>4</v>
      </c>
      <c r="H376" s="5" t="s">
        <v>982</v>
      </c>
      <c r="I376" s="1">
        <v>8</v>
      </c>
      <c r="J376" s="5" t="s">
        <v>981</v>
      </c>
      <c r="K376" s="1">
        <v>4</v>
      </c>
      <c r="L376" s="5" t="s">
        <v>982</v>
      </c>
      <c r="M376" s="1">
        <v>3</v>
      </c>
      <c r="N376" s="5" t="s">
        <v>982</v>
      </c>
      <c r="O376" s="1">
        <v>4</v>
      </c>
      <c r="P376" s="5" t="s">
        <v>982</v>
      </c>
      <c r="Q376" s="1">
        <v>1</v>
      </c>
      <c r="R376" s="1">
        <v>0</v>
      </c>
      <c r="S376" s="1">
        <v>1</v>
      </c>
      <c r="T376" s="1">
        <v>4</v>
      </c>
      <c r="U376" s="1">
        <v>4</v>
      </c>
      <c r="V376" s="1">
        <v>42</v>
      </c>
      <c r="W376" s="1">
        <v>0</v>
      </c>
      <c r="X376" s="1">
        <v>18</v>
      </c>
      <c r="Y376" s="1">
        <v>1</v>
      </c>
      <c r="Z376" s="1">
        <v>750000</v>
      </c>
      <c r="AA376" s="1">
        <v>3</v>
      </c>
    </row>
    <row r="377" spans="1:27" ht="12.75" customHeight="1" x14ac:dyDescent="0.15">
      <c r="A377" s="5">
        <v>162</v>
      </c>
      <c r="B377" s="5" t="s">
        <v>238</v>
      </c>
      <c r="C377" s="1">
        <v>24</v>
      </c>
      <c r="D377" s="5" t="s">
        <v>981</v>
      </c>
      <c r="E377" s="1">
        <v>4</v>
      </c>
      <c r="F377" s="5" t="s">
        <v>982</v>
      </c>
      <c r="G377" s="1">
        <v>4</v>
      </c>
      <c r="H377" s="5" t="s">
        <v>982</v>
      </c>
      <c r="I377" s="1">
        <v>8</v>
      </c>
      <c r="J377" s="5" t="s">
        <v>981</v>
      </c>
      <c r="K377" s="1">
        <v>4</v>
      </c>
      <c r="L377" s="5" t="s">
        <v>982</v>
      </c>
      <c r="M377" s="1">
        <v>3</v>
      </c>
      <c r="N377" s="5" t="s">
        <v>982</v>
      </c>
      <c r="O377" s="1">
        <v>0</v>
      </c>
      <c r="P377" s="5" t="s">
        <v>983</v>
      </c>
      <c r="Q377" s="1">
        <v>1</v>
      </c>
      <c r="R377" s="1">
        <v>1</v>
      </c>
      <c r="S377" s="1">
        <v>1</v>
      </c>
      <c r="T377" s="1">
        <v>4</v>
      </c>
      <c r="U377" s="1">
        <v>4</v>
      </c>
      <c r="V377" s="1">
        <v>36</v>
      </c>
      <c r="W377" s="1">
        <v>0</v>
      </c>
      <c r="X377" s="1">
        <v>16</v>
      </c>
      <c r="Y377" s="1">
        <v>3</v>
      </c>
      <c r="Z377" s="1">
        <v>900000</v>
      </c>
      <c r="AA377" s="1">
        <v>6</v>
      </c>
    </row>
    <row r="378" spans="1:27" ht="12.75" customHeight="1" x14ac:dyDescent="0.15">
      <c r="A378" s="5">
        <v>486</v>
      </c>
      <c r="B378" s="5" t="s">
        <v>238</v>
      </c>
      <c r="C378" s="1">
        <v>13</v>
      </c>
      <c r="D378" s="5" t="s">
        <v>983</v>
      </c>
      <c r="E378" s="1">
        <v>3</v>
      </c>
      <c r="F378" s="5" t="s">
        <v>982</v>
      </c>
      <c r="G378" s="1">
        <v>5</v>
      </c>
      <c r="H378" s="5" t="s">
        <v>982</v>
      </c>
      <c r="I378" s="1">
        <v>7</v>
      </c>
      <c r="J378" s="5" t="s">
        <v>981</v>
      </c>
      <c r="K378" s="1">
        <v>4</v>
      </c>
      <c r="L378" s="5" t="s">
        <v>982</v>
      </c>
      <c r="M378" s="1">
        <v>3</v>
      </c>
      <c r="N378" s="5" t="s">
        <v>982</v>
      </c>
      <c r="O378" s="1">
        <v>0</v>
      </c>
      <c r="P378" s="5" t="s">
        <v>983</v>
      </c>
      <c r="Q378" s="1">
        <v>1</v>
      </c>
      <c r="R378" s="1">
        <v>0</v>
      </c>
      <c r="S378" s="1" t="s">
        <v>194</v>
      </c>
      <c r="T378" s="1" t="s">
        <v>194</v>
      </c>
      <c r="U378" s="1">
        <v>2</v>
      </c>
      <c r="V378" s="1">
        <v>34</v>
      </c>
      <c r="W378" s="1">
        <v>0</v>
      </c>
      <c r="X378" s="1">
        <v>18</v>
      </c>
      <c r="Y378" s="1">
        <v>3</v>
      </c>
      <c r="Z378" s="1">
        <v>60000</v>
      </c>
      <c r="AA378" s="1">
        <v>3</v>
      </c>
    </row>
    <row r="379" spans="1:27" ht="12.75" customHeight="1" x14ac:dyDescent="0.15">
      <c r="A379" s="5">
        <v>473</v>
      </c>
      <c r="B379" s="5" t="s">
        <v>238</v>
      </c>
      <c r="C379" s="1">
        <v>21</v>
      </c>
      <c r="D379" s="5" t="s">
        <v>982</v>
      </c>
      <c r="E379" s="1">
        <v>5</v>
      </c>
      <c r="F379" s="5" t="s">
        <v>981</v>
      </c>
      <c r="G379" s="1">
        <v>5</v>
      </c>
      <c r="H379" s="5" t="s">
        <v>982</v>
      </c>
      <c r="I379" s="1">
        <v>5</v>
      </c>
      <c r="J379" s="5" t="s">
        <v>981</v>
      </c>
      <c r="K379" s="1">
        <v>4</v>
      </c>
      <c r="L379" s="5" t="s">
        <v>982</v>
      </c>
      <c r="M379" s="1">
        <v>6</v>
      </c>
      <c r="N379" s="5" t="s">
        <v>981</v>
      </c>
      <c r="O379" s="1">
        <v>13</v>
      </c>
      <c r="P379" s="5" t="s">
        <v>982</v>
      </c>
      <c r="Q379" s="1">
        <v>1</v>
      </c>
      <c r="R379" s="1">
        <v>0</v>
      </c>
      <c r="S379" s="1">
        <v>1</v>
      </c>
      <c r="T379" s="1">
        <v>5</v>
      </c>
      <c r="U379" s="1">
        <v>5</v>
      </c>
      <c r="V379" s="1">
        <v>45</v>
      </c>
      <c r="W379" s="1">
        <v>0</v>
      </c>
      <c r="X379" s="1">
        <v>2</v>
      </c>
      <c r="Y379" s="1">
        <v>34</v>
      </c>
      <c r="Z379" s="1">
        <v>100000</v>
      </c>
      <c r="AA379" s="1">
        <v>1</v>
      </c>
    </row>
    <row r="380" spans="1:27" ht="12.75" customHeight="1" x14ac:dyDescent="0.15">
      <c r="A380" s="5">
        <v>456</v>
      </c>
      <c r="B380" s="5" t="s">
        <v>238</v>
      </c>
      <c r="C380" s="1">
        <v>21</v>
      </c>
      <c r="D380" s="5" t="s">
        <v>982</v>
      </c>
      <c r="E380" s="1">
        <v>6</v>
      </c>
      <c r="F380" s="5" t="s">
        <v>981</v>
      </c>
      <c r="G380" s="1">
        <v>5</v>
      </c>
      <c r="H380" s="5" t="s">
        <v>982</v>
      </c>
      <c r="I380" s="1">
        <v>12</v>
      </c>
      <c r="J380" s="5" t="s">
        <v>981</v>
      </c>
      <c r="K380" s="1">
        <v>4</v>
      </c>
      <c r="L380" s="5" t="s">
        <v>982</v>
      </c>
      <c r="M380" s="1">
        <v>4</v>
      </c>
      <c r="N380" s="5" t="s">
        <v>982</v>
      </c>
      <c r="O380" s="1">
        <v>0</v>
      </c>
      <c r="P380" s="5" t="s">
        <v>983</v>
      </c>
      <c r="Q380" s="1">
        <v>1</v>
      </c>
      <c r="R380" s="1">
        <v>1</v>
      </c>
      <c r="S380" s="1">
        <v>1</v>
      </c>
      <c r="T380" s="1">
        <v>1</v>
      </c>
      <c r="U380" s="1">
        <v>2</v>
      </c>
      <c r="V380" s="1">
        <v>37</v>
      </c>
      <c r="W380" s="1">
        <v>1</v>
      </c>
      <c r="X380" s="1">
        <v>18</v>
      </c>
      <c r="Y380" s="1">
        <v>2</v>
      </c>
      <c r="Z380" s="1">
        <v>850000</v>
      </c>
      <c r="AA380" s="1">
        <v>1</v>
      </c>
    </row>
    <row r="381" spans="1:27" ht="12.75" customHeight="1" x14ac:dyDescent="0.15">
      <c r="A381" s="5">
        <v>464</v>
      </c>
      <c r="B381" s="5" t="s">
        <v>238</v>
      </c>
      <c r="C381" s="1">
        <v>43</v>
      </c>
      <c r="D381" s="5" t="s">
        <v>981</v>
      </c>
      <c r="E381" s="1">
        <v>7</v>
      </c>
      <c r="F381" s="5" t="s">
        <v>981</v>
      </c>
      <c r="G381" s="1">
        <v>5</v>
      </c>
      <c r="H381" s="5" t="s">
        <v>982</v>
      </c>
      <c r="I381" s="1">
        <v>16</v>
      </c>
      <c r="J381" s="5" t="s">
        <v>981</v>
      </c>
      <c r="K381" s="1">
        <v>4</v>
      </c>
      <c r="L381" s="5" t="s">
        <v>982</v>
      </c>
      <c r="M381" s="1">
        <v>9</v>
      </c>
      <c r="N381" s="5" t="s">
        <v>981</v>
      </c>
      <c r="O381" s="1">
        <v>0</v>
      </c>
      <c r="P381" s="5" t="s">
        <v>983</v>
      </c>
      <c r="Q381" s="1">
        <v>1</v>
      </c>
      <c r="R381" s="1">
        <v>0</v>
      </c>
      <c r="S381" s="1">
        <v>1</v>
      </c>
      <c r="T381" s="1">
        <v>5</v>
      </c>
      <c r="U381" s="1">
        <v>5</v>
      </c>
      <c r="V381" s="1">
        <v>21</v>
      </c>
      <c r="W381" s="1">
        <v>1</v>
      </c>
      <c r="X381" s="1">
        <v>5</v>
      </c>
      <c r="Y381" s="1">
        <v>24</v>
      </c>
      <c r="Z381" s="1">
        <v>0</v>
      </c>
      <c r="AA381" s="1">
        <v>4</v>
      </c>
    </row>
    <row r="382" spans="1:27" ht="12.75" customHeight="1" x14ac:dyDescent="0.15">
      <c r="A382" s="5">
        <v>167</v>
      </c>
      <c r="B382" s="5" t="s">
        <v>238</v>
      </c>
      <c r="C382" s="1">
        <v>33</v>
      </c>
      <c r="D382" s="5" t="s">
        <v>981</v>
      </c>
      <c r="E382" s="1">
        <v>8</v>
      </c>
      <c r="F382" s="5" t="s">
        <v>981</v>
      </c>
      <c r="G382" s="1">
        <v>5</v>
      </c>
      <c r="H382" s="5" t="s">
        <v>982</v>
      </c>
      <c r="I382" s="1">
        <v>8</v>
      </c>
      <c r="J382" s="5" t="s">
        <v>981</v>
      </c>
      <c r="K382" s="1">
        <v>4</v>
      </c>
      <c r="L382" s="5" t="s">
        <v>982</v>
      </c>
      <c r="M382" s="1">
        <v>0</v>
      </c>
      <c r="N382" s="5" t="s">
        <v>983</v>
      </c>
      <c r="O382" s="1">
        <v>0</v>
      </c>
      <c r="P382" s="5" t="s">
        <v>983</v>
      </c>
      <c r="Q382" s="1">
        <v>0</v>
      </c>
      <c r="R382" s="1">
        <v>0</v>
      </c>
      <c r="S382" s="1">
        <v>1</v>
      </c>
      <c r="T382" s="1" t="s">
        <v>194</v>
      </c>
      <c r="U382" s="1" t="s">
        <v>194</v>
      </c>
      <c r="V382" s="1">
        <v>32</v>
      </c>
      <c r="W382" s="1">
        <v>0</v>
      </c>
      <c r="X382" s="1">
        <v>14</v>
      </c>
      <c r="Y382" s="1">
        <v>2</v>
      </c>
      <c r="Z382" s="1">
        <v>450000</v>
      </c>
      <c r="AA382" s="1">
        <v>2</v>
      </c>
    </row>
    <row r="383" spans="1:27" ht="12.75" customHeight="1" x14ac:dyDescent="0.15">
      <c r="A383" s="5">
        <v>165</v>
      </c>
      <c r="B383" s="5" t="s">
        <v>238</v>
      </c>
      <c r="C383" s="1">
        <v>17</v>
      </c>
      <c r="D383" s="5" t="s">
        <v>983</v>
      </c>
      <c r="E383" s="1">
        <v>3</v>
      </c>
      <c r="F383" s="5" t="s">
        <v>982</v>
      </c>
      <c r="G383" s="1">
        <v>6</v>
      </c>
      <c r="H383" s="5" t="s">
        <v>981</v>
      </c>
      <c r="I383" s="1">
        <v>6</v>
      </c>
      <c r="J383" s="5" t="s">
        <v>981</v>
      </c>
      <c r="K383" s="1">
        <v>4</v>
      </c>
      <c r="L383" s="5" t="s">
        <v>982</v>
      </c>
      <c r="M383" s="1">
        <v>5</v>
      </c>
      <c r="N383" s="5" t="s">
        <v>982</v>
      </c>
      <c r="O383" s="1">
        <v>3</v>
      </c>
      <c r="P383" s="5" t="s">
        <v>982</v>
      </c>
      <c r="Q383" s="1">
        <v>1</v>
      </c>
      <c r="R383" s="1">
        <v>0</v>
      </c>
      <c r="S383" s="1">
        <v>1</v>
      </c>
      <c r="T383" s="1">
        <v>3</v>
      </c>
      <c r="U383" s="1">
        <v>2</v>
      </c>
      <c r="V383" s="1">
        <v>31</v>
      </c>
      <c r="W383" s="1">
        <v>0</v>
      </c>
      <c r="X383" s="1">
        <v>18</v>
      </c>
      <c r="Y383" s="1">
        <v>25</v>
      </c>
      <c r="Z383" s="1">
        <v>700000</v>
      </c>
      <c r="AA383" s="1">
        <v>1</v>
      </c>
    </row>
    <row r="384" spans="1:27" ht="12.75" customHeight="1" x14ac:dyDescent="0.15">
      <c r="A384" s="5">
        <v>150</v>
      </c>
      <c r="B384" s="5" t="s">
        <v>238</v>
      </c>
      <c r="C384" s="1">
        <v>23</v>
      </c>
      <c r="D384" s="5" t="s">
        <v>982</v>
      </c>
      <c r="E384" s="1">
        <v>6</v>
      </c>
      <c r="F384" s="5" t="s">
        <v>981</v>
      </c>
      <c r="G384" s="1">
        <v>6</v>
      </c>
      <c r="H384" s="5" t="s">
        <v>981</v>
      </c>
      <c r="I384" s="1">
        <v>0</v>
      </c>
      <c r="J384" s="5" t="s">
        <v>983</v>
      </c>
      <c r="K384" s="1">
        <v>4</v>
      </c>
      <c r="L384" s="5" t="s">
        <v>982</v>
      </c>
      <c r="M384" s="1">
        <v>4</v>
      </c>
      <c r="N384" s="5" t="s">
        <v>982</v>
      </c>
      <c r="O384" s="1">
        <v>0</v>
      </c>
      <c r="P384" s="5" t="s">
        <v>983</v>
      </c>
      <c r="Q384" s="1">
        <v>0</v>
      </c>
      <c r="R384" s="1">
        <v>0</v>
      </c>
      <c r="S384" s="1" t="s">
        <v>194</v>
      </c>
      <c r="T384" s="1">
        <v>5</v>
      </c>
      <c r="U384" s="1">
        <v>4</v>
      </c>
      <c r="V384" s="1">
        <v>34</v>
      </c>
      <c r="W384" s="1">
        <v>0</v>
      </c>
      <c r="X384" s="1">
        <v>18</v>
      </c>
      <c r="Y384" s="1">
        <v>34</v>
      </c>
      <c r="Z384" s="1">
        <v>700000</v>
      </c>
      <c r="AA384" s="1">
        <v>3</v>
      </c>
    </row>
    <row r="385" spans="1:27" ht="12.75" customHeight="1" x14ac:dyDescent="0.15">
      <c r="A385" s="5">
        <v>5</v>
      </c>
      <c r="B385" s="5" t="s">
        <v>238</v>
      </c>
      <c r="C385" s="1">
        <v>20</v>
      </c>
      <c r="D385" s="5" t="s">
        <v>982</v>
      </c>
      <c r="E385" s="1">
        <v>9</v>
      </c>
      <c r="F385" s="5" t="s">
        <v>981</v>
      </c>
      <c r="G385" s="1">
        <v>6</v>
      </c>
      <c r="H385" s="5" t="s">
        <v>981</v>
      </c>
      <c r="I385" s="1">
        <v>4</v>
      </c>
      <c r="J385" s="5" t="s">
        <v>982</v>
      </c>
      <c r="K385" s="1">
        <v>4</v>
      </c>
      <c r="L385" s="5" t="s">
        <v>982</v>
      </c>
      <c r="M385" s="1">
        <v>2</v>
      </c>
      <c r="N385" s="5" t="s">
        <v>983</v>
      </c>
      <c r="O385" s="1">
        <v>4</v>
      </c>
      <c r="P385" s="5" t="s">
        <v>982</v>
      </c>
      <c r="Q385" s="1">
        <v>0</v>
      </c>
      <c r="R385" s="1">
        <v>0</v>
      </c>
      <c r="S385" s="1" t="s">
        <v>194</v>
      </c>
      <c r="T385" s="1">
        <v>2</v>
      </c>
      <c r="U385" s="1">
        <v>2</v>
      </c>
      <c r="V385" s="1">
        <v>51</v>
      </c>
      <c r="W385" s="1">
        <v>1</v>
      </c>
      <c r="X385" s="1">
        <v>16</v>
      </c>
      <c r="Y385" s="1">
        <v>34</v>
      </c>
      <c r="Z385" s="1">
        <v>750000</v>
      </c>
      <c r="AA385" s="1">
        <v>2</v>
      </c>
    </row>
    <row r="386" spans="1:27" ht="12.75" customHeight="1" x14ac:dyDescent="0.15">
      <c r="A386" s="5">
        <v>1</v>
      </c>
      <c r="B386" s="5" t="s">
        <v>238</v>
      </c>
      <c r="C386" s="1">
        <v>31</v>
      </c>
      <c r="D386" s="5" t="s">
        <v>981</v>
      </c>
      <c r="E386" s="1">
        <v>3</v>
      </c>
      <c r="F386" s="5" t="s">
        <v>982</v>
      </c>
      <c r="G386" s="1">
        <v>8</v>
      </c>
      <c r="H386" s="5" t="s">
        <v>981</v>
      </c>
      <c r="I386" s="1">
        <v>16</v>
      </c>
      <c r="J386" s="5" t="s">
        <v>981</v>
      </c>
      <c r="K386" s="1">
        <v>4</v>
      </c>
      <c r="L386" s="5" t="s">
        <v>982</v>
      </c>
      <c r="M386" s="1">
        <v>12</v>
      </c>
      <c r="N386" s="5" t="s">
        <v>981</v>
      </c>
      <c r="O386" s="1">
        <v>0</v>
      </c>
      <c r="P386" s="5" t="s">
        <v>983</v>
      </c>
      <c r="Q386" s="1">
        <v>0</v>
      </c>
      <c r="R386" s="1">
        <v>0</v>
      </c>
      <c r="S386" s="1" t="s">
        <v>194</v>
      </c>
      <c r="T386" s="1">
        <v>3</v>
      </c>
      <c r="U386" s="1">
        <v>3</v>
      </c>
      <c r="V386" s="1">
        <v>46</v>
      </c>
      <c r="W386" s="1">
        <v>0</v>
      </c>
      <c r="X386" s="1">
        <v>16</v>
      </c>
      <c r="Y386" s="1">
        <v>1</v>
      </c>
      <c r="Z386" s="1">
        <v>620000</v>
      </c>
      <c r="AA386" s="1">
        <v>4</v>
      </c>
    </row>
    <row r="387" spans="1:27" ht="12.75" customHeight="1" x14ac:dyDescent="0.15">
      <c r="A387" s="5">
        <v>283</v>
      </c>
      <c r="B387" s="5" t="s">
        <v>238</v>
      </c>
      <c r="C387" s="1">
        <v>36</v>
      </c>
      <c r="D387" s="5" t="s">
        <v>981</v>
      </c>
      <c r="E387" s="1">
        <v>9</v>
      </c>
      <c r="F387" s="5" t="s">
        <v>981</v>
      </c>
      <c r="G387" s="1">
        <v>8</v>
      </c>
      <c r="H387" s="5" t="s">
        <v>981</v>
      </c>
      <c r="I387" s="1">
        <v>7</v>
      </c>
      <c r="J387" s="5" t="s">
        <v>981</v>
      </c>
      <c r="K387" s="1">
        <v>4</v>
      </c>
      <c r="L387" s="5" t="s">
        <v>982</v>
      </c>
      <c r="M387" s="1">
        <v>4</v>
      </c>
      <c r="N387" s="5" t="s">
        <v>982</v>
      </c>
      <c r="O387" s="1">
        <v>1</v>
      </c>
      <c r="P387" s="5" t="s">
        <v>982</v>
      </c>
      <c r="Q387" s="1">
        <v>1</v>
      </c>
      <c r="R387" s="1">
        <v>0</v>
      </c>
      <c r="S387" s="1" t="s">
        <v>194</v>
      </c>
      <c r="T387" s="1">
        <v>4</v>
      </c>
      <c r="U387" s="1">
        <v>5</v>
      </c>
      <c r="V387" s="1">
        <v>29</v>
      </c>
      <c r="W387" s="1">
        <v>0</v>
      </c>
      <c r="X387" s="1">
        <v>6</v>
      </c>
      <c r="Y387" s="1">
        <v>34</v>
      </c>
      <c r="Z387" s="1">
        <v>1000000</v>
      </c>
      <c r="AA387" s="1">
        <v>4</v>
      </c>
    </row>
    <row r="388" spans="1:27" ht="12.75" customHeight="1" x14ac:dyDescent="0.15">
      <c r="A388" s="5">
        <v>331</v>
      </c>
      <c r="B388" s="5" t="s">
        <v>238</v>
      </c>
      <c r="C388" s="1">
        <v>29</v>
      </c>
      <c r="D388" s="5" t="s">
        <v>981</v>
      </c>
      <c r="E388" s="1">
        <v>3</v>
      </c>
      <c r="F388" s="5" t="s">
        <v>982</v>
      </c>
      <c r="G388" s="1">
        <v>0</v>
      </c>
      <c r="H388" s="5" t="s">
        <v>983</v>
      </c>
      <c r="I388" s="1">
        <v>6</v>
      </c>
      <c r="J388" s="5" t="s">
        <v>981</v>
      </c>
      <c r="K388" s="1">
        <v>5</v>
      </c>
      <c r="L388" s="5" t="s">
        <v>982</v>
      </c>
      <c r="M388" s="1">
        <v>5</v>
      </c>
      <c r="N388" s="5" t="s">
        <v>982</v>
      </c>
      <c r="O388" s="1">
        <v>0</v>
      </c>
      <c r="P388" s="5" t="s">
        <v>983</v>
      </c>
      <c r="Q388" s="1">
        <v>1</v>
      </c>
      <c r="R388" s="1">
        <v>0</v>
      </c>
      <c r="S388" s="1">
        <v>1</v>
      </c>
      <c r="T388" s="1">
        <v>4</v>
      </c>
      <c r="U388" s="1">
        <v>3</v>
      </c>
      <c r="V388" s="1">
        <v>69</v>
      </c>
      <c r="W388" s="1">
        <v>0</v>
      </c>
      <c r="X388" s="1">
        <v>12</v>
      </c>
      <c r="Y388" s="1">
        <v>5</v>
      </c>
      <c r="Z388" s="1">
        <v>230000</v>
      </c>
      <c r="AA388" s="1">
        <v>3</v>
      </c>
    </row>
    <row r="389" spans="1:27" ht="12.75" customHeight="1" x14ac:dyDescent="0.15">
      <c r="A389" s="5">
        <v>388</v>
      </c>
      <c r="B389" s="5" t="s">
        <v>238</v>
      </c>
      <c r="C389" s="1">
        <v>20</v>
      </c>
      <c r="D389" s="5" t="s">
        <v>982</v>
      </c>
      <c r="E389" s="1">
        <v>4</v>
      </c>
      <c r="F389" s="5" t="s">
        <v>982</v>
      </c>
      <c r="G389" s="1">
        <v>2</v>
      </c>
      <c r="H389" s="5" t="s">
        <v>982</v>
      </c>
      <c r="I389" s="1">
        <v>4</v>
      </c>
      <c r="J389" s="5" t="s">
        <v>982</v>
      </c>
      <c r="K389" s="1">
        <v>5</v>
      </c>
      <c r="L389" s="5" t="s">
        <v>982</v>
      </c>
      <c r="M389" s="1">
        <v>6</v>
      </c>
      <c r="N389" s="5" t="s">
        <v>981</v>
      </c>
      <c r="O389" s="1">
        <v>0</v>
      </c>
      <c r="P389" s="5" t="s">
        <v>983</v>
      </c>
      <c r="Q389" s="1">
        <v>1</v>
      </c>
      <c r="R389" s="1">
        <v>0</v>
      </c>
      <c r="S389" s="1">
        <v>1</v>
      </c>
      <c r="T389" s="1">
        <v>5</v>
      </c>
      <c r="U389" s="1">
        <v>2</v>
      </c>
      <c r="V389" s="1">
        <v>31</v>
      </c>
      <c r="W389" s="1">
        <v>0</v>
      </c>
      <c r="X389" s="1">
        <v>17</v>
      </c>
      <c r="Y389" s="1">
        <v>24</v>
      </c>
      <c r="Z389" s="1">
        <v>500000</v>
      </c>
      <c r="AA389" s="1">
        <v>3</v>
      </c>
    </row>
    <row r="390" spans="1:27" ht="12.75" customHeight="1" x14ac:dyDescent="0.15">
      <c r="A390" s="5">
        <v>395</v>
      </c>
      <c r="B390" s="5" t="s">
        <v>238</v>
      </c>
      <c r="C390" s="1">
        <v>33</v>
      </c>
      <c r="D390" s="5" t="s">
        <v>981</v>
      </c>
      <c r="E390" s="1">
        <v>7</v>
      </c>
      <c r="F390" s="5" t="s">
        <v>981</v>
      </c>
      <c r="G390" s="1">
        <v>3</v>
      </c>
      <c r="H390" s="5" t="s">
        <v>982</v>
      </c>
      <c r="I390" s="1">
        <v>10</v>
      </c>
      <c r="J390" s="5" t="s">
        <v>981</v>
      </c>
      <c r="K390" s="1">
        <v>5</v>
      </c>
      <c r="L390" s="5" t="s">
        <v>982</v>
      </c>
      <c r="M390" s="1">
        <v>7</v>
      </c>
      <c r="N390" s="5" t="s">
        <v>981</v>
      </c>
      <c r="O390" s="1">
        <v>0</v>
      </c>
      <c r="P390" s="5" t="s">
        <v>983</v>
      </c>
      <c r="Q390" s="1">
        <v>1</v>
      </c>
      <c r="R390" s="1">
        <v>0</v>
      </c>
      <c r="S390" s="1">
        <v>1</v>
      </c>
      <c r="T390" s="1">
        <v>5</v>
      </c>
      <c r="U390" s="1">
        <v>5</v>
      </c>
      <c r="V390" s="1">
        <v>54</v>
      </c>
      <c r="W390" s="1">
        <v>0</v>
      </c>
      <c r="X390" s="1">
        <v>2</v>
      </c>
      <c r="Y390" s="1">
        <v>9</v>
      </c>
      <c r="Z390" s="1">
        <v>600000</v>
      </c>
      <c r="AA390" s="1">
        <v>1</v>
      </c>
    </row>
    <row r="391" spans="1:27" ht="12.75" customHeight="1" x14ac:dyDescent="0.15">
      <c r="A391" s="5">
        <v>459</v>
      </c>
      <c r="B391" s="5" t="s">
        <v>238</v>
      </c>
      <c r="C391" s="1">
        <v>22</v>
      </c>
      <c r="D391" s="5" t="s">
        <v>982</v>
      </c>
      <c r="E391" s="1">
        <v>4</v>
      </c>
      <c r="F391" s="5" t="s">
        <v>982</v>
      </c>
      <c r="G391" s="1">
        <v>4</v>
      </c>
      <c r="H391" s="5" t="s">
        <v>982</v>
      </c>
      <c r="I391" s="1">
        <v>3</v>
      </c>
      <c r="J391" s="5" t="s">
        <v>982</v>
      </c>
      <c r="K391" s="1">
        <v>5</v>
      </c>
      <c r="L391" s="5" t="s">
        <v>982</v>
      </c>
      <c r="M391" s="1">
        <v>2</v>
      </c>
      <c r="N391" s="5" t="s">
        <v>983</v>
      </c>
      <c r="O391" s="1">
        <v>0</v>
      </c>
      <c r="P391" s="5" t="s">
        <v>983</v>
      </c>
      <c r="Q391" s="1">
        <v>1</v>
      </c>
      <c r="R391" s="1">
        <v>0</v>
      </c>
      <c r="S391" s="1">
        <v>1</v>
      </c>
      <c r="T391" s="1">
        <v>3</v>
      </c>
      <c r="U391" s="1">
        <v>2</v>
      </c>
      <c r="V391" s="1">
        <v>47</v>
      </c>
      <c r="W391" s="1">
        <v>1</v>
      </c>
      <c r="X391" s="1">
        <v>14</v>
      </c>
      <c r="Y391" s="1">
        <v>24</v>
      </c>
      <c r="Z391" s="1">
        <v>60000</v>
      </c>
      <c r="AA391" s="1">
        <v>1</v>
      </c>
    </row>
    <row r="392" spans="1:27" ht="12.75" customHeight="1" x14ac:dyDescent="0.15">
      <c r="A392" s="5">
        <v>153</v>
      </c>
      <c r="B392" s="5" t="s">
        <v>238</v>
      </c>
      <c r="C392" s="1">
        <v>21</v>
      </c>
      <c r="D392" s="5" t="s">
        <v>982</v>
      </c>
      <c r="E392" s="1">
        <v>5</v>
      </c>
      <c r="F392" s="5" t="s">
        <v>981</v>
      </c>
      <c r="G392" s="1">
        <v>4</v>
      </c>
      <c r="H392" s="5" t="s">
        <v>982</v>
      </c>
      <c r="I392" s="1">
        <v>6</v>
      </c>
      <c r="J392" s="5" t="s">
        <v>981</v>
      </c>
      <c r="K392" s="1">
        <v>5</v>
      </c>
      <c r="L392" s="5" t="s">
        <v>982</v>
      </c>
      <c r="M392" s="1">
        <v>4</v>
      </c>
      <c r="N392" s="5" t="s">
        <v>982</v>
      </c>
      <c r="O392" s="1">
        <v>0</v>
      </c>
      <c r="P392" s="5" t="s">
        <v>983</v>
      </c>
      <c r="Q392" s="1">
        <v>0</v>
      </c>
      <c r="R392" s="1">
        <v>0</v>
      </c>
      <c r="S392" s="1" t="s">
        <v>194</v>
      </c>
      <c r="T392" s="1">
        <v>3</v>
      </c>
      <c r="U392" s="1">
        <v>3</v>
      </c>
      <c r="V392" s="1">
        <v>46</v>
      </c>
      <c r="W392" s="1">
        <v>0</v>
      </c>
      <c r="X392" s="1">
        <v>14</v>
      </c>
      <c r="Y392" s="1">
        <v>11</v>
      </c>
      <c r="Z392" s="1">
        <v>1800000</v>
      </c>
      <c r="AA392" s="1">
        <v>4</v>
      </c>
    </row>
    <row r="393" spans="1:27" ht="12.75" customHeight="1" x14ac:dyDescent="0.15">
      <c r="A393" s="5">
        <v>112</v>
      </c>
      <c r="B393" s="5" t="s">
        <v>238</v>
      </c>
      <c r="C393" s="1">
        <v>23</v>
      </c>
      <c r="D393" s="5" t="s">
        <v>982</v>
      </c>
      <c r="E393" s="1">
        <v>6</v>
      </c>
      <c r="F393" s="5" t="s">
        <v>981</v>
      </c>
      <c r="G393" s="1">
        <v>4</v>
      </c>
      <c r="H393" s="5" t="s">
        <v>982</v>
      </c>
      <c r="I393" s="1">
        <v>11</v>
      </c>
      <c r="J393" s="5" t="s">
        <v>981</v>
      </c>
      <c r="K393" s="1">
        <v>5</v>
      </c>
      <c r="L393" s="5" t="s">
        <v>982</v>
      </c>
      <c r="M393" s="1">
        <v>4</v>
      </c>
      <c r="N393" s="5" t="s">
        <v>982</v>
      </c>
      <c r="O393" s="1">
        <v>0</v>
      </c>
      <c r="P393" s="5" t="s">
        <v>983</v>
      </c>
      <c r="Q393" s="1">
        <v>1</v>
      </c>
      <c r="R393" s="1">
        <v>0</v>
      </c>
      <c r="S393" s="1">
        <v>1</v>
      </c>
      <c r="T393" s="1">
        <v>1</v>
      </c>
      <c r="U393" s="1">
        <v>2</v>
      </c>
      <c r="V393" s="1">
        <v>58</v>
      </c>
      <c r="W393" s="1">
        <v>0</v>
      </c>
      <c r="X393" s="1">
        <v>16</v>
      </c>
      <c r="Y393" s="1">
        <v>1</v>
      </c>
      <c r="Z393" s="1">
        <v>800000</v>
      </c>
      <c r="AA393" s="1">
        <v>3</v>
      </c>
    </row>
    <row r="394" spans="1:27" ht="12.75" customHeight="1" x14ac:dyDescent="0.15">
      <c r="A394" s="5">
        <v>326</v>
      </c>
      <c r="B394" s="5" t="s">
        <v>238</v>
      </c>
      <c r="C394" s="1">
        <v>19</v>
      </c>
      <c r="D394" s="5" t="s">
        <v>982</v>
      </c>
      <c r="E394" s="1">
        <v>8</v>
      </c>
      <c r="F394" s="5" t="s">
        <v>981</v>
      </c>
      <c r="G394" s="1">
        <v>4</v>
      </c>
      <c r="H394" s="5" t="s">
        <v>982</v>
      </c>
      <c r="I394" s="1">
        <v>6</v>
      </c>
      <c r="J394" s="5" t="s">
        <v>981</v>
      </c>
      <c r="K394" s="1">
        <v>5</v>
      </c>
      <c r="L394" s="5" t="s">
        <v>982</v>
      </c>
      <c r="M394" s="1">
        <v>6</v>
      </c>
      <c r="N394" s="5" t="s">
        <v>981</v>
      </c>
      <c r="O394" s="1">
        <v>0</v>
      </c>
      <c r="P394" s="5" t="s">
        <v>983</v>
      </c>
      <c r="Q394" s="1">
        <v>1</v>
      </c>
      <c r="R394" s="1">
        <v>0</v>
      </c>
      <c r="S394" s="1">
        <v>1</v>
      </c>
      <c r="T394" s="1">
        <v>1</v>
      </c>
      <c r="U394" s="1">
        <v>1</v>
      </c>
      <c r="V394" s="1">
        <v>33</v>
      </c>
      <c r="W394" s="1">
        <v>1</v>
      </c>
      <c r="X394" s="1">
        <v>18</v>
      </c>
      <c r="Y394" s="1">
        <v>34</v>
      </c>
      <c r="Z394" s="1">
        <v>0</v>
      </c>
      <c r="AA394" s="1">
        <v>1</v>
      </c>
    </row>
    <row r="395" spans="1:27" ht="12.75" customHeight="1" x14ac:dyDescent="0.15">
      <c r="A395" s="5">
        <v>302</v>
      </c>
      <c r="B395" s="5" t="s">
        <v>238</v>
      </c>
      <c r="C395" s="1">
        <v>19</v>
      </c>
      <c r="D395" s="5" t="s">
        <v>982</v>
      </c>
      <c r="E395" s="1">
        <v>5</v>
      </c>
      <c r="F395" s="5" t="s">
        <v>981</v>
      </c>
      <c r="G395" s="1">
        <v>5</v>
      </c>
      <c r="H395" s="5" t="s">
        <v>982</v>
      </c>
      <c r="I395" s="1">
        <v>14</v>
      </c>
      <c r="J395" s="5" t="s">
        <v>981</v>
      </c>
      <c r="K395" s="1">
        <v>5</v>
      </c>
      <c r="L395" s="5" t="s">
        <v>982</v>
      </c>
      <c r="M395" s="1">
        <v>4</v>
      </c>
      <c r="N395" s="5" t="s">
        <v>982</v>
      </c>
      <c r="O395" s="1">
        <v>0</v>
      </c>
      <c r="P395" s="5" t="s">
        <v>983</v>
      </c>
      <c r="Q395" s="1">
        <v>1</v>
      </c>
      <c r="R395" s="1">
        <v>1</v>
      </c>
      <c r="S395" s="1" t="s">
        <v>194</v>
      </c>
      <c r="T395" s="1">
        <v>2</v>
      </c>
      <c r="U395" s="1">
        <v>1</v>
      </c>
      <c r="V395" s="1">
        <v>45</v>
      </c>
      <c r="W395" s="1">
        <v>0</v>
      </c>
      <c r="X395" s="1">
        <v>8</v>
      </c>
      <c r="Y395" s="1">
        <v>34</v>
      </c>
      <c r="Z395" s="1">
        <v>420000</v>
      </c>
      <c r="AA395" s="1">
        <v>1</v>
      </c>
    </row>
    <row r="396" spans="1:27" ht="12.75" customHeight="1" x14ac:dyDescent="0.15">
      <c r="A396" s="5">
        <v>471</v>
      </c>
      <c r="B396" s="5" t="s">
        <v>238</v>
      </c>
      <c r="C396" s="1">
        <v>19</v>
      </c>
      <c r="D396" s="5" t="s">
        <v>982</v>
      </c>
      <c r="E396" s="1">
        <v>5</v>
      </c>
      <c r="F396" s="5" t="s">
        <v>981</v>
      </c>
      <c r="G396" s="1">
        <v>5</v>
      </c>
      <c r="H396" s="5" t="s">
        <v>982</v>
      </c>
      <c r="I396" s="1">
        <v>9</v>
      </c>
      <c r="J396" s="5" t="s">
        <v>981</v>
      </c>
      <c r="K396" s="1">
        <v>5</v>
      </c>
      <c r="L396" s="5" t="s">
        <v>982</v>
      </c>
      <c r="M396" s="1">
        <v>3</v>
      </c>
      <c r="N396" s="5" t="s">
        <v>982</v>
      </c>
      <c r="O396" s="1">
        <v>0</v>
      </c>
      <c r="P396" s="5" t="s">
        <v>983</v>
      </c>
      <c r="Q396" s="1">
        <v>1</v>
      </c>
      <c r="R396" s="1">
        <v>0</v>
      </c>
      <c r="S396" s="1">
        <v>1</v>
      </c>
      <c r="T396" s="1">
        <v>2</v>
      </c>
      <c r="U396" s="1">
        <v>1</v>
      </c>
      <c r="V396" s="1"/>
      <c r="W396" s="1">
        <v>0</v>
      </c>
      <c r="Y396" s="1">
        <v>11</v>
      </c>
      <c r="AA396" s="1">
        <v>3</v>
      </c>
    </row>
    <row r="397" spans="1:27" ht="12.75" customHeight="1" x14ac:dyDescent="0.15">
      <c r="A397" s="5">
        <v>52</v>
      </c>
      <c r="B397" s="5" t="s">
        <v>238</v>
      </c>
      <c r="C397" s="1">
        <v>22</v>
      </c>
      <c r="D397" s="5" t="s">
        <v>982</v>
      </c>
      <c r="E397" s="1">
        <v>5</v>
      </c>
      <c r="F397" s="5" t="s">
        <v>981</v>
      </c>
      <c r="G397" s="1">
        <v>5</v>
      </c>
      <c r="H397" s="5" t="s">
        <v>982</v>
      </c>
      <c r="I397" s="1">
        <v>8</v>
      </c>
      <c r="J397" s="5" t="s">
        <v>981</v>
      </c>
      <c r="K397" s="1">
        <v>5</v>
      </c>
      <c r="L397" s="5" t="s">
        <v>982</v>
      </c>
      <c r="M397" s="1">
        <v>3</v>
      </c>
      <c r="N397" s="5" t="s">
        <v>982</v>
      </c>
      <c r="O397" s="1">
        <v>0</v>
      </c>
      <c r="P397" s="5" t="s">
        <v>983</v>
      </c>
      <c r="Q397" s="1">
        <v>1</v>
      </c>
      <c r="R397" s="1">
        <v>0</v>
      </c>
      <c r="S397" s="1">
        <v>1</v>
      </c>
      <c r="T397" s="1">
        <v>5</v>
      </c>
      <c r="U397" s="1">
        <v>5</v>
      </c>
      <c r="V397" s="1">
        <v>51</v>
      </c>
      <c r="W397" s="1">
        <v>0</v>
      </c>
      <c r="X397" s="1">
        <v>16</v>
      </c>
      <c r="Y397" s="1">
        <v>24</v>
      </c>
      <c r="Z397" s="1">
        <v>780000</v>
      </c>
      <c r="AA397" s="1">
        <v>3</v>
      </c>
    </row>
    <row r="398" spans="1:27" ht="12.75" customHeight="1" x14ac:dyDescent="0.15">
      <c r="A398" s="5">
        <v>289</v>
      </c>
      <c r="B398" s="5" t="s">
        <v>238</v>
      </c>
      <c r="C398" s="1">
        <v>25</v>
      </c>
      <c r="D398" s="5" t="s">
        <v>981</v>
      </c>
      <c r="E398" s="1">
        <v>6</v>
      </c>
      <c r="F398" s="5" t="s">
        <v>981</v>
      </c>
      <c r="G398" s="1">
        <v>5</v>
      </c>
      <c r="H398" s="5" t="s">
        <v>982</v>
      </c>
      <c r="I398" s="1">
        <v>8</v>
      </c>
      <c r="J398" s="5" t="s">
        <v>981</v>
      </c>
      <c r="K398" s="1">
        <v>5</v>
      </c>
      <c r="L398" s="5" t="s">
        <v>982</v>
      </c>
      <c r="M398" s="1">
        <v>5</v>
      </c>
      <c r="N398" s="5" t="s">
        <v>982</v>
      </c>
      <c r="O398" s="1">
        <v>0</v>
      </c>
      <c r="P398" s="5" t="s">
        <v>983</v>
      </c>
      <c r="Q398" s="1">
        <v>0</v>
      </c>
      <c r="R398" s="1">
        <v>0</v>
      </c>
      <c r="S398" s="1">
        <v>1</v>
      </c>
      <c r="T398" s="1">
        <v>5</v>
      </c>
      <c r="U398" s="1">
        <v>3</v>
      </c>
      <c r="V398" s="1">
        <v>37</v>
      </c>
      <c r="W398" s="1">
        <v>1</v>
      </c>
      <c r="X398" s="1">
        <v>2</v>
      </c>
      <c r="Y398" s="1">
        <v>3</v>
      </c>
      <c r="Z398" s="1">
        <v>0</v>
      </c>
      <c r="AA398" s="1">
        <v>2</v>
      </c>
    </row>
    <row r="399" spans="1:27" ht="12.75" customHeight="1" x14ac:dyDescent="0.15">
      <c r="A399" s="5">
        <v>148</v>
      </c>
      <c r="B399" s="5" t="s">
        <v>238</v>
      </c>
      <c r="C399" s="1">
        <v>20</v>
      </c>
      <c r="D399" s="5" t="s">
        <v>982</v>
      </c>
      <c r="E399" s="1">
        <v>4</v>
      </c>
      <c r="F399" s="5" t="s">
        <v>982</v>
      </c>
      <c r="G399" s="1">
        <v>6</v>
      </c>
      <c r="H399" s="5" t="s">
        <v>981</v>
      </c>
      <c r="I399" s="1">
        <v>8</v>
      </c>
      <c r="J399" s="5" t="s">
        <v>981</v>
      </c>
      <c r="K399" s="1">
        <v>5</v>
      </c>
      <c r="L399" s="5" t="s">
        <v>982</v>
      </c>
      <c r="M399" s="1">
        <v>1</v>
      </c>
      <c r="N399" s="5" t="s">
        <v>983</v>
      </c>
      <c r="O399" s="1">
        <v>0</v>
      </c>
      <c r="P399" s="5" t="s">
        <v>983</v>
      </c>
      <c r="Q399" s="1">
        <v>1</v>
      </c>
      <c r="R399" s="1">
        <v>0</v>
      </c>
      <c r="S399" s="1">
        <v>1</v>
      </c>
      <c r="T399" s="1">
        <v>5</v>
      </c>
      <c r="U399" s="1">
        <v>5</v>
      </c>
      <c r="V399" s="1"/>
      <c r="W399" s="1">
        <v>1</v>
      </c>
      <c r="Y399" s="1">
        <v>11</v>
      </c>
      <c r="AA399" s="1">
        <v>3</v>
      </c>
    </row>
    <row r="400" spans="1:27" ht="12.75" customHeight="1" x14ac:dyDescent="0.15">
      <c r="A400" s="5">
        <v>238</v>
      </c>
      <c r="B400" s="5" t="s">
        <v>238</v>
      </c>
      <c r="C400" s="1">
        <v>30</v>
      </c>
      <c r="D400" s="5" t="s">
        <v>981</v>
      </c>
      <c r="E400" s="1">
        <v>4</v>
      </c>
      <c r="F400" s="5" t="s">
        <v>982</v>
      </c>
      <c r="G400" s="1">
        <v>6</v>
      </c>
      <c r="H400" s="5" t="s">
        <v>981</v>
      </c>
      <c r="I400" s="1">
        <v>10</v>
      </c>
      <c r="J400" s="5" t="s">
        <v>981</v>
      </c>
      <c r="K400" s="1">
        <v>5</v>
      </c>
      <c r="L400" s="5" t="s">
        <v>982</v>
      </c>
      <c r="M400" s="1">
        <v>6</v>
      </c>
      <c r="N400" s="5" t="s">
        <v>981</v>
      </c>
      <c r="O400" s="1">
        <v>0</v>
      </c>
      <c r="P400" s="5" t="s">
        <v>983</v>
      </c>
      <c r="Q400" s="1">
        <v>1</v>
      </c>
      <c r="R400" s="1">
        <v>0</v>
      </c>
      <c r="S400" s="1">
        <v>1</v>
      </c>
      <c r="T400" s="1">
        <v>1</v>
      </c>
      <c r="U400" s="1">
        <v>3</v>
      </c>
      <c r="V400" s="1">
        <v>47</v>
      </c>
      <c r="W400" s="1">
        <v>0</v>
      </c>
      <c r="X400" s="1">
        <v>13</v>
      </c>
      <c r="Y400" s="1">
        <v>9</v>
      </c>
      <c r="Z400" s="1">
        <v>0</v>
      </c>
      <c r="AA400" s="1">
        <v>3</v>
      </c>
    </row>
    <row r="401" spans="1:27" ht="12.75" customHeight="1" x14ac:dyDescent="0.15">
      <c r="A401" s="5">
        <v>188</v>
      </c>
      <c r="B401" s="5" t="s">
        <v>238</v>
      </c>
      <c r="C401" s="1">
        <v>32</v>
      </c>
      <c r="D401" s="5" t="s">
        <v>981</v>
      </c>
      <c r="E401" s="1">
        <v>5</v>
      </c>
      <c r="F401" s="5" t="s">
        <v>981</v>
      </c>
      <c r="G401" s="1">
        <v>6</v>
      </c>
      <c r="H401" s="5" t="s">
        <v>981</v>
      </c>
      <c r="I401" s="1">
        <v>4</v>
      </c>
      <c r="J401" s="5" t="s">
        <v>982</v>
      </c>
      <c r="K401" s="1">
        <v>5</v>
      </c>
      <c r="L401" s="5" t="s">
        <v>982</v>
      </c>
      <c r="M401" s="1">
        <v>3</v>
      </c>
      <c r="N401" s="5" t="s">
        <v>982</v>
      </c>
      <c r="O401" s="1">
        <v>3</v>
      </c>
      <c r="P401" s="5" t="s">
        <v>982</v>
      </c>
      <c r="Q401" s="1">
        <v>1</v>
      </c>
      <c r="R401" s="1">
        <v>1</v>
      </c>
      <c r="S401" s="1">
        <v>1</v>
      </c>
      <c r="T401" s="1">
        <v>5</v>
      </c>
      <c r="U401" s="1">
        <v>4</v>
      </c>
      <c r="V401" s="1">
        <v>46</v>
      </c>
      <c r="W401" s="1">
        <v>0</v>
      </c>
      <c r="X401" s="1">
        <v>2</v>
      </c>
      <c r="Y401" s="1">
        <v>13</v>
      </c>
      <c r="Z401" s="1">
        <v>1700000</v>
      </c>
      <c r="AA401" s="1">
        <v>5</v>
      </c>
    </row>
    <row r="402" spans="1:27" ht="12.75" customHeight="1" x14ac:dyDescent="0.15">
      <c r="A402" s="5">
        <v>24</v>
      </c>
      <c r="B402" s="5" t="s">
        <v>238</v>
      </c>
      <c r="C402" s="1">
        <v>31</v>
      </c>
      <c r="D402" s="5" t="s">
        <v>981</v>
      </c>
      <c r="E402" s="1">
        <v>0</v>
      </c>
      <c r="F402" s="5" t="s">
        <v>983</v>
      </c>
      <c r="G402" s="1">
        <v>7</v>
      </c>
      <c r="H402" s="5" t="s">
        <v>981</v>
      </c>
      <c r="I402" s="1">
        <v>7</v>
      </c>
      <c r="J402" s="5" t="s">
        <v>981</v>
      </c>
      <c r="K402" s="1">
        <v>5</v>
      </c>
      <c r="L402" s="5" t="s">
        <v>982</v>
      </c>
      <c r="M402" s="1">
        <v>5</v>
      </c>
      <c r="N402" s="5" t="s">
        <v>982</v>
      </c>
      <c r="O402" s="1">
        <v>3</v>
      </c>
      <c r="P402" s="5" t="s">
        <v>982</v>
      </c>
      <c r="Q402" s="1">
        <v>0</v>
      </c>
      <c r="R402" s="1">
        <v>0</v>
      </c>
      <c r="S402" s="1" t="s">
        <v>194</v>
      </c>
      <c r="T402" s="1">
        <v>2</v>
      </c>
      <c r="U402" s="1" t="s">
        <v>194</v>
      </c>
      <c r="V402" s="1">
        <v>39</v>
      </c>
      <c r="W402" s="1">
        <v>0</v>
      </c>
      <c r="X402" s="1">
        <v>15</v>
      </c>
      <c r="Y402" s="1">
        <v>29</v>
      </c>
      <c r="Z402" s="1">
        <v>350000</v>
      </c>
      <c r="AA402" s="1">
        <v>3</v>
      </c>
    </row>
    <row r="403" spans="1:27" ht="12.75" customHeight="1" x14ac:dyDescent="0.15">
      <c r="A403" s="5">
        <v>221</v>
      </c>
      <c r="B403" s="5" t="s">
        <v>238</v>
      </c>
      <c r="C403" s="1">
        <v>29</v>
      </c>
      <c r="D403" s="5" t="s">
        <v>981</v>
      </c>
      <c r="E403" s="1">
        <v>6</v>
      </c>
      <c r="F403" s="5" t="s">
        <v>981</v>
      </c>
      <c r="G403" s="1">
        <v>7</v>
      </c>
      <c r="H403" s="5" t="s">
        <v>981</v>
      </c>
      <c r="I403" s="1">
        <v>9</v>
      </c>
      <c r="J403" s="5" t="s">
        <v>981</v>
      </c>
      <c r="K403" s="1">
        <v>5</v>
      </c>
      <c r="L403" s="5" t="s">
        <v>982</v>
      </c>
      <c r="M403" s="1">
        <v>6</v>
      </c>
      <c r="N403" s="5" t="s">
        <v>981</v>
      </c>
      <c r="O403" s="1">
        <v>1</v>
      </c>
      <c r="P403" s="5" t="s">
        <v>982</v>
      </c>
      <c r="Q403" s="1">
        <v>0</v>
      </c>
      <c r="R403" s="1">
        <v>0</v>
      </c>
      <c r="S403" s="1">
        <v>1</v>
      </c>
      <c r="T403" s="1" t="s">
        <v>194</v>
      </c>
      <c r="U403" s="1">
        <v>2</v>
      </c>
      <c r="V403" s="1">
        <v>68</v>
      </c>
      <c r="W403" s="1">
        <v>0</v>
      </c>
      <c r="X403" s="1">
        <v>3</v>
      </c>
      <c r="Y403" s="1">
        <v>2</v>
      </c>
      <c r="Z403" s="1">
        <v>500000</v>
      </c>
      <c r="AA403" s="1">
        <v>1</v>
      </c>
    </row>
    <row r="404" spans="1:27" ht="12.75" customHeight="1" x14ac:dyDescent="0.15">
      <c r="A404" s="5">
        <v>315</v>
      </c>
      <c r="B404" s="5" t="s">
        <v>238</v>
      </c>
      <c r="C404" s="1">
        <v>15</v>
      </c>
      <c r="D404" s="5" t="s">
        <v>983</v>
      </c>
      <c r="E404" s="1">
        <v>5</v>
      </c>
      <c r="F404" s="5" t="s">
        <v>981</v>
      </c>
      <c r="G404" s="1">
        <v>0</v>
      </c>
      <c r="H404" s="5" t="s">
        <v>983</v>
      </c>
      <c r="I404" s="1">
        <v>4</v>
      </c>
      <c r="J404" s="5" t="s">
        <v>982</v>
      </c>
      <c r="K404" s="1">
        <v>6</v>
      </c>
      <c r="L404" s="5" t="s">
        <v>981</v>
      </c>
      <c r="M404" s="1">
        <v>4</v>
      </c>
      <c r="N404" s="5" t="s">
        <v>982</v>
      </c>
      <c r="O404" s="1">
        <v>0</v>
      </c>
      <c r="P404" s="5" t="s">
        <v>983</v>
      </c>
      <c r="Q404" s="1">
        <v>0</v>
      </c>
      <c r="R404" s="1">
        <v>0</v>
      </c>
      <c r="S404" s="1" t="s">
        <v>194</v>
      </c>
      <c r="T404" s="1" t="s">
        <v>194</v>
      </c>
      <c r="U404" s="1">
        <v>1</v>
      </c>
      <c r="V404" s="1"/>
      <c r="W404" s="1">
        <v>0</v>
      </c>
      <c r="Y404" s="1">
        <v>20</v>
      </c>
      <c r="AA404" s="1">
        <v>2</v>
      </c>
    </row>
    <row r="405" spans="1:27" ht="12.75" customHeight="1" x14ac:dyDescent="0.15">
      <c r="A405" s="5">
        <v>190</v>
      </c>
      <c r="B405" s="5" t="s">
        <v>238</v>
      </c>
      <c r="C405" s="1">
        <v>29</v>
      </c>
      <c r="D405" s="5" t="s">
        <v>981</v>
      </c>
      <c r="E405" s="1">
        <v>7</v>
      </c>
      <c r="F405" s="5" t="s">
        <v>981</v>
      </c>
      <c r="G405" s="1">
        <v>1</v>
      </c>
      <c r="H405" s="5" t="s">
        <v>983</v>
      </c>
      <c r="I405" s="1">
        <v>4</v>
      </c>
      <c r="J405" s="5" t="s">
        <v>982</v>
      </c>
      <c r="K405" s="1">
        <v>6</v>
      </c>
      <c r="L405" s="5" t="s">
        <v>981</v>
      </c>
      <c r="M405" s="1">
        <v>12</v>
      </c>
      <c r="N405" s="5" t="s">
        <v>981</v>
      </c>
      <c r="O405" s="1">
        <v>0</v>
      </c>
      <c r="P405" s="5" t="s">
        <v>983</v>
      </c>
      <c r="Q405" s="1">
        <v>0</v>
      </c>
      <c r="R405" s="1">
        <v>0</v>
      </c>
      <c r="S405" s="1" t="s">
        <v>194</v>
      </c>
      <c r="T405" s="1">
        <v>5</v>
      </c>
      <c r="U405" s="1">
        <v>3</v>
      </c>
      <c r="V405" s="1">
        <v>34</v>
      </c>
      <c r="W405" s="1">
        <v>0</v>
      </c>
      <c r="X405" s="1">
        <v>16</v>
      </c>
      <c r="Y405" s="1">
        <v>4</v>
      </c>
      <c r="Z405" s="1">
        <v>0</v>
      </c>
      <c r="AA405" s="1">
        <v>2</v>
      </c>
    </row>
    <row r="406" spans="1:27" ht="12.75" customHeight="1" x14ac:dyDescent="0.15">
      <c r="A406" s="5">
        <v>71</v>
      </c>
      <c r="B406" s="5" t="s">
        <v>238</v>
      </c>
      <c r="C406" s="1">
        <v>21</v>
      </c>
      <c r="D406" s="5" t="s">
        <v>982</v>
      </c>
      <c r="E406" s="1">
        <v>0</v>
      </c>
      <c r="F406" s="5" t="s">
        <v>983</v>
      </c>
      <c r="G406" s="1">
        <v>2</v>
      </c>
      <c r="H406" s="5" t="s">
        <v>982</v>
      </c>
      <c r="I406" s="1">
        <v>4</v>
      </c>
      <c r="J406" s="5" t="s">
        <v>982</v>
      </c>
      <c r="K406" s="1">
        <v>6</v>
      </c>
      <c r="L406" s="5" t="s">
        <v>981</v>
      </c>
      <c r="M406" s="1">
        <v>0</v>
      </c>
      <c r="N406" s="5" t="s">
        <v>983</v>
      </c>
      <c r="O406" s="1">
        <v>0</v>
      </c>
      <c r="P406" s="5" t="s">
        <v>983</v>
      </c>
      <c r="Q406" s="1">
        <v>0</v>
      </c>
      <c r="R406" s="1">
        <v>1</v>
      </c>
      <c r="S406" s="1">
        <v>0</v>
      </c>
      <c r="T406" s="1">
        <v>2</v>
      </c>
      <c r="U406" s="1">
        <v>2</v>
      </c>
      <c r="V406" s="1">
        <v>53</v>
      </c>
      <c r="W406" s="1">
        <v>0</v>
      </c>
      <c r="X406" s="1">
        <v>14</v>
      </c>
      <c r="Y406" s="1">
        <v>24</v>
      </c>
      <c r="Z406" s="1">
        <v>450000</v>
      </c>
      <c r="AA406" s="1">
        <v>4</v>
      </c>
    </row>
    <row r="407" spans="1:27" ht="12.75" customHeight="1" x14ac:dyDescent="0.15">
      <c r="A407" s="5">
        <v>171</v>
      </c>
      <c r="B407" s="5" t="s">
        <v>238</v>
      </c>
      <c r="C407" s="1">
        <v>26</v>
      </c>
      <c r="D407" s="5" t="s">
        <v>981</v>
      </c>
      <c r="E407" s="1">
        <v>5</v>
      </c>
      <c r="F407" s="5" t="s">
        <v>981</v>
      </c>
      <c r="G407" s="1">
        <v>2</v>
      </c>
      <c r="H407" s="5" t="s">
        <v>982</v>
      </c>
      <c r="I407" s="1">
        <v>3</v>
      </c>
      <c r="J407" s="5" t="s">
        <v>982</v>
      </c>
      <c r="K407" s="1">
        <v>6</v>
      </c>
      <c r="L407" s="5" t="s">
        <v>981</v>
      </c>
      <c r="M407" s="1">
        <v>4</v>
      </c>
      <c r="N407" s="5" t="s">
        <v>982</v>
      </c>
      <c r="O407" s="1">
        <v>0</v>
      </c>
      <c r="P407" s="5" t="s">
        <v>983</v>
      </c>
      <c r="Q407" s="1">
        <v>0</v>
      </c>
      <c r="R407" s="1">
        <v>0</v>
      </c>
      <c r="S407" s="1">
        <v>1</v>
      </c>
      <c r="T407" s="1">
        <v>3</v>
      </c>
      <c r="U407" s="1">
        <v>3</v>
      </c>
      <c r="V407" s="1"/>
      <c r="W407" s="1">
        <v>0</v>
      </c>
      <c r="Y407" s="1">
        <v>24</v>
      </c>
      <c r="AA407" s="1">
        <v>3</v>
      </c>
    </row>
    <row r="408" spans="1:27" ht="12.75" customHeight="1" x14ac:dyDescent="0.15">
      <c r="A408" s="5">
        <v>381</v>
      </c>
      <c r="B408" s="5" t="s">
        <v>238</v>
      </c>
      <c r="C408" s="1">
        <v>16</v>
      </c>
      <c r="D408" s="5" t="s">
        <v>983</v>
      </c>
      <c r="E408" s="1">
        <v>2</v>
      </c>
      <c r="F408" s="5" t="s">
        <v>982</v>
      </c>
      <c r="G408" s="1">
        <v>3</v>
      </c>
      <c r="H408" s="5" t="s">
        <v>982</v>
      </c>
      <c r="I408" s="1">
        <v>8</v>
      </c>
      <c r="J408" s="5" t="s">
        <v>981</v>
      </c>
      <c r="K408" s="1">
        <v>6</v>
      </c>
      <c r="L408" s="5" t="s">
        <v>981</v>
      </c>
      <c r="M408" s="1">
        <v>0</v>
      </c>
      <c r="N408" s="5" t="s">
        <v>983</v>
      </c>
      <c r="O408" s="1">
        <v>0</v>
      </c>
      <c r="P408" s="5" t="s">
        <v>983</v>
      </c>
      <c r="Q408" s="1">
        <v>1</v>
      </c>
      <c r="R408" s="1">
        <v>1</v>
      </c>
      <c r="S408" s="1">
        <v>1</v>
      </c>
      <c r="T408" s="1">
        <v>2</v>
      </c>
      <c r="U408" s="1">
        <v>1</v>
      </c>
      <c r="V408" s="1">
        <v>46</v>
      </c>
      <c r="W408" s="1">
        <v>1</v>
      </c>
      <c r="X408" s="1">
        <v>2</v>
      </c>
      <c r="Y408" s="1">
        <v>17</v>
      </c>
      <c r="Z408" s="1">
        <v>0</v>
      </c>
      <c r="AA408" s="1">
        <v>3</v>
      </c>
    </row>
    <row r="409" spans="1:27" ht="12.75" customHeight="1" x14ac:dyDescent="0.15">
      <c r="A409" s="5">
        <v>322</v>
      </c>
      <c r="B409" s="5" t="s">
        <v>238</v>
      </c>
      <c r="C409" s="1">
        <v>18</v>
      </c>
      <c r="D409" s="5" t="s">
        <v>983</v>
      </c>
      <c r="E409" s="1">
        <v>4</v>
      </c>
      <c r="F409" s="5" t="s">
        <v>982</v>
      </c>
      <c r="G409" s="1">
        <v>3</v>
      </c>
      <c r="H409" s="5" t="s">
        <v>982</v>
      </c>
      <c r="I409" s="1">
        <v>8</v>
      </c>
      <c r="J409" s="5" t="s">
        <v>981</v>
      </c>
      <c r="K409" s="1">
        <v>6</v>
      </c>
      <c r="L409" s="5" t="s">
        <v>981</v>
      </c>
      <c r="M409" s="1">
        <v>6</v>
      </c>
      <c r="N409" s="5" t="s">
        <v>981</v>
      </c>
      <c r="O409" s="1">
        <v>0</v>
      </c>
      <c r="P409" s="5" t="s">
        <v>983</v>
      </c>
      <c r="Q409" s="1">
        <v>1</v>
      </c>
      <c r="R409" s="1">
        <v>0</v>
      </c>
      <c r="S409" s="1">
        <v>1</v>
      </c>
      <c r="T409" s="1">
        <v>3</v>
      </c>
      <c r="U409" s="1">
        <v>3</v>
      </c>
      <c r="V409" s="1">
        <v>52</v>
      </c>
      <c r="W409" s="1">
        <v>1</v>
      </c>
      <c r="X409" s="1">
        <v>3</v>
      </c>
      <c r="Y409" s="1">
        <v>3</v>
      </c>
      <c r="Z409" s="1">
        <v>80000</v>
      </c>
      <c r="AA409" s="1">
        <v>5</v>
      </c>
    </row>
    <row r="410" spans="1:27" ht="12.75" customHeight="1" x14ac:dyDescent="0.15">
      <c r="A410" s="5">
        <v>441</v>
      </c>
      <c r="B410" s="5" t="s">
        <v>238</v>
      </c>
      <c r="C410" s="1">
        <v>14</v>
      </c>
      <c r="D410" s="5" t="s">
        <v>983</v>
      </c>
      <c r="E410" s="1">
        <v>6</v>
      </c>
      <c r="F410" s="5" t="s">
        <v>981</v>
      </c>
      <c r="G410" s="1">
        <v>3</v>
      </c>
      <c r="H410" s="5" t="s">
        <v>982</v>
      </c>
      <c r="I410" s="1">
        <v>11</v>
      </c>
      <c r="J410" s="5" t="s">
        <v>981</v>
      </c>
      <c r="K410" s="1">
        <v>6</v>
      </c>
      <c r="L410" s="5" t="s">
        <v>981</v>
      </c>
      <c r="M410" s="1">
        <v>3</v>
      </c>
      <c r="N410" s="5" t="s">
        <v>982</v>
      </c>
      <c r="O410" s="1">
        <v>0</v>
      </c>
      <c r="P410" s="5" t="s">
        <v>983</v>
      </c>
      <c r="Q410" s="1">
        <v>0</v>
      </c>
      <c r="R410" s="1">
        <v>0</v>
      </c>
      <c r="S410" s="1" t="s">
        <v>194</v>
      </c>
      <c r="T410" s="1">
        <v>5</v>
      </c>
      <c r="U410" s="1">
        <v>5</v>
      </c>
      <c r="V410" s="1">
        <v>53</v>
      </c>
      <c r="W410" s="1">
        <v>0</v>
      </c>
      <c r="X410" s="1">
        <v>14</v>
      </c>
      <c r="Y410" s="1">
        <v>24</v>
      </c>
      <c r="Z410" s="1">
        <v>550000</v>
      </c>
      <c r="AA410" s="1">
        <v>2</v>
      </c>
    </row>
    <row r="411" spans="1:27" ht="12.75" customHeight="1" x14ac:dyDescent="0.15">
      <c r="A411" s="5">
        <v>329</v>
      </c>
      <c r="B411" s="5" t="s">
        <v>238</v>
      </c>
      <c r="C411" s="1">
        <v>22</v>
      </c>
      <c r="D411" s="5" t="s">
        <v>982</v>
      </c>
      <c r="E411" s="1">
        <v>7</v>
      </c>
      <c r="F411" s="5" t="s">
        <v>981</v>
      </c>
      <c r="G411" s="1">
        <v>3</v>
      </c>
      <c r="H411" s="5" t="s">
        <v>982</v>
      </c>
      <c r="I411" s="1">
        <v>11</v>
      </c>
      <c r="J411" s="5" t="s">
        <v>981</v>
      </c>
      <c r="K411" s="1">
        <v>6</v>
      </c>
      <c r="L411" s="5" t="s">
        <v>981</v>
      </c>
      <c r="M411" s="1">
        <v>6</v>
      </c>
      <c r="N411" s="5" t="s">
        <v>981</v>
      </c>
      <c r="O411" s="1">
        <v>0</v>
      </c>
      <c r="P411" s="5" t="s">
        <v>983</v>
      </c>
      <c r="Q411" s="1">
        <v>0</v>
      </c>
      <c r="R411" s="1">
        <v>0</v>
      </c>
      <c r="S411" s="1" t="s">
        <v>194</v>
      </c>
      <c r="T411" s="1">
        <v>5</v>
      </c>
      <c r="U411" s="1">
        <v>2</v>
      </c>
      <c r="V411" s="1">
        <v>49</v>
      </c>
      <c r="W411" s="1">
        <v>1</v>
      </c>
      <c r="X411" s="1">
        <v>13</v>
      </c>
      <c r="Y411" s="1">
        <v>2</v>
      </c>
      <c r="Z411" s="1">
        <v>250000</v>
      </c>
      <c r="AA411" s="1">
        <v>1</v>
      </c>
    </row>
    <row r="412" spans="1:27" ht="12.75" customHeight="1" x14ac:dyDescent="0.15">
      <c r="A412" s="5">
        <v>346</v>
      </c>
      <c r="B412" s="5" t="s">
        <v>238</v>
      </c>
      <c r="C412" s="1">
        <v>12</v>
      </c>
      <c r="D412" s="5" t="s">
        <v>983</v>
      </c>
      <c r="E412" s="1">
        <v>0</v>
      </c>
      <c r="F412" s="5" t="s">
        <v>983</v>
      </c>
      <c r="G412" s="1">
        <v>4</v>
      </c>
      <c r="H412" s="5" t="s">
        <v>982</v>
      </c>
      <c r="I412" s="1">
        <v>2</v>
      </c>
      <c r="J412" s="5" t="s">
        <v>982</v>
      </c>
      <c r="K412" s="1">
        <v>6</v>
      </c>
      <c r="L412" s="5" t="s">
        <v>981</v>
      </c>
      <c r="M412" s="1">
        <v>0</v>
      </c>
      <c r="N412" s="5" t="s">
        <v>983</v>
      </c>
      <c r="O412" s="1">
        <v>0</v>
      </c>
      <c r="P412" s="5" t="s">
        <v>983</v>
      </c>
      <c r="Q412" s="1">
        <v>0</v>
      </c>
      <c r="R412" s="1">
        <v>0</v>
      </c>
      <c r="S412" s="1">
        <v>1</v>
      </c>
      <c r="T412" s="1">
        <v>2</v>
      </c>
      <c r="U412" s="1">
        <v>1</v>
      </c>
      <c r="V412" s="1"/>
      <c r="W412" s="1">
        <v>1</v>
      </c>
      <c r="Y412" s="1">
        <v>6</v>
      </c>
      <c r="AA412" s="1">
        <v>7</v>
      </c>
    </row>
    <row r="413" spans="1:27" ht="12.75" customHeight="1" x14ac:dyDescent="0.15">
      <c r="A413" s="5">
        <v>54</v>
      </c>
      <c r="B413" s="5" t="s">
        <v>238</v>
      </c>
      <c r="C413" s="1">
        <v>21</v>
      </c>
      <c r="D413" s="5" t="s">
        <v>982</v>
      </c>
      <c r="E413" s="1">
        <v>7</v>
      </c>
      <c r="F413" s="5" t="s">
        <v>981</v>
      </c>
      <c r="G413" s="1">
        <v>4</v>
      </c>
      <c r="H413" s="5" t="s">
        <v>982</v>
      </c>
      <c r="I413" s="1">
        <v>8</v>
      </c>
      <c r="J413" s="5" t="s">
        <v>981</v>
      </c>
      <c r="K413" s="1">
        <v>6</v>
      </c>
      <c r="L413" s="5" t="s">
        <v>981</v>
      </c>
      <c r="M413" s="1">
        <v>6</v>
      </c>
      <c r="N413" s="5" t="s">
        <v>981</v>
      </c>
      <c r="O413" s="1">
        <v>6</v>
      </c>
      <c r="P413" s="5" t="s">
        <v>982</v>
      </c>
      <c r="Q413" s="1">
        <v>1</v>
      </c>
      <c r="R413" s="1">
        <v>0</v>
      </c>
      <c r="S413" s="1" t="s">
        <v>194</v>
      </c>
      <c r="T413" s="1">
        <v>5</v>
      </c>
      <c r="U413" s="1">
        <v>2</v>
      </c>
      <c r="V413" s="1">
        <v>57</v>
      </c>
      <c r="W413" s="1">
        <v>0</v>
      </c>
      <c r="X413" s="1">
        <v>14</v>
      </c>
      <c r="Y413" s="1">
        <v>3</v>
      </c>
      <c r="Z413" s="1">
        <v>240000</v>
      </c>
      <c r="AA413" s="1">
        <v>3</v>
      </c>
    </row>
    <row r="414" spans="1:27" ht="12.75" customHeight="1" x14ac:dyDescent="0.15">
      <c r="A414" s="5">
        <v>335</v>
      </c>
      <c r="B414" s="5" t="s">
        <v>238</v>
      </c>
      <c r="C414" s="1">
        <v>19</v>
      </c>
      <c r="D414" s="5" t="s">
        <v>982</v>
      </c>
      <c r="E414" s="1">
        <v>3</v>
      </c>
      <c r="F414" s="5" t="s">
        <v>982</v>
      </c>
      <c r="G414" s="1">
        <v>5</v>
      </c>
      <c r="H414" s="5" t="s">
        <v>982</v>
      </c>
      <c r="I414" s="1">
        <v>0</v>
      </c>
      <c r="J414" s="5" t="s">
        <v>983</v>
      </c>
      <c r="K414" s="1">
        <v>6</v>
      </c>
      <c r="L414" s="5" t="s">
        <v>981</v>
      </c>
      <c r="M414" s="1">
        <v>6</v>
      </c>
      <c r="N414" s="5" t="s">
        <v>981</v>
      </c>
      <c r="O414" s="1">
        <v>0</v>
      </c>
      <c r="P414" s="5" t="s">
        <v>983</v>
      </c>
      <c r="Q414" s="1">
        <v>0</v>
      </c>
      <c r="R414" s="1">
        <v>0</v>
      </c>
      <c r="S414" s="1" t="s">
        <v>194</v>
      </c>
      <c r="T414" s="1">
        <v>3</v>
      </c>
      <c r="U414" s="1">
        <v>1</v>
      </c>
      <c r="V414" s="1">
        <v>20</v>
      </c>
      <c r="W414" s="1">
        <v>0</v>
      </c>
      <c r="X414" s="1">
        <v>5</v>
      </c>
      <c r="Y414" s="1">
        <v>3</v>
      </c>
      <c r="Z414" s="1">
        <v>0</v>
      </c>
      <c r="AA414" s="1">
        <v>4</v>
      </c>
    </row>
    <row r="415" spans="1:27" ht="12.75" customHeight="1" x14ac:dyDescent="0.15">
      <c r="A415" s="5">
        <v>21</v>
      </c>
      <c r="B415" s="5" t="s">
        <v>238</v>
      </c>
      <c r="C415" s="1">
        <v>33</v>
      </c>
      <c r="D415" s="5" t="s">
        <v>981</v>
      </c>
      <c r="E415" s="1">
        <v>9</v>
      </c>
      <c r="F415" s="5" t="s">
        <v>981</v>
      </c>
      <c r="G415" s="1">
        <v>5</v>
      </c>
      <c r="H415" s="5" t="s">
        <v>982</v>
      </c>
      <c r="I415" s="1">
        <v>7</v>
      </c>
      <c r="J415" s="5" t="s">
        <v>981</v>
      </c>
      <c r="K415" s="1">
        <v>6</v>
      </c>
      <c r="L415" s="5" t="s">
        <v>981</v>
      </c>
      <c r="M415" s="1">
        <v>6</v>
      </c>
      <c r="N415" s="5" t="s">
        <v>981</v>
      </c>
      <c r="O415" s="1">
        <v>0</v>
      </c>
      <c r="P415" s="5" t="s">
        <v>983</v>
      </c>
      <c r="Q415" s="1">
        <v>1</v>
      </c>
      <c r="R415" s="1">
        <v>0</v>
      </c>
      <c r="S415" s="1">
        <v>1</v>
      </c>
      <c r="T415" s="1">
        <v>5</v>
      </c>
      <c r="U415" s="1">
        <v>5</v>
      </c>
      <c r="V415" s="1"/>
      <c r="W415" s="1">
        <v>0</v>
      </c>
      <c r="Y415" s="1">
        <v>11</v>
      </c>
      <c r="AA415" s="1">
        <v>3</v>
      </c>
    </row>
    <row r="416" spans="1:27" ht="12.75" customHeight="1" x14ac:dyDescent="0.15">
      <c r="A416" s="5">
        <v>101</v>
      </c>
      <c r="B416" s="5" t="s">
        <v>238</v>
      </c>
      <c r="C416" s="1">
        <v>27</v>
      </c>
      <c r="D416" s="5" t="s">
        <v>981</v>
      </c>
      <c r="E416" s="1">
        <v>4</v>
      </c>
      <c r="F416" s="5" t="s">
        <v>982</v>
      </c>
      <c r="G416" s="1">
        <v>6</v>
      </c>
      <c r="H416" s="5" t="s">
        <v>981</v>
      </c>
      <c r="I416" s="1">
        <v>6</v>
      </c>
      <c r="J416" s="5" t="s">
        <v>981</v>
      </c>
      <c r="K416" s="1">
        <v>6</v>
      </c>
      <c r="L416" s="5" t="s">
        <v>981</v>
      </c>
      <c r="M416" s="1">
        <v>12</v>
      </c>
      <c r="N416" s="5" t="s">
        <v>981</v>
      </c>
      <c r="O416" s="1">
        <v>1</v>
      </c>
      <c r="P416" s="5" t="s">
        <v>982</v>
      </c>
      <c r="Q416" s="1">
        <v>1</v>
      </c>
      <c r="R416" s="1">
        <v>0</v>
      </c>
      <c r="S416" s="1" t="s">
        <v>194</v>
      </c>
      <c r="T416" s="1">
        <v>3</v>
      </c>
      <c r="U416" s="1">
        <v>2</v>
      </c>
      <c r="V416" s="1">
        <v>39</v>
      </c>
      <c r="W416" s="1">
        <v>1</v>
      </c>
      <c r="X416" s="1">
        <v>15</v>
      </c>
      <c r="Y416" s="1">
        <v>5</v>
      </c>
      <c r="Z416" s="1">
        <v>1030000</v>
      </c>
      <c r="AA416" s="1">
        <v>3</v>
      </c>
    </row>
    <row r="417" spans="1:27" ht="12.75" customHeight="1" x14ac:dyDescent="0.15">
      <c r="A417" s="5">
        <v>3</v>
      </c>
      <c r="B417" s="5" t="s">
        <v>238</v>
      </c>
      <c r="C417" s="1">
        <v>12</v>
      </c>
      <c r="D417" s="5" t="s">
        <v>983</v>
      </c>
      <c r="E417" s="1">
        <v>6</v>
      </c>
      <c r="F417" s="5" t="s">
        <v>981</v>
      </c>
      <c r="G417" s="1">
        <v>6</v>
      </c>
      <c r="H417" s="5" t="s">
        <v>981</v>
      </c>
      <c r="I417" s="1">
        <v>8</v>
      </c>
      <c r="J417" s="5" t="s">
        <v>981</v>
      </c>
      <c r="K417" s="1">
        <v>6</v>
      </c>
      <c r="L417" s="5" t="s">
        <v>981</v>
      </c>
      <c r="M417" s="1">
        <v>6</v>
      </c>
      <c r="N417" s="5" t="s">
        <v>981</v>
      </c>
      <c r="O417" s="1">
        <v>0</v>
      </c>
      <c r="P417" s="5" t="s">
        <v>983</v>
      </c>
      <c r="Q417" s="1">
        <v>1</v>
      </c>
      <c r="R417" s="1">
        <v>0</v>
      </c>
      <c r="S417" s="1" t="s">
        <v>194</v>
      </c>
      <c r="T417" s="1" t="s">
        <v>194</v>
      </c>
      <c r="U417" s="1" t="s">
        <v>194</v>
      </c>
      <c r="V417" s="1">
        <v>40</v>
      </c>
      <c r="W417" s="1">
        <v>1</v>
      </c>
      <c r="X417" s="1">
        <v>14</v>
      </c>
      <c r="Y417" s="1">
        <v>1</v>
      </c>
      <c r="Z417" s="1">
        <v>40000</v>
      </c>
      <c r="AA417" s="1">
        <v>3</v>
      </c>
    </row>
    <row r="418" spans="1:27" ht="12.75" customHeight="1" x14ac:dyDescent="0.15">
      <c r="A418" s="5">
        <v>75</v>
      </c>
      <c r="B418" s="5" t="s">
        <v>238</v>
      </c>
      <c r="C418" s="1">
        <v>12</v>
      </c>
      <c r="D418" s="5" t="s">
        <v>983</v>
      </c>
      <c r="E418" s="1">
        <v>6</v>
      </c>
      <c r="F418" s="5" t="s">
        <v>981</v>
      </c>
      <c r="G418" s="1">
        <v>6</v>
      </c>
      <c r="H418" s="5" t="s">
        <v>981</v>
      </c>
      <c r="I418" s="1">
        <v>2</v>
      </c>
      <c r="J418" s="5" t="s">
        <v>982</v>
      </c>
      <c r="K418" s="1">
        <v>6</v>
      </c>
      <c r="L418" s="5" t="s">
        <v>981</v>
      </c>
      <c r="M418" s="1">
        <v>6</v>
      </c>
      <c r="N418" s="5" t="s">
        <v>981</v>
      </c>
      <c r="O418" s="1">
        <v>0</v>
      </c>
      <c r="P418" s="5" t="s">
        <v>983</v>
      </c>
      <c r="Q418" s="1">
        <v>1</v>
      </c>
      <c r="R418" s="1">
        <v>0</v>
      </c>
      <c r="S418" s="1">
        <v>1</v>
      </c>
      <c r="T418" s="1">
        <v>1</v>
      </c>
      <c r="U418" s="1">
        <v>1</v>
      </c>
      <c r="V418" s="1">
        <v>56</v>
      </c>
      <c r="W418" s="1">
        <v>0</v>
      </c>
      <c r="X418" s="1">
        <v>14</v>
      </c>
      <c r="Y418" s="1">
        <v>33</v>
      </c>
      <c r="Z418" s="1">
        <v>500000</v>
      </c>
      <c r="AA418" s="1">
        <v>3</v>
      </c>
    </row>
    <row r="419" spans="1:27" ht="12.75" customHeight="1" x14ac:dyDescent="0.15">
      <c r="A419" s="5">
        <v>83</v>
      </c>
      <c r="B419" s="5" t="s">
        <v>238</v>
      </c>
      <c r="C419" s="1">
        <v>13</v>
      </c>
      <c r="D419" s="5" t="s">
        <v>983</v>
      </c>
      <c r="E419" s="1">
        <v>6</v>
      </c>
      <c r="F419" s="5" t="s">
        <v>981</v>
      </c>
      <c r="G419" s="1">
        <v>6</v>
      </c>
      <c r="H419" s="5" t="s">
        <v>981</v>
      </c>
      <c r="I419" s="1">
        <v>8</v>
      </c>
      <c r="J419" s="5" t="s">
        <v>981</v>
      </c>
      <c r="K419" s="1">
        <v>6</v>
      </c>
      <c r="L419" s="5" t="s">
        <v>981</v>
      </c>
      <c r="M419" s="1">
        <v>6</v>
      </c>
      <c r="N419" s="5" t="s">
        <v>981</v>
      </c>
      <c r="O419" s="1">
        <v>0</v>
      </c>
      <c r="P419" s="5" t="s">
        <v>983</v>
      </c>
      <c r="Q419" s="1">
        <v>0</v>
      </c>
      <c r="R419" s="1">
        <v>0</v>
      </c>
      <c r="S419" s="1">
        <v>0</v>
      </c>
      <c r="T419" s="1">
        <v>2</v>
      </c>
      <c r="U419" s="1">
        <v>3</v>
      </c>
      <c r="V419" s="1">
        <v>31</v>
      </c>
      <c r="W419" s="1">
        <v>0</v>
      </c>
      <c r="X419" s="1">
        <v>16</v>
      </c>
      <c r="Y419" s="1">
        <v>28</v>
      </c>
      <c r="Z419" s="1">
        <v>650000</v>
      </c>
      <c r="AA419" s="1">
        <v>4</v>
      </c>
    </row>
    <row r="420" spans="1:27" ht="12.75" customHeight="1" x14ac:dyDescent="0.15">
      <c r="A420" s="5">
        <v>232</v>
      </c>
      <c r="B420" s="5" t="s">
        <v>238</v>
      </c>
      <c r="C420" s="1">
        <v>14</v>
      </c>
      <c r="D420" s="5" t="s">
        <v>983</v>
      </c>
      <c r="E420" s="1">
        <v>6</v>
      </c>
      <c r="F420" s="5" t="s">
        <v>981</v>
      </c>
      <c r="G420" s="1">
        <v>6</v>
      </c>
      <c r="H420" s="5" t="s">
        <v>981</v>
      </c>
      <c r="I420" s="1">
        <v>5</v>
      </c>
      <c r="J420" s="5" t="s">
        <v>981</v>
      </c>
      <c r="K420" s="1">
        <v>6</v>
      </c>
      <c r="L420" s="5" t="s">
        <v>981</v>
      </c>
      <c r="M420" s="1">
        <v>4</v>
      </c>
      <c r="N420" s="5" t="s">
        <v>982</v>
      </c>
      <c r="O420" s="1">
        <v>0</v>
      </c>
      <c r="P420" s="5" t="s">
        <v>983</v>
      </c>
      <c r="Q420" s="1">
        <v>0</v>
      </c>
      <c r="R420" s="1">
        <v>0</v>
      </c>
      <c r="S420" s="1">
        <v>1</v>
      </c>
      <c r="T420" s="1">
        <v>3</v>
      </c>
      <c r="U420" s="1">
        <v>5</v>
      </c>
      <c r="V420" s="1">
        <v>49</v>
      </c>
      <c r="W420" s="1">
        <v>0</v>
      </c>
      <c r="X420" s="1">
        <v>3</v>
      </c>
      <c r="Y420" s="1">
        <v>3</v>
      </c>
      <c r="Z420" s="1">
        <v>400000</v>
      </c>
      <c r="AA420" s="1">
        <v>5</v>
      </c>
    </row>
    <row r="421" spans="1:27" ht="12.75" customHeight="1" x14ac:dyDescent="0.15">
      <c r="A421" s="5">
        <v>399</v>
      </c>
      <c r="B421" s="5" t="s">
        <v>238</v>
      </c>
      <c r="C421" s="1">
        <v>15</v>
      </c>
      <c r="D421" s="5" t="s">
        <v>983</v>
      </c>
      <c r="E421" s="1">
        <v>6</v>
      </c>
      <c r="F421" s="5" t="s">
        <v>981</v>
      </c>
      <c r="G421" s="1">
        <v>6</v>
      </c>
      <c r="H421" s="5" t="s">
        <v>981</v>
      </c>
      <c r="I421" s="1">
        <v>8</v>
      </c>
      <c r="J421" s="5" t="s">
        <v>981</v>
      </c>
      <c r="K421" s="1">
        <v>6</v>
      </c>
      <c r="L421" s="5" t="s">
        <v>981</v>
      </c>
      <c r="M421" s="1">
        <v>6</v>
      </c>
      <c r="N421" s="5" t="s">
        <v>981</v>
      </c>
      <c r="O421" s="1">
        <v>0</v>
      </c>
      <c r="P421" s="5" t="s">
        <v>983</v>
      </c>
      <c r="Q421" s="1">
        <v>1</v>
      </c>
      <c r="R421" s="1">
        <v>0</v>
      </c>
      <c r="S421" s="1" t="s">
        <v>194</v>
      </c>
      <c r="T421" s="1">
        <v>4</v>
      </c>
      <c r="U421" s="1">
        <v>5</v>
      </c>
      <c r="V421" s="1">
        <v>38</v>
      </c>
      <c r="W421" s="1">
        <v>0</v>
      </c>
      <c r="X421" s="1">
        <v>2</v>
      </c>
      <c r="Y421" s="1">
        <v>2</v>
      </c>
      <c r="Z421" s="1">
        <v>100000</v>
      </c>
      <c r="AA421" s="1">
        <v>6</v>
      </c>
    </row>
    <row r="422" spans="1:27" ht="12.75" customHeight="1" x14ac:dyDescent="0.15">
      <c r="A422" s="5">
        <v>480</v>
      </c>
      <c r="B422" s="5" t="s">
        <v>238</v>
      </c>
      <c r="C422" s="1">
        <v>18</v>
      </c>
      <c r="D422" s="5" t="s">
        <v>983</v>
      </c>
      <c r="E422" s="1">
        <v>6</v>
      </c>
      <c r="F422" s="5" t="s">
        <v>981</v>
      </c>
      <c r="G422" s="1">
        <v>6</v>
      </c>
      <c r="H422" s="5" t="s">
        <v>981</v>
      </c>
      <c r="I422" s="1">
        <v>8</v>
      </c>
      <c r="J422" s="5" t="s">
        <v>981</v>
      </c>
      <c r="K422" s="1">
        <v>6</v>
      </c>
      <c r="L422" s="5" t="s">
        <v>981</v>
      </c>
      <c r="M422" s="1">
        <v>6</v>
      </c>
      <c r="N422" s="5" t="s">
        <v>981</v>
      </c>
      <c r="O422" s="1">
        <v>0</v>
      </c>
      <c r="P422" s="5" t="s">
        <v>983</v>
      </c>
      <c r="Q422" s="1">
        <v>0</v>
      </c>
      <c r="R422" s="1">
        <v>0</v>
      </c>
      <c r="S422" s="1">
        <v>1</v>
      </c>
      <c r="T422" s="1">
        <v>2</v>
      </c>
      <c r="U422" s="1" t="s">
        <v>194</v>
      </c>
      <c r="V422" s="1">
        <v>38</v>
      </c>
      <c r="W422" s="1">
        <v>1</v>
      </c>
      <c r="X422" s="1">
        <v>16</v>
      </c>
      <c r="Y422" s="1">
        <v>1</v>
      </c>
      <c r="Z422" s="1">
        <v>500000</v>
      </c>
      <c r="AA422" s="1">
        <v>4</v>
      </c>
    </row>
    <row r="423" spans="1:27" ht="12.75" customHeight="1" x14ac:dyDescent="0.15">
      <c r="A423" s="5">
        <v>438</v>
      </c>
      <c r="B423" s="5" t="s">
        <v>238</v>
      </c>
      <c r="C423" s="1">
        <v>22</v>
      </c>
      <c r="D423" s="5" t="s">
        <v>982</v>
      </c>
      <c r="E423" s="1">
        <v>6</v>
      </c>
      <c r="F423" s="5" t="s">
        <v>981</v>
      </c>
      <c r="G423" s="1">
        <v>6</v>
      </c>
      <c r="H423" s="5" t="s">
        <v>981</v>
      </c>
      <c r="I423" s="1">
        <v>8</v>
      </c>
      <c r="J423" s="5" t="s">
        <v>981</v>
      </c>
      <c r="K423" s="1">
        <v>6</v>
      </c>
      <c r="L423" s="5" t="s">
        <v>981</v>
      </c>
      <c r="M423" s="1">
        <v>6</v>
      </c>
      <c r="N423" s="5" t="s">
        <v>981</v>
      </c>
      <c r="O423" s="1">
        <v>0</v>
      </c>
      <c r="P423" s="5" t="s">
        <v>983</v>
      </c>
      <c r="Q423" s="1">
        <v>1</v>
      </c>
      <c r="R423" s="1">
        <v>0</v>
      </c>
      <c r="S423" s="1" t="s">
        <v>194</v>
      </c>
      <c r="T423" s="1">
        <v>5</v>
      </c>
      <c r="U423" s="1">
        <v>4</v>
      </c>
      <c r="V423" s="1"/>
      <c r="W423" s="1">
        <v>1</v>
      </c>
      <c r="Y423" s="1">
        <v>3</v>
      </c>
      <c r="AA423" s="1">
        <v>3</v>
      </c>
    </row>
    <row r="424" spans="1:27" ht="12.75" customHeight="1" x14ac:dyDescent="0.15">
      <c r="A424" s="5">
        <v>276</v>
      </c>
      <c r="B424" s="5" t="s">
        <v>238</v>
      </c>
      <c r="C424" s="1">
        <v>24</v>
      </c>
      <c r="D424" s="5" t="s">
        <v>981</v>
      </c>
      <c r="E424" s="1">
        <v>6</v>
      </c>
      <c r="F424" s="5" t="s">
        <v>981</v>
      </c>
      <c r="G424" s="1">
        <v>6</v>
      </c>
      <c r="H424" s="5" t="s">
        <v>981</v>
      </c>
      <c r="I424" s="1">
        <v>8</v>
      </c>
      <c r="J424" s="5" t="s">
        <v>981</v>
      </c>
      <c r="K424" s="1">
        <v>6</v>
      </c>
      <c r="L424" s="5" t="s">
        <v>981</v>
      </c>
      <c r="M424" s="1">
        <v>6</v>
      </c>
      <c r="N424" s="5" t="s">
        <v>981</v>
      </c>
      <c r="O424" s="1">
        <v>0</v>
      </c>
      <c r="P424" s="5" t="s">
        <v>983</v>
      </c>
      <c r="Q424" s="1">
        <v>1</v>
      </c>
      <c r="R424" s="1">
        <v>0</v>
      </c>
      <c r="S424" s="1">
        <v>1</v>
      </c>
      <c r="T424" s="1">
        <v>4</v>
      </c>
      <c r="U424" s="1">
        <v>3</v>
      </c>
      <c r="V424" s="1"/>
      <c r="W424" s="1">
        <v>0</v>
      </c>
      <c r="Y424" s="1">
        <v>34</v>
      </c>
      <c r="AA424" s="1">
        <v>2</v>
      </c>
    </row>
    <row r="425" spans="1:27" ht="12.75" customHeight="1" x14ac:dyDescent="0.15">
      <c r="A425" s="5">
        <v>434</v>
      </c>
      <c r="B425" s="5" t="s">
        <v>238</v>
      </c>
      <c r="C425" s="1">
        <v>25</v>
      </c>
      <c r="D425" s="5" t="s">
        <v>981</v>
      </c>
      <c r="E425" s="1">
        <v>6</v>
      </c>
      <c r="F425" s="5" t="s">
        <v>981</v>
      </c>
      <c r="G425" s="1">
        <v>6</v>
      </c>
      <c r="H425" s="5" t="s">
        <v>981</v>
      </c>
      <c r="I425" s="1">
        <v>8</v>
      </c>
      <c r="J425" s="5" t="s">
        <v>981</v>
      </c>
      <c r="K425" s="1">
        <v>6</v>
      </c>
      <c r="L425" s="5" t="s">
        <v>981</v>
      </c>
      <c r="M425" s="1">
        <v>6</v>
      </c>
      <c r="N425" s="5" t="s">
        <v>981</v>
      </c>
      <c r="O425" s="1">
        <v>0</v>
      </c>
      <c r="P425" s="5" t="s">
        <v>983</v>
      </c>
      <c r="Q425" s="1">
        <v>0</v>
      </c>
      <c r="R425" s="1">
        <v>0</v>
      </c>
      <c r="S425" s="1" t="s">
        <v>194</v>
      </c>
      <c r="T425" s="1">
        <v>3</v>
      </c>
      <c r="U425" s="1">
        <v>2</v>
      </c>
      <c r="V425" s="1">
        <v>44</v>
      </c>
      <c r="W425" s="1">
        <v>0</v>
      </c>
      <c r="X425" s="1">
        <v>6</v>
      </c>
      <c r="Y425" s="1">
        <v>2</v>
      </c>
      <c r="Z425" s="1">
        <v>1000000</v>
      </c>
      <c r="AA425" s="1">
        <v>2</v>
      </c>
    </row>
    <row r="426" spans="1:27" ht="12.75" customHeight="1" x14ac:dyDescent="0.15">
      <c r="A426" s="5">
        <v>420</v>
      </c>
      <c r="B426" s="5" t="s">
        <v>238</v>
      </c>
      <c r="C426" s="1">
        <v>25</v>
      </c>
      <c r="D426" s="5" t="s">
        <v>981</v>
      </c>
      <c r="E426" s="1">
        <v>6</v>
      </c>
      <c r="F426" s="5" t="s">
        <v>981</v>
      </c>
      <c r="G426" s="1">
        <v>6</v>
      </c>
      <c r="H426" s="5" t="s">
        <v>981</v>
      </c>
      <c r="I426" s="1">
        <v>8</v>
      </c>
      <c r="J426" s="5" t="s">
        <v>981</v>
      </c>
      <c r="K426" s="1">
        <v>6</v>
      </c>
      <c r="L426" s="5" t="s">
        <v>981</v>
      </c>
      <c r="M426" s="1">
        <v>6</v>
      </c>
      <c r="N426" s="5" t="s">
        <v>981</v>
      </c>
      <c r="O426" s="1">
        <v>0</v>
      </c>
      <c r="P426" s="5" t="s">
        <v>983</v>
      </c>
      <c r="Q426" s="1">
        <v>1</v>
      </c>
      <c r="R426" s="1">
        <v>0</v>
      </c>
      <c r="S426" s="1" t="s">
        <v>194</v>
      </c>
      <c r="T426" s="1" t="s">
        <v>194</v>
      </c>
      <c r="U426" s="1">
        <v>3</v>
      </c>
      <c r="V426" s="1"/>
      <c r="W426" s="1">
        <v>0</v>
      </c>
      <c r="Y426" s="1">
        <v>13</v>
      </c>
      <c r="AA426" s="1">
        <v>4</v>
      </c>
    </row>
    <row r="427" spans="1:27" ht="12.75" customHeight="1" x14ac:dyDescent="0.15">
      <c r="A427" s="5">
        <v>157</v>
      </c>
      <c r="B427" s="5" t="s">
        <v>238</v>
      </c>
      <c r="C427" s="1">
        <v>26</v>
      </c>
      <c r="D427" s="5" t="s">
        <v>981</v>
      </c>
      <c r="E427" s="1">
        <v>6</v>
      </c>
      <c r="F427" s="5" t="s">
        <v>981</v>
      </c>
      <c r="G427" s="1">
        <v>6</v>
      </c>
      <c r="H427" s="5" t="s">
        <v>981</v>
      </c>
      <c r="I427" s="1">
        <v>8</v>
      </c>
      <c r="J427" s="5" t="s">
        <v>981</v>
      </c>
      <c r="K427" s="1">
        <v>6</v>
      </c>
      <c r="L427" s="5" t="s">
        <v>981</v>
      </c>
      <c r="M427" s="1">
        <v>6</v>
      </c>
      <c r="N427" s="5" t="s">
        <v>981</v>
      </c>
      <c r="O427" s="1">
        <v>0</v>
      </c>
      <c r="P427" s="5" t="s">
        <v>983</v>
      </c>
      <c r="Q427" s="1">
        <v>1</v>
      </c>
      <c r="R427" s="1">
        <v>0</v>
      </c>
      <c r="S427" s="1">
        <v>1</v>
      </c>
      <c r="T427" s="1" t="s">
        <v>194</v>
      </c>
      <c r="U427" s="1">
        <v>4</v>
      </c>
      <c r="V427" s="1">
        <v>52</v>
      </c>
      <c r="W427" s="1">
        <v>0</v>
      </c>
      <c r="X427" s="1">
        <v>15</v>
      </c>
      <c r="Y427" s="1">
        <v>24</v>
      </c>
      <c r="Z427" s="1">
        <v>1100</v>
      </c>
      <c r="AA427" s="1">
        <v>5</v>
      </c>
    </row>
    <row r="428" spans="1:27" ht="12.75" customHeight="1" x14ac:dyDescent="0.15">
      <c r="A428" s="5">
        <v>431</v>
      </c>
      <c r="B428" s="5" t="s">
        <v>238</v>
      </c>
      <c r="C428" s="1">
        <v>28</v>
      </c>
      <c r="D428" s="5" t="s">
        <v>981</v>
      </c>
      <c r="E428" s="1">
        <v>6</v>
      </c>
      <c r="F428" s="5" t="s">
        <v>981</v>
      </c>
      <c r="G428" s="1">
        <v>6</v>
      </c>
      <c r="H428" s="5" t="s">
        <v>981</v>
      </c>
      <c r="I428" s="1">
        <v>8</v>
      </c>
      <c r="J428" s="5" t="s">
        <v>981</v>
      </c>
      <c r="K428" s="1">
        <v>6</v>
      </c>
      <c r="L428" s="5" t="s">
        <v>981</v>
      </c>
      <c r="M428" s="1">
        <v>6</v>
      </c>
      <c r="N428" s="5" t="s">
        <v>981</v>
      </c>
      <c r="O428" s="1">
        <v>0</v>
      </c>
      <c r="P428" s="5" t="s">
        <v>983</v>
      </c>
      <c r="Q428" s="1">
        <v>1</v>
      </c>
      <c r="R428" s="1">
        <v>0</v>
      </c>
      <c r="S428" s="1">
        <v>1</v>
      </c>
      <c r="T428" s="1">
        <v>5</v>
      </c>
      <c r="U428" s="1">
        <v>5</v>
      </c>
      <c r="V428" s="1">
        <v>40</v>
      </c>
      <c r="W428" s="1">
        <v>0</v>
      </c>
      <c r="X428" s="1">
        <v>4</v>
      </c>
      <c r="Y428" s="1">
        <v>34</v>
      </c>
      <c r="Z428" s="1">
        <v>200000</v>
      </c>
      <c r="AA428" s="1">
        <v>1</v>
      </c>
    </row>
    <row r="429" spans="1:27" ht="12.75" customHeight="1" x14ac:dyDescent="0.15">
      <c r="A429" s="5">
        <v>357</v>
      </c>
      <c r="B429" s="5" t="s">
        <v>238</v>
      </c>
      <c r="C429" s="1">
        <v>28</v>
      </c>
      <c r="D429" s="5" t="s">
        <v>981</v>
      </c>
      <c r="E429" s="1">
        <v>6</v>
      </c>
      <c r="F429" s="5" t="s">
        <v>981</v>
      </c>
      <c r="G429" s="1">
        <v>6</v>
      </c>
      <c r="H429" s="5" t="s">
        <v>981</v>
      </c>
      <c r="I429" s="1">
        <v>8</v>
      </c>
      <c r="J429" s="5" t="s">
        <v>981</v>
      </c>
      <c r="K429" s="1">
        <v>6</v>
      </c>
      <c r="L429" s="5" t="s">
        <v>981</v>
      </c>
      <c r="M429" s="1">
        <v>6</v>
      </c>
      <c r="N429" s="5" t="s">
        <v>981</v>
      </c>
      <c r="O429" s="1">
        <v>0</v>
      </c>
      <c r="P429" s="5" t="s">
        <v>983</v>
      </c>
      <c r="Q429" s="1">
        <v>0</v>
      </c>
      <c r="R429" s="1">
        <v>0</v>
      </c>
      <c r="S429" s="1" t="s">
        <v>194</v>
      </c>
      <c r="T429" s="1" t="s">
        <v>194</v>
      </c>
      <c r="U429" s="1" t="s">
        <v>194</v>
      </c>
      <c r="V429" s="1"/>
      <c r="W429" s="1">
        <v>0</v>
      </c>
      <c r="Y429" s="1">
        <v>5</v>
      </c>
      <c r="AA429" s="1">
        <v>8</v>
      </c>
    </row>
    <row r="430" spans="1:27" ht="12.75" customHeight="1" x14ac:dyDescent="0.15">
      <c r="A430" s="5">
        <v>358</v>
      </c>
      <c r="B430" s="5" t="s">
        <v>238</v>
      </c>
      <c r="C430" s="1">
        <v>29</v>
      </c>
      <c r="D430" s="5" t="s">
        <v>981</v>
      </c>
      <c r="E430" s="1">
        <v>6</v>
      </c>
      <c r="F430" s="5" t="s">
        <v>981</v>
      </c>
      <c r="G430" s="1">
        <v>6</v>
      </c>
      <c r="H430" s="5" t="s">
        <v>981</v>
      </c>
      <c r="I430" s="1">
        <v>8</v>
      </c>
      <c r="J430" s="5" t="s">
        <v>981</v>
      </c>
      <c r="K430" s="1">
        <v>6</v>
      </c>
      <c r="L430" s="5" t="s">
        <v>981</v>
      </c>
      <c r="M430" s="1">
        <v>6</v>
      </c>
      <c r="N430" s="5" t="s">
        <v>981</v>
      </c>
      <c r="O430" s="1">
        <v>3</v>
      </c>
      <c r="P430" s="5" t="s">
        <v>982</v>
      </c>
      <c r="Q430" s="1">
        <v>1</v>
      </c>
      <c r="R430" s="1">
        <v>0</v>
      </c>
      <c r="S430" s="1">
        <v>1</v>
      </c>
      <c r="T430" s="1">
        <v>5</v>
      </c>
      <c r="U430" s="1">
        <v>5</v>
      </c>
      <c r="V430" s="1"/>
      <c r="W430" s="1">
        <v>0</v>
      </c>
      <c r="Y430" s="1">
        <v>5</v>
      </c>
      <c r="AA430" s="1">
        <v>8</v>
      </c>
    </row>
    <row r="431" spans="1:27" ht="12.75" customHeight="1" x14ac:dyDescent="0.15">
      <c r="A431" s="5">
        <v>261</v>
      </c>
      <c r="B431" s="5" t="s">
        <v>238</v>
      </c>
      <c r="C431" s="1">
        <v>30</v>
      </c>
      <c r="D431" s="5" t="s">
        <v>981</v>
      </c>
      <c r="E431" s="1">
        <v>6</v>
      </c>
      <c r="F431" s="5" t="s">
        <v>981</v>
      </c>
      <c r="G431" s="1">
        <v>6</v>
      </c>
      <c r="H431" s="5" t="s">
        <v>981</v>
      </c>
      <c r="I431" s="1">
        <v>8</v>
      </c>
      <c r="J431" s="5" t="s">
        <v>981</v>
      </c>
      <c r="K431" s="1">
        <v>6</v>
      </c>
      <c r="L431" s="5" t="s">
        <v>981</v>
      </c>
      <c r="M431" s="1">
        <v>6</v>
      </c>
      <c r="N431" s="5" t="s">
        <v>981</v>
      </c>
      <c r="O431" s="1">
        <v>0</v>
      </c>
      <c r="P431" s="5" t="s">
        <v>983</v>
      </c>
      <c r="Q431" s="1">
        <v>0</v>
      </c>
      <c r="R431" s="1">
        <v>1</v>
      </c>
      <c r="S431" s="1" t="s">
        <v>194</v>
      </c>
      <c r="T431" s="1" t="s">
        <v>194</v>
      </c>
      <c r="U431" s="1" t="s">
        <v>194</v>
      </c>
      <c r="V431" s="1">
        <v>40</v>
      </c>
      <c r="W431" s="1">
        <v>1</v>
      </c>
      <c r="X431" s="1">
        <v>2</v>
      </c>
      <c r="Y431" s="1">
        <v>10</v>
      </c>
      <c r="Z431" s="1">
        <v>800000</v>
      </c>
      <c r="AA431" s="1">
        <v>2</v>
      </c>
    </row>
    <row r="432" spans="1:27" ht="12.75" customHeight="1" x14ac:dyDescent="0.15">
      <c r="A432" s="5">
        <v>246</v>
      </c>
      <c r="B432" s="5" t="s">
        <v>238</v>
      </c>
      <c r="C432" s="1">
        <v>34</v>
      </c>
      <c r="D432" s="5" t="s">
        <v>981</v>
      </c>
      <c r="E432" s="1">
        <v>6</v>
      </c>
      <c r="F432" s="5" t="s">
        <v>981</v>
      </c>
      <c r="G432" s="1">
        <v>6</v>
      </c>
      <c r="H432" s="5" t="s">
        <v>981</v>
      </c>
      <c r="I432" s="1">
        <v>8</v>
      </c>
      <c r="J432" s="5" t="s">
        <v>981</v>
      </c>
      <c r="K432" s="1">
        <v>6</v>
      </c>
      <c r="L432" s="5" t="s">
        <v>981</v>
      </c>
      <c r="M432" s="1">
        <v>6</v>
      </c>
      <c r="N432" s="5" t="s">
        <v>981</v>
      </c>
      <c r="O432" s="1">
        <v>0</v>
      </c>
      <c r="P432" s="5" t="s">
        <v>983</v>
      </c>
      <c r="Q432" s="1">
        <v>0</v>
      </c>
      <c r="R432" s="1">
        <v>0</v>
      </c>
      <c r="S432" s="1" t="s">
        <v>194</v>
      </c>
      <c r="T432" s="1" t="s">
        <v>194</v>
      </c>
      <c r="U432" s="1">
        <v>1</v>
      </c>
      <c r="V432" s="1">
        <v>39</v>
      </c>
      <c r="W432" s="1">
        <v>1</v>
      </c>
      <c r="X432" s="1">
        <v>15</v>
      </c>
      <c r="Y432" s="1">
        <v>24</v>
      </c>
      <c r="Z432" s="1">
        <v>0</v>
      </c>
      <c r="AA432" s="1">
        <v>5</v>
      </c>
    </row>
    <row r="433" spans="1:27" ht="12.75" customHeight="1" x14ac:dyDescent="0.15">
      <c r="A433" s="5">
        <v>383</v>
      </c>
      <c r="B433" s="5" t="s">
        <v>238</v>
      </c>
      <c r="C433" s="1">
        <v>35</v>
      </c>
      <c r="D433" s="5" t="s">
        <v>981</v>
      </c>
      <c r="E433" s="1">
        <v>6</v>
      </c>
      <c r="F433" s="5" t="s">
        <v>981</v>
      </c>
      <c r="G433" s="1">
        <v>6</v>
      </c>
      <c r="H433" s="5" t="s">
        <v>981</v>
      </c>
      <c r="I433" s="1">
        <v>8</v>
      </c>
      <c r="J433" s="5" t="s">
        <v>981</v>
      </c>
      <c r="K433" s="1">
        <v>6</v>
      </c>
      <c r="L433" s="5" t="s">
        <v>981</v>
      </c>
      <c r="M433" s="1">
        <v>6</v>
      </c>
      <c r="N433" s="5" t="s">
        <v>981</v>
      </c>
      <c r="O433" s="1">
        <v>1</v>
      </c>
      <c r="P433" s="5" t="s">
        <v>982</v>
      </c>
      <c r="Q433" s="1">
        <v>0</v>
      </c>
      <c r="R433" s="1">
        <v>0</v>
      </c>
      <c r="S433" s="1" t="s">
        <v>194</v>
      </c>
      <c r="T433" s="1">
        <v>5</v>
      </c>
      <c r="U433" s="1">
        <v>5</v>
      </c>
      <c r="V433" s="1">
        <v>32</v>
      </c>
      <c r="W433" s="1">
        <v>1</v>
      </c>
      <c r="X433" s="1">
        <v>4</v>
      </c>
      <c r="Y433" s="1">
        <v>34</v>
      </c>
      <c r="Z433" s="1">
        <v>103000</v>
      </c>
      <c r="AA433" s="1">
        <v>2</v>
      </c>
    </row>
    <row r="434" spans="1:27" ht="12.75" customHeight="1" x14ac:dyDescent="0.15">
      <c r="A434" s="5">
        <v>69</v>
      </c>
      <c r="B434" s="5" t="s">
        <v>238</v>
      </c>
      <c r="C434" s="1">
        <v>38</v>
      </c>
      <c r="D434" s="5" t="s">
        <v>981</v>
      </c>
      <c r="E434" s="1">
        <v>6</v>
      </c>
      <c r="F434" s="5" t="s">
        <v>981</v>
      </c>
      <c r="G434" s="1">
        <v>6</v>
      </c>
      <c r="H434" s="5" t="s">
        <v>981</v>
      </c>
      <c r="I434" s="1">
        <v>9</v>
      </c>
      <c r="J434" s="5" t="s">
        <v>981</v>
      </c>
      <c r="K434" s="1">
        <v>6</v>
      </c>
      <c r="L434" s="5" t="s">
        <v>981</v>
      </c>
      <c r="M434" s="1">
        <v>6</v>
      </c>
      <c r="N434" s="5" t="s">
        <v>981</v>
      </c>
      <c r="O434" s="1">
        <v>16</v>
      </c>
      <c r="P434" s="5" t="s">
        <v>981</v>
      </c>
      <c r="Q434" s="1">
        <v>1</v>
      </c>
      <c r="R434" s="1">
        <v>0</v>
      </c>
      <c r="S434" s="1">
        <v>1</v>
      </c>
      <c r="T434" s="1">
        <v>3</v>
      </c>
      <c r="U434" s="1">
        <v>3</v>
      </c>
      <c r="V434" s="1">
        <v>33</v>
      </c>
      <c r="W434" s="1">
        <v>1</v>
      </c>
      <c r="X434" s="1">
        <v>14</v>
      </c>
      <c r="Y434" s="1">
        <v>9</v>
      </c>
      <c r="Z434" s="1">
        <v>200000</v>
      </c>
      <c r="AA434" s="1">
        <v>4</v>
      </c>
    </row>
    <row r="435" spans="1:27" ht="12.75" customHeight="1" x14ac:dyDescent="0.15">
      <c r="A435" s="5">
        <v>245</v>
      </c>
      <c r="B435" s="5" t="s">
        <v>238</v>
      </c>
      <c r="C435" s="1">
        <v>12</v>
      </c>
      <c r="D435" s="5" t="s">
        <v>983</v>
      </c>
      <c r="E435" s="1">
        <v>8</v>
      </c>
      <c r="F435" s="5" t="s">
        <v>981</v>
      </c>
      <c r="G435" s="1">
        <v>6</v>
      </c>
      <c r="H435" s="5" t="s">
        <v>981</v>
      </c>
      <c r="I435" s="1">
        <v>0</v>
      </c>
      <c r="J435" s="5" t="s">
        <v>983</v>
      </c>
      <c r="K435" s="1">
        <v>6</v>
      </c>
      <c r="L435" s="5" t="s">
        <v>981</v>
      </c>
      <c r="M435" s="1">
        <v>6</v>
      </c>
      <c r="N435" s="5" t="s">
        <v>981</v>
      </c>
      <c r="O435" s="1">
        <v>0</v>
      </c>
      <c r="P435" s="5" t="s">
        <v>983</v>
      </c>
      <c r="Q435" s="1">
        <v>1</v>
      </c>
      <c r="R435" s="1">
        <v>0</v>
      </c>
      <c r="S435" s="1">
        <v>1</v>
      </c>
      <c r="T435" s="1" t="s">
        <v>194</v>
      </c>
      <c r="U435" s="1" t="s">
        <v>194</v>
      </c>
      <c r="V435" s="1"/>
      <c r="W435" s="1">
        <v>1</v>
      </c>
      <c r="Y435" s="1">
        <v>29</v>
      </c>
      <c r="AA435" s="1">
        <v>4</v>
      </c>
    </row>
    <row r="436" spans="1:27" ht="12.75" customHeight="1" x14ac:dyDescent="0.15">
      <c r="A436" s="5">
        <v>170</v>
      </c>
      <c r="B436" s="5" t="s">
        <v>238</v>
      </c>
      <c r="C436" s="1">
        <v>25</v>
      </c>
      <c r="D436" s="5" t="s">
        <v>981</v>
      </c>
      <c r="E436" s="1">
        <v>12</v>
      </c>
      <c r="F436" s="5" t="s">
        <v>981</v>
      </c>
      <c r="G436" s="1">
        <v>6</v>
      </c>
      <c r="H436" s="5" t="s">
        <v>981</v>
      </c>
      <c r="I436" s="1">
        <v>8</v>
      </c>
      <c r="J436" s="5" t="s">
        <v>981</v>
      </c>
      <c r="K436" s="1">
        <v>6</v>
      </c>
      <c r="L436" s="5" t="s">
        <v>981</v>
      </c>
      <c r="M436" s="1">
        <v>6</v>
      </c>
      <c r="N436" s="5" t="s">
        <v>981</v>
      </c>
      <c r="O436" s="1">
        <v>0</v>
      </c>
      <c r="P436" s="5" t="s">
        <v>983</v>
      </c>
      <c r="Q436" s="1">
        <v>0</v>
      </c>
      <c r="R436" s="1">
        <v>0</v>
      </c>
      <c r="S436" s="1" t="s">
        <v>194</v>
      </c>
      <c r="T436" s="1">
        <v>4</v>
      </c>
      <c r="U436" s="1">
        <v>3</v>
      </c>
      <c r="V436" s="1">
        <v>51</v>
      </c>
      <c r="W436" s="1">
        <v>0</v>
      </c>
      <c r="X436" s="1">
        <v>14</v>
      </c>
      <c r="Y436" s="1">
        <v>2</v>
      </c>
      <c r="Z436" s="1">
        <v>310000</v>
      </c>
      <c r="AA436" s="1">
        <v>3</v>
      </c>
    </row>
    <row r="437" spans="1:27" ht="12.75" customHeight="1" x14ac:dyDescent="0.15">
      <c r="A437" s="5">
        <v>253</v>
      </c>
      <c r="B437" s="5" t="s">
        <v>238</v>
      </c>
      <c r="C437" s="1">
        <v>25</v>
      </c>
      <c r="D437" s="5" t="s">
        <v>981</v>
      </c>
      <c r="E437" s="1">
        <v>6</v>
      </c>
      <c r="F437" s="5" t="s">
        <v>981</v>
      </c>
      <c r="G437" s="1">
        <v>7</v>
      </c>
      <c r="H437" s="5" t="s">
        <v>981</v>
      </c>
      <c r="I437" s="1">
        <v>8</v>
      </c>
      <c r="J437" s="5" t="s">
        <v>981</v>
      </c>
      <c r="K437" s="1">
        <v>6</v>
      </c>
      <c r="L437" s="5" t="s">
        <v>981</v>
      </c>
      <c r="M437" s="1">
        <v>6</v>
      </c>
      <c r="N437" s="5" t="s">
        <v>981</v>
      </c>
      <c r="O437" s="1">
        <v>0</v>
      </c>
      <c r="P437" s="5" t="s">
        <v>983</v>
      </c>
      <c r="Q437" s="1">
        <v>1</v>
      </c>
      <c r="R437" s="1">
        <v>0</v>
      </c>
      <c r="S437" s="1" t="s">
        <v>194</v>
      </c>
      <c r="T437" s="1">
        <v>2</v>
      </c>
      <c r="U437" s="1">
        <v>3</v>
      </c>
      <c r="V437" s="1">
        <v>36</v>
      </c>
      <c r="W437" s="1">
        <v>1</v>
      </c>
      <c r="X437" s="1">
        <v>14</v>
      </c>
      <c r="Y437" s="1">
        <v>34</v>
      </c>
      <c r="Z437" s="1">
        <v>450000</v>
      </c>
      <c r="AA437" s="1">
        <v>3</v>
      </c>
    </row>
    <row r="438" spans="1:27" ht="12.75" customHeight="1" x14ac:dyDescent="0.15">
      <c r="A438" s="5">
        <v>45</v>
      </c>
      <c r="B438" s="5" t="s">
        <v>238</v>
      </c>
      <c r="C438" s="1">
        <v>29</v>
      </c>
      <c r="D438" s="5" t="s">
        <v>981</v>
      </c>
      <c r="E438" s="1">
        <v>6</v>
      </c>
      <c r="F438" s="5" t="s">
        <v>981</v>
      </c>
      <c r="G438" s="1">
        <v>8</v>
      </c>
      <c r="H438" s="5" t="s">
        <v>981</v>
      </c>
      <c r="I438" s="1">
        <v>8</v>
      </c>
      <c r="J438" s="5" t="s">
        <v>981</v>
      </c>
      <c r="K438" s="1">
        <v>6</v>
      </c>
      <c r="L438" s="5" t="s">
        <v>981</v>
      </c>
      <c r="M438" s="1">
        <v>6</v>
      </c>
      <c r="N438" s="5" t="s">
        <v>981</v>
      </c>
      <c r="O438" s="1">
        <v>2</v>
      </c>
      <c r="P438" s="5" t="s">
        <v>982</v>
      </c>
      <c r="Q438" s="1">
        <v>0</v>
      </c>
      <c r="R438" s="1">
        <v>0</v>
      </c>
      <c r="S438" s="1" t="s">
        <v>194</v>
      </c>
      <c r="T438" s="1" t="s">
        <v>194</v>
      </c>
      <c r="U438" s="1">
        <v>2</v>
      </c>
      <c r="V438" s="1">
        <v>29</v>
      </c>
      <c r="W438" s="1">
        <v>0</v>
      </c>
      <c r="X438" s="1">
        <v>14</v>
      </c>
      <c r="Y438" s="1">
        <v>1</v>
      </c>
      <c r="Z438" s="1">
        <v>420000</v>
      </c>
      <c r="AA438" s="1">
        <v>2</v>
      </c>
    </row>
    <row r="439" spans="1:27" ht="12.75" customHeight="1" x14ac:dyDescent="0.15">
      <c r="A439" s="5">
        <v>293</v>
      </c>
      <c r="B439" s="5" t="s">
        <v>238</v>
      </c>
      <c r="C439" s="1">
        <v>36</v>
      </c>
      <c r="D439" s="5" t="s">
        <v>981</v>
      </c>
      <c r="E439" s="1">
        <v>8</v>
      </c>
      <c r="F439" s="5" t="s">
        <v>981</v>
      </c>
      <c r="G439" s="1">
        <v>8</v>
      </c>
      <c r="H439" s="5" t="s">
        <v>981</v>
      </c>
      <c r="I439" s="1">
        <v>8</v>
      </c>
      <c r="J439" s="5" t="s">
        <v>981</v>
      </c>
      <c r="K439" s="1">
        <v>6</v>
      </c>
      <c r="L439" s="5" t="s">
        <v>981</v>
      </c>
      <c r="M439" s="1">
        <v>6</v>
      </c>
      <c r="N439" s="5" t="s">
        <v>981</v>
      </c>
      <c r="O439" s="1">
        <v>0</v>
      </c>
      <c r="P439" s="5" t="s">
        <v>983</v>
      </c>
      <c r="Q439" s="1">
        <v>0</v>
      </c>
      <c r="R439" s="1">
        <v>1</v>
      </c>
      <c r="S439" s="1" t="s">
        <v>194</v>
      </c>
      <c r="T439" s="1">
        <v>2</v>
      </c>
      <c r="U439" s="1">
        <v>3</v>
      </c>
      <c r="V439" s="1">
        <v>42</v>
      </c>
      <c r="W439" s="1">
        <v>0</v>
      </c>
      <c r="X439" s="1">
        <v>18</v>
      </c>
      <c r="Y439" s="1">
        <v>34</v>
      </c>
      <c r="Z439" s="1">
        <v>700000</v>
      </c>
      <c r="AA439" s="1">
        <v>4</v>
      </c>
    </row>
    <row r="440" spans="1:27" ht="12.75" customHeight="1" x14ac:dyDescent="0.15">
      <c r="A440" s="5">
        <v>80</v>
      </c>
      <c r="B440" s="5" t="s">
        <v>238</v>
      </c>
      <c r="C440" s="1">
        <v>22</v>
      </c>
      <c r="D440" s="5" t="s">
        <v>982</v>
      </c>
      <c r="E440" s="1">
        <v>9</v>
      </c>
      <c r="F440" s="5" t="s">
        <v>981</v>
      </c>
      <c r="G440" s="1">
        <v>9</v>
      </c>
      <c r="H440" s="5" t="s">
        <v>981</v>
      </c>
      <c r="I440" s="1">
        <v>6</v>
      </c>
      <c r="J440" s="5" t="s">
        <v>981</v>
      </c>
      <c r="K440" s="1">
        <v>6</v>
      </c>
      <c r="L440" s="5" t="s">
        <v>981</v>
      </c>
      <c r="M440" s="1">
        <v>7</v>
      </c>
      <c r="N440" s="5" t="s">
        <v>981</v>
      </c>
      <c r="O440" s="1">
        <v>0</v>
      </c>
      <c r="P440" s="5" t="s">
        <v>983</v>
      </c>
      <c r="Q440" s="1">
        <v>1</v>
      </c>
      <c r="R440" s="1">
        <v>0</v>
      </c>
      <c r="S440" s="1">
        <v>1</v>
      </c>
      <c r="T440" s="1">
        <v>3</v>
      </c>
      <c r="U440" s="1">
        <v>3</v>
      </c>
      <c r="V440" s="1">
        <v>43</v>
      </c>
      <c r="W440" s="1">
        <v>0</v>
      </c>
      <c r="X440" s="1">
        <v>16</v>
      </c>
      <c r="Y440" s="1">
        <v>28</v>
      </c>
      <c r="Z440" s="1">
        <v>600000</v>
      </c>
      <c r="AA440" s="1">
        <v>4</v>
      </c>
    </row>
    <row r="441" spans="1:27" ht="12.75" customHeight="1" x14ac:dyDescent="0.15">
      <c r="A441" s="5">
        <v>262</v>
      </c>
      <c r="B441" s="5" t="s">
        <v>238</v>
      </c>
      <c r="C441" s="1">
        <v>15</v>
      </c>
      <c r="D441" s="5" t="s">
        <v>983</v>
      </c>
      <c r="E441" s="1">
        <v>0</v>
      </c>
      <c r="F441" s="5" t="s">
        <v>983</v>
      </c>
      <c r="G441" s="1">
        <v>3</v>
      </c>
      <c r="H441" s="5" t="s">
        <v>982</v>
      </c>
      <c r="I441" s="1">
        <v>4</v>
      </c>
      <c r="J441" s="5" t="s">
        <v>982</v>
      </c>
      <c r="K441" s="1">
        <v>7</v>
      </c>
      <c r="L441" s="5" t="s">
        <v>981</v>
      </c>
      <c r="M441" s="1">
        <v>3</v>
      </c>
      <c r="N441" s="5" t="s">
        <v>982</v>
      </c>
      <c r="O441" s="1">
        <v>0</v>
      </c>
      <c r="P441" s="5" t="s">
        <v>983</v>
      </c>
      <c r="Q441" s="1">
        <v>1</v>
      </c>
      <c r="R441" s="1">
        <v>0</v>
      </c>
      <c r="S441" s="1" t="s">
        <v>194</v>
      </c>
      <c r="T441" s="1">
        <v>4</v>
      </c>
      <c r="U441" s="1">
        <v>5</v>
      </c>
      <c r="V441" s="1">
        <v>58</v>
      </c>
      <c r="W441" s="1">
        <v>0</v>
      </c>
      <c r="X441" s="1">
        <v>2</v>
      </c>
      <c r="Y441" s="1">
        <v>1</v>
      </c>
      <c r="Z441" s="1">
        <v>600000</v>
      </c>
      <c r="AA441" s="1">
        <v>1</v>
      </c>
    </row>
    <row r="442" spans="1:27" ht="12.75" customHeight="1" x14ac:dyDescent="0.15">
      <c r="A442" s="5">
        <v>413</v>
      </c>
      <c r="B442" s="5" t="s">
        <v>238</v>
      </c>
      <c r="C442" s="1">
        <v>18</v>
      </c>
      <c r="D442" s="5" t="s">
        <v>983</v>
      </c>
      <c r="E442" s="1">
        <v>2</v>
      </c>
      <c r="F442" s="5" t="s">
        <v>982</v>
      </c>
      <c r="G442" s="1">
        <v>3</v>
      </c>
      <c r="H442" s="5" t="s">
        <v>982</v>
      </c>
      <c r="I442" s="1">
        <v>10</v>
      </c>
      <c r="J442" s="5" t="s">
        <v>981</v>
      </c>
      <c r="K442" s="1">
        <v>7</v>
      </c>
      <c r="L442" s="5" t="s">
        <v>981</v>
      </c>
      <c r="M442" s="1">
        <v>6</v>
      </c>
      <c r="N442" s="5" t="s">
        <v>981</v>
      </c>
      <c r="O442" s="1">
        <v>0</v>
      </c>
      <c r="P442" s="5" t="s">
        <v>983</v>
      </c>
      <c r="Q442" s="1">
        <v>1</v>
      </c>
      <c r="R442" s="1">
        <v>0</v>
      </c>
      <c r="S442" s="1" t="s">
        <v>194</v>
      </c>
      <c r="T442" s="1">
        <v>4</v>
      </c>
      <c r="U442" s="1">
        <v>1</v>
      </c>
      <c r="V442" s="1">
        <v>44</v>
      </c>
      <c r="W442" s="1">
        <v>1</v>
      </c>
      <c r="X442" s="1">
        <v>14</v>
      </c>
      <c r="Y442" s="1">
        <v>24</v>
      </c>
      <c r="Z442" s="1">
        <v>0</v>
      </c>
      <c r="AA442" s="1">
        <v>3</v>
      </c>
    </row>
    <row r="443" spans="1:27" ht="12.75" customHeight="1" x14ac:dyDescent="0.15">
      <c r="A443" s="5">
        <v>408</v>
      </c>
      <c r="B443" s="5" t="s">
        <v>238</v>
      </c>
      <c r="C443" s="1">
        <v>22</v>
      </c>
      <c r="D443" s="5" t="s">
        <v>982</v>
      </c>
      <c r="E443" s="1">
        <v>5</v>
      </c>
      <c r="F443" s="5" t="s">
        <v>981</v>
      </c>
      <c r="G443" s="1">
        <v>3</v>
      </c>
      <c r="H443" s="5" t="s">
        <v>982</v>
      </c>
      <c r="I443" s="1">
        <v>4</v>
      </c>
      <c r="J443" s="5" t="s">
        <v>982</v>
      </c>
      <c r="K443" s="1">
        <v>7</v>
      </c>
      <c r="L443" s="5" t="s">
        <v>981</v>
      </c>
      <c r="M443" s="1">
        <v>4</v>
      </c>
      <c r="N443" s="5" t="s">
        <v>982</v>
      </c>
      <c r="O443" s="1">
        <v>1</v>
      </c>
      <c r="P443" s="5" t="s">
        <v>982</v>
      </c>
      <c r="Q443" s="1">
        <v>1</v>
      </c>
      <c r="R443" s="1">
        <v>0</v>
      </c>
      <c r="S443" s="1">
        <v>1</v>
      </c>
      <c r="T443" s="1">
        <v>4</v>
      </c>
      <c r="U443" s="1">
        <v>2</v>
      </c>
      <c r="V443" s="1">
        <v>50</v>
      </c>
      <c r="W443" s="1">
        <v>0</v>
      </c>
      <c r="X443" s="1">
        <v>18</v>
      </c>
      <c r="Y443" s="1">
        <v>27</v>
      </c>
      <c r="Z443" s="1">
        <v>900000</v>
      </c>
      <c r="AA443" s="1">
        <v>2</v>
      </c>
    </row>
    <row r="444" spans="1:27" ht="12.75" customHeight="1" x14ac:dyDescent="0.15">
      <c r="A444" s="5">
        <v>479</v>
      </c>
      <c r="B444" s="5" t="s">
        <v>238</v>
      </c>
      <c r="C444" s="1">
        <v>19</v>
      </c>
      <c r="D444" s="5" t="s">
        <v>982</v>
      </c>
      <c r="E444" s="1">
        <v>9</v>
      </c>
      <c r="F444" s="5" t="s">
        <v>981</v>
      </c>
      <c r="G444" s="1">
        <v>3</v>
      </c>
      <c r="H444" s="5" t="s">
        <v>982</v>
      </c>
      <c r="I444" s="1">
        <v>5</v>
      </c>
      <c r="J444" s="5" t="s">
        <v>981</v>
      </c>
      <c r="K444" s="1">
        <v>7</v>
      </c>
      <c r="L444" s="5" t="s">
        <v>981</v>
      </c>
      <c r="M444" s="1">
        <v>6</v>
      </c>
      <c r="N444" s="5" t="s">
        <v>981</v>
      </c>
      <c r="O444" s="1">
        <v>3</v>
      </c>
      <c r="P444" s="5" t="s">
        <v>982</v>
      </c>
      <c r="Q444" s="1">
        <v>1</v>
      </c>
      <c r="R444" s="1">
        <v>0</v>
      </c>
      <c r="S444" s="1" t="s">
        <v>194</v>
      </c>
      <c r="T444" s="1">
        <v>1</v>
      </c>
      <c r="U444" s="1">
        <v>3</v>
      </c>
      <c r="V444" s="1">
        <v>57</v>
      </c>
      <c r="W444" s="1">
        <v>1</v>
      </c>
      <c r="X444" s="1">
        <v>14</v>
      </c>
      <c r="Y444" s="1">
        <v>24</v>
      </c>
      <c r="Z444" s="1">
        <v>0</v>
      </c>
      <c r="AA444" s="1">
        <v>2</v>
      </c>
    </row>
    <row r="445" spans="1:27" ht="12.75" customHeight="1" x14ac:dyDescent="0.15">
      <c r="A445" s="5">
        <v>11</v>
      </c>
      <c r="B445" s="5" t="s">
        <v>238</v>
      </c>
      <c r="C445" s="1">
        <v>39</v>
      </c>
      <c r="D445" s="5" t="s">
        <v>981</v>
      </c>
      <c r="E445" s="1">
        <v>9</v>
      </c>
      <c r="F445" s="5" t="s">
        <v>981</v>
      </c>
      <c r="G445" s="1">
        <v>4</v>
      </c>
      <c r="H445" s="5" t="s">
        <v>982</v>
      </c>
      <c r="I445" s="1">
        <v>11</v>
      </c>
      <c r="J445" s="5" t="s">
        <v>981</v>
      </c>
      <c r="K445" s="1">
        <v>7</v>
      </c>
      <c r="L445" s="5" t="s">
        <v>981</v>
      </c>
      <c r="M445" s="1">
        <v>6</v>
      </c>
      <c r="N445" s="5" t="s">
        <v>981</v>
      </c>
      <c r="O445" s="1">
        <v>4</v>
      </c>
      <c r="P445" s="5" t="s">
        <v>982</v>
      </c>
      <c r="Q445" s="1">
        <v>0</v>
      </c>
      <c r="R445" s="1">
        <v>0</v>
      </c>
      <c r="S445" s="1">
        <v>1</v>
      </c>
      <c r="T445" s="1">
        <v>5</v>
      </c>
      <c r="U445" s="1">
        <v>4</v>
      </c>
      <c r="V445" s="1">
        <v>53</v>
      </c>
      <c r="W445" s="1">
        <v>1</v>
      </c>
      <c r="X445" s="1">
        <v>14</v>
      </c>
      <c r="Y445" s="1">
        <v>4</v>
      </c>
      <c r="Z445" s="1">
        <v>300000</v>
      </c>
      <c r="AA445" s="1">
        <v>2</v>
      </c>
    </row>
    <row r="446" spans="1:27" ht="12.75" customHeight="1" x14ac:dyDescent="0.15">
      <c r="A446" s="5">
        <v>160</v>
      </c>
      <c r="B446" s="5" t="s">
        <v>238</v>
      </c>
      <c r="C446" s="1">
        <v>32</v>
      </c>
      <c r="D446" s="5" t="s">
        <v>981</v>
      </c>
      <c r="E446" s="1">
        <v>6</v>
      </c>
      <c r="F446" s="5" t="s">
        <v>981</v>
      </c>
      <c r="G446" s="1">
        <v>5</v>
      </c>
      <c r="H446" s="5" t="s">
        <v>982</v>
      </c>
      <c r="I446" s="1">
        <v>3</v>
      </c>
      <c r="J446" s="5" t="s">
        <v>982</v>
      </c>
      <c r="K446" s="1">
        <v>7</v>
      </c>
      <c r="L446" s="5" t="s">
        <v>981</v>
      </c>
      <c r="M446" s="1">
        <v>7</v>
      </c>
      <c r="N446" s="5" t="s">
        <v>981</v>
      </c>
      <c r="O446" s="1">
        <v>0</v>
      </c>
      <c r="P446" s="5" t="s">
        <v>983</v>
      </c>
      <c r="Q446" s="1">
        <v>1</v>
      </c>
      <c r="R446" s="1">
        <v>0</v>
      </c>
      <c r="S446" s="1">
        <v>1</v>
      </c>
      <c r="T446" s="1" t="s">
        <v>194</v>
      </c>
      <c r="U446" s="1">
        <v>3</v>
      </c>
      <c r="V446" s="1">
        <v>31</v>
      </c>
      <c r="W446" s="1">
        <v>0</v>
      </c>
      <c r="X446" s="1">
        <v>16</v>
      </c>
      <c r="Y446" s="1">
        <v>5</v>
      </c>
      <c r="Z446" s="1">
        <v>700000</v>
      </c>
      <c r="AA446" s="1">
        <v>4</v>
      </c>
    </row>
    <row r="447" spans="1:27" ht="12.75" customHeight="1" x14ac:dyDescent="0.15">
      <c r="A447" s="5">
        <v>443</v>
      </c>
      <c r="B447" s="5" t="s">
        <v>238</v>
      </c>
      <c r="C447" s="1">
        <v>22</v>
      </c>
      <c r="D447" s="5" t="s">
        <v>982</v>
      </c>
      <c r="E447" s="1">
        <v>6</v>
      </c>
      <c r="F447" s="5" t="s">
        <v>981</v>
      </c>
      <c r="G447" s="1">
        <v>6</v>
      </c>
      <c r="H447" s="5" t="s">
        <v>981</v>
      </c>
      <c r="I447" s="1">
        <v>8</v>
      </c>
      <c r="J447" s="5" t="s">
        <v>981</v>
      </c>
      <c r="K447" s="1">
        <v>7</v>
      </c>
      <c r="L447" s="5" t="s">
        <v>981</v>
      </c>
      <c r="M447" s="1">
        <v>7</v>
      </c>
      <c r="N447" s="5" t="s">
        <v>981</v>
      </c>
      <c r="O447" s="1">
        <v>0</v>
      </c>
      <c r="P447" s="5" t="s">
        <v>983</v>
      </c>
      <c r="Q447" s="1">
        <v>1</v>
      </c>
      <c r="R447" s="1">
        <v>0</v>
      </c>
      <c r="S447" s="1" t="s">
        <v>194</v>
      </c>
      <c r="T447" s="1">
        <v>3</v>
      </c>
      <c r="U447" s="1">
        <v>3</v>
      </c>
      <c r="V447" s="1">
        <v>26</v>
      </c>
      <c r="W447" s="1">
        <v>0</v>
      </c>
      <c r="X447" s="1">
        <v>2</v>
      </c>
      <c r="Y447" s="1">
        <v>24</v>
      </c>
      <c r="Z447" s="1">
        <v>0</v>
      </c>
      <c r="AA447" s="1">
        <v>1</v>
      </c>
    </row>
    <row r="448" spans="1:27" ht="12.75" customHeight="1" x14ac:dyDescent="0.15">
      <c r="A448" s="5">
        <v>301</v>
      </c>
      <c r="B448" s="5" t="s">
        <v>238</v>
      </c>
      <c r="C448" s="1">
        <v>32</v>
      </c>
      <c r="D448" s="5" t="s">
        <v>981</v>
      </c>
      <c r="E448" s="1">
        <v>6</v>
      </c>
      <c r="F448" s="5" t="s">
        <v>981</v>
      </c>
      <c r="G448" s="1">
        <v>6</v>
      </c>
      <c r="H448" s="5" t="s">
        <v>981</v>
      </c>
      <c r="I448" s="1">
        <v>7</v>
      </c>
      <c r="J448" s="5" t="s">
        <v>981</v>
      </c>
      <c r="K448" s="1">
        <v>7</v>
      </c>
      <c r="L448" s="5" t="s">
        <v>981</v>
      </c>
      <c r="M448" s="1">
        <v>3</v>
      </c>
      <c r="N448" s="5" t="s">
        <v>982</v>
      </c>
      <c r="O448" s="1">
        <v>6</v>
      </c>
      <c r="P448" s="5" t="s">
        <v>982</v>
      </c>
      <c r="Q448" s="1">
        <v>1</v>
      </c>
      <c r="R448" s="1">
        <v>0</v>
      </c>
      <c r="S448" s="1">
        <v>1</v>
      </c>
      <c r="T448" s="1">
        <v>2</v>
      </c>
      <c r="U448" s="1">
        <v>2</v>
      </c>
      <c r="V448" s="1"/>
      <c r="W448" s="1">
        <v>1</v>
      </c>
      <c r="X448" s="1">
        <v>18</v>
      </c>
      <c r="Y448" s="1">
        <v>34</v>
      </c>
      <c r="Z448" s="1">
        <v>80000</v>
      </c>
      <c r="AA448" s="1">
        <v>5</v>
      </c>
    </row>
    <row r="449" spans="1:27" ht="12.75" customHeight="1" x14ac:dyDescent="0.15">
      <c r="A449" s="5">
        <v>384</v>
      </c>
      <c r="B449" s="5" t="s">
        <v>238</v>
      </c>
      <c r="C449" s="1">
        <v>30</v>
      </c>
      <c r="D449" s="5" t="s">
        <v>981</v>
      </c>
      <c r="E449" s="1">
        <v>7</v>
      </c>
      <c r="F449" s="5" t="s">
        <v>981</v>
      </c>
      <c r="G449" s="1">
        <v>6</v>
      </c>
      <c r="H449" s="5" t="s">
        <v>981</v>
      </c>
      <c r="I449" s="1">
        <v>10</v>
      </c>
      <c r="J449" s="5" t="s">
        <v>981</v>
      </c>
      <c r="K449" s="1">
        <v>7</v>
      </c>
      <c r="L449" s="5" t="s">
        <v>981</v>
      </c>
      <c r="M449" s="1">
        <v>5</v>
      </c>
      <c r="N449" s="5" t="s">
        <v>982</v>
      </c>
      <c r="O449" s="1">
        <v>0</v>
      </c>
      <c r="P449" s="5" t="s">
        <v>983</v>
      </c>
      <c r="Q449" s="1">
        <v>1</v>
      </c>
      <c r="R449" s="1">
        <v>0</v>
      </c>
      <c r="S449" s="1">
        <v>1</v>
      </c>
      <c r="T449" s="1">
        <v>4</v>
      </c>
      <c r="U449" s="1">
        <v>4</v>
      </c>
      <c r="V449" s="1">
        <v>38</v>
      </c>
      <c r="W449" s="1">
        <v>1</v>
      </c>
      <c r="X449" s="1">
        <v>14</v>
      </c>
      <c r="Y449" s="1">
        <v>1</v>
      </c>
      <c r="Z449" s="1">
        <v>200000</v>
      </c>
      <c r="AA449" s="1">
        <v>2</v>
      </c>
    </row>
    <row r="450" spans="1:27" ht="12.75" customHeight="1" x14ac:dyDescent="0.15">
      <c r="A450" s="5">
        <v>76</v>
      </c>
      <c r="B450" s="5" t="s">
        <v>238</v>
      </c>
      <c r="C450" s="1">
        <v>13</v>
      </c>
      <c r="D450" s="5" t="s">
        <v>983</v>
      </c>
      <c r="E450" s="1">
        <v>6</v>
      </c>
      <c r="F450" s="5" t="s">
        <v>981</v>
      </c>
      <c r="G450" s="1">
        <v>7</v>
      </c>
      <c r="H450" s="5" t="s">
        <v>981</v>
      </c>
      <c r="I450" s="1">
        <v>4</v>
      </c>
      <c r="J450" s="5" t="s">
        <v>982</v>
      </c>
      <c r="K450" s="1">
        <v>7</v>
      </c>
      <c r="L450" s="5" t="s">
        <v>981</v>
      </c>
      <c r="M450" s="1">
        <v>6</v>
      </c>
      <c r="N450" s="5" t="s">
        <v>981</v>
      </c>
      <c r="O450" s="1">
        <v>0</v>
      </c>
      <c r="P450" s="5" t="s">
        <v>983</v>
      </c>
      <c r="Q450" s="1">
        <v>1</v>
      </c>
      <c r="R450" s="1">
        <v>0</v>
      </c>
      <c r="S450" s="1">
        <v>1</v>
      </c>
      <c r="T450" s="1">
        <v>3</v>
      </c>
      <c r="U450" s="1">
        <v>2</v>
      </c>
      <c r="V450" s="1">
        <v>41</v>
      </c>
      <c r="W450" s="1">
        <v>0</v>
      </c>
      <c r="X450" s="1">
        <v>17</v>
      </c>
      <c r="Y450" s="1">
        <v>26</v>
      </c>
      <c r="Z450" s="1">
        <v>250000</v>
      </c>
      <c r="AA450" s="1">
        <v>2</v>
      </c>
    </row>
    <row r="451" spans="1:27" ht="12.75" customHeight="1" x14ac:dyDescent="0.15">
      <c r="A451" s="5">
        <v>267</v>
      </c>
      <c r="B451" s="5" t="s">
        <v>238</v>
      </c>
      <c r="C451" s="1">
        <v>22</v>
      </c>
      <c r="D451" s="5" t="s">
        <v>982</v>
      </c>
      <c r="E451" s="1">
        <v>7</v>
      </c>
      <c r="F451" s="5" t="s">
        <v>981</v>
      </c>
      <c r="G451" s="1">
        <v>7</v>
      </c>
      <c r="H451" s="5" t="s">
        <v>981</v>
      </c>
      <c r="I451" s="1">
        <v>8</v>
      </c>
      <c r="J451" s="5" t="s">
        <v>981</v>
      </c>
      <c r="K451" s="1">
        <v>7</v>
      </c>
      <c r="L451" s="5" t="s">
        <v>981</v>
      </c>
      <c r="M451" s="1">
        <v>8</v>
      </c>
      <c r="N451" s="5" t="s">
        <v>981</v>
      </c>
      <c r="O451" s="1">
        <v>2</v>
      </c>
      <c r="P451" s="5" t="s">
        <v>982</v>
      </c>
      <c r="Q451" s="1">
        <v>0</v>
      </c>
      <c r="R451" s="1">
        <v>0</v>
      </c>
      <c r="S451" s="1" t="s">
        <v>194</v>
      </c>
      <c r="T451" s="1" t="s">
        <v>194</v>
      </c>
      <c r="U451" s="1" t="s">
        <v>194</v>
      </c>
      <c r="V451" s="1">
        <v>33</v>
      </c>
      <c r="W451" s="1">
        <v>0</v>
      </c>
      <c r="X451" s="1">
        <v>14</v>
      </c>
      <c r="Y451" s="1">
        <v>1</v>
      </c>
      <c r="Z451" s="1">
        <v>100000</v>
      </c>
      <c r="AA451" s="1">
        <v>3</v>
      </c>
    </row>
    <row r="452" spans="1:27" ht="12.75" customHeight="1" x14ac:dyDescent="0.15">
      <c r="A452" s="5">
        <v>402</v>
      </c>
      <c r="B452" s="5" t="s">
        <v>238</v>
      </c>
      <c r="C452" s="1">
        <v>27</v>
      </c>
      <c r="D452" s="5" t="s">
        <v>981</v>
      </c>
      <c r="E452" s="1">
        <v>6</v>
      </c>
      <c r="F452" s="5" t="s">
        <v>981</v>
      </c>
      <c r="G452" s="1">
        <v>8</v>
      </c>
      <c r="H452" s="5" t="s">
        <v>981</v>
      </c>
      <c r="I452" s="1">
        <v>0</v>
      </c>
      <c r="J452" s="5" t="s">
        <v>983</v>
      </c>
      <c r="K452" s="1">
        <v>7</v>
      </c>
      <c r="L452" s="5" t="s">
        <v>981</v>
      </c>
      <c r="M452" s="1">
        <v>9</v>
      </c>
      <c r="N452" s="5" t="s">
        <v>981</v>
      </c>
      <c r="O452" s="1">
        <v>1</v>
      </c>
      <c r="P452" s="5" t="s">
        <v>982</v>
      </c>
      <c r="Q452" s="1">
        <v>1</v>
      </c>
      <c r="R452" s="1">
        <v>0</v>
      </c>
      <c r="S452" s="1">
        <v>1</v>
      </c>
      <c r="T452" s="1">
        <v>2</v>
      </c>
      <c r="U452" s="1">
        <v>2</v>
      </c>
      <c r="V452" s="1">
        <v>41</v>
      </c>
      <c r="W452" s="1">
        <v>0</v>
      </c>
      <c r="X452" s="1">
        <v>14</v>
      </c>
      <c r="Y452" s="1">
        <v>4</v>
      </c>
      <c r="Z452" s="1">
        <v>350000</v>
      </c>
      <c r="AA452" s="1">
        <v>5</v>
      </c>
    </row>
    <row r="453" spans="1:27" ht="12.75" customHeight="1" x14ac:dyDescent="0.15">
      <c r="A453" s="5">
        <v>310</v>
      </c>
      <c r="B453" s="5" t="s">
        <v>238</v>
      </c>
      <c r="C453" s="1">
        <v>24</v>
      </c>
      <c r="D453" s="5" t="s">
        <v>981</v>
      </c>
      <c r="E453" s="1">
        <v>8</v>
      </c>
      <c r="F453" s="5" t="s">
        <v>981</v>
      </c>
      <c r="G453" s="1">
        <v>9</v>
      </c>
      <c r="H453" s="5" t="s">
        <v>981</v>
      </c>
      <c r="I453" s="1">
        <v>7</v>
      </c>
      <c r="J453" s="5" t="s">
        <v>981</v>
      </c>
      <c r="K453" s="1">
        <v>7</v>
      </c>
      <c r="L453" s="5" t="s">
        <v>981</v>
      </c>
      <c r="M453" s="1">
        <v>6</v>
      </c>
      <c r="N453" s="5" t="s">
        <v>981</v>
      </c>
      <c r="O453" s="1">
        <v>0</v>
      </c>
      <c r="P453" s="5" t="s">
        <v>983</v>
      </c>
      <c r="Q453" s="1">
        <v>0</v>
      </c>
      <c r="R453" s="1">
        <v>0</v>
      </c>
      <c r="S453" s="1" t="s">
        <v>194</v>
      </c>
      <c r="T453" s="1">
        <v>5</v>
      </c>
      <c r="U453" s="1">
        <v>3</v>
      </c>
      <c r="V453" s="1">
        <v>29</v>
      </c>
      <c r="W453" s="1">
        <v>0</v>
      </c>
      <c r="X453" s="1">
        <v>16</v>
      </c>
      <c r="Y453" s="1">
        <v>34</v>
      </c>
      <c r="Z453" s="1">
        <v>250000</v>
      </c>
      <c r="AA453" s="1">
        <v>3</v>
      </c>
    </row>
    <row r="454" spans="1:27" ht="12.75" customHeight="1" x14ac:dyDescent="0.15">
      <c r="A454" s="5">
        <v>179</v>
      </c>
      <c r="B454" s="5" t="s">
        <v>238</v>
      </c>
      <c r="C454" s="1">
        <v>20</v>
      </c>
      <c r="D454" s="5" t="s">
        <v>982</v>
      </c>
      <c r="E454" s="1">
        <v>5</v>
      </c>
      <c r="F454" s="5" t="s">
        <v>981</v>
      </c>
      <c r="G454" s="1">
        <v>2</v>
      </c>
      <c r="H454" s="5" t="s">
        <v>982</v>
      </c>
      <c r="I454" s="1">
        <v>9</v>
      </c>
      <c r="J454" s="5" t="s">
        <v>981</v>
      </c>
      <c r="K454" s="1">
        <v>8</v>
      </c>
      <c r="L454" s="5" t="s">
        <v>981</v>
      </c>
      <c r="M454" s="1">
        <v>12</v>
      </c>
      <c r="N454" s="5" t="s">
        <v>981</v>
      </c>
      <c r="O454" s="1">
        <v>1</v>
      </c>
      <c r="P454" s="5" t="s">
        <v>982</v>
      </c>
      <c r="Q454" s="1">
        <v>1</v>
      </c>
      <c r="R454" s="1">
        <v>0</v>
      </c>
      <c r="S454" s="1">
        <v>1</v>
      </c>
      <c r="T454" s="1">
        <v>3</v>
      </c>
      <c r="U454" s="1">
        <v>3</v>
      </c>
      <c r="V454" s="1">
        <v>42</v>
      </c>
      <c r="W454" s="1">
        <v>1</v>
      </c>
      <c r="X454" s="1">
        <v>16</v>
      </c>
      <c r="Y454" s="1">
        <v>3</v>
      </c>
      <c r="Z454" s="1">
        <v>12000000</v>
      </c>
      <c r="AA454" s="1">
        <v>2</v>
      </c>
    </row>
    <row r="455" spans="1:27" ht="12.75" customHeight="1" x14ac:dyDescent="0.15">
      <c r="A455" s="5">
        <v>102</v>
      </c>
      <c r="B455" s="5" t="s">
        <v>238</v>
      </c>
      <c r="C455" s="1">
        <v>32</v>
      </c>
      <c r="D455" s="5" t="s">
        <v>981</v>
      </c>
      <c r="E455" s="1">
        <v>7</v>
      </c>
      <c r="F455" s="5" t="s">
        <v>981</v>
      </c>
      <c r="G455" s="1">
        <v>2</v>
      </c>
      <c r="H455" s="5" t="s">
        <v>982</v>
      </c>
      <c r="I455" s="1">
        <v>8</v>
      </c>
      <c r="J455" s="5" t="s">
        <v>981</v>
      </c>
      <c r="K455" s="1">
        <v>8</v>
      </c>
      <c r="L455" s="5" t="s">
        <v>981</v>
      </c>
      <c r="M455" s="1">
        <v>7</v>
      </c>
      <c r="N455" s="5" t="s">
        <v>981</v>
      </c>
      <c r="O455" s="1">
        <v>2</v>
      </c>
      <c r="P455" s="5" t="s">
        <v>982</v>
      </c>
      <c r="Q455" s="1">
        <v>0</v>
      </c>
      <c r="R455" s="1">
        <v>0</v>
      </c>
      <c r="S455" s="1" t="s">
        <v>194</v>
      </c>
      <c r="T455" s="1">
        <v>1</v>
      </c>
      <c r="U455" s="1">
        <v>3</v>
      </c>
      <c r="V455" s="1">
        <v>64</v>
      </c>
      <c r="W455" s="1">
        <v>0</v>
      </c>
      <c r="X455" s="1">
        <v>14</v>
      </c>
      <c r="Y455" s="1">
        <v>34</v>
      </c>
      <c r="Z455" s="1">
        <v>1890000</v>
      </c>
      <c r="AA455" s="1">
        <v>3</v>
      </c>
    </row>
    <row r="456" spans="1:27" ht="12.75" customHeight="1" x14ac:dyDescent="0.15">
      <c r="A456" s="5">
        <v>33</v>
      </c>
      <c r="B456" s="5" t="s">
        <v>238</v>
      </c>
      <c r="C456" s="1">
        <v>30</v>
      </c>
      <c r="D456" s="5" t="s">
        <v>981</v>
      </c>
      <c r="E456" s="1">
        <v>3</v>
      </c>
      <c r="F456" s="5" t="s">
        <v>982</v>
      </c>
      <c r="G456" s="1">
        <v>3</v>
      </c>
      <c r="H456" s="5" t="s">
        <v>982</v>
      </c>
      <c r="I456" s="1">
        <v>4</v>
      </c>
      <c r="J456" s="5" t="s">
        <v>982</v>
      </c>
      <c r="K456" s="1">
        <v>8</v>
      </c>
      <c r="L456" s="5" t="s">
        <v>981</v>
      </c>
      <c r="M456" s="1">
        <v>6</v>
      </c>
      <c r="N456" s="5" t="s">
        <v>981</v>
      </c>
      <c r="O456" s="1">
        <v>0</v>
      </c>
      <c r="P456" s="5" t="s">
        <v>983</v>
      </c>
      <c r="Q456" s="1">
        <v>1</v>
      </c>
      <c r="R456" s="1">
        <v>0</v>
      </c>
      <c r="S456" s="1" t="s">
        <v>194</v>
      </c>
      <c r="T456" s="1">
        <v>2</v>
      </c>
      <c r="U456" s="1">
        <v>3</v>
      </c>
      <c r="V456" s="1">
        <v>42</v>
      </c>
      <c r="W456" s="1">
        <v>0</v>
      </c>
      <c r="X456" s="1">
        <v>12</v>
      </c>
      <c r="Y456" s="1">
        <v>24</v>
      </c>
      <c r="Z456" s="1">
        <v>500000</v>
      </c>
      <c r="AA456" s="1">
        <v>5</v>
      </c>
    </row>
    <row r="457" spans="1:27" ht="12.75" customHeight="1" x14ac:dyDescent="0.15">
      <c r="A457" s="5">
        <v>389</v>
      </c>
      <c r="B457" s="5" t="s">
        <v>238</v>
      </c>
      <c r="C457" s="1">
        <v>20</v>
      </c>
      <c r="D457" s="5" t="s">
        <v>982</v>
      </c>
      <c r="E457" s="1">
        <v>4</v>
      </c>
      <c r="F457" s="5" t="s">
        <v>982</v>
      </c>
      <c r="G457" s="1">
        <v>3</v>
      </c>
      <c r="H457" s="5" t="s">
        <v>982</v>
      </c>
      <c r="I457" s="1">
        <v>7</v>
      </c>
      <c r="J457" s="5" t="s">
        <v>981</v>
      </c>
      <c r="K457" s="1">
        <v>8</v>
      </c>
      <c r="L457" s="5" t="s">
        <v>981</v>
      </c>
      <c r="M457" s="1">
        <v>7</v>
      </c>
      <c r="N457" s="5" t="s">
        <v>981</v>
      </c>
      <c r="O457" s="1">
        <v>0</v>
      </c>
      <c r="P457" s="5" t="s">
        <v>983</v>
      </c>
      <c r="Q457" s="1">
        <v>1</v>
      </c>
      <c r="R457" s="1">
        <v>0</v>
      </c>
      <c r="S457" s="1" t="s">
        <v>194</v>
      </c>
      <c r="T457" s="1">
        <v>3</v>
      </c>
      <c r="U457" s="1">
        <v>3</v>
      </c>
      <c r="V457" s="1">
        <v>55</v>
      </c>
      <c r="W457" s="1">
        <v>0</v>
      </c>
      <c r="X457" s="1">
        <v>14</v>
      </c>
      <c r="Y457" s="1">
        <v>7</v>
      </c>
      <c r="Z457" s="1">
        <v>500000</v>
      </c>
      <c r="AA457" s="1">
        <v>3</v>
      </c>
    </row>
    <row r="458" spans="1:27" ht="12.75" customHeight="1" x14ac:dyDescent="0.15">
      <c r="A458" s="5">
        <v>39</v>
      </c>
      <c r="B458" s="5" t="s">
        <v>238</v>
      </c>
      <c r="C458" s="1">
        <v>16</v>
      </c>
      <c r="D458" s="5" t="s">
        <v>983</v>
      </c>
      <c r="E458" s="1">
        <v>5</v>
      </c>
      <c r="F458" s="5" t="s">
        <v>981</v>
      </c>
      <c r="G458" s="1">
        <v>4</v>
      </c>
      <c r="H458" s="5" t="s">
        <v>982</v>
      </c>
      <c r="I458" s="1">
        <v>12</v>
      </c>
      <c r="J458" s="5" t="s">
        <v>981</v>
      </c>
      <c r="K458" s="1">
        <v>8</v>
      </c>
      <c r="L458" s="5" t="s">
        <v>981</v>
      </c>
      <c r="M458" s="1">
        <v>4</v>
      </c>
      <c r="N458" s="5" t="s">
        <v>982</v>
      </c>
      <c r="O458" s="1">
        <v>0</v>
      </c>
      <c r="P458" s="5" t="s">
        <v>983</v>
      </c>
      <c r="Q458" s="1">
        <v>0</v>
      </c>
      <c r="R458" s="1">
        <v>0</v>
      </c>
      <c r="S458" s="1" t="s">
        <v>194</v>
      </c>
      <c r="T458" s="1">
        <v>4</v>
      </c>
      <c r="U458" s="1">
        <v>1</v>
      </c>
      <c r="V458" s="1">
        <v>53</v>
      </c>
      <c r="W458" s="1">
        <v>0</v>
      </c>
      <c r="X458" s="1">
        <v>2</v>
      </c>
      <c r="Y458" s="1">
        <v>2</v>
      </c>
      <c r="Z458" s="1">
        <v>300000</v>
      </c>
      <c r="AA458" s="1">
        <v>4</v>
      </c>
    </row>
    <row r="459" spans="1:27" ht="12.75" customHeight="1" x14ac:dyDescent="0.15">
      <c r="A459" s="5">
        <v>239</v>
      </c>
      <c r="B459" s="5" t="s">
        <v>238</v>
      </c>
      <c r="C459" s="1">
        <v>14</v>
      </c>
      <c r="D459" s="5" t="s">
        <v>983</v>
      </c>
      <c r="E459" s="1">
        <v>7</v>
      </c>
      <c r="F459" s="5" t="s">
        <v>981</v>
      </c>
      <c r="G459" s="1">
        <v>6</v>
      </c>
      <c r="H459" s="5" t="s">
        <v>981</v>
      </c>
      <c r="I459" s="1">
        <v>4</v>
      </c>
      <c r="J459" s="5" t="s">
        <v>982</v>
      </c>
      <c r="K459" s="1">
        <v>8</v>
      </c>
      <c r="L459" s="5" t="s">
        <v>981</v>
      </c>
      <c r="M459" s="1">
        <v>6</v>
      </c>
      <c r="N459" s="5" t="s">
        <v>981</v>
      </c>
      <c r="O459" s="1">
        <v>1</v>
      </c>
      <c r="P459" s="5" t="s">
        <v>982</v>
      </c>
      <c r="Q459" s="1">
        <v>1</v>
      </c>
      <c r="R459" s="1">
        <v>0</v>
      </c>
      <c r="S459" s="1">
        <v>1</v>
      </c>
      <c r="T459" s="1">
        <v>3</v>
      </c>
      <c r="U459" s="1">
        <v>3</v>
      </c>
      <c r="V459" s="1">
        <v>37</v>
      </c>
      <c r="W459" s="1">
        <v>0</v>
      </c>
      <c r="X459" s="1">
        <v>14</v>
      </c>
      <c r="Y459" s="1">
        <v>34</v>
      </c>
      <c r="Z459" s="1">
        <v>450000</v>
      </c>
      <c r="AA459" s="1">
        <v>4</v>
      </c>
    </row>
    <row r="460" spans="1:27" ht="12.75" customHeight="1" x14ac:dyDescent="0.15">
      <c r="A460" s="5">
        <v>40</v>
      </c>
      <c r="B460" s="5" t="s">
        <v>238</v>
      </c>
      <c r="C460" s="1">
        <v>43</v>
      </c>
      <c r="D460" s="5" t="s">
        <v>981</v>
      </c>
      <c r="E460" s="1">
        <v>8</v>
      </c>
      <c r="F460" s="5" t="s">
        <v>981</v>
      </c>
      <c r="G460" s="1">
        <v>7</v>
      </c>
      <c r="H460" s="5" t="s">
        <v>981</v>
      </c>
      <c r="I460" s="1">
        <v>8</v>
      </c>
      <c r="J460" s="5" t="s">
        <v>981</v>
      </c>
      <c r="K460" s="1">
        <v>8</v>
      </c>
      <c r="L460" s="5" t="s">
        <v>981</v>
      </c>
      <c r="M460" s="1">
        <v>4</v>
      </c>
      <c r="N460" s="5" t="s">
        <v>982</v>
      </c>
      <c r="O460" s="1">
        <v>0</v>
      </c>
      <c r="P460" s="5" t="s">
        <v>983</v>
      </c>
      <c r="Q460" s="1">
        <v>1</v>
      </c>
      <c r="R460" s="1">
        <v>0</v>
      </c>
      <c r="S460" s="1">
        <v>1</v>
      </c>
      <c r="T460" s="1">
        <v>3</v>
      </c>
      <c r="U460" s="1">
        <v>2</v>
      </c>
      <c r="V460" s="1">
        <v>42</v>
      </c>
      <c r="W460" s="1">
        <v>0</v>
      </c>
      <c r="X460" s="1">
        <v>14</v>
      </c>
      <c r="Y460" s="1">
        <v>34</v>
      </c>
      <c r="Z460" s="1">
        <v>1232000</v>
      </c>
      <c r="AA460" s="1">
        <v>3</v>
      </c>
    </row>
    <row r="461" spans="1:27" ht="12.75" customHeight="1" x14ac:dyDescent="0.15">
      <c r="A461" s="5">
        <v>140</v>
      </c>
      <c r="B461" s="5" t="s">
        <v>238</v>
      </c>
      <c r="C461" s="1">
        <v>34</v>
      </c>
      <c r="D461" s="5" t="s">
        <v>981</v>
      </c>
      <c r="E461" s="1">
        <v>3</v>
      </c>
      <c r="F461" s="5" t="s">
        <v>982</v>
      </c>
      <c r="G461" s="1">
        <v>9</v>
      </c>
      <c r="H461" s="5" t="s">
        <v>981</v>
      </c>
      <c r="I461" s="1">
        <v>10</v>
      </c>
      <c r="J461" s="5" t="s">
        <v>981</v>
      </c>
      <c r="K461" s="1">
        <v>8</v>
      </c>
      <c r="L461" s="5" t="s">
        <v>981</v>
      </c>
      <c r="M461" s="1">
        <v>8</v>
      </c>
      <c r="N461" s="5" t="s">
        <v>981</v>
      </c>
      <c r="O461" s="1">
        <v>3</v>
      </c>
      <c r="P461" s="5" t="s">
        <v>982</v>
      </c>
      <c r="Q461" s="1">
        <v>0</v>
      </c>
      <c r="R461" s="1">
        <v>0</v>
      </c>
      <c r="S461" s="1">
        <v>0</v>
      </c>
      <c r="T461" s="1">
        <v>3</v>
      </c>
      <c r="U461" s="1">
        <v>4</v>
      </c>
      <c r="V461" s="1">
        <v>50</v>
      </c>
      <c r="W461" s="1">
        <v>1</v>
      </c>
      <c r="X461" s="1">
        <v>16</v>
      </c>
      <c r="Y461" s="1">
        <v>34</v>
      </c>
      <c r="Z461" s="1">
        <v>7000000</v>
      </c>
      <c r="AA461" s="1">
        <v>3</v>
      </c>
    </row>
    <row r="462" spans="1:27" ht="12.75" customHeight="1" x14ac:dyDescent="0.15">
      <c r="A462" s="5">
        <v>216</v>
      </c>
      <c r="B462" s="5" t="s">
        <v>238</v>
      </c>
      <c r="C462" s="1">
        <v>28</v>
      </c>
      <c r="D462" s="5" t="s">
        <v>981</v>
      </c>
      <c r="E462" s="1">
        <v>7</v>
      </c>
      <c r="F462" s="5" t="s">
        <v>981</v>
      </c>
      <c r="G462" s="1">
        <v>1</v>
      </c>
      <c r="H462" s="5" t="s">
        <v>983</v>
      </c>
      <c r="I462" s="1">
        <v>4</v>
      </c>
      <c r="J462" s="5" t="s">
        <v>982</v>
      </c>
      <c r="K462" s="1">
        <v>9</v>
      </c>
      <c r="L462" s="5" t="s">
        <v>981</v>
      </c>
      <c r="M462" s="1">
        <v>9</v>
      </c>
      <c r="N462" s="5" t="s">
        <v>981</v>
      </c>
      <c r="O462" s="1">
        <v>0</v>
      </c>
      <c r="P462" s="5" t="s">
        <v>983</v>
      </c>
      <c r="Q462" s="1">
        <v>1</v>
      </c>
      <c r="R462" s="1">
        <v>0</v>
      </c>
      <c r="S462" s="1">
        <v>1</v>
      </c>
      <c r="T462" s="1">
        <v>4</v>
      </c>
      <c r="U462" s="1">
        <v>4</v>
      </c>
      <c r="V462" s="1">
        <v>39</v>
      </c>
      <c r="W462" s="1">
        <v>1</v>
      </c>
      <c r="X462" s="1">
        <v>17</v>
      </c>
      <c r="Y462" s="1">
        <v>34</v>
      </c>
      <c r="Z462" s="1">
        <v>50000</v>
      </c>
      <c r="AA462" s="1">
        <v>6</v>
      </c>
    </row>
    <row r="463" spans="1:27" ht="12.75" customHeight="1" x14ac:dyDescent="0.15">
      <c r="A463" s="5">
        <v>423</v>
      </c>
      <c r="B463" s="5" t="s">
        <v>238</v>
      </c>
      <c r="C463" s="1">
        <v>39</v>
      </c>
      <c r="D463" s="5" t="s">
        <v>981</v>
      </c>
      <c r="E463" s="1">
        <v>3</v>
      </c>
      <c r="F463" s="5" t="s">
        <v>982</v>
      </c>
      <c r="G463" s="1">
        <v>6</v>
      </c>
      <c r="H463" s="5" t="s">
        <v>981</v>
      </c>
      <c r="I463" s="1">
        <v>10</v>
      </c>
      <c r="J463" s="5" t="s">
        <v>981</v>
      </c>
      <c r="K463" s="1">
        <v>9</v>
      </c>
      <c r="L463" s="5" t="s">
        <v>981</v>
      </c>
      <c r="M463" s="1">
        <v>5</v>
      </c>
      <c r="N463" s="5" t="s">
        <v>982</v>
      </c>
      <c r="O463" s="1">
        <v>0</v>
      </c>
      <c r="P463" s="5" t="s">
        <v>983</v>
      </c>
      <c r="Q463" s="1">
        <v>0</v>
      </c>
      <c r="R463" s="1">
        <v>0</v>
      </c>
      <c r="S463" s="1" t="s">
        <v>194</v>
      </c>
      <c r="T463" s="1">
        <v>2</v>
      </c>
      <c r="U463" s="1">
        <v>3</v>
      </c>
      <c r="V463" s="1">
        <v>39</v>
      </c>
      <c r="W463" s="1">
        <v>1</v>
      </c>
      <c r="X463" s="1">
        <v>14</v>
      </c>
      <c r="Y463" s="1">
        <v>2</v>
      </c>
      <c r="Z463" s="1">
        <v>600000</v>
      </c>
      <c r="AA463" s="1">
        <v>4</v>
      </c>
    </row>
    <row r="464" spans="1:27" ht="12.75" customHeight="1" x14ac:dyDescent="0.15">
      <c r="A464" s="5">
        <v>226</v>
      </c>
      <c r="B464" s="5" t="s">
        <v>238</v>
      </c>
      <c r="C464" s="1">
        <v>20</v>
      </c>
      <c r="D464" s="5" t="s">
        <v>982</v>
      </c>
      <c r="E464" s="1">
        <v>6</v>
      </c>
      <c r="F464" s="5" t="s">
        <v>981</v>
      </c>
      <c r="G464" s="1">
        <v>6</v>
      </c>
      <c r="H464" s="5" t="s">
        <v>981</v>
      </c>
      <c r="I464" s="1">
        <v>6</v>
      </c>
      <c r="J464" s="5" t="s">
        <v>981</v>
      </c>
      <c r="K464" s="1">
        <v>9</v>
      </c>
      <c r="L464" s="5" t="s">
        <v>981</v>
      </c>
      <c r="M464" s="1">
        <v>8</v>
      </c>
      <c r="N464" s="5" t="s">
        <v>981</v>
      </c>
      <c r="O464" s="1">
        <v>0</v>
      </c>
      <c r="P464" s="5" t="s">
        <v>983</v>
      </c>
      <c r="Q464" s="1">
        <v>1</v>
      </c>
      <c r="R464" s="1">
        <v>0</v>
      </c>
      <c r="S464" s="1">
        <v>1</v>
      </c>
      <c r="T464" s="1" t="s">
        <v>194</v>
      </c>
      <c r="U464" s="1">
        <v>2</v>
      </c>
      <c r="V464" s="1">
        <v>26</v>
      </c>
      <c r="W464" s="1">
        <v>0</v>
      </c>
      <c r="X464" s="1">
        <v>14</v>
      </c>
      <c r="Y464" s="1">
        <v>2</v>
      </c>
      <c r="Z464" s="1">
        <v>600000</v>
      </c>
      <c r="AA464" s="1">
        <v>2</v>
      </c>
    </row>
    <row r="465" spans="1:27" ht="12.75" customHeight="1" x14ac:dyDescent="0.15">
      <c r="A465" s="5">
        <v>314</v>
      </c>
      <c r="B465" s="5" t="s">
        <v>238</v>
      </c>
      <c r="C465" s="1">
        <v>27</v>
      </c>
      <c r="D465" s="5" t="s">
        <v>981</v>
      </c>
      <c r="E465" s="1">
        <v>6</v>
      </c>
      <c r="F465" s="5" t="s">
        <v>981</v>
      </c>
      <c r="G465" s="1">
        <v>6</v>
      </c>
      <c r="H465" s="5" t="s">
        <v>981</v>
      </c>
      <c r="I465" s="1">
        <v>4</v>
      </c>
      <c r="J465" s="5" t="s">
        <v>982</v>
      </c>
      <c r="K465" s="1">
        <v>9</v>
      </c>
      <c r="L465" s="5" t="s">
        <v>981</v>
      </c>
      <c r="M465" s="1">
        <v>9</v>
      </c>
      <c r="N465" s="5" t="s">
        <v>981</v>
      </c>
      <c r="O465" s="1">
        <v>0</v>
      </c>
      <c r="P465" s="5" t="s">
        <v>983</v>
      </c>
      <c r="Q465" s="1">
        <v>1</v>
      </c>
      <c r="R465" s="1">
        <v>0</v>
      </c>
      <c r="S465" s="1">
        <v>1</v>
      </c>
      <c r="T465" s="1">
        <v>3</v>
      </c>
      <c r="U465" s="1">
        <v>3</v>
      </c>
      <c r="V465" s="1">
        <v>35</v>
      </c>
      <c r="W465" s="1">
        <v>0</v>
      </c>
      <c r="X465" s="1">
        <v>12</v>
      </c>
      <c r="Y465" s="1">
        <v>6</v>
      </c>
      <c r="Z465" s="1">
        <v>400000</v>
      </c>
      <c r="AA465" s="1">
        <v>4</v>
      </c>
    </row>
    <row r="466" spans="1:27" ht="12.75" customHeight="1" x14ac:dyDescent="0.15">
      <c r="A466" s="5">
        <v>191</v>
      </c>
      <c r="B466" s="5" t="s">
        <v>238</v>
      </c>
      <c r="C466" s="1">
        <v>18</v>
      </c>
      <c r="D466" s="5" t="s">
        <v>983</v>
      </c>
      <c r="E466" s="1">
        <v>6</v>
      </c>
      <c r="F466" s="5" t="s">
        <v>981</v>
      </c>
      <c r="G466" s="1">
        <v>7</v>
      </c>
      <c r="H466" s="5" t="s">
        <v>981</v>
      </c>
      <c r="I466" s="1">
        <v>6</v>
      </c>
      <c r="J466" s="5" t="s">
        <v>981</v>
      </c>
      <c r="K466" s="1">
        <v>9</v>
      </c>
      <c r="L466" s="5" t="s">
        <v>981</v>
      </c>
      <c r="M466" s="1">
        <v>9</v>
      </c>
      <c r="N466" s="5" t="s">
        <v>981</v>
      </c>
      <c r="O466" s="1">
        <v>1</v>
      </c>
      <c r="P466" s="5" t="s">
        <v>982</v>
      </c>
      <c r="Q466" s="1">
        <v>1</v>
      </c>
      <c r="R466" s="1">
        <v>0</v>
      </c>
      <c r="S466" s="1" t="s">
        <v>194</v>
      </c>
      <c r="T466" s="1" t="s">
        <v>194</v>
      </c>
      <c r="U466" s="1">
        <v>2</v>
      </c>
      <c r="V466" s="1">
        <v>26</v>
      </c>
      <c r="W466" s="1">
        <v>0</v>
      </c>
      <c r="X466" s="1">
        <v>14</v>
      </c>
      <c r="Y466" s="1">
        <v>14</v>
      </c>
      <c r="Z466" s="1">
        <v>300000</v>
      </c>
      <c r="AA466" s="1">
        <v>6</v>
      </c>
    </row>
    <row r="467" spans="1:27" ht="12.75" customHeight="1" x14ac:dyDescent="0.15">
      <c r="A467" s="5">
        <v>151</v>
      </c>
      <c r="B467" s="5" t="s">
        <v>238</v>
      </c>
      <c r="C467" s="1">
        <v>37</v>
      </c>
      <c r="D467" s="5" t="s">
        <v>981</v>
      </c>
      <c r="E467" s="1">
        <v>8</v>
      </c>
      <c r="F467" s="5" t="s">
        <v>981</v>
      </c>
      <c r="G467" s="1">
        <v>7</v>
      </c>
      <c r="H467" s="5" t="s">
        <v>981</v>
      </c>
      <c r="I467" s="1">
        <v>5</v>
      </c>
      <c r="J467" s="5" t="s">
        <v>981</v>
      </c>
      <c r="K467" s="1">
        <v>9</v>
      </c>
      <c r="L467" s="5" t="s">
        <v>981</v>
      </c>
      <c r="M467" s="1">
        <v>9</v>
      </c>
      <c r="N467" s="5" t="s">
        <v>981</v>
      </c>
      <c r="O467" s="1">
        <v>2</v>
      </c>
      <c r="P467" s="5" t="s">
        <v>982</v>
      </c>
      <c r="Q467" s="1">
        <v>1</v>
      </c>
      <c r="R467" s="1">
        <v>0</v>
      </c>
      <c r="S467" s="1">
        <v>1</v>
      </c>
      <c r="T467" s="1">
        <v>5</v>
      </c>
      <c r="U467" s="1">
        <v>5</v>
      </c>
      <c r="V467" s="1">
        <v>47</v>
      </c>
      <c r="W467" s="1">
        <v>1</v>
      </c>
      <c r="X467" s="1">
        <v>14</v>
      </c>
      <c r="Y467" s="1">
        <v>5</v>
      </c>
      <c r="Z467" s="1">
        <v>300000</v>
      </c>
      <c r="AA467" s="1">
        <v>2</v>
      </c>
    </row>
    <row r="468" spans="1:27" ht="12.75" customHeight="1" x14ac:dyDescent="0.15">
      <c r="A468" s="5">
        <v>305</v>
      </c>
      <c r="B468" s="5" t="s">
        <v>238</v>
      </c>
      <c r="C468" s="1">
        <v>28</v>
      </c>
      <c r="D468" s="5" t="s">
        <v>981</v>
      </c>
      <c r="E468" s="1">
        <v>8</v>
      </c>
      <c r="F468" s="5" t="s">
        <v>981</v>
      </c>
      <c r="G468" s="1">
        <v>8</v>
      </c>
      <c r="H468" s="5" t="s">
        <v>981</v>
      </c>
      <c r="I468" s="1">
        <v>4</v>
      </c>
      <c r="J468" s="5" t="s">
        <v>982</v>
      </c>
      <c r="K468" s="1">
        <v>9</v>
      </c>
      <c r="L468" s="5" t="s">
        <v>981</v>
      </c>
      <c r="M468" s="1">
        <v>9</v>
      </c>
      <c r="N468" s="5" t="s">
        <v>981</v>
      </c>
      <c r="O468" s="1">
        <v>0</v>
      </c>
      <c r="P468" s="5" t="s">
        <v>983</v>
      </c>
      <c r="Q468" s="1">
        <v>1</v>
      </c>
      <c r="R468" s="1">
        <v>0</v>
      </c>
      <c r="S468" s="1" t="s">
        <v>194</v>
      </c>
      <c r="T468" s="1">
        <v>2</v>
      </c>
      <c r="U468" s="1">
        <v>3</v>
      </c>
      <c r="V468" s="1">
        <v>33</v>
      </c>
      <c r="W468" s="1">
        <v>0</v>
      </c>
      <c r="X468" s="1">
        <v>16</v>
      </c>
      <c r="Y468" s="1">
        <v>7</v>
      </c>
      <c r="Z468" s="1">
        <v>360000</v>
      </c>
      <c r="AA468" s="1">
        <v>4</v>
      </c>
    </row>
    <row r="469" spans="1:27" ht="12.75" customHeight="1" x14ac:dyDescent="0.15">
      <c r="A469" s="5">
        <v>432</v>
      </c>
      <c r="B469" s="5" t="s">
        <v>238</v>
      </c>
      <c r="C469" s="1">
        <v>29</v>
      </c>
      <c r="D469" s="5" t="s">
        <v>981</v>
      </c>
      <c r="E469" s="1">
        <v>6</v>
      </c>
      <c r="F469" s="5" t="s">
        <v>981</v>
      </c>
      <c r="G469" s="1">
        <v>9</v>
      </c>
      <c r="H469" s="5" t="s">
        <v>981</v>
      </c>
      <c r="I469" s="1">
        <v>4</v>
      </c>
      <c r="J469" s="5" t="s">
        <v>982</v>
      </c>
      <c r="K469" s="1">
        <v>9</v>
      </c>
      <c r="L469" s="5" t="s">
        <v>981</v>
      </c>
      <c r="M469" s="1">
        <v>9</v>
      </c>
      <c r="N469" s="5" t="s">
        <v>981</v>
      </c>
      <c r="O469" s="1">
        <v>12</v>
      </c>
      <c r="P469" s="5" t="s">
        <v>982</v>
      </c>
      <c r="Q469" s="1">
        <v>1</v>
      </c>
      <c r="R469" s="1">
        <v>0</v>
      </c>
      <c r="S469" s="1">
        <v>1</v>
      </c>
      <c r="T469" s="1" t="s">
        <v>194</v>
      </c>
      <c r="U469" s="1">
        <v>3</v>
      </c>
      <c r="V469" s="1">
        <v>41</v>
      </c>
      <c r="W469" s="1">
        <v>1</v>
      </c>
      <c r="X469" s="1">
        <v>6</v>
      </c>
      <c r="Y469" s="1">
        <v>34</v>
      </c>
      <c r="Z469" s="1">
        <v>540000</v>
      </c>
      <c r="AA469" s="1">
        <v>4</v>
      </c>
    </row>
    <row r="470" spans="1:27" ht="12.75" customHeight="1" x14ac:dyDescent="0.15">
      <c r="A470" s="5">
        <v>62</v>
      </c>
      <c r="B470" s="5" t="s">
        <v>238</v>
      </c>
      <c r="C470" s="1">
        <v>13</v>
      </c>
      <c r="D470" s="5" t="s">
        <v>983</v>
      </c>
      <c r="E470" s="1">
        <v>9</v>
      </c>
      <c r="F470" s="5" t="s">
        <v>981</v>
      </c>
      <c r="G470" s="1">
        <v>9</v>
      </c>
      <c r="H470" s="5" t="s">
        <v>981</v>
      </c>
      <c r="I470" s="1">
        <v>4</v>
      </c>
      <c r="J470" s="5" t="s">
        <v>982</v>
      </c>
      <c r="K470" s="1">
        <v>9</v>
      </c>
      <c r="L470" s="5" t="s">
        <v>981</v>
      </c>
      <c r="M470" s="1">
        <v>9</v>
      </c>
      <c r="N470" s="5" t="s">
        <v>981</v>
      </c>
      <c r="O470" s="1">
        <v>0</v>
      </c>
      <c r="P470" s="5" t="s">
        <v>983</v>
      </c>
      <c r="Q470" s="1">
        <v>0</v>
      </c>
      <c r="R470" s="1">
        <v>0</v>
      </c>
      <c r="S470" s="1" t="s">
        <v>194</v>
      </c>
      <c r="T470" s="1" t="s">
        <v>194</v>
      </c>
      <c r="U470" s="1">
        <v>2</v>
      </c>
      <c r="V470" s="1"/>
      <c r="W470" s="1">
        <v>1</v>
      </c>
      <c r="Y470" s="1">
        <v>11</v>
      </c>
      <c r="AA470" s="1">
        <v>1</v>
      </c>
    </row>
    <row r="471" spans="1:27" ht="12.75" customHeight="1" x14ac:dyDescent="0.15">
      <c r="A471" s="5">
        <v>230</v>
      </c>
      <c r="B471" s="5" t="s">
        <v>238</v>
      </c>
      <c r="C471" s="1">
        <v>16</v>
      </c>
      <c r="D471" s="5" t="s">
        <v>983</v>
      </c>
      <c r="E471" s="1">
        <v>9</v>
      </c>
      <c r="F471" s="5" t="s">
        <v>981</v>
      </c>
      <c r="G471" s="1">
        <v>9</v>
      </c>
      <c r="H471" s="5" t="s">
        <v>981</v>
      </c>
      <c r="I471" s="1">
        <v>4</v>
      </c>
      <c r="J471" s="5" t="s">
        <v>982</v>
      </c>
      <c r="K471" s="1">
        <v>9</v>
      </c>
      <c r="L471" s="5" t="s">
        <v>981</v>
      </c>
      <c r="M471" s="1">
        <v>9</v>
      </c>
      <c r="N471" s="5" t="s">
        <v>981</v>
      </c>
      <c r="O471" s="1">
        <v>0</v>
      </c>
      <c r="P471" s="5" t="s">
        <v>983</v>
      </c>
      <c r="Q471" s="1">
        <v>1</v>
      </c>
      <c r="R471" s="1">
        <v>0</v>
      </c>
      <c r="S471" s="1">
        <v>1</v>
      </c>
      <c r="T471" s="1">
        <v>3</v>
      </c>
      <c r="U471" s="1">
        <v>3</v>
      </c>
      <c r="V471" s="1">
        <v>45</v>
      </c>
      <c r="W471" s="1">
        <v>0</v>
      </c>
      <c r="X471" s="1">
        <v>14</v>
      </c>
      <c r="Y471" s="1">
        <v>6</v>
      </c>
      <c r="Z471" s="1">
        <v>300000</v>
      </c>
      <c r="AA471" s="1">
        <v>5</v>
      </c>
    </row>
    <row r="472" spans="1:27" ht="12.75" customHeight="1" x14ac:dyDescent="0.15">
      <c r="A472" s="5">
        <v>64</v>
      </c>
      <c r="B472" s="5" t="s">
        <v>238</v>
      </c>
      <c r="C472" s="1">
        <v>21</v>
      </c>
      <c r="D472" s="5" t="s">
        <v>982</v>
      </c>
      <c r="E472" s="1">
        <v>9</v>
      </c>
      <c r="F472" s="5" t="s">
        <v>981</v>
      </c>
      <c r="G472" s="1">
        <v>9</v>
      </c>
      <c r="H472" s="5" t="s">
        <v>981</v>
      </c>
      <c r="I472" s="1">
        <v>7</v>
      </c>
      <c r="J472" s="5" t="s">
        <v>981</v>
      </c>
      <c r="K472" s="1">
        <v>9</v>
      </c>
      <c r="L472" s="5" t="s">
        <v>981</v>
      </c>
      <c r="M472" s="1">
        <v>8</v>
      </c>
      <c r="N472" s="5" t="s">
        <v>981</v>
      </c>
      <c r="O472" s="1">
        <v>0</v>
      </c>
      <c r="P472" s="5" t="s">
        <v>983</v>
      </c>
      <c r="Q472" s="1">
        <v>0</v>
      </c>
      <c r="R472" s="1">
        <v>0</v>
      </c>
      <c r="S472" s="1" t="s">
        <v>194</v>
      </c>
      <c r="T472" s="1">
        <v>3</v>
      </c>
      <c r="U472" s="1">
        <v>3</v>
      </c>
      <c r="V472" s="1">
        <v>34</v>
      </c>
      <c r="W472" s="1">
        <v>0</v>
      </c>
      <c r="X472" s="1">
        <v>14</v>
      </c>
      <c r="Y472" s="1">
        <v>34</v>
      </c>
      <c r="Z472" s="1">
        <v>500000</v>
      </c>
      <c r="AA472" s="1">
        <v>2</v>
      </c>
    </row>
    <row r="473" spans="1:27" ht="12.75" customHeight="1" x14ac:dyDescent="0.15">
      <c r="A473" s="5">
        <v>353</v>
      </c>
      <c r="B473" s="5" t="s">
        <v>238</v>
      </c>
      <c r="C473" s="1">
        <v>23</v>
      </c>
      <c r="D473" s="5" t="s">
        <v>982</v>
      </c>
      <c r="E473" s="1">
        <v>9</v>
      </c>
      <c r="F473" s="5" t="s">
        <v>981</v>
      </c>
      <c r="G473" s="1">
        <v>9</v>
      </c>
      <c r="H473" s="5" t="s">
        <v>981</v>
      </c>
      <c r="I473" s="1">
        <v>4</v>
      </c>
      <c r="J473" s="5" t="s">
        <v>982</v>
      </c>
      <c r="K473" s="1">
        <v>9</v>
      </c>
      <c r="L473" s="5" t="s">
        <v>981</v>
      </c>
      <c r="M473" s="1">
        <v>9</v>
      </c>
      <c r="N473" s="5" t="s">
        <v>981</v>
      </c>
      <c r="O473" s="1">
        <v>0</v>
      </c>
      <c r="P473" s="5" t="s">
        <v>983</v>
      </c>
      <c r="Q473" s="1">
        <v>0</v>
      </c>
      <c r="R473" s="1">
        <v>0</v>
      </c>
      <c r="S473" s="1" t="s">
        <v>194</v>
      </c>
      <c r="T473" s="1">
        <v>5</v>
      </c>
      <c r="U473" s="1">
        <v>2</v>
      </c>
      <c r="V473" s="1">
        <v>53</v>
      </c>
      <c r="W473" s="1">
        <v>0</v>
      </c>
      <c r="X473" s="1">
        <v>12</v>
      </c>
      <c r="Y473" s="1">
        <v>1</v>
      </c>
      <c r="Z473" s="1">
        <v>400000</v>
      </c>
      <c r="AA473" s="1">
        <v>2</v>
      </c>
    </row>
    <row r="474" spans="1:27" ht="12.75" customHeight="1" x14ac:dyDescent="0.15">
      <c r="A474" s="5">
        <v>377</v>
      </c>
      <c r="B474" s="5" t="s">
        <v>238</v>
      </c>
      <c r="C474" s="1">
        <v>24</v>
      </c>
      <c r="D474" s="5" t="s">
        <v>981</v>
      </c>
      <c r="E474" s="1">
        <v>9</v>
      </c>
      <c r="F474" s="5" t="s">
        <v>981</v>
      </c>
      <c r="G474" s="1">
        <v>9</v>
      </c>
      <c r="H474" s="5" t="s">
        <v>981</v>
      </c>
      <c r="I474" s="1">
        <v>4</v>
      </c>
      <c r="J474" s="5" t="s">
        <v>982</v>
      </c>
      <c r="K474" s="1">
        <v>9</v>
      </c>
      <c r="L474" s="5" t="s">
        <v>981</v>
      </c>
      <c r="M474" s="1">
        <v>9</v>
      </c>
      <c r="N474" s="5" t="s">
        <v>981</v>
      </c>
      <c r="O474" s="1">
        <v>7</v>
      </c>
      <c r="P474" s="5" t="s">
        <v>982</v>
      </c>
      <c r="Q474" s="1">
        <v>1</v>
      </c>
      <c r="R474" s="1">
        <v>0</v>
      </c>
      <c r="S474" s="1">
        <v>1</v>
      </c>
      <c r="T474" s="1">
        <v>1</v>
      </c>
      <c r="U474" s="1">
        <v>1</v>
      </c>
      <c r="V474" s="1">
        <v>47</v>
      </c>
      <c r="W474" s="1">
        <v>0</v>
      </c>
      <c r="X474" s="1">
        <v>14</v>
      </c>
      <c r="Y474" s="1">
        <v>24</v>
      </c>
      <c r="Z474" s="1">
        <v>230000</v>
      </c>
      <c r="AA474" s="1">
        <v>3</v>
      </c>
    </row>
    <row r="475" spans="1:27" ht="12.75" customHeight="1" x14ac:dyDescent="0.15">
      <c r="A475" s="5">
        <v>495</v>
      </c>
      <c r="B475" s="5" t="s">
        <v>238</v>
      </c>
      <c r="C475" s="1">
        <v>24</v>
      </c>
      <c r="D475" s="5" t="s">
        <v>981</v>
      </c>
      <c r="E475" s="1">
        <v>9</v>
      </c>
      <c r="F475" s="5" t="s">
        <v>981</v>
      </c>
      <c r="G475" s="1">
        <v>9</v>
      </c>
      <c r="H475" s="5" t="s">
        <v>981</v>
      </c>
      <c r="I475" s="1">
        <v>4</v>
      </c>
      <c r="J475" s="5" t="s">
        <v>982</v>
      </c>
      <c r="K475" s="1">
        <v>9</v>
      </c>
      <c r="L475" s="5" t="s">
        <v>981</v>
      </c>
      <c r="M475" s="1">
        <v>9</v>
      </c>
      <c r="N475" s="5" t="s">
        <v>981</v>
      </c>
      <c r="O475" s="1">
        <v>0</v>
      </c>
      <c r="P475" s="5" t="s">
        <v>983</v>
      </c>
      <c r="Q475" s="1">
        <v>0</v>
      </c>
      <c r="R475" s="1">
        <v>0</v>
      </c>
      <c r="S475" s="1" t="s">
        <v>194</v>
      </c>
      <c r="T475" s="1">
        <v>2</v>
      </c>
      <c r="U475" s="1">
        <v>3</v>
      </c>
      <c r="V475" s="1">
        <v>64</v>
      </c>
      <c r="W475" s="1">
        <v>0</v>
      </c>
      <c r="X475" s="1">
        <v>16</v>
      </c>
      <c r="Y475" s="1">
        <v>14</v>
      </c>
      <c r="Z475" s="1">
        <v>616000</v>
      </c>
      <c r="AA475" s="1">
        <v>2</v>
      </c>
    </row>
    <row r="476" spans="1:27" ht="12.75" customHeight="1" x14ac:dyDescent="0.15">
      <c r="A476" s="5">
        <v>225</v>
      </c>
      <c r="B476" s="5" t="s">
        <v>238</v>
      </c>
      <c r="C476" s="1">
        <v>24</v>
      </c>
      <c r="D476" s="5" t="s">
        <v>981</v>
      </c>
      <c r="E476" s="1">
        <v>9</v>
      </c>
      <c r="F476" s="5" t="s">
        <v>981</v>
      </c>
      <c r="G476" s="1">
        <v>9</v>
      </c>
      <c r="H476" s="5" t="s">
        <v>981</v>
      </c>
      <c r="I476" s="1">
        <v>4</v>
      </c>
      <c r="J476" s="5" t="s">
        <v>982</v>
      </c>
      <c r="K476" s="1">
        <v>9</v>
      </c>
      <c r="L476" s="5" t="s">
        <v>981</v>
      </c>
      <c r="M476" s="1">
        <v>9</v>
      </c>
      <c r="N476" s="5" t="s">
        <v>981</v>
      </c>
      <c r="O476" s="1">
        <v>0</v>
      </c>
      <c r="P476" s="5" t="s">
        <v>983</v>
      </c>
      <c r="Q476" s="1">
        <v>1</v>
      </c>
      <c r="R476" s="1">
        <v>0</v>
      </c>
      <c r="S476" s="1">
        <v>1</v>
      </c>
      <c r="T476" s="1" t="s">
        <v>194</v>
      </c>
      <c r="U476" s="1">
        <v>1</v>
      </c>
      <c r="V476" s="1"/>
      <c r="W476" s="1">
        <v>0</v>
      </c>
      <c r="Y476" s="1">
        <v>6</v>
      </c>
      <c r="AA476" s="1">
        <v>1</v>
      </c>
    </row>
    <row r="477" spans="1:27" ht="12.75" customHeight="1" x14ac:dyDescent="0.15">
      <c r="A477" s="5">
        <v>158</v>
      </c>
      <c r="B477" s="5" t="s">
        <v>238</v>
      </c>
      <c r="C477" s="1">
        <v>28</v>
      </c>
      <c r="D477" s="5" t="s">
        <v>981</v>
      </c>
      <c r="E477" s="1">
        <v>9</v>
      </c>
      <c r="F477" s="5" t="s">
        <v>981</v>
      </c>
      <c r="G477" s="1">
        <v>9</v>
      </c>
      <c r="H477" s="5" t="s">
        <v>981</v>
      </c>
      <c r="I477" s="1">
        <v>4</v>
      </c>
      <c r="J477" s="5" t="s">
        <v>982</v>
      </c>
      <c r="K477" s="1">
        <v>9</v>
      </c>
      <c r="L477" s="5" t="s">
        <v>981</v>
      </c>
      <c r="M477" s="1">
        <v>9</v>
      </c>
      <c r="N477" s="5" t="s">
        <v>981</v>
      </c>
      <c r="O477" s="1">
        <v>2</v>
      </c>
      <c r="P477" s="5" t="s">
        <v>982</v>
      </c>
      <c r="Q477" s="1">
        <v>1</v>
      </c>
      <c r="R477" s="1">
        <v>0</v>
      </c>
      <c r="S477" s="1">
        <v>1</v>
      </c>
      <c r="T477" s="1">
        <v>5</v>
      </c>
      <c r="U477" s="1">
        <v>5</v>
      </c>
      <c r="V477" s="1">
        <v>64</v>
      </c>
      <c r="W477" s="1">
        <v>1</v>
      </c>
      <c r="X477" s="1">
        <v>15</v>
      </c>
      <c r="Y477" s="1">
        <v>13</v>
      </c>
      <c r="Z477" s="1">
        <v>500000</v>
      </c>
      <c r="AA477" s="1">
        <v>3</v>
      </c>
    </row>
    <row r="478" spans="1:27" ht="12.75" customHeight="1" x14ac:dyDescent="0.15">
      <c r="A478" s="5">
        <v>369</v>
      </c>
      <c r="B478" s="5" t="s">
        <v>238</v>
      </c>
      <c r="C478" s="1">
        <v>29</v>
      </c>
      <c r="D478" s="5" t="s">
        <v>981</v>
      </c>
      <c r="E478" s="1">
        <v>9</v>
      </c>
      <c r="F478" s="5" t="s">
        <v>981</v>
      </c>
      <c r="G478" s="1">
        <v>9</v>
      </c>
      <c r="H478" s="5" t="s">
        <v>981</v>
      </c>
      <c r="I478" s="1">
        <v>4</v>
      </c>
      <c r="J478" s="5" t="s">
        <v>982</v>
      </c>
      <c r="K478" s="1">
        <v>9</v>
      </c>
      <c r="L478" s="5" t="s">
        <v>981</v>
      </c>
      <c r="M478" s="1">
        <v>6</v>
      </c>
      <c r="N478" s="5" t="s">
        <v>981</v>
      </c>
      <c r="O478" s="1">
        <v>14</v>
      </c>
      <c r="P478" s="5" t="s">
        <v>982</v>
      </c>
      <c r="Q478" s="1">
        <v>0</v>
      </c>
      <c r="R478" s="1">
        <v>0</v>
      </c>
      <c r="S478" s="1" t="s">
        <v>194</v>
      </c>
      <c r="T478" s="1" t="s">
        <v>194</v>
      </c>
      <c r="U478" s="1">
        <v>1</v>
      </c>
      <c r="V478" s="1">
        <v>51</v>
      </c>
      <c r="W478" s="1">
        <v>0</v>
      </c>
      <c r="X478" s="1">
        <v>10</v>
      </c>
      <c r="Y478" s="1">
        <v>2</v>
      </c>
      <c r="Z478" s="1">
        <v>0</v>
      </c>
      <c r="AA478" s="1">
        <v>4</v>
      </c>
    </row>
    <row r="479" spans="1:27" ht="12.75" customHeight="1" x14ac:dyDescent="0.15">
      <c r="A479" s="5">
        <v>152</v>
      </c>
      <c r="B479" s="5" t="s">
        <v>238</v>
      </c>
      <c r="C479" s="1">
        <v>30</v>
      </c>
      <c r="D479" s="5" t="s">
        <v>981</v>
      </c>
      <c r="E479" s="1">
        <v>9</v>
      </c>
      <c r="F479" s="5" t="s">
        <v>981</v>
      </c>
      <c r="G479" s="1">
        <v>9</v>
      </c>
      <c r="H479" s="5" t="s">
        <v>981</v>
      </c>
      <c r="I479" s="1">
        <v>4</v>
      </c>
      <c r="J479" s="5" t="s">
        <v>982</v>
      </c>
      <c r="K479" s="1">
        <v>9</v>
      </c>
      <c r="L479" s="5" t="s">
        <v>981</v>
      </c>
      <c r="M479" s="1">
        <v>9</v>
      </c>
      <c r="N479" s="5" t="s">
        <v>981</v>
      </c>
      <c r="O479" s="1">
        <v>0</v>
      </c>
      <c r="P479" s="5" t="s">
        <v>983</v>
      </c>
      <c r="Q479" s="1">
        <v>0</v>
      </c>
      <c r="R479" s="1">
        <v>0</v>
      </c>
      <c r="S479" s="1" t="s">
        <v>194</v>
      </c>
      <c r="T479" s="1">
        <v>2</v>
      </c>
      <c r="U479" s="1">
        <v>2</v>
      </c>
      <c r="V479" s="1">
        <v>44</v>
      </c>
      <c r="W479" s="1">
        <v>0</v>
      </c>
      <c r="X479" s="1">
        <v>14</v>
      </c>
      <c r="Y479" s="1">
        <v>34</v>
      </c>
      <c r="Z479" s="1">
        <v>600000</v>
      </c>
      <c r="AA479" s="1">
        <v>3</v>
      </c>
    </row>
    <row r="480" spans="1:27" ht="12.75" customHeight="1" x14ac:dyDescent="0.15">
      <c r="A480" s="5">
        <v>186</v>
      </c>
      <c r="B480" s="5" t="s">
        <v>238</v>
      </c>
      <c r="C480" s="1">
        <v>32</v>
      </c>
      <c r="D480" s="5" t="s">
        <v>981</v>
      </c>
      <c r="E480" s="1">
        <v>9</v>
      </c>
      <c r="F480" s="5" t="s">
        <v>981</v>
      </c>
      <c r="G480" s="1">
        <v>9</v>
      </c>
      <c r="H480" s="5" t="s">
        <v>981</v>
      </c>
      <c r="I480" s="1">
        <v>9</v>
      </c>
      <c r="J480" s="5" t="s">
        <v>981</v>
      </c>
      <c r="K480" s="1">
        <v>9</v>
      </c>
      <c r="L480" s="5" t="s">
        <v>981</v>
      </c>
      <c r="M480" s="1">
        <v>9</v>
      </c>
      <c r="N480" s="5" t="s">
        <v>981</v>
      </c>
      <c r="O480" s="1">
        <v>2</v>
      </c>
      <c r="P480" s="5" t="s">
        <v>982</v>
      </c>
      <c r="Q480" s="1">
        <v>0</v>
      </c>
      <c r="R480" s="1">
        <v>0</v>
      </c>
      <c r="S480" s="1" t="s">
        <v>194</v>
      </c>
      <c r="T480" s="1">
        <v>1</v>
      </c>
      <c r="U480" s="1">
        <v>1</v>
      </c>
      <c r="V480" s="1">
        <v>47</v>
      </c>
      <c r="W480" s="1">
        <v>0</v>
      </c>
      <c r="X480" s="1">
        <v>14</v>
      </c>
      <c r="Y480" s="1">
        <v>24</v>
      </c>
      <c r="Z480" s="1">
        <v>700000</v>
      </c>
      <c r="AA480" s="1">
        <v>6</v>
      </c>
    </row>
    <row r="481" spans="1:27" ht="12.75" customHeight="1" x14ac:dyDescent="0.15">
      <c r="A481" s="5">
        <v>32</v>
      </c>
      <c r="B481" s="5" t="s">
        <v>238</v>
      </c>
      <c r="C481" s="1">
        <v>35</v>
      </c>
      <c r="D481" s="5" t="s">
        <v>981</v>
      </c>
      <c r="E481" s="1">
        <v>9</v>
      </c>
      <c r="F481" s="5" t="s">
        <v>981</v>
      </c>
      <c r="G481" s="1">
        <v>9</v>
      </c>
      <c r="H481" s="5" t="s">
        <v>981</v>
      </c>
      <c r="I481" s="1">
        <v>4</v>
      </c>
      <c r="J481" s="5" t="s">
        <v>982</v>
      </c>
      <c r="K481" s="1">
        <v>9</v>
      </c>
      <c r="L481" s="5" t="s">
        <v>981</v>
      </c>
      <c r="M481" s="1">
        <v>9</v>
      </c>
      <c r="N481" s="5" t="s">
        <v>981</v>
      </c>
      <c r="O481" s="1">
        <v>7</v>
      </c>
      <c r="P481" s="5" t="s">
        <v>982</v>
      </c>
      <c r="Q481" s="1">
        <v>1</v>
      </c>
      <c r="R481" s="1">
        <v>0</v>
      </c>
      <c r="S481" s="1" t="s">
        <v>194</v>
      </c>
      <c r="T481" s="1">
        <v>2</v>
      </c>
      <c r="U481" s="1">
        <v>2</v>
      </c>
      <c r="V481" s="1">
        <v>48</v>
      </c>
      <c r="W481" s="1">
        <v>0</v>
      </c>
      <c r="X481" s="1">
        <v>14</v>
      </c>
      <c r="Y481" s="1">
        <v>2</v>
      </c>
      <c r="Z481" s="1">
        <v>900000</v>
      </c>
      <c r="AA481" s="1">
        <v>4</v>
      </c>
    </row>
    <row r="482" spans="1:27" ht="12.75" customHeight="1" x14ac:dyDescent="0.15">
      <c r="A482" s="5">
        <v>363</v>
      </c>
      <c r="B482" s="5" t="s">
        <v>238</v>
      </c>
      <c r="C482" s="1">
        <v>37</v>
      </c>
      <c r="D482" s="5" t="s">
        <v>981</v>
      </c>
      <c r="E482" s="1">
        <v>9</v>
      </c>
      <c r="F482" s="5" t="s">
        <v>981</v>
      </c>
      <c r="G482" s="1">
        <v>9</v>
      </c>
      <c r="H482" s="5" t="s">
        <v>981</v>
      </c>
      <c r="I482" s="1">
        <v>4</v>
      </c>
      <c r="J482" s="5" t="s">
        <v>982</v>
      </c>
      <c r="K482" s="1">
        <v>9</v>
      </c>
      <c r="L482" s="5" t="s">
        <v>981</v>
      </c>
      <c r="M482" s="1">
        <v>9</v>
      </c>
      <c r="N482" s="5" t="s">
        <v>981</v>
      </c>
      <c r="O482" s="1">
        <v>0</v>
      </c>
      <c r="P482" s="5" t="s">
        <v>983</v>
      </c>
      <c r="Q482" s="1">
        <v>0</v>
      </c>
      <c r="R482" s="1">
        <v>0</v>
      </c>
      <c r="S482" s="1" t="s">
        <v>194</v>
      </c>
      <c r="T482" s="1" t="s">
        <v>194</v>
      </c>
      <c r="U482" s="1">
        <v>3</v>
      </c>
      <c r="V482" s="1"/>
      <c r="W482" s="1">
        <v>0</v>
      </c>
      <c r="Y482" s="1">
        <v>25</v>
      </c>
      <c r="AA482" s="1">
        <v>3</v>
      </c>
    </row>
    <row r="483" spans="1:27" ht="12.75" customHeight="1" x14ac:dyDescent="0.15">
      <c r="A483" s="5">
        <v>91</v>
      </c>
      <c r="B483" s="5" t="s">
        <v>238</v>
      </c>
      <c r="C483" s="1">
        <v>21</v>
      </c>
      <c r="D483" s="5" t="s">
        <v>982</v>
      </c>
      <c r="E483" s="1">
        <v>10</v>
      </c>
      <c r="F483" s="5" t="s">
        <v>981</v>
      </c>
      <c r="G483" s="1">
        <v>10</v>
      </c>
      <c r="H483" s="5" t="s">
        <v>981</v>
      </c>
      <c r="I483" s="1">
        <v>5</v>
      </c>
      <c r="J483" s="5" t="s">
        <v>981</v>
      </c>
      <c r="K483" s="1">
        <v>9</v>
      </c>
      <c r="L483" s="5" t="s">
        <v>981</v>
      </c>
      <c r="M483" s="1">
        <v>9</v>
      </c>
      <c r="N483" s="5" t="s">
        <v>981</v>
      </c>
      <c r="O483" s="1">
        <v>1</v>
      </c>
      <c r="P483" s="5" t="s">
        <v>982</v>
      </c>
      <c r="Q483" s="1">
        <v>1</v>
      </c>
      <c r="R483" s="1">
        <v>0</v>
      </c>
      <c r="S483" s="1" t="s">
        <v>194</v>
      </c>
      <c r="T483" s="1">
        <v>4</v>
      </c>
      <c r="U483" s="1">
        <v>3</v>
      </c>
      <c r="V483" s="1">
        <v>29</v>
      </c>
      <c r="W483" s="1">
        <v>1</v>
      </c>
      <c r="X483" s="1">
        <v>14</v>
      </c>
      <c r="Y483" s="1">
        <v>11</v>
      </c>
      <c r="Z483" s="1">
        <v>0</v>
      </c>
      <c r="AA483" s="1">
        <v>2</v>
      </c>
    </row>
    <row r="484" spans="1:27" ht="12.75" customHeight="1" x14ac:dyDescent="0.15">
      <c r="A484" s="5">
        <v>328</v>
      </c>
      <c r="B484" s="5" t="s">
        <v>238</v>
      </c>
      <c r="C484" s="1">
        <v>17</v>
      </c>
      <c r="D484" s="5" t="s">
        <v>983</v>
      </c>
      <c r="E484" s="1">
        <v>0</v>
      </c>
      <c r="F484" s="5" t="s">
        <v>983</v>
      </c>
      <c r="G484" s="1">
        <v>4</v>
      </c>
      <c r="H484" s="5" t="s">
        <v>982</v>
      </c>
      <c r="I484" s="1">
        <v>4</v>
      </c>
      <c r="J484" s="5" t="s">
        <v>982</v>
      </c>
      <c r="K484" s="1">
        <v>10</v>
      </c>
      <c r="L484" s="5" t="s">
        <v>981</v>
      </c>
      <c r="M484" s="1">
        <v>9</v>
      </c>
      <c r="N484" s="5" t="s">
        <v>981</v>
      </c>
      <c r="O484" s="1">
        <v>0</v>
      </c>
      <c r="P484" s="5" t="s">
        <v>983</v>
      </c>
      <c r="Q484" s="1">
        <v>1</v>
      </c>
      <c r="R484" s="1">
        <v>0</v>
      </c>
      <c r="S484" s="1">
        <v>1</v>
      </c>
      <c r="T484" s="1">
        <v>2</v>
      </c>
      <c r="U484" s="1">
        <v>1</v>
      </c>
      <c r="V484" s="1">
        <v>38</v>
      </c>
      <c r="W484" s="1">
        <v>0</v>
      </c>
      <c r="X484" s="1">
        <v>14</v>
      </c>
      <c r="Y484" s="1">
        <v>2</v>
      </c>
      <c r="Z484" s="1">
        <v>0</v>
      </c>
      <c r="AA484" s="1">
        <v>7</v>
      </c>
    </row>
    <row r="485" spans="1:27" ht="12.75" customHeight="1" x14ac:dyDescent="0.15">
      <c r="A485" s="5">
        <v>176</v>
      </c>
      <c r="B485" s="5" t="s">
        <v>238</v>
      </c>
      <c r="C485" s="1">
        <v>35</v>
      </c>
      <c r="D485" s="5" t="s">
        <v>981</v>
      </c>
      <c r="E485" s="1">
        <v>6</v>
      </c>
      <c r="F485" s="5" t="s">
        <v>981</v>
      </c>
      <c r="G485" s="1">
        <v>5</v>
      </c>
      <c r="H485" s="5" t="s">
        <v>982</v>
      </c>
      <c r="I485" s="1">
        <v>2</v>
      </c>
      <c r="J485" s="5" t="s">
        <v>982</v>
      </c>
      <c r="K485" s="1">
        <v>10</v>
      </c>
      <c r="L485" s="5" t="s">
        <v>981</v>
      </c>
      <c r="M485" s="1">
        <v>6</v>
      </c>
      <c r="N485" s="5" t="s">
        <v>981</v>
      </c>
      <c r="O485" s="1">
        <v>2</v>
      </c>
      <c r="P485" s="5" t="s">
        <v>982</v>
      </c>
      <c r="Q485" s="1">
        <v>1</v>
      </c>
      <c r="R485" s="1">
        <v>0</v>
      </c>
      <c r="S485" s="1" t="s">
        <v>194</v>
      </c>
      <c r="T485" s="1">
        <v>3</v>
      </c>
      <c r="U485" s="1">
        <v>5</v>
      </c>
      <c r="V485" s="1">
        <v>53</v>
      </c>
      <c r="W485" s="1">
        <v>1</v>
      </c>
      <c r="X485" s="1">
        <v>14</v>
      </c>
      <c r="Y485" s="1">
        <v>3</v>
      </c>
      <c r="Z485" s="1">
        <v>1100000</v>
      </c>
      <c r="AA485" s="1">
        <v>2</v>
      </c>
    </row>
    <row r="486" spans="1:27" ht="12.75" customHeight="1" x14ac:dyDescent="0.15">
      <c r="A486" s="5">
        <v>244</v>
      </c>
      <c r="B486" s="5" t="s">
        <v>238</v>
      </c>
      <c r="C486" s="1">
        <v>22</v>
      </c>
      <c r="D486" s="5" t="s">
        <v>982</v>
      </c>
      <c r="E486" s="1">
        <v>5</v>
      </c>
      <c r="F486" s="5" t="s">
        <v>981</v>
      </c>
      <c r="G486" s="1">
        <v>6</v>
      </c>
      <c r="H486" s="5" t="s">
        <v>981</v>
      </c>
      <c r="I486" s="1">
        <v>2</v>
      </c>
      <c r="J486" s="5" t="s">
        <v>982</v>
      </c>
      <c r="K486" s="1">
        <v>10</v>
      </c>
      <c r="L486" s="5" t="s">
        <v>981</v>
      </c>
      <c r="M486" s="1">
        <v>9</v>
      </c>
      <c r="N486" s="5" t="s">
        <v>981</v>
      </c>
      <c r="O486" s="1">
        <v>0</v>
      </c>
      <c r="P486" s="5" t="s">
        <v>983</v>
      </c>
      <c r="Q486" s="1">
        <v>1</v>
      </c>
      <c r="R486" s="1">
        <v>0</v>
      </c>
      <c r="S486" s="1">
        <v>1</v>
      </c>
      <c r="T486" s="1" t="s">
        <v>194</v>
      </c>
      <c r="U486" s="1">
        <v>2</v>
      </c>
      <c r="V486" s="1"/>
      <c r="W486" s="1">
        <v>0</v>
      </c>
      <c r="Y486" s="1">
        <v>7</v>
      </c>
      <c r="AA486" s="1">
        <v>5</v>
      </c>
    </row>
    <row r="487" spans="1:27" ht="12.75" customHeight="1" x14ac:dyDescent="0.15">
      <c r="A487" s="5">
        <v>159</v>
      </c>
      <c r="B487" s="5" t="s">
        <v>238</v>
      </c>
      <c r="C487" s="1">
        <v>36</v>
      </c>
      <c r="D487" s="5" t="s">
        <v>981</v>
      </c>
      <c r="E487" s="1">
        <v>6</v>
      </c>
      <c r="F487" s="5" t="s">
        <v>981</v>
      </c>
      <c r="G487" s="1">
        <v>6</v>
      </c>
      <c r="H487" s="5" t="s">
        <v>981</v>
      </c>
      <c r="I487" s="1">
        <v>2</v>
      </c>
      <c r="J487" s="5" t="s">
        <v>982</v>
      </c>
      <c r="K487" s="1">
        <v>10</v>
      </c>
      <c r="L487" s="5" t="s">
        <v>981</v>
      </c>
      <c r="M487" s="1">
        <v>10</v>
      </c>
      <c r="N487" s="5" t="s">
        <v>981</v>
      </c>
      <c r="O487" s="1">
        <v>1</v>
      </c>
      <c r="P487" s="5" t="s">
        <v>982</v>
      </c>
      <c r="Q487" s="1">
        <v>1</v>
      </c>
      <c r="R487" s="1">
        <v>0</v>
      </c>
      <c r="S487" s="1">
        <v>1</v>
      </c>
      <c r="T487" s="1">
        <v>3</v>
      </c>
      <c r="U487" s="1">
        <v>3</v>
      </c>
      <c r="V487" s="1">
        <v>64</v>
      </c>
      <c r="W487" s="1">
        <v>1</v>
      </c>
      <c r="X487" s="1">
        <v>15</v>
      </c>
      <c r="Y487" s="1">
        <v>13</v>
      </c>
      <c r="Z487" s="1">
        <v>500000</v>
      </c>
      <c r="AA487" s="1">
        <v>3</v>
      </c>
    </row>
    <row r="488" spans="1:27" ht="12.75" customHeight="1" x14ac:dyDescent="0.15">
      <c r="A488" s="5">
        <v>324</v>
      </c>
      <c r="B488" s="5" t="s">
        <v>238</v>
      </c>
      <c r="C488" s="1">
        <v>26</v>
      </c>
      <c r="D488" s="5" t="s">
        <v>981</v>
      </c>
      <c r="E488" s="1">
        <v>9</v>
      </c>
      <c r="F488" s="5" t="s">
        <v>981</v>
      </c>
      <c r="G488" s="1">
        <v>6</v>
      </c>
      <c r="H488" s="5" t="s">
        <v>981</v>
      </c>
      <c r="I488" s="1">
        <v>8</v>
      </c>
      <c r="J488" s="5" t="s">
        <v>981</v>
      </c>
      <c r="K488" s="1">
        <v>10</v>
      </c>
      <c r="L488" s="5" t="s">
        <v>981</v>
      </c>
      <c r="M488" s="1">
        <v>12</v>
      </c>
      <c r="N488" s="5" t="s">
        <v>981</v>
      </c>
      <c r="O488" s="1">
        <v>8</v>
      </c>
      <c r="P488" s="5" t="s">
        <v>982</v>
      </c>
      <c r="Q488" s="1">
        <v>1</v>
      </c>
      <c r="R488" s="1">
        <v>0</v>
      </c>
      <c r="S488" s="1">
        <v>1</v>
      </c>
      <c r="T488" s="1">
        <v>2</v>
      </c>
      <c r="U488" s="1">
        <v>2</v>
      </c>
      <c r="V488" s="1"/>
      <c r="W488" s="1">
        <v>1</v>
      </c>
      <c r="Y488" s="1">
        <v>7</v>
      </c>
      <c r="AA488" s="1">
        <v>1</v>
      </c>
    </row>
    <row r="489" spans="1:27" ht="12.75" customHeight="1" x14ac:dyDescent="0.15">
      <c r="A489" s="5">
        <v>184</v>
      </c>
      <c r="B489" s="5" t="s">
        <v>238</v>
      </c>
      <c r="C489" s="1">
        <v>14</v>
      </c>
      <c r="D489" s="5" t="s">
        <v>983</v>
      </c>
      <c r="E489" s="1">
        <v>1</v>
      </c>
      <c r="F489" s="5" t="s">
        <v>983</v>
      </c>
      <c r="G489" s="1">
        <v>7</v>
      </c>
      <c r="H489" s="5" t="s">
        <v>981</v>
      </c>
      <c r="I489" s="1">
        <v>0</v>
      </c>
      <c r="J489" s="5" t="s">
        <v>983</v>
      </c>
      <c r="K489" s="1">
        <v>10</v>
      </c>
      <c r="L489" s="5" t="s">
        <v>981</v>
      </c>
      <c r="M489" s="1">
        <v>1</v>
      </c>
      <c r="N489" s="5" t="s">
        <v>983</v>
      </c>
      <c r="O489" s="1">
        <v>1</v>
      </c>
      <c r="P489" s="5" t="s">
        <v>982</v>
      </c>
      <c r="Q489" s="1">
        <v>0</v>
      </c>
      <c r="R489" s="1">
        <v>0</v>
      </c>
      <c r="S489" s="1" t="s">
        <v>194</v>
      </c>
      <c r="T489" s="1">
        <v>5</v>
      </c>
      <c r="U489" s="1">
        <v>5</v>
      </c>
      <c r="V489" s="1">
        <v>33</v>
      </c>
      <c r="W489" s="1">
        <v>0</v>
      </c>
      <c r="X489" s="1">
        <v>14</v>
      </c>
      <c r="Y489" s="1">
        <v>1</v>
      </c>
      <c r="Z489" s="1">
        <v>80000</v>
      </c>
      <c r="AA489" s="1">
        <v>4</v>
      </c>
    </row>
    <row r="490" spans="1:27" ht="12.75" customHeight="1" x14ac:dyDescent="0.15">
      <c r="A490" s="5">
        <v>211</v>
      </c>
      <c r="B490" s="5" t="s">
        <v>238</v>
      </c>
      <c r="C490" s="1">
        <v>21</v>
      </c>
      <c r="D490" s="5" t="s">
        <v>982</v>
      </c>
      <c r="E490" s="1">
        <v>7</v>
      </c>
      <c r="F490" s="5" t="s">
        <v>981</v>
      </c>
      <c r="G490" s="1">
        <v>7</v>
      </c>
      <c r="H490" s="5" t="s">
        <v>981</v>
      </c>
      <c r="I490" s="1">
        <v>3</v>
      </c>
      <c r="J490" s="5" t="s">
        <v>982</v>
      </c>
      <c r="K490" s="1">
        <v>10</v>
      </c>
      <c r="L490" s="5" t="s">
        <v>981</v>
      </c>
      <c r="M490" s="1">
        <v>6</v>
      </c>
      <c r="N490" s="5" t="s">
        <v>981</v>
      </c>
      <c r="O490" s="1">
        <v>0</v>
      </c>
      <c r="P490" s="5" t="s">
        <v>983</v>
      </c>
      <c r="Q490" s="1">
        <v>0</v>
      </c>
      <c r="R490" s="1">
        <v>0</v>
      </c>
      <c r="S490" s="1">
        <v>1</v>
      </c>
      <c r="T490" s="1">
        <v>3</v>
      </c>
      <c r="U490" s="1">
        <v>3</v>
      </c>
      <c r="V490" s="1">
        <v>38</v>
      </c>
      <c r="W490" s="1">
        <v>0</v>
      </c>
      <c r="X490" s="1">
        <v>14</v>
      </c>
      <c r="Y490" s="1">
        <v>24</v>
      </c>
      <c r="Z490" s="1">
        <v>480000</v>
      </c>
      <c r="AA490" s="1">
        <v>4</v>
      </c>
    </row>
    <row r="491" spans="1:27" ht="12.75" customHeight="1" x14ac:dyDescent="0.15">
      <c r="A491" s="5">
        <v>78</v>
      </c>
      <c r="B491" s="5" t="s">
        <v>238</v>
      </c>
      <c r="C491" s="1">
        <v>17</v>
      </c>
      <c r="D491" s="5" t="s">
        <v>983</v>
      </c>
      <c r="E491" s="1">
        <v>10</v>
      </c>
      <c r="F491" s="5" t="s">
        <v>981</v>
      </c>
      <c r="G491" s="1">
        <v>9</v>
      </c>
      <c r="H491" s="5" t="s">
        <v>981</v>
      </c>
      <c r="I491" s="1">
        <v>3</v>
      </c>
      <c r="J491" s="5" t="s">
        <v>982</v>
      </c>
      <c r="K491" s="1">
        <v>10</v>
      </c>
      <c r="L491" s="5" t="s">
        <v>981</v>
      </c>
      <c r="M491" s="1">
        <v>9</v>
      </c>
      <c r="N491" s="5" t="s">
        <v>981</v>
      </c>
      <c r="O491" s="1">
        <v>0</v>
      </c>
      <c r="P491" s="5" t="s">
        <v>983</v>
      </c>
      <c r="Q491" s="1">
        <v>1</v>
      </c>
      <c r="R491" s="1">
        <v>0</v>
      </c>
      <c r="S491" s="1">
        <v>1</v>
      </c>
      <c r="T491" s="1">
        <v>2</v>
      </c>
      <c r="U491" s="1">
        <v>2</v>
      </c>
      <c r="V491" s="1">
        <v>57</v>
      </c>
      <c r="W491" s="1">
        <v>0</v>
      </c>
      <c r="X491" s="1">
        <v>14</v>
      </c>
      <c r="Y491" s="1">
        <v>5</v>
      </c>
      <c r="Z491" s="1">
        <v>650000</v>
      </c>
      <c r="AA491" s="1">
        <v>1</v>
      </c>
    </row>
    <row r="492" spans="1:27" ht="12.75" customHeight="1" x14ac:dyDescent="0.15">
      <c r="A492" s="5">
        <v>2</v>
      </c>
      <c r="B492" s="5" t="s">
        <v>238</v>
      </c>
      <c r="C492" s="1">
        <v>27</v>
      </c>
      <c r="D492" s="5" t="s">
        <v>981</v>
      </c>
      <c r="E492" s="1">
        <v>9</v>
      </c>
      <c r="F492" s="5" t="s">
        <v>981</v>
      </c>
      <c r="G492" s="1">
        <v>10</v>
      </c>
      <c r="H492" s="5" t="s">
        <v>981</v>
      </c>
      <c r="I492" s="1">
        <v>0</v>
      </c>
      <c r="J492" s="5" t="s">
        <v>983</v>
      </c>
      <c r="K492" s="1">
        <v>10</v>
      </c>
      <c r="L492" s="5" t="s">
        <v>981</v>
      </c>
      <c r="M492" s="1">
        <v>11</v>
      </c>
      <c r="N492" s="5" t="s">
        <v>981</v>
      </c>
      <c r="O492" s="1">
        <v>3</v>
      </c>
      <c r="P492" s="5" t="s">
        <v>982</v>
      </c>
      <c r="Q492" s="1">
        <v>0</v>
      </c>
      <c r="R492" s="1">
        <v>0</v>
      </c>
      <c r="S492" s="1" t="s">
        <v>194</v>
      </c>
      <c r="T492" s="1">
        <v>5</v>
      </c>
      <c r="U492" s="1">
        <v>5</v>
      </c>
      <c r="V492" s="1">
        <v>60</v>
      </c>
      <c r="W492" s="1">
        <v>0</v>
      </c>
      <c r="X492" s="1">
        <v>16</v>
      </c>
      <c r="Y492" s="1">
        <v>18</v>
      </c>
      <c r="Z492" s="1">
        <v>1800000</v>
      </c>
      <c r="AA492" s="1">
        <v>2</v>
      </c>
    </row>
    <row r="493" spans="1:27" ht="12.75" customHeight="1" x14ac:dyDescent="0.15">
      <c r="A493" s="5">
        <v>43</v>
      </c>
      <c r="B493" s="5" t="s">
        <v>238</v>
      </c>
      <c r="C493" s="1">
        <v>34</v>
      </c>
      <c r="D493" s="5" t="s">
        <v>981</v>
      </c>
      <c r="E493" s="1">
        <v>9</v>
      </c>
      <c r="F493" s="5" t="s">
        <v>981</v>
      </c>
      <c r="G493" s="1">
        <v>12</v>
      </c>
      <c r="H493" s="5" t="s">
        <v>981</v>
      </c>
      <c r="I493" s="1">
        <v>16</v>
      </c>
      <c r="J493" s="5" t="s">
        <v>981</v>
      </c>
      <c r="K493" s="1">
        <v>10</v>
      </c>
      <c r="L493" s="5" t="s">
        <v>981</v>
      </c>
      <c r="M493" s="1">
        <v>12</v>
      </c>
      <c r="N493" s="5" t="s">
        <v>981</v>
      </c>
      <c r="O493" s="1">
        <v>10</v>
      </c>
      <c r="P493" s="5" t="s">
        <v>982</v>
      </c>
      <c r="Q493" s="1">
        <v>0</v>
      </c>
      <c r="R493" s="1">
        <v>0</v>
      </c>
      <c r="S493" s="1" t="s">
        <v>194</v>
      </c>
      <c r="T493" s="1">
        <v>4</v>
      </c>
      <c r="U493" s="1">
        <v>2</v>
      </c>
      <c r="V493" s="1">
        <v>68</v>
      </c>
      <c r="W493" s="1">
        <v>0</v>
      </c>
      <c r="X493" s="1">
        <v>12</v>
      </c>
      <c r="Y493" s="1">
        <v>5</v>
      </c>
      <c r="Z493" s="1">
        <v>400000</v>
      </c>
      <c r="AA493" s="1">
        <v>1</v>
      </c>
    </row>
    <row r="494" spans="1:27" ht="12.75" customHeight="1" x14ac:dyDescent="0.15">
      <c r="A494" s="5">
        <v>57</v>
      </c>
      <c r="B494" s="5" t="s">
        <v>238</v>
      </c>
      <c r="C494" s="1">
        <v>24</v>
      </c>
      <c r="D494" s="5" t="s">
        <v>981</v>
      </c>
      <c r="E494" s="1">
        <v>6</v>
      </c>
      <c r="F494" s="5" t="s">
        <v>981</v>
      </c>
      <c r="G494" s="1">
        <v>11</v>
      </c>
      <c r="H494" s="5" t="s">
        <v>981</v>
      </c>
      <c r="I494" s="1">
        <v>4</v>
      </c>
      <c r="J494" s="5" t="s">
        <v>982</v>
      </c>
      <c r="K494" s="1">
        <v>11</v>
      </c>
      <c r="L494" s="5" t="s">
        <v>981</v>
      </c>
      <c r="M494" s="1">
        <v>6</v>
      </c>
      <c r="N494" s="5" t="s">
        <v>981</v>
      </c>
      <c r="O494" s="1">
        <v>4</v>
      </c>
      <c r="P494" s="5" t="s">
        <v>982</v>
      </c>
      <c r="Q494" s="1">
        <v>1</v>
      </c>
      <c r="R494" s="1">
        <v>0</v>
      </c>
      <c r="S494" s="1">
        <v>1</v>
      </c>
      <c r="T494" s="1">
        <v>5</v>
      </c>
      <c r="U494" s="1">
        <v>5</v>
      </c>
      <c r="V494" s="1">
        <v>37</v>
      </c>
      <c r="W494" s="1">
        <v>1</v>
      </c>
      <c r="X494" s="1">
        <v>16</v>
      </c>
      <c r="Y494" s="1">
        <v>11</v>
      </c>
      <c r="Z494" s="1">
        <v>0</v>
      </c>
      <c r="AA494" s="1">
        <v>1</v>
      </c>
    </row>
    <row r="495" spans="1:27" ht="12.75" customHeight="1" x14ac:dyDescent="0.15">
      <c r="A495" s="5">
        <v>491</v>
      </c>
      <c r="B495" s="5" t="s">
        <v>238</v>
      </c>
      <c r="C495" s="1">
        <v>18</v>
      </c>
      <c r="D495" s="5" t="s">
        <v>983</v>
      </c>
      <c r="E495" s="1">
        <v>12</v>
      </c>
      <c r="F495" s="5" t="s">
        <v>981</v>
      </c>
      <c r="G495" s="1">
        <v>11</v>
      </c>
      <c r="H495" s="5" t="s">
        <v>981</v>
      </c>
      <c r="I495" s="1">
        <v>1</v>
      </c>
      <c r="J495" s="5" t="s">
        <v>982</v>
      </c>
      <c r="K495" s="1">
        <v>11</v>
      </c>
      <c r="L495" s="5" t="s">
        <v>981</v>
      </c>
      <c r="M495" s="1">
        <v>11</v>
      </c>
      <c r="N495" s="5" t="s">
        <v>981</v>
      </c>
      <c r="O495" s="1">
        <v>7</v>
      </c>
      <c r="P495" s="5" t="s">
        <v>982</v>
      </c>
      <c r="Q495" s="1">
        <v>1</v>
      </c>
      <c r="R495" s="1">
        <v>0</v>
      </c>
      <c r="S495" s="1">
        <v>1</v>
      </c>
      <c r="T495" s="1" t="s">
        <v>194</v>
      </c>
      <c r="U495" s="1" t="s">
        <v>194</v>
      </c>
      <c r="V495" s="1">
        <v>49</v>
      </c>
      <c r="W495" s="1">
        <v>0</v>
      </c>
      <c r="X495" s="1">
        <v>14</v>
      </c>
      <c r="Y495" s="1">
        <v>1</v>
      </c>
      <c r="Z495" s="1">
        <v>500000</v>
      </c>
      <c r="AA495" s="1">
        <v>3</v>
      </c>
    </row>
    <row r="496" spans="1:27" ht="12.75" customHeight="1" x14ac:dyDescent="0.15">
      <c r="A496" s="5">
        <v>163</v>
      </c>
      <c r="B496" s="5" t="s">
        <v>238</v>
      </c>
      <c r="C496" s="1">
        <v>12</v>
      </c>
      <c r="D496" s="5" t="s">
        <v>983</v>
      </c>
      <c r="E496" s="1">
        <v>0</v>
      </c>
      <c r="F496" s="5" t="s">
        <v>983</v>
      </c>
      <c r="G496" s="1">
        <v>0</v>
      </c>
      <c r="H496" s="5" t="s">
        <v>983</v>
      </c>
      <c r="I496" s="1">
        <v>4</v>
      </c>
      <c r="J496" s="5" t="s">
        <v>982</v>
      </c>
      <c r="K496" s="1">
        <v>12</v>
      </c>
      <c r="L496" s="5" t="s">
        <v>981</v>
      </c>
      <c r="M496" s="1">
        <v>3</v>
      </c>
      <c r="N496" s="5" t="s">
        <v>982</v>
      </c>
      <c r="O496" s="1">
        <v>0</v>
      </c>
      <c r="P496" s="5" t="s">
        <v>983</v>
      </c>
      <c r="Q496" s="1">
        <v>1</v>
      </c>
      <c r="R496" s="1">
        <v>0</v>
      </c>
      <c r="S496" s="1">
        <v>1</v>
      </c>
      <c r="T496" s="1" t="s">
        <v>194</v>
      </c>
      <c r="U496" s="1">
        <v>1</v>
      </c>
      <c r="V496" s="1">
        <v>48</v>
      </c>
      <c r="W496" s="1">
        <v>0</v>
      </c>
      <c r="X496" s="1">
        <v>14</v>
      </c>
      <c r="Y496" s="1">
        <v>24</v>
      </c>
      <c r="Z496" s="1">
        <v>450000</v>
      </c>
      <c r="AA496" s="1">
        <v>4</v>
      </c>
    </row>
    <row r="497" spans="1:27" ht="12.75" customHeight="1" x14ac:dyDescent="0.15">
      <c r="A497" s="5">
        <v>6</v>
      </c>
      <c r="B497" s="5" t="s">
        <v>238</v>
      </c>
      <c r="C497" s="1">
        <v>26</v>
      </c>
      <c r="D497" s="5" t="s">
        <v>981</v>
      </c>
      <c r="E497" s="1">
        <v>3</v>
      </c>
      <c r="F497" s="5" t="s">
        <v>982</v>
      </c>
      <c r="G497" s="1">
        <v>0</v>
      </c>
      <c r="H497" s="5" t="s">
        <v>983</v>
      </c>
      <c r="I497" s="1">
        <v>0</v>
      </c>
      <c r="J497" s="5" t="s">
        <v>983</v>
      </c>
      <c r="K497" s="1">
        <v>12</v>
      </c>
      <c r="L497" s="5" t="s">
        <v>981</v>
      </c>
      <c r="M497" s="1">
        <v>1</v>
      </c>
      <c r="N497" s="5" t="s">
        <v>983</v>
      </c>
      <c r="O497" s="1">
        <v>0</v>
      </c>
      <c r="P497" s="5" t="s">
        <v>983</v>
      </c>
      <c r="Q497" s="1">
        <v>1</v>
      </c>
      <c r="R497" s="1">
        <v>0</v>
      </c>
      <c r="S497" s="1">
        <v>1</v>
      </c>
      <c r="T497" s="1" t="s">
        <v>194</v>
      </c>
      <c r="U497" s="1">
        <v>3</v>
      </c>
      <c r="V497" s="1">
        <v>56</v>
      </c>
      <c r="W497" s="1">
        <v>1</v>
      </c>
      <c r="X497" s="1">
        <v>14</v>
      </c>
      <c r="Y497" s="1">
        <v>28</v>
      </c>
      <c r="Z497" s="1">
        <v>150000</v>
      </c>
      <c r="AA497" s="1">
        <v>2</v>
      </c>
    </row>
    <row r="498" spans="1:27" ht="12.75" customHeight="1" x14ac:dyDescent="0.15">
      <c r="A498" s="5">
        <v>19</v>
      </c>
      <c r="B498" s="5" t="s">
        <v>238</v>
      </c>
      <c r="C498" s="1">
        <v>37</v>
      </c>
      <c r="D498" s="5" t="s">
        <v>981</v>
      </c>
      <c r="E498" s="1">
        <v>8</v>
      </c>
      <c r="F498" s="5" t="s">
        <v>981</v>
      </c>
      <c r="G498" s="1">
        <v>2</v>
      </c>
      <c r="H498" s="5" t="s">
        <v>982</v>
      </c>
      <c r="I498" s="1">
        <v>8</v>
      </c>
      <c r="J498" s="5" t="s">
        <v>981</v>
      </c>
      <c r="K498" s="1">
        <v>12</v>
      </c>
      <c r="L498" s="5" t="s">
        <v>981</v>
      </c>
      <c r="M498" s="1">
        <v>12</v>
      </c>
      <c r="N498" s="5" t="s">
        <v>981</v>
      </c>
      <c r="O498" s="1">
        <v>0</v>
      </c>
      <c r="P498" s="5" t="s">
        <v>983</v>
      </c>
      <c r="Q498" s="1">
        <v>0</v>
      </c>
      <c r="R498" s="1">
        <v>0</v>
      </c>
      <c r="S498" s="1" t="s">
        <v>194</v>
      </c>
      <c r="T498" s="1">
        <v>5</v>
      </c>
      <c r="U498" s="1">
        <v>2</v>
      </c>
      <c r="V498" s="1">
        <v>66</v>
      </c>
      <c r="W498" s="1">
        <v>0</v>
      </c>
      <c r="X498" s="1">
        <v>10</v>
      </c>
      <c r="Y498" s="1">
        <v>3</v>
      </c>
      <c r="Z498" s="1">
        <v>800000</v>
      </c>
      <c r="AA498" s="1">
        <v>2</v>
      </c>
    </row>
    <row r="499" spans="1:27" ht="12.75" customHeight="1" x14ac:dyDescent="0.15">
      <c r="A499" s="5">
        <v>452</v>
      </c>
      <c r="B499" s="5" t="s">
        <v>238</v>
      </c>
      <c r="C499" s="1">
        <v>29</v>
      </c>
      <c r="D499" s="5" t="s">
        <v>981</v>
      </c>
      <c r="E499" s="1">
        <v>5</v>
      </c>
      <c r="F499" s="5" t="s">
        <v>981</v>
      </c>
      <c r="G499" s="1">
        <v>3</v>
      </c>
      <c r="H499" s="5" t="s">
        <v>982</v>
      </c>
      <c r="I499" s="1">
        <v>12</v>
      </c>
      <c r="J499" s="5" t="s">
        <v>981</v>
      </c>
      <c r="K499" s="1">
        <v>12</v>
      </c>
      <c r="L499" s="5" t="s">
        <v>981</v>
      </c>
      <c r="M499" s="1">
        <v>3</v>
      </c>
      <c r="N499" s="5" t="s">
        <v>982</v>
      </c>
      <c r="O499" s="1">
        <v>1</v>
      </c>
      <c r="P499" s="5" t="s">
        <v>982</v>
      </c>
      <c r="Q499" s="1">
        <v>0</v>
      </c>
      <c r="R499" s="1">
        <v>0</v>
      </c>
      <c r="S499" s="1" t="s">
        <v>194</v>
      </c>
      <c r="T499" s="1" t="s">
        <v>194</v>
      </c>
      <c r="U499" s="1">
        <v>3</v>
      </c>
      <c r="V499" s="1">
        <v>48</v>
      </c>
      <c r="W499" s="1">
        <v>1</v>
      </c>
      <c r="X499" s="1">
        <v>6</v>
      </c>
      <c r="Y499" s="1">
        <v>25</v>
      </c>
      <c r="Z499" s="1">
        <v>3000000</v>
      </c>
      <c r="AA499" s="1">
        <v>2</v>
      </c>
    </row>
    <row r="500" spans="1:27" ht="12.75" customHeight="1" x14ac:dyDescent="0.15">
      <c r="A500" s="5">
        <v>125</v>
      </c>
      <c r="B500" s="5" t="s">
        <v>238</v>
      </c>
      <c r="C500" s="1">
        <v>31</v>
      </c>
      <c r="D500" s="5" t="s">
        <v>981</v>
      </c>
      <c r="E500" s="1">
        <v>6</v>
      </c>
      <c r="F500" s="5" t="s">
        <v>981</v>
      </c>
      <c r="G500" s="1">
        <v>4</v>
      </c>
      <c r="H500" s="5" t="s">
        <v>982</v>
      </c>
      <c r="I500" s="1">
        <v>7</v>
      </c>
      <c r="J500" s="5" t="s">
        <v>981</v>
      </c>
      <c r="K500" s="1">
        <v>12</v>
      </c>
      <c r="L500" s="5" t="s">
        <v>981</v>
      </c>
      <c r="M500" s="1">
        <v>10</v>
      </c>
      <c r="N500" s="5" t="s">
        <v>981</v>
      </c>
      <c r="O500" s="1">
        <v>1</v>
      </c>
      <c r="P500" s="5" t="s">
        <v>982</v>
      </c>
      <c r="Q500" s="1">
        <v>0</v>
      </c>
      <c r="R500" s="1">
        <v>0</v>
      </c>
      <c r="S500" s="1">
        <v>0</v>
      </c>
      <c r="T500" s="1">
        <v>5</v>
      </c>
      <c r="U500" s="1">
        <v>5</v>
      </c>
      <c r="V500" s="1">
        <v>49</v>
      </c>
      <c r="W500" s="1">
        <v>0</v>
      </c>
      <c r="X500" s="1">
        <v>17</v>
      </c>
      <c r="Y500" s="1">
        <v>34</v>
      </c>
      <c r="Z500" s="1">
        <v>800000</v>
      </c>
      <c r="AA500" s="1">
        <v>4</v>
      </c>
    </row>
    <row r="501" spans="1:27" ht="12.75" customHeight="1" x14ac:dyDescent="0.15">
      <c r="A501" s="5">
        <v>496</v>
      </c>
      <c r="B501" s="5" t="s">
        <v>238</v>
      </c>
      <c r="C501" s="1">
        <v>26</v>
      </c>
      <c r="D501" s="5" t="s">
        <v>981</v>
      </c>
      <c r="E501" s="1">
        <v>9</v>
      </c>
      <c r="F501" s="5" t="s">
        <v>981</v>
      </c>
      <c r="G501" s="1">
        <v>8</v>
      </c>
      <c r="H501" s="5" t="s">
        <v>981</v>
      </c>
      <c r="I501" s="1">
        <v>12</v>
      </c>
      <c r="J501" s="5" t="s">
        <v>981</v>
      </c>
      <c r="K501" s="1">
        <v>12</v>
      </c>
      <c r="L501" s="5" t="s">
        <v>981</v>
      </c>
      <c r="M501" s="1">
        <v>9</v>
      </c>
      <c r="N501" s="5" t="s">
        <v>981</v>
      </c>
      <c r="O501" s="1">
        <v>2</v>
      </c>
      <c r="P501" s="5" t="s">
        <v>982</v>
      </c>
      <c r="Q501" s="1">
        <v>1</v>
      </c>
      <c r="R501" s="1">
        <v>0</v>
      </c>
      <c r="S501" s="1">
        <v>1</v>
      </c>
      <c r="T501" s="1">
        <v>5</v>
      </c>
      <c r="U501" s="1">
        <v>4</v>
      </c>
      <c r="V501" s="1"/>
      <c r="W501" s="1">
        <v>1</v>
      </c>
      <c r="Y501" s="1">
        <v>1</v>
      </c>
      <c r="AA501" s="1">
        <v>2</v>
      </c>
    </row>
    <row r="502" spans="1:27" ht="12.75" customHeight="1" x14ac:dyDescent="0.15">
      <c r="A502" s="5">
        <v>418</v>
      </c>
      <c r="B502" s="5" t="s">
        <v>238</v>
      </c>
      <c r="C502" s="1">
        <v>34</v>
      </c>
      <c r="D502" s="5" t="s">
        <v>981</v>
      </c>
      <c r="E502" s="1">
        <v>0</v>
      </c>
      <c r="F502" s="5" t="s">
        <v>983</v>
      </c>
      <c r="G502" s="1">
        <v>12</v>
      </c>
      <c r="H502" s="5" t="s">
        <v>981</v>
      </c>
      <c r="I502" s="1">
        <v>16</v>
      </c>
      <c r="J502" s="5" t="s">
        <v>981</v>
      </c>
      <c r="K502" s="1">
        <v>12</v>
      </c>
      <c r="L502" s="5" t="s">
        <v>981</v>
      </c>
      <c r="M502" s="1">
        <v>8</v>
      </c>
      <c r="N502" s="5" t="s">
        <v>981</v>
      </c>
      <c r="O502" s="1">
        <v>1</v>
      </c>
      <c r="P502" s="5" t="s">
        <v>982</v>
      </c>
      <c r="Q502" s="1">
        <v>1</v>
      </c>
      <c r="R502" s="1">
        <v>0</v>
      </c>
      <c r="S502" s="1" t="s">
        <v>194</v>
      </c>
      <c r="T502" s="1" t="s">
        <v>194</v>
      </c>
      <c r="U502" s="1">
        <v>5</v>
      </c>
      <c r="V502" s="1">
        <v>59</v>
      </c>
      <c r="W502" s="1">
        <v>1</v>
      </c>
      <c r="X502" s="1">
        <v>10</v>
      </c>
      <c r="Y502" s="1">
        <v>24</v>
      </c>
      <c r="Z502" s="1">
        <v>1000000</v>
      </c>
      <c r="AA502" s="1">
        <v>1</v>
      </c>
    </row>
    <row r="503" spans="1:27" ht="12.75" customHeight="1" x14ac:dyDescent="0.15">
      <c r="A503" s="5">
        <v>451</v>
      </c>
      <c r="B503" s="5" t="s">
        <v>238</v>
      </c>
      <c r="C503" s="1">
        <v>22</v>
      </c>
      <c r="D503" s="5" t="s">
        <v>982</v>
      </c>
      <c r="E503" s="1">
        <v>12</v>
      </c>
      <c r="F503" s="5" t="s">
        <v>981</v>
      </c>
      <c r="G503" s="1">
        <v>12</v>
      </c>
      <c r="H503" s="5" t="s">
        <v>981</v>
      </c>
      <c r="I503" s="1">
        <v>0</v>
      </c>
      <c r="J503" s="5" t="s">
        <v>983</v>
      </c>
      <c r="K503" s="1">
        <v>12</v>
      </c>
      <c r="L503" s="5" t="s">
        <v>981</v>
      </c>
      <c r="M503" s="1">
        <v>12</v>
      </c>
      <c r="N503" s="5" t="s">
        <v>981</v>
      </c>
      <c r="O503" s="1">
        <v>0</v>
      </c>
      <c r="P503" s="5" t="s">
        <v>983</v>
      </c>
      <c r="Q503" s="1">
        <v>0</v>
      </c>
      <c r="R503" s="1">
        <v>0</v>
      </c>
      <c r="S503" s="1" t="s">
        <v>194</v>
      </c>
      <c r="T503" s="1">
        <v>2</v>
      </c>
      <c r="U503" s="1">
        <v>2</v>
      </c>
      <c r="V503" s="1">
        <v>42</v>
      </c>
      <c r="W503" s="1">
        <v>1</v>
      </c>
      <c r="X503" s="1">
        <v>14</v>
      </c>
      <c r="Y503" s="1">
        <v>3</v>
      </c>
      <c r="Z503" s="1">
        <v>550000</v>
      </c>
      <c r="AA503" s="1">
        <v>3</v>
      </c>
    </row>
    <row r="504" spans="1:27" ht="12.75" customHeight="1" x14ac:dyDescent="0.15">
      <c r="A504" s="5">
        <v>237</v>
      </c>
      <c r="B504" s="5" t="s">
        <v>238</v>
      </c>
      <c r="C504" s="1">
        <v>30</v>
      </c>
      <c r="D504" s="5" t="s">
        <v>981</v>
      </c>
      <c r="E504" s="1">
        <v>12</v>
      </c>
      <c r="F504" s="5" t="s">
        <v>981</v>
      </c>
      <c r="G504" s="1">
        <v>12</v>
      </c>
      <c r="H504" s="5" t="s">
        <v>981</v>
      </c>
      <c r="I504" s="1">
        <v>0</v>
      </c>
      <c r="J504" s="5" t="s">
        <v>983</v>
      </c>
      <c r="K504" s="1">
        <v>12</v>
      </c>
      <c r="L504" s="5" t="s">
        <v>981</v>
      </c>
      <c r="M504" s="1">
        <v>12</v>
      </c>
      <c r="N504" s="5" t="s">
        <v>981</v>
      </c>
      <c r="O504" s="1">
        <v>0</v>
      </c>
      <c r="P504" s="5" t="s">
        <v>983</v>
      </c>
      <c r="Q504" s="1">
        <v>1</v>
      </c>
      <c r="R504" s="1">
        <v>0</v>
      </c>
      <c r="S504" s="1">
        <v>1</v>
      </c>
      <c r="T504" s="1">
        <v>3</v>
      </c>
      <c r="U504" s="1">
        <v>2</v>
      </c>
      <c r="V504" s="1">
        <v>36</v>
      </c>
      <c r="W504" s="1">
        <v>1</v>
      </c>
      <c r="X504" s="1">
        <v>2</v>
      </c>
      <c r="Y504" s="1">
        <v>17</v>
      </c>
      <c r="Z504" s="1">
        <v>440000</v>
      </c>
      <c r="AA504" s="1">
        <v>2</v>
      </c>
    </row>
    <row r="505" spans="1:27" ht="12.75" customHeight="1" x14ac:dyDescent="0.15"/>
    <row r="506" spans="1:27" ht="12.75" customHeight="1" x14ac:dyDescent="0.15"/>
    <row r="507" spans="1:27" ht="12.75" customHeight="1" x14ac:dyDescent="0.15"/>
    <row r="508" spans="1:27" ht="12.75" customHeight="1" x14ac:dyDescent="0.15"/>
    <row r="509" spans="1:27" ht="12.75" customHeight="1" x14ac:dyDescent="0.15"/>
    <row r="510" spans="1:27" ht="12.75" customHeight="1" x14ac:dyDescent="0.15"/>
    <row r="511" spans="1:27" ht="12.75" customHeight="1" x14ac:dyDescent="0.15"/>
    <row r="512" spans="1:27"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row r="1001" ht="12.75" customHeight="1" x14ac:dyDescent="0.15"/>
  </sheetData>
  <autoFilter ref="A2:AA504" xr:uid="{70253C95-1D15-419C-8AC6-DB5BBD176274}">
    <sortState xmlns:xlrd2="http://schemas.microsoft.com/office/spreadsheetml/2017/richdata2" ref="A3:AA504">
      <sortCondition ref="B3:B504"/>
    </sortState>
  </autoFilter>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Form Responses</vt:lpstr>
      <vt:lpstr>variables_limpias</vt:lpstr>
      <vt:lpstr>variables_control</vt:lpstr>
      <vt:lpstr>vars_stata</vt:lpstr>
      <vt:lpstr>Base Editada</vt:lpstr>
      <vt:lpstr>Base Corregida</vt:lpstr>
      <vt:lpstr>bf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Antonio Sepulveda Velasquez</dc:creator>
  <cp:lastModifiedBy>Andres David Aparicio Alonso</cp:lastModifiedBy>
  <dcterms:created xsi:type="dcterms:W3CDTF">2025-09-09T21:00:13Z</dcterms:created>
  <dcterms:modified xsi:type="dcterms:W3CDTF">2025-10-08T12:43:46Z</dcterms:modified>
</cp:coreProperties>
</file>